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Ryan.Kingston\OneDrive - Commonwealth of Massachusetts\Documents\LBE WFH\EV\"/>
    </mc:Choice>
  </mc:AlternateContent>
  <xr:revisionPtr revIDLastSave="0" documentId="13_ncr:1_{F893D02E-ABA2-4022-BFC6-8470380CFC9D}" xr6:coauthVersionLast="47" xr6:coauthVersionMax="47" xr10:uidLastSave="{00000000-0000-0000-0000-000000000000}"/>
  <bookViews>
    <workbookView xWindow="28680" yWindow="-120" windowWidth="29040" windowHeight="15840" xr2:uid="{328CDC5E-9EBB-824C-9E6C-3BB03EC42099}"/>
  </bookViews>
  <sheets>
    <sheet name="EV Comparison Calculator" sheetId="11" r:id="rId1"/>
    <sheet name="VEHICLE source" sheetId="1" state="hidden" r:id="rId2"/>
    <sheet name="Dependent Dropdown Source" sheetId="14" state="hidden" r:id="rId3"/>
    <sheet name="PHEV source" sheetId="3" state="hidden" r:id="rId4"/>
    <sheet name="ICE source" sheetId="2" state="hidden" r:id="rId5"/>
    <sheet name="PL" sheetId="4" state="hidden" r:id="rId6"/>
    <sheet name="Sheet1" sheetId="13" state="hidden" r:id="rId7"/>
    <sheet name="Assumptions" sheetId="12" state="hidden" r:id="rId8"/>
    <sheet name="Vehicle 1 GHG source" sheetId="8" state="hidden" r:id="rId9"/>
    <sheet name="Vehicle 2 GHG Source" sheetId="9" state="hidden" r:id="rId10"/>
  </sheets>
  <definedNames>
    <definedName name="_xlnm._FilterDatabase" localSheetId="1" hidden="1">'VEHICLE source'!$A$1:$AX$30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X67" i="4" l="1"/>
  <c r="X68" i="4" s="1"/>
  <c r="X69" i="4" s="1"/>
  <c r="X70" i="4" s="1"/>
  <c r="X71" i="4" s="1"/>
  <c r="X72" i="4" s="1"/>
  <c r="X73" i="4" s="1"/>
  <c r="X74" i="4" s="1"/>
  <c r="X75" i="4" s="1"/>
  <c r="X76" i="4" s="1"/>
  <c r="X77" i="4" s="1"/>
  <c r="X78" i="4" s="1"/>
  <c r="X79" i="4" s="1"/>
  <c r="X80" i="4" s="1"/>
  <c r="X81" i="4" s="1"/>
  <c r="X82" i="4" s="1"/>
  <c r="X83" i="4" s="1"/>
  <c r="X84" i="4" s="1"/>
  <c r="X85" i="4" s="1"/>
  <c r="X86" i="4" s="1"/>
  <c r="X87" i="4" s="1"/>
  <c r="X42" i="4"/>
  <c r="X43" i="4" s="1"/>
  <c r="X44" i="4" s="1"/>
  <c r="X45" i="4" s="1"/>
  <c r="X46" i="4" s="1"/>
  <c r="X47" i="4" s="1"/>
  <c r="X48" i="4" s="1"/>
  <c r="X49" i="4" s="1"/>
  <c r="X50" i="4" s="1"/>
  <c r="X51" i="4" s="1"/>
  <c r="X52" i="4" s="1"/>
  <c r="X53" i="4" s="1"/>
  <c r="X54" i="4" s="1"/>
  <c r="X55" i="4" s="1"/>
  <c r="X56" i="4" s="1"/>
  <c r="X57" i="4" s="1"/>
  <c r="X58" i="4" s="1"/>
  <c r="X59" i="4" s="1"/>
  <c r="X60" i="4" s="1"/>
  <c r="X61" i="4" s="1"/>
  <c r="X62" i="4" s="1"/>
  <c r="X63" i="4" s="1"/>
  <c r="X64" i="4" s="1"/>
  <c r="X65" i="4" s="1"/>
  <c r="X66" i="4" s="1"/>
  <c r="X5" i="4"/>
  <c r="X6" i="4" s="1"/>
  <c r="X7" i="4" s="1"/>
  <c r="X8" i="4" s="1"/>
  <c r="X9" i="4" s="1"/>
  <c r="X10" i="4" s="1"/>
  <c r="X11" i="4" s="1"/>
  <c r="X12" i="4" s="1"/>
  <c r="X13" i="4" s="1"/>
  <c r="X14" i="4" s="1"/>
  <c r="X15" i="4" s="1"/>
  <c r="X16" i="4" s="1"/>
  <c r="X17" i="4" s="1"/>
  <c r="X18" i="4" s="1"/>
  <c r="X19" i="4" s="1"/>
  <c r="X20" i="4" s="1"/>
  <c r="X21" i="4" s="1"/>
  <c r="X22" i="4" s="1"/>
  <c r="X23" i="4" s="1"/>
  <c r="X24" i="4" s="1"/>
  <c r="X25" i="4" s="1"/>
  <c r="X26" i="4" s="1"/>
  <c r="X27" i="4" s="1"/>
  <c r="X28" i="4" s="1"/>
  <c r="X29" i="4" s="1"/>
  <c r="X30" i="4" s="1"/>
  <c r="X31" i="4" s="1"/>
  <c r="X32" i="4" s="1"/>
  <c r="X33" i="4" s="1"/>
  <c r="X34" i="4" s="1"/>
  <c r="X35" i="4" s="1"/>
  <c r="X36" i="4" s="1"/>
  <c r="X37" i="4" s="1"/>
  <c r="X38" i="4" s="1"/>
  <c r="X39" i="4" s="1"/>
  <c r="X40" i="4" s="1"/>
  <c r="X41" i="4" s="1"/>
  <c r="X4" i="4"/>
  <c r="X3" i="4"/>
  <c r="N22" i="1"/>
  <c r="N23" i="1"/>
  <c r="N24" i="1"/>
  <c r="N25" i="1"/>
  <c r="N26" i="1"/>
  <c r="N27" i="1"/>
  <c r="N28" i="1"/>
  <c r="N29" i="1"/>
  <c r="N30" i="1"/>
  <c r="N21" i="1"/>
  <c r="N20" i="1"/>
  <c r="AS20" i="1"/>
  <c r="AP20" i="1"/>
  <c r="AG20" i="1"/>
  <c r="AH20" i="1" s="1"/>
  <c r="AN20" i="1"/>
  <c r="AO20" i="1"/>
  <c r="AQ20" i="1" s="1"/>
  <c r="A20" i="1"/>
  <c r="AP21" i="1"/>
  <c r="AS21" i="1"/>
  <c r="AN21" i="1"/>
  <c r="AO21" i="1"/>
  <c r="AQ21" i="1" s="1"/>
  <c r="AG21" i="1"/>
  <c r="AH21" i="1" s="1"/>
  <c r="AG22" i="1"/>
  <c r="AH22" i="1" s="1"/>
  <c r="A21" i="1"/>
  <c r="AS22" i="1"/>
  <c r="A23" i="1"/>
  <c r="AP22" i="1"/>
  <c r="AG19" i="1"/>
  <c r="AH19" i="1" s="1"/>
  <c r="AN22" i="1"/>
  <c r="AO22" i="1"/>
  <c r="AQ22" i="1" s="1"/>
  <c r="A22" i="1"/>
  <c r="N19" i="1"/>
  <c r="AK19" i="1"/>
  <c r="AM19" i="1"/>
  <c r="AP19" i="1" s="1"/>
  <c r="AN19" i="1"/>
  <c r="AO19" i="1"/>
  <c r="AQ19" i="1" s="1"/>
  <c r="AS19" i="1"/>
  <c r="AT19" i="1"/>
  <c r="A19" i="1"/>
  <c r="AS28" i="1"/>
  <c r="AN28" i="1"/>
  <c r="AO28" i="1"/>
  <c r="AQ28" i="1" s="1"/>
  <c r="AR28" i="1" s="1"/>
  <c r="AG28" i="1"/>
  <c r="AI28" i="1" s="1"/>
  <c r="A29" i="1"/>
  <c r="A18" i="1"/>
  <c r="N18" i="1"/>
  <c r="AM18" i="1"/>
  <c r="AP18" i="1" s="1"/>
  <c r="AG18" i="1"/>
  <c r="AH18" i="1" s="1"/>
  <c r="AK18" i="1"/>
  <c r="AN18" i="1"/>
  <c r="AO18" i="1"/>
  <c r="AQ18" i="1" s="1"/>
  <c r="AS18" i="1"/>
  <c r="AT18" i="1"/>
  <c r="A17" i="1"/>
  <c r="AS17" i="1"/>
  <c r="AT17" i="1"/>
  <c r="AM17" i="1"/>
  <c r="AP17" i="1" s="1"/>
  <c r="AN17" i="1"/>
  <c r="AO17" i="1"/>
  <c r="AQ17" i="1" s="1"/>
  <c r="AK17" i="1"/>
  <c r="AG17" i="1"/>
  <c r="AI17" i="1" s="1"/>
  <c r="N17" i="1"/>
  <c r="N9" i="1"/>
  <c r="AE9" i="1"/>
  <c r="AG9" i="1"/>
  <c r="AM9" i="1"/>
  <c r="AP9" i="1" s="1"/>
  <c r="AR9" i="1" s="1"/>
  <c r="AN9" i="1"/>
  <c r="AO9" i="1"/>
  <c r="AT9" i="1"/>
  <c r="A9" i="1"/>
  <c r="N7" i="1"/>
  <c r="N8" i="1"/>
  <c r="A7" i="1"/>
  <c r="A8" i="1"/>
  <c r="AT7" i="1"/>
  <c r="AT8" i="1"/>
  <c r="AM7" i="1"/>
  <c r="AP7" i="1" s="1"/>
  <c r="AR7" i="1" s="1"/>
  <c r="AN7" i="1"/>
  <c r="AO7" i="1"/>
  <c r="AM8" i="1"/>
  <c r="AP8" i="1" s="1"/>
  <c r="AR8" i="1" s="1"/>
  <c r="AN8" i="1"/>
  <c r="AO8" i="1"/>
  <c r="AE7" i="1"/>
  <c r="AG7" i="1"/>
  <c r="AE8" i="1"/>
  <c r="AG8" i="1"/>
  <c r="A12" i="1"/>
  <c r="A13" i="1"/>
  <c r="A14" i="1"/>
  <c r="A15" i="1"/>
  <c r="A16" i="1"/>
  <c r="A24" i="1"/>
  <c r="A25" i="1"/>
  <c r="A26" i="1"/>
  <c r="A27" i="1"/>
  <c r="A30" i="1"/>
  <c r="AI20" i="1" l="1"/>
  <c r="AJ20" i="1" s="1"/>
  <c r="AR20" i="1"/>
  <c r="AR21" i="1"/>
  <c r="AI21" i="1"/>
  <c r="AJ21" i="1" s="1"/>
  <c r="AI22" i="1"/>
  <c r="AJ22" i="1" s="1"/>
  <c r="AI19" i="1"/>
  <c r="AJ19" i="1" s="1"/>
  <c r="AL19" i="1" s="1"/>
  <c r="AR22" i="1"/>
  <c r="AR19" i="1"/>
  <c r="AH28" i="1"/>
  <c r="AJ28" i="1" s="1"/>
  <c r="AL28" i="1" s="1"/>
  <c r="AR18" i="1"/>
  <c r="AI18" i="1"/>
  <c r="AJ18" i="1" s="1"/>
  <c r="AL18" i="1" s="1"/>
  <c r="AR17" i="1"/>
  <c r="AH17" i="1"/>
  <c r="AJ17" i="1" s="1"/>
  <c r="AL17" i="1" s="1"/>
  <c r="AH9" i="1"/>
  <c r="AJ9" i="1" s="1"/>
  <c r="AH8" i="1"/>
  <c r="AJ8" i="1" s="1"/>
  <c r="AL8" i="1" s="1"/>
  <c r="AH7" i="1"/>
  <c r="AJ7" i="1" s="1"/>
  <c r="AL7" i="1" s="1"/>
  <c r="AT3" i="1"/>
  <c r="AM3" i="1"/>
  <c r="AP3" i="1" s="1"/>
  <c r="AR3" i="1" s="1"/>
  <c r="AN3" i="1"/>
  <c r="AO3" i="1"/>
  <c r="AE3" i="1"/>
  <c r="AG3" i="1"/>
  <c r="N3" i="1"/>
  <c r="A3" i="1"/>
  <c r="A4" i="1"/>
  <c r="A5" i="1"/>
  <c r="A6" i="1"/>
  <c r="A10" i="1"/>
  <c r="A11" i="1"/>
  <c r="A2" i="1"/>
  <c r="AO14" i="1"/>
  <c r="AQ14" i="1" s="1"/>
  <c r="N16" i="1"/>
  <c r="AG30" i="1"/>
  <c r="AH30" i="1" s="1"/>
  <c r="AN30" i="1"/>
  <c r="AO30" i="1"/>
  <c r="AQ30" i="1" s="1"/>
  <c r="AR30" i="1" s="1"/>
  <c r="AS30" i="1"/>
  <c r="AK20" i="1" l="1"/>
  <c r="AL20" i="1"/>
  <c r="AK21" i="1"/>
  <c r="AL21" i="1"/>
  <c r="AK22" i="1"/>
  <c r="AL22" i="1"/>
  <c r="AK28" i="1"/>
  <c r="AK7" i="1"/>
  <c r="AK8" i="1"/>
  <c r="AK9" i="1"/>
  <c r="AL9" i="1"/>
  <c r="AH3" i="1"/>
  <c r="AJ3" i="1" s="1"/>
  <c r="AK3" i="1" s="1"/>
  <c r="AI30" i="1"/>
  <c r="AJ30" i="1" s="1"/>
  <c r="AK15" i="1"/>
  <c r="AK13" i="1"/>
  <c r="B3" i="13"/>
  <c r="AE2" i="1"/>
  <c r="AL3" i="1" l="1"/>
  <c r="AK30" i="1"/>
  <c r="AL30" i="1"/>
  <c r="AS27" i="1"/>
  <c r="AS29" i="1"/>
  <c r="AN27" i="1"/>
  <c r="AO27" i="1"/>
  <c r="AQ27" i="1" s="1"/>
  <c r="AR27" i="1" s="1"/>
  <c r="AN29" i="1"/>
  <c r="AO29" i="1"/>
  <c r="AQ29" i="1" s="1"/>
  <c r="AR29" i="1" s="1"/>
  <c r="AG27" i="1"/>
  <c r="AI27" i="1" s="1"/>
  <c r="AG29" i="1"/>
  <c r="AI29" i="1" s="1"/>
  <c r="N15" i="1"/>
  <c r="AM15" i="1"/>
  <c r="AP15" i="1" s="1"/>
  <c r="AS24" i="1"/>
  <c r="AS25" i="1"/>
  <c r="AS26" i="1"/>
  <c r="AO24" i="1"/>
  <c r="AQ24" i="1" s="1"/>
  <c r="AR24" i="1" s="1"/>
  <c r="AO25" i="1"/>
  <c r="AQ25" i="1" s="1"/>
  <c r="AR25" i="1" s="1"/>
  <c r="AO26" i="1"/>
  <c r="AQ26" i="1" s="1"/>
  <c r="AR26" i="1" s="1"/>
  <c r="AN24" i="1"/>
  <c r="AN25" i="1"/>
  <c r="AN26" i="1"/>
  <c r="AM16" i="1"/>
  <c r="AP16" i="1" s="1"/>
  <c r="AM12" i="1"/>
  <c r="AH29" i="1" l="1"/>
  <c r="AJ29" i="1" s="1"/>
  <c r="AH27" i="1"/>
  <c r="AJ27" i="1" s="1"/>
  <c r="AG24" i="1"/>
  <c r="AG25" i="1"/>
  <c r="AI25" i="1" s="1"/>
  <c r="AG26" i="1"/>
  <c r="AK16" i="1"/>
  <c r="AE14" i="1"/>
  <c r="AK14" i="1" s="1"/>
  <c r="AE12" i="1"/>
  <c r="AG11" i="1"/>
  <c r="AH11" i="1" s="1"/>
  <c r="AJ11" i="1" s="1"/>
  <c r="AG12" i="1"/>
  <c r="AG13" i="1"/>
  <c r="AI13" i="1" s="1"/>
  <c r="AG14" i="1"/>
  <c r="AG15" i="1"/>
  <c r="AH15" i="1" s="1"/>
  <c r="AG16" i="1"/>
  <c r="AI16" i="1" s="1"/>
  <c r="AM11" i="1"/>
  <c r="AP11" i="1" s="1"/>
  <c r="AR11" i="1" s="1"/>
  <c r="AP12" i="1"/>
  <c r="AR12" i="1" s="1"/>
  <c r="AN11" i="1"/>
  <c r="AO11" i="1"/>
  <c r="AN15" i="1"/>
  <c r="AN16" i="1"/>
  <c r="AO15" i="1"/>
  <c r="AQ15" i="1" s="1"/>
  <c r="AO16" i="1"/>
  <c r="AQ16" i="1" s="1"/>
  <c r="AS15" i="1"/>
  <c r="AS16" i="1"/>
  <c r="AS13" i="1"/>
  <c r="AT15" i="1"/>
  <c r="AT16" i="1"/>
  <c r="AT13" i="1"/>
  <c r="AT11" i="1"/>
  <c r="AH12" i="1" l="1"/>
  <c r="AJ12" i="1" s="1"/>
  <c r="AK12" i="1" s="1"/>
  <c r="AK29" i="1"/>
  <c r="AL29" i="1"/>
  <c r="AK27" i="1"/>
  <c r="AL27" i="1"/>
  <c r="AI15" i="1"/>
  <c r="AJ15" i="1" s="1"/>
  <c r="AH13" i="1"/>
  <c r="AJ13" i="1" s="1"/>
  <c r="AH24" i="1"/>
  <c r="AI24" i="1"/>
  <c r="AH26" i="1"/>
  <c r="AI26" i="1"/>
  <c r="AH25" i="1"/>
  <c r="AJ25" i="1" s="1"/>
  <c r="AK25" i="1" s="1"/>
  <c r="AH16" i="1"/>
  <c r="AJ16" i="1" s="1"/>
  <c r="AK11" i="1"/>
  <c r="AL11" i="1"/>
  <c r="AR16" i="1"/>
  <c r="AR15" i="1"/>
  <c r="E26" i="11"/>
  <c r="AL12" i="1" l="1"/>
  <c r="AJ24" i="1"/>
  <c r="AJ26" i="1"/>
  <c r="AL25" i="1"/>
  <c r="AL15" i="1"/>
  <c r="AL16" i="1"/>
  <c r="AL13" i="1"/>
  <c r="N11" i="1"/>
  <c r="N10" i="1"/>
  <c r="N12" i="1"/>
  <c r="N13" i="1"/>
  <c r="AL24" i="1" l="1"/>
  <c r="AK24" i="1"/>
  <c r="AK26" i="1"/>
  <c r="AL26" i="1"/>
  <c r="AT14" i="1"/>
  <c r="AT4" i="1"/>
  <c r="AT5" i="1"/>
  <c r="AT6" i="1"/>
  <c r="AT10" i="1"/>
  <c r="AT12" i="1"/>
  <c r="AT2" i="1"/>
  <c r="AS23" i="1"/>
  <c r="AS14" i="1"/>
  <c r="AO4" i="1"/>
  <c r="AO5" i="1"/>
  <c r="AO6" i="1"/>
  <c r="AO10" i="1"/>
  <c r="AO12" i="1"/>
  <c r="AO13" i="1"/>
  <c r="AQ13" i="1" s="1"/>
  <c r="AO23" i="1"/>
  <c r="AQ23" i="1" s="1"/>
  <c r="AR23" i="1" s="1"/>
  <c r="AO2" i="1"/>
  <c r="AN4" i="1"/>
  <c r="AN5" i="1"/>
  <c r="AN6" i="1"/>
  <c r="AN10" i="1"/>
  <c r="AN12" i="1"/>
  <c r="AN13" i="1"/>
  <c r="AN14" i="1"/>
  <c r="AN23" i="1"/>
  <c r="AN2" i="1"/>
  <c r="AM10" i="1"/>
  <c r="AP10" i="1" s="1"/>
  <c r="AR10" i="1" s="1"/>
  <c r="AM13" i="1"/>
  <c r="AP13" i="1" s="1"/>
  <c r="AM14" i="1"/>
  <c r="AP14" i="1" s="1"/>
  <c r="AR14" i="1" s="1"/>
  <c r="AG4" i="1"/>
  <c r="AG5" i="1"/>
  <c r="AG6" i="1"/>
  <c r="AG10" i="1"/>
  <c r="AH10" i="1" s="1"/>
  <c r="AJ10" i="1" s="1"/>
  <c r="AI14" i="1"/>
  <c r="AG23" i="1"/>
  <c r="AH23" i="1" s="1"/>
  <c r="AG2" i="1"/>
  <c r="AA30" i="11"/>
  <c r="W30" i="11"/>
  <c r="AM6" i="1"/>
  <c r="AM2" i="1"/>
  <c r="AP2" i="1" s="1"/>
  <c r="AM4" i="1"/>
  <c r="AP4" i="1" s="1"/>
  <c r="AM5" i="1"/>
  <c r="AP5" i="1" s="1"/>
  <c r="BB24" i="1" l="1"/>
  <c r="BB25" i="1" s="1"/>
  <c r="AR13" i="1"/>
  <c r="AK10" i="1"/>
  <c r="AL10" i="1"/>
  <c r="AP6" i="1"/>
  <c r="W62" i="11" l="1"/>
  <c r="V99" i="11"/>
  <c r="U99" i="11"/>
  <c r="Y74" i="11"/>
  <c r="V74" i="11"/>
  <c r="Y73" i="11"/>
  <c r="X73" i="11"/>
  <c r="X74" i="11" s="1"/>
  <c r="W73" i="11"/>
  <c r="W74" i="11" s="1"/>
  <c r="V62" i="11"/>
  <c r="U60" i="11"/>
  <c r="U59" i="11"/>
  <c r="W52" i="11"/>
  <c r="V52" i="11"/>
  <c r="AA51" i="11"/>
  <c r="Z51" i="11"/>
  <c r="AA32" i="11"/>
  <c r="W32" i="11"/>
  <c r="AI23" i="1"/>
  <c r="AJ23" i="1" s="1"/>
  <c r="AL23" i="1" s="1"/>
  <c r="AK23" i="1" l="1"/>
  <c r="AR2" i="1" l="1"/>
  <c r="AR6" i="1" l="1"/>
  <c r="N14" i="1"/>
  <c r="AR4" i="1"/>
  <c r="W53" i="11" s="1"/>
  <c r="AH14" i="1"/>
  <c r="AE6" i="1"/>
  <c r="AH6" i="1" s="1"/>
  <c r="AE4" i="1"/>
  <c r="AE5" i="1"/>
  <c r="AR5" i="1" l="1"/>
  <c r="V53" i="11" s="1"/>
  <c r="V54" i="11" s="1"/>
  <c r="AH4" i="1"/>
  <c r="AJ4" i="1" s="1"/>
  <c r="AL4" i="1" s="1"/>
  <c r="AH2" i="1"/>
  <c r="AJ2" i="1" s="1"/>
  <c r="AL2" i="1" s="1"/>
  <c r="AH5" i="1"/>
  <c r="AJ6" i="1"/>
  <c r="AL6" i="1" l="1"/>
  <c r="AK6" i="1"/>
  <c r="AK2" i="1"/>
  <c r="AK4" i="1"/>
  <c r="AJ14" i="1"/>
  <c r="AJ5" i="1"/>
  <c r="AL5" i="1" s="1"/>
  <c r="AL14" i="1" l="1"/>
  <c r="AK5" i="1"/>
  <c r="N4" i="1"/>
  <c r="N5" i="1"/>
  <c r="N6" i="1"/>
  <c r="N2" i="1"/>
  <c r="B4" i="8" l="1"/>
  <c r="B12" i="8"/>
  <c r="B6" i="8"/>
  <c r="B15" i="8"/>
  <c r="B16" i="8"/>
  <c r="E29" i="11"/>
  <c r="I32" i="11"/>
  <c r="B5" i="8"/>
  <c r="B13" i="8"/>
  <c r="I29" i="11"/>
  <c r="B10" i="8"/>
  <c r="B14" i="8"/>
  <c r="C2" i="8"/>
  <c r="C3" i="8" s="1"/>
  <c r="C4" i="8" s="1"/>
  <c r="C5" i="8" s="1"/>
  <c r="C6" i="8" s="1"/>
  <c r="C7" i="8" s="1"/>
  <c r="C8" i="8" s="1"/>
  <c r="C9" i="8" s="1"/>
  <c r="C10" i="8" s="1"/>
  <c r="C11" i="8" s="1"/>
  <c r="C12" i="8" s="1"/>
  <c r="C13" i="8" s="1"/>
  <c r="C14" i="8" s="1"/>
  <c r="C15" i="8" s="1"/>
  <c r="C16" i="8" s="1"/>
  <c r="B7" i="8"/>
  <c r="E38" i="11"/>
  <c r="B2" i="8"/>
  <c r="D2" i="8" s="1"/>
  <c r="B11" i="8"/>
  <c r="B8" i="8"/>
  <c r="B9" i="8"/>
  <c r="B3" i="8"/>
  <c r="M41" i="11"/>
  <c r="B6" i="9"/>
  <c r="B13" i="9"/>
  <c r="B7" i="9"/>
  <c r="B11" i="9"/>
  <c r="B2" i="9"/>
  <c r="D2" i="9" s="1"/>
  <c r="B16" i="9"/>
  <c r="B5" i="9"/>
  <c r="B3" i="9"/>
  <c r="M38" i="11"/>
  <c r="M29" i="11"/>
  <c r="B4" i="9"/>
  <c r="B12" i="9"/>
  <c r="C2" i="9"/>
  <c r="B14" i="9"/>
  <c r="P32" i="11"/>
  <c r="B10" i="9"/>
  <c r="P29" i="11"/>
  <c r="B15" i="9"/>
  <c r="B9" i="9"/>
  <c r="B8" i="9"/>
  <c r="I41" i="11"/>
  <c r="W82" i="11"/>
  <c r="Z82" i="11" s="1"/>
  <c r="W94" i="11"/>
  <c r="Z94" i="11" s="1"/>
  <c r="W90" i="11"/>
  <c r="Z90" i="11" s="1"/>
  <c r="W86" i="11"/>
  <c r="Z86" i="11" s="1"/>
  <c r="V82" i="11"/>
  <c r="X82" i="11" s="1"/>
  <c r="AB59" i="11"/>
  <c r="V84" i="11"/>
  <c r="X84" i="11" s="1"/>
  <c r="W83" i="11"/>
  <c r="Z83" i="11" s="1"/>
  <c r="I26" i="11"/>
  <c r="V94" i="11"/>
  <c r="X94" i="11" s="1"/>
  <c r="W93" i="11"/>
  <c r="Z93" i="11" s="1"/>
  <c r="W89" i="11"/>
  <c r="Z89" i="11" s="1"/>
  <c r="W85" i="11"/>
  <c r="Z85" i="11" s="1"/>
  <c r="Z59" i="11"/>
  <c r="V89" i="11"/>
  <c r="X89" i="11" s="1"/>
  <c r="V85" i="11"/>
  <c r="X85" i="11" s="1"/>
  <c r="Y59" i="11"/>
  <c r="V93" i="11"/>
  <c r="X93" i="11" s="1"/>
  <c r="E35" i="11"/>
  <c r="W87" i="11"/>
  <c r="Z87" i="11" s="1"/>
  <c r="I38" i="11"/>
  <c r="W96" i="11"/>
  <c r="Z96" i="11" s="1"/>
  <c r="W92" i="11"/>
  <c r="Z92" i="11" s="1"/>
  <c r="W88" i="11"/>
  <c r="Z88" i="11" s="1"/>
  <c r="W84" i="11"/>
  <c r="Z84" i="11" s="1"/>
  <c r="X59" i="11"/>
  <c r="I44" i="11"/>
  <c r="V55" i="11" s="1"/>
  <c r="V56" i="11" s="1"/>
  <c r="AA55" i="11" s="1"/>
  <c r="E32" i="11"/>
  <c r="V92" i="11"/>
  <c r="X92" i="11" s="1"/>
  <c r="E41" i="11"/>
  <c r="W91" i="11"/>
  <c r="Z91" i="11" s="1"/>
  <c r="V96" i="11"/>
  <c r="X96" i="11" s="1"/>
  <c r="V59" i="11"/>
  <c r="W95" i="11"/>
  <c r="Z95" i="11" s="1"/>
  <c r="V95" i="11"/>
  <c r="X95" i="11" s="1"/>
  <c r="V91" i="11"/>
  <c r="X91" i="11" s="1"/>
  <c r="V87" i="11"/>
  <c r="X87" i="11" s="1"/>
  <c r="V83" i="11"/>
  <c r="X83" i="11" s="1"/>
  <c r="I35" i="11"/>
  <c r="V90" i="11"/>
  <c r="X90" i="11" s="1"/>
  <c r="V86" i="11"/>
  <c r="X86" i="11" s="1"/>
  <c r="AA59" i="11"/>
  <c r="V88" i="11"/>
  <c r="X88" i="11" s="1"/>
  <c r="W59" i="11"/>
  <c r="V64" i="11"/>
  <c r="AA54" i="11" s="1"/>
  <c r="V63" i="11"/>
  <c r="AA53" i="11" s="1"/>
  <c r="P41" i="11"/>
  <c r="Z60" i="11"/>
  <c r="Y60" i="11"/>
  <c r="M35" i="11"/>
  <c r="P26" i="11"/>
  <c r="M26" i="11"/>
  <c r="AB60" i="11"/>
  <c r="P38" i="11"/>
  <c r="X60" i="11"/>
  <c r="P44" i="11"/>
  <c r="W55" i="11" s="1"/>
  <c r="W56" i="11" s="1"/>
  <c r="Z55" i="11" s="1"/>
  <c r="W60" i="11"/>
  <c r="V60" i="11"/>
  <c r="P35" i="11"/>
  <c r="M32" i="11"/>
  <c r="AA60" i="11"/>
  <c r="W54" i="11"/>
  <c r="W63" i="11"/>
  <c r="Z53" i="11" s="1"/>
  <c r="W64" i="11"/>
  <c r="Z54" i="11" s="1"/>
  <c r="M44" i="11" l="1"/>
  <c r="Z52" i="11" s="1"/>
  <c r="AB86" i="11"/>
  <c r="AB93" i="11"/>
  <c r="E44" i="11"/>
  <c r="AA52" i="11" s="1"/>
  <c r="AB88" i="11"/>
  <c r="AB87" i="11"/>
  <c r="AB94" i="11"/>
  <c r="AB83" i="11"/>
  <c r="AB82" i="11"/>
  <c r="AB92" i="11"/>
  <c r="AB95" i="11"/>
  <c r="AB90" i="11"/>
  <c r="AB96" i="11"/>
  <c r="AB91" i="11"/>
  <c r="V65" i="11"/>
  <c r="AB85" i="11"/>
  <c r="AB89" i="11"/>
  <c r="AB84" i="11"/>
  <c r="W65" i="11"/>
  <c r="F2" i="8"/>
  <c r="H2" i="8" s="1"/>
  <c r="D3" i="8"/>
  <c r="D4" i="8" s="1"/>
  <c r="D5" i="8" s="1"/>
  <c r="D6" i="8" s="1"/>
  <c r="D7" i="8" s="1"/>
  <c r="D8" i="8" s="1"/>
  <c r="D9" i="8" s="1"/>
  <c r="C3" i="9"/>
  <c r="F2" i="9"/>
  <c r="H2" i="9" s="1"/>
  <c r="D3" i="9"/>
  <c r="Y32" i="11" l="1"/>
  <c r="AA56" i="11"/>
  <c r="Z56" i="11"/>
  <c r="V101" i="11"/>
  <c r="D10" i="8"/>
  <c r="D11" i="8" s="1"/>
  <c r="D12" i="8" s="1"/>
  <c r="D13" i="8" s="1"/>
  <c r="D14" i="8" s="1"/>
  <c r="D15" i="8" s="1"/>
  <c r="D16" i="8" s="1"/>
  <c r="F3" i="8"/>
  <c r="C4" i="9"/>
  <c r="F3" i="9"/>
  <c r="H3" i="9" s="1"/>
  <c r="D4" i="9"/>
  <c r="Z32" i="11" l="1" a="1"/>
  <c r="Z32" i="11" s="1"/>
  <c r="W34" i="11" s="1"/>
  <c r="C5" i="9"/>
  <c r="C6" i="9" s="1"/>
  <c r="C7" i="9" s="1"/>
  <c r="C8" i="9" s="1"/>
  <c r="C9" i="9" s="1"/>
  <c r="C10" i="9" s="1"/>
  <c r="C11" i="9" s="1"/>
  <c r="C12" i="9" s="1"/>
  <c r="C13" i="9" s="1"/>
  <c r="C14" i="9" s="1"/>
  <c r="C15" i="9" s="1"/>
  <c r="C16" i="9" s="1"/>
  <c r="F4" i="9"/>
  <c r="H4" i="9" s="1"/>
  <c r="F4" i="8"/>
  <c r="D5" i="9"/>
  <c r="F5" i="9" l="1"/>
  <c r="F6" i="9" s="1"/>
  <c r="F7" i="9" s="1"/>
  <c r="F8" i="9" s="1"/>
  <c r="F9" i="9" s="1"/>
  <c r="D6" i="9"/>
  <c r="F5" i="8"/>
  <c r="H3" i="8"/>
  <c r="F10" i="9" l="1"/>
  <c r="F11" i="9" s="1"/>
  <c r="F12" i="9" s="1"/>
  <c r="F13" i="9" s="1"/>
  <c r="F14" i="9" s="1"/>
  <c r="F15" i="9" s="1"/>
  <c r="F16" i="9" s="1"/>
  <c r="U100" i="11"/>
  <c r="F6" i="8"/>
  <c r="F7" i="8" s="1"/>
  <c r="H5" i="9"/>
  <c r="D7" i="9"/>
  <c r="D8" i="9" s="1"/>
  <c r="H6" i="9"/>
  <c r="H5" i="8"/>
  <c r="H4" i="8"/>
  <c r="F8" i="8" l="1"/>
  <c r="H7" i="8"/>
  <c r="H6" i="8"/>
  <c r="H7" i="9"/>
  <c r="F9" i="8" l="1"/>
  <c r="H8" i="8"/>
  <c r="D9" i="9"/>
  <c r="H8" i="9"/>
  <c r="F10" i="8" l="1"/>
  <c r="V100" i="11"/>
  <c r="V102" i="11" s="1"/>
  <c r="H9" i="8"/>
  <c r="U101" i="11"/>
  <c r="D10" i="9"/>
  <c r="H9" i="9"/>
  <c r="U102" i="11" l="1"/>
  <c r="U104" i="11" s="1"/>
  <c r="W100" i="11"/>
  <c r="D68" i="11" s="1"/>
  <c r="F11" i="8"/>
  <c r="H10" i="8"/>
  <c r="D11" i="9"/>
  <c r="H10" i="9"/>
  <c r="Y30" i="11" l="1"/>
  <c r="Z30" i="11" a="1"/>
  <c r="Z30" i="11" s="1"/>
  <c r="F12" i="8"/>
  <c r="H11" i="8"/>
  <c r="D12" i="9"/>
  <c r="H11" i="9"/>
  <c r="W31" i="11" l="1"/>
  <c r="F13" i="8"/>
  <c r="H12" i="8"/>
  <c r="D13" i="9"/>
  <c r="H12" i="9"/>
  <c r="F14" i="8" l="1"/>
  <c r="H13" i="8"/>
  <c r="D14" i="9"/>
  <c r="H13" i="9"/>
  <c r="F15" i="8" l="1"/>
  <c r="H14" i="8"/>
  <c r="D15" i="9"/>
  <c r="H14" i="9"/>
  <c r="F16" i="8" l="1"/>
  <c r="H16" i="8" s="1"/>
  <c r="H15" i="8"/>
  <c r="D16" i="9"/>
  <c r="H16" i="9" s="1"/>
  <c r="H1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Chelsea Kehne</author>
  </authors>
  <commentList>
    <comment ref="M8" authorId="0" shapeId="0" xr:uid="{30090B2C-CC8D-F841-9A67-E3602484C15E}">
      <text>
        <r>
          <rPr>
            <sz val="10"/>
            <color rgb="FF000000"/>
            <rFont val="Tahoma"/>
            <family val="2"/>
          </rPr>
          <t>Acquisition method determines incentive values for zero-emission models.</t>
        </r>
      </text>
    </comment>
    <comment ref="M10" authorId="0" shapeId="0" xr:uid="{2965C186-0241-3341-A33C-5DEEF22C805C}">
      <text>
        <r>
          <rPr>
            <sz val="10"/>
            <color rgb="FF000000"/>
            <rFont val="Tahoma"/>
            <family val="2"/>
          </rPr>
          <t xml:space="preserve"> (average annual miles driven is 15,000/yr)</t>
        </r>
      </text>
    </comment>
    <comment ref="M12" authorId="0" shapeId="0" xr:uid="{9DCDFE3B-DBBD-304E-AA42-03FAFFFEDAB7}">
      <text>
        <r>
          <rPr>
            <sz val="10"/>
            <color rgb="FF000000"/>
            <rFont val="Tahoma"/>
            <family val="2"/>
          </rPr>
          <t>Average ownership of vehicle is roughly 8 yrs; average lease of vehicle varies dependent on agreements</t>
        </r>
      </text>
    </comment>
    <comment ref="M14" authorId="0" shapeId="0" xr:uid="{49ADC588-825E-7F47-9786-60BE45EAA71A}">
      <text>
        <r>
          <rPr>
            <sz val="10"/>
            <color rgb="FF000000"/>
            <rFont val="Tahoma"/>
            <family val="2"/>
          </rPr>
          <t>3-yr average gasoline rate is $2.65</t>
        </r>
      </text>
    </comment>
    <comment ref="M16" authorId="0" shapeId="0" xr:uid="{04A7BCCC-1EBD-5D4A-B517-696DB07297B4}">
      <text>
        <r>
          <rPr>
            <sz val="10"/>
            <color rgb="FF000000"/>
            <rFont val="Tahoma"/>
            <family val="2"/>
          </rPr>
          <t>average 2021 electricity rate in MA is $.18</t>
        </r>
      </text>
    </comment>
    <comment ref="M18" authorId="0" shapeId="0" xr:uid="{51E7794D-A30A-1A4F-8B0F-7105E3DE1A82}">
      <text>
        <r>
          <rPr>
            <sz val="10"/>
            <color rgb="FF000000"/>
            <rFont val="Tahoma"/>
            <family val="2"/>
          </rPr>
          <t>For vehicles traveling shorter distances, 80-100% is reasonable assumption; vehicles driving longer distances, 60% is a reasonable assumption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tc={30D86B1B-5548-834D-9CE8-BA13EEBB557F}</author>
    <author>tc={E13D7EE7-C6B1-3743-AD3B-799F328DAE5A}</author>
    <author>Chelsea Kehne</author>
  </authors>
  <commentList>
    <comment ref="S2" authorId="0" shapeId="0" xr:uid="{30D86B1B-5548-834D-9CE8-BA13EEBB557F}">
      <text>
        <t xml:space="preserve">[Threaded comment]
Your version of Excel allows you to read this threaded comment; however, any edits to it will get removed if the file is opened in a newer version of Excel. Learn more: https://go.microsoft.com/fwlink/?linkid=870924
Comment:
    minimum level of level 2 charging rate and vehicle max AC intahe </t>
      </text>
    </comment>
    <comment ref="U2" authorId="1" shapeId="0" xr:uid="{E13D7EE7-C6B1-3743-AD3B-799F328DAE5A}">
      <text>
        <t>[Threaded comment]
Your version of Excel allows you to read this threaded comment; however, any edits to it will get removed if the file is opened in a newer version of Excel. Learn more: https://go.microsoft.com/fwlink/?linkid=870924
Comment:
    EPA efficiency rating</t>
      </text>
    </comment>
    <comment ref="AD2" authorId="2" shapeId="0" xr:uid="{4A0F09EA-32AA-7245-A507-E445DD36AB30}">
      <text>
        <r>
          <rPr>
            <b/>
            <sz val="10"/>
            <color rgb="FF000000"/>
            <rFont val="Tahoma"/>
            <family val="2"/>
          </rPr>
          <t>Chelsea Kehne:</t>
        </r>
        <r>
          <rPr>
            <sz val="10"/>
            <color rgb="FF000000"/>
            <rFont val="Tahoma"/>
            <family val="2"/>
          </rPr>
          <t xml:space="preserve">
</t>
        </r>
        <r>
          <rPr>
            <sz val="10"/>
            <color rgb="FF000000"/>
            <rFont val="Tahoma"/>
            <family val="2"/>
          </rPr>
          <t>https://www.2degreesinstitute.org/reports/comparing_fuel_and_maintenance_costs_of_electric_and_gas_powered_vehicles_in_canada.pdf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<sst xmlns="http://schemas.openxmlformats.org/spreadsheetml/2006/main" count="1018" uniqueCount="359">
  <si>
    <r>
      <t>INSTRUCTIONS FOR ELECTRIC VEHICLE COMPARISON CALCULATOR</t>
    </r>
    <r>
      <rPr>
        <b/>
        <sz val="18"/>
        <color rgb="FFFFFF00"/>
        <rFont val="Calibri (Body)"/>
      </rPr>
      <t xml:space="preserve"> </t>
    </r>
    <r>
      <rPr>
        <b/>
        <sz val="18"/>
        <color theme="0"/>
        <rFont val="Calibri"/>
        <family val="2"/>
        <scheme val="minor"/>
      </rPr>
      <t xml:space="preserve">
</t>
    </r>
    <r>
      <rPr>
        <sz val="18"/>
        <color theme="0"/>
        <rFont val="Calibri"/>
        <family val="2"/>
        <scheme val="minor"/>
      </rPr>
      <t xml:space="preserve">This calculator is intended to provide a comparison of zero-emission vehicle models currently offered on statewide contract VEH110 against various other conventional and alternative fuel models. Once selections have been made in the required highlighted fields in Step 1, users will be prompted to select a zero-emission vehicle model (Step 2) and a comparison vehicle model (Step 3). Various metrics will be listed for each of the models, such as fuel type, range, and upfront costs before and after MassEVIP incentives are applied. Further below, various graphs compare the estimated annual costs, total ownership costs, and GHG emissions impacts of the selected models. Key assumptions for the outputs are detailed at the bottom of the this page. </t>
    </r>
    <r>
      <rPr>
        <b/>
        <sz val="18"/>
        <color theme="0"/>
        <rFont val="Calibri"/>
        <family val="2"/>
        <scheme val="minor"/>
      </rPr>
      <t xml:space="preserve">
</t>
    </r>
    <r>
      <rPr>
        <sz val="18"/>
        <color theme="0"/>
        <rFont val="Calibri"/>
        <family val="2"/>
        <scheme val="minor"/>
      </rPr>
      <t xml:space="preserve">This calculator will be updated as additional zero-emission models are added to Statewide Contract and as incentive values or vehicle specifications change. If you have any issues using the calculator or would like to make a suggestion as to how it may be improved for users, please reach out to LBE with questions or suggestions. </t>
    </r>
  </si>
  <si>
    <t>LBE Staff Contact Info</t>
  </si>
  <si>
    <r>
      <t xml:space="preserve">STEP 1 </t>
    </r>
    <r>
      <rPr>
        <b/>
        <sz val="18"/>
        <color rgb="FF00B050"/>
        <rFont val="Wingdings"/>
        <charset val="2"/>
      </rPr>
      <t>à</t>
    </r>
  </si>
  <si>
    <t>MUST COMPLETE SELECTION FOR ALL HIGHLIGHTED CELLS BELOW
BEFORE PROCEEDING</t>
  </si>
  <si>
    <t>ACQUISITION METHOD:</t>
  </si>
  <si>
    <t>Purchase</t>
  </si>
  <si>
    <t xml:space="preserve">ESTIMATED MILES DRIVEN PER YEAR: </t>
  </si>
  <si>
    <t>YEARS OF OWNERSHIP OR LEASE:</t>
  </si>
  <si>
    <t>PRICE OF GASOLINE ($/GALLLON):</t>
  </si>
  <si>
    <t>PRICE OF ELECTRICITY ($/KWH):</t>
  </si>
  <si>
    <t xml:space="preserve"> </t>
  </si>
  <si>
    <t>PORTION ELECTRIC (PHEV ONLY)</t>
  </si>
  <si>
    <r>
      <t xml:space="preserve">STEP 2 </t>
    </r>
    <r>
      <rPr>
        <b/>
        <sz val="18"/>
        <color rgb="FF00B050"/>
        <rFont val="Wingdings"/>
        <charset val="2"/>
      </rPr>
      <t>â</t>
    </r>
  </si>
  <si>
    <r>
      <t xml:space="preserve">STEP 3 </t>
    </r>
    <r>
      <rPr>
        <b/>
        <sz val="18"/>
        <color rgb="FF00B050"/>
        <rFont val="Wingdings"/>
        <charset val="2"/>
      </rPr>
      <t>â</t>
    </r>
  </si>
  <si>
    <t>Chevy  Bolt EUV Premier (BEV)</t>
  </si>
  <si>
    <t>Nissan Sentra S (ICE)</t>
  </si>
  <si>
    <t>VEHICLE TYPE</t>
  </si>
  <si>
    <t>FUEL TYPE</t>
  </si>
  <si>
    <t>ELECTRIC RANGE</t>
  </si>
  <si>
    <t>GAS RANGE</t>
  </si>
  <si>
    <t>The</t>
  </si>
  <si>
    <t>is expected to emit roughly</t>
  </si>
  <si>
    <t>over the lifetime of vehicle ownership</t>
  </si>
  <si>
    <t>SEATS</t>
  </si>
  <si>
    <t>DRIVETRAIN</t>
  </si>
  <si>
    <t>is</t>
  </si>
  <si>
    <t>COMBINED MPG/MPGe</t>
  </si>
  <si>
    <t>EST. TIME TO FULL CHARGE (LEVEL 2)</t>
  </si>
  <si>
    <t>BASE MSRP</t>
  </si>
  <si>
    <t>EST. MILES PER 30 MIN FAST CHARGE</t>
  </si>
  <si>
    <t>BASE BID PRICE</t>
  </si>
  <si>
    <t>MASSEVIP INCENTIVE*</t>
  </si>
  <si>
    <t>BID PRICE</t>
  </si>
  <si>
    <t>EST. TOTAL COST (AFTER INCENTIVE)</t>
  </si>
  <si>
    <t>EST. ANNUAL MAINTENANCE COST</t>
  </si>
  <si>
    <t>▼ REVIEW COST &amp; EMISSIONS COMPARISONS FOR THESE MODELS ▼</t>
  </si>
  <si>
    <t>TOTAL COST OF OWNSERHSIP</t>
  </si>
  <si>
    <t>ESTIMATED ANNUAL FUEL COST COMPARISON</t>
  </si>
  <si>
    <t>ESTIMATED COST OF OWNERSHIP COMPARISON</t>
  </si>
  <si>
    <t>ANNUAL VS. LIFETIME     FUEL COSTS</t>
  </si>
  <si>
    <t>NET PURCHASE COST</t>
  </si>
  <si>
    <t>ANNUAL FUEL COSTS</t>
  </si>
  <si>
    <t>ELECTRICITY COSTS</t>
  </si>
  <si>
    <t>LIFE OF OWNSERHIP FUEL COSTS</t>
  </si>
  <si>
    <t>GASOLINE COSTS</t>
  </si>
  <si>
    <t>ANNUAL MAINTENANCE COSTS</t>
  </si>
  <si>
    <t>MAINTENANCE COSTS</t>
  </si>
  <si>
    <t>LIFE OF OWNSERHIP MAINTENANCE COSTS</t>
  </si>
  <si>
    <t>TOTAL</t>
  </si>
  <si>
    <t>Electric Maintenance</t>
  </si>
  <si>
    <t>Gasoline Maintenance</t>
  </si>
  <si>
    <t>Lifetime Miles</t>
  </si>
  <si>
    <t>Maintenance Electric Costs</t>
  </si>
  <si>
    <t>Maintenance Gas Costs</t>
  </si>
  <si>
    <t>Blended Costs</t>
  </si>
  <si>
    <t>Blended Cost/mile</t>
  </si>
  <si>
    <t>TOTAL ANNUAL FUEL COSTS BY FUEL</t>
  </si>
  <si>
    <t>ELECTRICITY</t>
  </si>
  <si>
    <t>GASOLINE</t>
  </si>
  <si>
    <t>TOTAL ANNUAL</t>
  </si>
  <si>
    <t>LIFETIME OWNERSHIP EMISSIONS COMPARISON (lbs of CO2e)</t>
  </si>
  <si>
    <t>ANNUAL EMISSIONS FOR ELECTRIC</t>
  </si>
  <si>
    <t>UNIT</t>
  </si>
  <si>
    <t>lbs CO2e/unit</t>
  </si>
  <si>
    <t>MTCO2e/unit</t>
  </si>
  <si>
    <t>MT</t>
  </si>
  <si>
    <t>lbs</t>
  </si>
  <si>
    <t>ANNUAL GASOLINE EMISSIONS</t>
  </si>
  <si>
    <t xml:space="preserve">lbs of CO2e </t>
  </si>
  <si>
    <t># of Years</t>
  </si>
  <si>
    <t>Gallons/Year</t>
  </si>
  <si>
    <t>kWh/Year</t>
  </si>
  <si>
    <t>Gasoline Emissions/Gallon</t>
  </si>
  <si>
    <t>Gasoline Emissions Factor</t>
  </si>
  <si>
    <t>Electricity Emissions/kWh</t>
  </si>
  <si>
    <t>Annual Elec Factor (lbs)</t>
  </si>
  <si>
    <t>Total Lbs CO2e/Year</t>
  </si>
  <si>
    <t>ASSUMPTIONS</t>
  </si>
  <si>
    <t>Metric</t>
  </si>
  <si>
    <t>Assumption</t>
  </si>
  <si>
    <t>Source</t>
  </si>
  <si>
    <t xml:space="preserve">BEV/PHEV maintenance </t>
  </si>
  <si>
    <t>Varies dependent on model</t>
  </si>
  <si>
    <t>PG&amp;E Savings Caluculator (based on Consumer Report Electric Vehicle Ownership Costs: Chapter 2—Maintenance)</t>
  </si>
  <si>
    <t>ICE maintenance</t>
  </si>
  <si>
    <t>PG&amp;E Savings Caluculator</t>
  </si>
  <si>
    <t>Current GHG Emission Factor</t>
  </si>
  <si>
    <t xml:space="preserve"> 19.643204 lbs CO2e/unit</t>
  </si>
  <si>
    <t>MassDEP retail consumer emission factors (Appendix 3)</t>
  </si>
  <si>
    <t>Projected Emission Factors</t>
  </si>
  <si>
    <t>Decreases by 2.5% annually</t>
  </si>
  <si>
    <t>Based on current lbs CO2e/kWh with annual decrease inline with the RPS and CES electricity supplier requirements</t>
  </si>
  <si>
    <t>MPG/MPGe ratings</t>
  </si>
  <si>
    <t>EPA; estimated 25 kWh/100 miles for Ford E-Transit</t>
  </si>
  <si>
    <t>3-yr average gasoline rate</t>
  </si>
  <si>
    <t>https://www.eia.gov/dnav/pet/hist/LeafHandler.ashx?n=pet&amp;s=emm_epm0_pte_nus_dpg&amp;f=m</t>
  </si>
  <si>
    <t>2021 Average MA electricity rate</t>
  </si>
  <si>
    <t>https://www.energybot.com/electricity-rates/massachusetts/</t>
  </si>
  <si>
    <t>Average miles driven per year (2019)</t>
  </si>
  <si>
    <t>Fed Highway Admin via https://www.kbb.com/car-advice/average-miles-driven-per-year/</t>
  </si>
  <si>
    <t>Electricity Emissions</t>
  </si>
  <si>
    <t>Gasoline Emissions</t>
  </si>
  <si>
    <t>Tottal</t>
  </si>
  <si>
    <t>Emissons Avoided Annually</t>
  </si>
  <si>
    <t>Tree Uptake</t>
  </si>
  <si>
    <t>HIDE -concat</t>
  </si>
  <si>
    <t>Vehicle Type</t>
  </si>
  <si>
    <t>Dealer</t>
  </si>
  <si>
    <t>Make</t>
  </si>
  <si>
    <t>Model</t>
  </si>
  <si>
    <t>Trim</t>
  </si>
  <si>
    <t>Year</t>
  </si>
  <si>
    <t>Seats</t>
  </si>
  <si>
    <t>Cargo Space?</t>
  </si>
  <si>
    <t>Fuel Type (short)</t>
  </si>
  <si>
    <t>Fuel Type</t>
  </si>
  <si>
    <t xml:space="preserve">Electric Range </t>
  </si>
  <si>
    <t>Gas Range</t>
  </si>
  <si>
    <t>Range CONCAT</t>
  </si>
  <si>
    <t>Combined MPG/MPGe</t>
  </si>
  <si>
    <t>Battery Size</t>
  </si>
  <si>
    <t>Vehicle Max AC Intake</t>
  </si>
  <si>
    <t>Level 2 Charging Rate</t>
  </si>
  <si>
    <t>Charging Rate</t>
  </si>
  <si>
    <t>DC Fast Charging Rate</t>
  </si>
  <si>
    <t>kWh per 100 miles</t>
  </si>
  <si>
    <t>Miles per 30 Min Fast Charge</t>
  </si>
  <si>
    <t>Time to Full Charge (Level 2)</t>
  </si>
  <si>
    <t>Base Bid Price</t>
  </si>
  <si>
    <t>MassEVIP Incentive (Purchase)</t>
  </si>
  <si>
    <t>MassEVIP Incentive (Lease)</t>
  </si>
  <si>
    <t>Electricity Emissions in C02 lbs/MWh</t>
  </si>
  <si>
    <t>Electric Emissions</t>
  </si>
  <si>
    <t>Emissions Reductions</t>
  </si>
  <si>
    <t>EV Maintenance Cost Reduction</t>
  </si>
  <si>
    <t>Electric Maintenace $/mile</t>
  </si>
  <si>
    <t>Gasoline Maintenance $/mile</t>
  </si>
  <si>
    <t>Lifetime Miles Driven</t>
  </si>
  <si>
    <t>Electric Maintenance Cost</t>
  </si>
  <si>
    <t>Gas Maintenance Cost</t>
  </si>
  <si>
    <t>Blended Maintenace Cost</t>
  </si>
  <si>
    <t>Blended Maintenance $/mile</t>
  </si>
  <si>
    <t>Annual Maintenance Costs</t>
  </si>
  <si>
    <t>Electricity Cost/100 miles driven</t>
  </si>
  <si>
    <t xml:space="preserve">Electricity Cost </t>
  </si>
  <si>
    <t>Gas Costs</t>
  </si>
  <si>
    <t>Total Annual Electricity Costs</t>
  </si>
  <si>
    <t>Total Annual Gas Costs</t>
  </si>
  <si>
    <t>Total Annual Fuel Costs</t>
  </si>
  <si>
    <t>Annual Gas Gallons</t>
  </si>
  <si>
    <t>Annual Electricity kWh</t>
  </si>
  <si>
    <t>MassEVIP Incentive (OVM Lease)</t>
  </si>
  <si>
    <t>Base MSRP</t>
  </si>
  <si>
    <t>Drivetrain</t>
  </si>
  <si>
    <t>Vehicle Type Simple</t>
  </si>
  <si>
    <t>CUV/SUV</t>
  </si>
  <si>
    <t>N/A</t>
  </si>
  <si>
    <t>Hyundai</t>
  </si>
  <si>
    <t>Kona</t>
  </si>
  <si>
    <t>SEL</t>
  </si>
  <si>
    <t>Yes</t>
  </si>
  <si>
    <t>BEV</t>
  </si>
  <si>
    <t>Full battery-electric (BEV)</t>
  </si>
  <si>
    <t>258 miles</t>
  </si>
  <si>
    <t>-</t>
  </si>
  <si>
    <t>150 kWh</t>
  </si>
  <si>
    <t>7.2 kW</t>
  </si>
  <si>
    <t>7.7 kW</t>
  </si>
  <si>
    <t>50 kW</t>
  </si>
  <si>
    <t>28 kWh</t>
  </si>
  <si>
    <t>~93 miles</t>
  </si>
  <si>
    <t>~9 hrs</t>
  </si>
  <si>
    <t>FWD</t>
  </si>
  <si>
    <t>CUV</t>
  </si>
  <si>
    <t>Limited</t>
  </si>
  <si>
    <t>Small Sedan</t>
  </si>
  <si>
    <t>Colonial Nissan of Medford dba CMG</t>
  </si>
  <si>
    <t>Nissan</t>
  </si>
  <si>
    <t>Leaf</t>
  </si>
  <si>
    <t>S</t>
  </si>
  <si>
    <t>No</t>
  </si>
  <si>
    <t>149 miles</t>
  </si>
  <si>
    <t>40 kWh</t>
  </si>
  <si>
    <t>6.6 kW</t>
  </si>
  <si>
    <t>31 kWh</t>
  </si>
  <si>
    <t>~83 miles</t>
  </si>
  <si>
    <t>~6 hrs</t>
  </si>
  <si>
    <t>Sedan</t>
  </si>
  <si>
    <t>Gordon Chevrolet dba CMG</t>
  </si>
  <si>
    <t xml:space="preserve">Chevy </t>
  </si>
  <si>
    <t>Bolt</t>
  </si>
  <si>
    <t>LT</t>
  </si>
  <si>
    <t>238 miles</t>
  </si>
  <si>
    <t>66 kWh</t>
  </si>
  <si>
    <t>27 kWh</t>
  </si>
  <si>
    <t>~86 miles</t>
  </si>
  <si>
    <t>Premier</t>
  </si>
  <si>
    <t>259 miles</t>
  </si>
  <si>
    <t>Bolt EUV</t>
  </si>
  <si>
    <t>247 miles</t>
  </si>
  <si>
    <t>51 kW</t>
  </si>
  <si>
    <t>26 kWh</t>
  </si>
  <si>
    <t>52 kW</t>
  </si>
  <si>
    <t>Ioniq</t>
  </si>
  <si>
    <t>SE</t>
  </si>
  <si>
    <t>170 miles</t>
  </si>
  <si>
    <t>38 kWh</t>
  </si>
  <si>
    <t>44 kW</t>
  </si>
  <si>
    <t>25 kWh</t>
  </si>
  <si>
    <t>~88 miles</t>
  </si>
  <si>
    <t>Ford</t>
  </si>
  <si>
    <t>Mustang Mach-E</t>
  </si>
  <si>
    <t>Standard</t>
  </si>
  <si>
    <t>230 miles</t>
  </si>
  <si>
    <t>10 kW</t>
  </si>
  <si>
    <t>150 kW</t>
  </si>
  <si>
    <t>34 kWh</t>
  </si>
  <si>
    <t>~221 miles</t>
  </si>
  <si>
    <t>FWD/AWD</t>
  </si>
  <si>
    <t>Premium</t>
  </si>
  <si>
    <t>300 miles</t>
  </si>
  <si>
    <t>88 kWh</t>
  </si>
  <si>
    <t>Cargo Van</t>
  </si>
  <si>
    <t>E-Transit Cargo</t>
  </si>
  <si>
    <t>LR</t>
  </si>
  <si>
    <t>126 miles</t>
  </si>
  <si>
    <t>67 kWh</t>
  </si>
  <si>
    <t>~80 miles</t>
  </si>
  <si>
    <t>RWD</t>
  </si>
  <si>
    <t>Minivan</t>
  </si>
  <si>
    <t>Chrysler</t>
  </si>
  <si>
    <t>Pacifica</t>
  </si>
  <si>
    <t>Touring</t>
  </si>
  <si>
    <t>PHEV</t>
  </si>
  <si>
    <t>Plug-in Hybrid Electric (PHEV)</t>
  </si>
  <si>
    <t>32 miles</t>
  </si>
  <si>
    <t>520 miles</t>
  </si>
  <si>
    <t>30/94</t>
  </si>
  <si>
    <t>16 kWh</t>
  </si>
  <si>
    <t>6 kW</t>
  </si>
  <si>
    <t>41 kWh</t>
  </si>
  <si>
    <t>~3 hrs</t>
  </si>
  <si>
    <t>Harr Toyota</t>
  </si>
  <si>
    <t>Toyota</t>
  </si>
  <si>
    <t>Prius Prime</t>
  </si>
  <si>
    <t>LE</t>
  </si>
  <si>
    <t>25 miles</t>
  </si>
  <si>
    <t>615 miles</t>
  </si>
  <si>
    <t>54/133</t>
  </si>
  <si>
    <t>8.8 kWh</t>
  </si>
  <si>
    <t>3.3 kW</t>
  </si>
  <si>
    <t>Escape</t>
  </si>
  <si>
    <t>37 miles</t>
  </si>
  <si>
    <t>14 kWh</t>
  </si>
  <si>
    <t>3 kW</t>
  </si>
  <si>
    <t>32 kWh</t>
  </si>
  <si>
    <t>~5 hrs</t>
  </si>
  <si>
    <t>SUV</t>
  </si>
  <si>
    <t>Honda</t>
  </si>
  <si>
    <t>Clarity Plug-in</t>
  </si>
  <si>
    <t>Base</t>
  </si>
  <si>
    <t>48 miles</t>
  </si>
  <si>
    <t>320 miles</t>
  </si>
  <si>
    <t>42/110</t>
  </si>
  <si>
    <t>17 kWh</t>
  </si>
  <si>
    <t>Tucson</t>
  </si>
  <si>
    <t>EX</t>
  </si>
  <si>
    <t>33 miles</t>
  </si>
  <si>
    <t>420 miles</t>
  </si>
  <si>
    <t>13 kWh</t>
  </si>
  <si>
    <t>7 kW</t>
  </si>
  <si>
    <t>42 kWh</t>
  </si>
  <si>
    <t>~2 hrs</t>
  </si>
  <si>
    <t>Sante Fe</t>
  </si>
  <si>
    <t>31 miles</t>
  </si>
  <si>
    <t>440 miles</t>
  </si>
  <si>
    <t>44 kWh</t>
  </si>
  <si>
    <t>RAV-4 Prime</t>
  </si>
  <si>
    <t>42 miles</t>
  </si>
  <si>
    <t>600 miles</t>
  </si>
  <si>
    <t>18 kWh</t>
  </si>
  <si>
    <t>36 kWh</t>
  </si>
  <si>
    <t>Medium Sedan</t>
  </si>
  <si>
    <t>Prius</t>
  </si>
  <si>
    <t>HEV</t>
  </si>
  <si>
    <t>Hybrid Electric (HEV)</t>
  </si>
  <si>
    <t>640 miles</t>
  </si>
  <si>
    <t>CR-V Hybrid</t>
  </si>
  <si>
    <t xml:space="preserve"> - </t>
  </si>
  <si>
    <t>532 miles</t>
  </si>
  <si>
    <t>RAV-4</t>
  </si>
  <si>
    <t>XLE</t>
  </si>
  <si>
    <t>ICE</t>
  </si>
  <si>
    <t>Gasoline (ICE)</t>
  </si>
  <si>
    <t>479 miles</t>
  </si>
  <si>
    <t>Civic Hatchback</t>
  </si>
  <si>
    <t>LX</t>
  </si>
  <si>
    <t>446 miles</t>
  </si>
  <si>
    <t>Sienna</t>
  </si>
  <si>
    <t>648 mles</t>
  </si>
  <si>
    <t>Odyssey</t>
  </si>
  <si>
    <t>429 miles</t>
  </si>
  <si>
    <t>Transit 150 Cargo</t>
  </si>
  <si>
    <t>400 miles</t>
  </si>
  <si>
    <t>350 miles</t>
  </si>
  <si>
    <t>Hyundai Sante Fe (ICE)</t>
  </si>
  <si>
    <t>526 miles</t>
  </si>
  <si>
    <t>Sentra</t>
  </si>
  <si>
    <t>459 miles</t>
  </si>
  <si>
    <t>Voyager</t>
  </si>
  <si>
    <t>530 miles</t>
  </si>
  <si>
    <t>PLEASE SELECT ZERO-EMISSION VEHICLE FROM DROPDOWN</t>
  </si>
  <si>
    <t>PLEASE SELECT VEHICLE TO COMPARE FROM DROPDOWN</t>
  </si>
  <si>
    <t>Hyundai Kona SEL (BEV)</t>
  </si>
  <si>
    <t>Hyundai Kona Limited (BEV)</t>
  </si>
  <si>
    <t>SEDANS</t>
  </si>
  <si>
    <t>Nissan Leaf S (BEV)</t>
  </si>
  <si>
    <t>-------------------</t>
  </si>
  <si>
    <t>Chevy  Bolt LT (BEV)</t>
  </si>
  <si>
    <t>Chevy  Bolt Premier (BEV)</t>
  </si>
  <si>
    <t>Chevy  Bolt EUV LT (BEV)</t>
  </si>
  <si>
    <t>Honda Clarity Plug-in Base (PHEV)</t>
  </si>
  <si>
    <t>Hyundai Ioniq SE (BEV)</t>
  </si>
  <si>
    <t>Toyota Prius Prime LE (PHEV)</t>
  </si>
  <si>
    <t>Ford Mustang Mach-E Standard (BEV)</t>
  </si>
  <si>
    <t>Ford Mustang Mach-E Premium (BEV)</t>
  </si>
  <si>
    <t>CUV/SUVS</t>
  </si>
  <si>
    <t>Ford E-Transit Cargo LR (BEV)</t>
  </si>
  <si>
    <t>Honda Civic Hatchback LX (ICE)</t>
  </si>
  <si>
    <t>Chrysler Pacifica Touring (PHEV)</t>
  </si>
  <si>
    <t>Ford Escape SE (PHEV)</t>
  </si>
  <si>
    <t>Hyundai Tucson EX (PHEV)</t>
  </si>
  <si>
    <t>Hyundai Sante Fe SEL (PHEV)</t>
  </si>
  <si>
    <t>Toyota Sienna LE (HEV)</t>
  </si>
  <si>
    <t>Honda Odyssey LX (ICE)</t>
  </si>
  <si>
    <t>Ford Transit 150 Cargo LR (ICE)</t>
  </si>
  <si>
    <t>Ford Escape S (ICE)</t>
  </si>
  <si>
    <t>VANS</t>
  </si>
  <si>
    <t>Chrysler Voyager LX (ICE)</t>
  </si>
  <si>
    <t>Full Range</t>
  </si>
  <si>
    <t>Bid Price</t>
  </si>
  <si>
    <t>Model Year</t>
  </si>
  <si>
    <t>SELECT VEHICLE</t>
  </si>
  <si>
    <t>PLEASE SELECT</t>
  </si>
  <si>
    <t>Battery-electric (BEV)</t>
  </si>
  <si>
    <t>Chevy</t>
  </si>
  <si>
    <t>Plug-in hybrid electric (PHEV)</t>
  </si>
  <si>
    <t>BEV - 2020 Hyundai Kona LT</t>
  </si>
  <si>
    <t>Conventional (ICE)</t>
  </si>
  <si>
    <t xml:space="preserve">BEV - 2020 Nissan Leaf </t>
  </si>
  <si>
    <t>Standard Lease</t>
  </si>
  <si>
    <t>BEV - 2020 Chevy  Bolt LT</t>
  </si>
  <si>
    <t>OVM Lease (Exec Branch Only)</t>
  </si>
  <si>
    <t>BEV - 2020 Chevy  Bolt Premier</t>
  </si>
  <si>
    <t xml:space="preserve"> -------------------</t>
  </si>
  <si>
    <t xml:space="preserve">PHEV - </t>
  </si>
  <si>
    <t>Toyota RAV-4 Prime SE (PHEV)</t>
  </si>
  <si>
    <t>Honda CR-V Hybrid EX (HEV)</t>
  </si>
  <si>
    <t>Toyota RAV-4 XLE (ICE)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</si>
</sst>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_(&quot;$&quot;* #,##0_);_(&quot;$&quot;* \(#,##0\);_(&quot;$&quot;* &quot;-&quot;??_);_(@_)"/>
    <numFmt numFmtId="168" formatCode="_(* #,##0.000000000_);_(* \(#,##0.000000000\);_(* &quot;-&quot;??_);_(@_)"/>
    <numFmt numFmtId="169" formatCode="0.000000"/>
    <numFmt numFmtId="170" formatCode="_(* #,##0.000000_);_(* \(#,##0.000000\);_(* &quot;-&quot;??_);_(@_)"/>
    <numFmt numFmtId="171" formatCode="_(&quot;$&quot;* #,##0.000_);_(&quot;$&quot;* \(#,##0.000\);_(&quot;$&quot;* &quot;-&quot;??_);_(@_)"/>
    <numFmt numFmtId="172" formatCode="0.0000"/>
    <numFmt numFmtId="173" formatCode="_(&quot;$&quot;* #,##0.0000_);_(&quot;$&quot;* \(#,##0.0000\);_(&quot;$&quot;* &quot;-&quot;??_);_(@_)"/>
  </numFmts>
  <fonts count="28">
    <font>
      <sz val="12"/>
      <color theme="1"/>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b/>
      <sz val="18"/>
      <color rgb="FF00B050"/>
      <name val="Calibri"/>
      <family val="2"/>
      <scheme val="minor"/>
    </font>
    <font>
      <b/>
      <sz val="14"/>
      <color rgb="FF46A12B"/>
      <name val="Calibri"/>
      <family val="2"/>
      <scheme val="minor"/>
    </font>
    <font>
      <i/>
      <sz val="12"/>
      <color theme="1"/>
      <name val="Calibri"/>
      <family val="2"/>
      <scheme val="minor"/>
    </font>
    <font>
      <sz val="12"/>
      <color rgb="FFFF0000"/>
      <name val="Calibri"/>
      <family val="2"/>
      <scheme val="minor"/>
    </font>
    <font>
      <b/>
      <sz val="14"/>
      <color theme="0"/>
      <name val="Calibri"/>
      <family val="2"/>
      <scheme val="minor"/>
    </font>
    <font>
      <sz val="10"/>
      <color rgb="FF000000"/>
      <name val="Tahoma"/>
      <family val="2"/>
    </font>
    <font>
      <b/>
      <sz val="10"/>
      <color rgb="FF000000"/>
      <name val="Tahoma"/>
      <family val="2"/>
    </font>
    <font>
      <sz val="8"/>
      <name val="Calibri"/>
      <family val="2"/>
      <scheme val="minor"/>
    </font>
    <font>
      <sz val="12"/>
      <color theme="0" tint="-4.9989318521683403E-2"/>
      <name val="Calibri"/>
      <family val="2"/>
      <scheme val="minor"/>
    </font>
    <font>
      <b/>
      <sz val="14"/>
      <color theme="0" tint="-4.9989318521683403E-2"/>
      <name val="Calibri"/>
      <family val="2"/>
      <scheme val="minor"/>
    </font>
    <font>
      <b/>
      <sz val="12"/>
      <color theme="0" tint="-4.9989318521683403E-2"/>
      <name val="Calibri"/>
      <family val="2"/>
      <scheme val="minor"/>
    </font>
    <font>
      <sz val="20"/>
      <color theme="0"/>
      <name val="Calibri"/>
      <family val="2"/>
      <scheme val="minor"/>
    </font>
    <font>
      <b/>
      <sz val="18"/>
      <color rgb="FF0070C0"/>
      <name val="Calibri"/>
      <family val="2"/>
      <scheme val="minor"/>
    </font>
    <font>
      <b/>
      <sz val="26"/>
      <color theme="1"/>
      <name val="Calibri"/>
      <family val="2"/>
      <scheme val="minor"/>
    </font>
    <font>
      <b/>
      <sz val="18"/>
      <color theme="0"/>
      <name val="Calibri"/>
      <family val="2"/>
      <scheme val="minor"/>
    </font>
    <font>
      <b/>
      <sz val="18"/>
      <color rgb="FFFFFF00"/>
      <name val="Calibri (Body)"/>
    </font>
    <font>
      <sz val="18"/>
      <color theme="0"/>
      <name val="Calibri"/>
      <family val="2"/>
      <scheme val="minor"/>
    </font>
    <font>
      <u/>
      <sz val="12"/>
      <color theme="10"/>
      <name val="Calibri"/>
      <family val="2"/>
      <scheme val="minor"/>
    </font>
    <font>
      <sz val="14"/>
      <color theme="1"/>
      <name val="Calibri"/>
      <family val="2"/>
      <scheme val="minor"/>
    </font>
    <font>
      <b/>
      <sz val="18"/>
      <color rgb="FF00B050"/>
      <name val="Wingdings"/>
      <charset val="2"/>
    </font>
    <font>
      <u/>
      <sz val="16"/>
      <color theme="4" tint="0.59999389629810485"/>
      <name val="Calibri"/>
      <family val="2"/>
      <scheme val="minor"/>
    </font>
  </fonts>
  <fills count="13">
    <fill>
      <patternFill patternType="none"/>
    </fill>
    <fill>
      <patternFill patternType="gray125"/>
    </fill>
    <fill>
      <patternFill patternType="solid">
        <fgColor rgb="FFFFC000"/>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bgColor indexed="64"/>
      </patternFill>
    </fill>
    <fill>
      <patternFill patternType="solid">
        <fgColor rgb="FF00B050"/>
        <bgColor indexed="64"/>
      </patternFill>
    </fill>
    <fill>
      <patternFill patternType="solid">
        <fgColor theme="3"/>
        <bgColor indexed="64"/>
      </patternFill>
    </fill>
    <fill>
      <patternFill patternType="solid">
        <fgColor theme="0" tint="-0.249977111117893"/>
        <bgColor indexed="64"/>
      </patternFill>
    </fill>
    <fill>
      <patternFill patternType="solid">
        <fgColor rgb="FF92D050"/>
        <bgColor indexed="64"/>
      </patternFill>
    </fill>
  </fills>
  <borders count="42">
    <border>
      <left/>
      <right/>
      <top/>
      <bottom/>
      <diagonal/>
    </border>
    <border>
      <left style="medium">
        <color theme="1" tint="0.249977111117893"/>
      </left>
      <right/>
      <top style="medium">
        <color theme="1" tint="0.249977111117893"/>
      </top>
      <bottom/>
      <diagonal/>
    </border>
    <border>
      <left/>
      <right/>
      <top style="medium">
        <color theme="1" tint="0.249977111117893"/>
      </top>
      <bottom/>
      <diagonal/>
    </border>
    <border>
      <left/>
      <right style="medium">
        <color theme="1" tint="0.249977111117893"/>
      </right>
      <top style="medium">
        <color theme="1" tint="0.249977111117893"/>
      </top>
      <bottom/>
      <diagonal/>
    </border>
    <border>
      <left style="medium">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style="medium">
        <color theme="1" tint="0.249977111117893"/>
      </left>
      <right/>
      <top/>
      <bottom/>
      <diagonal/>
    </border>
    <border>
      <left/>
      <right style="medium">
        <color theme="1" tint="0.249977111117893"/>
      </right>
      <top/>
      <bottom/>
      <diagonal/>
    </border>
    <border>
      <left style="medium">
        <color theme="1" tint="0.249977111117893"/>
      </left>
      <right/>
      <top style="medium">
        <color theme="1" tint="0.249977111117893"/>
      </top>
      <bottom style="medium">
        <color theme="1" tint="0.249977111117893"/>
      </bottom>
      <diagonal/>
    </border>
    <border>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theme="1" tint="0.249977111117893"/>
      </left>
      <right style="medium">
        <color theme="1"/>
      </right>
      <top style="thin">
        <color theme="1" tint="0.249977111117893"/>
      </top>
      <bottom style="thin">
        <color theme="1" tint="0.249977111117893"/>
      </bottom>
      <diagonal/>
    </border>
    <border>
      <left/>
      <right style="thin">
        <color theme="1"/>
      </right>
      <top style="medium">
        <color theme="1"/>
      </top>
      <bottom/>
      <diagonal/>
    </border>
    <border>
      <left style="thin">
        <color theme="1"/>
      </left>
      <right style="medium">
        <color theme="1"/>
      </right>
      <top style="thin">
        <color theme="1"/>
      </top>
      <bottom style="medium">
        <color theme="1"/>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4" fillId="0" borderId="0" applyNumberFormat="0" applyFill="0" applyBorder="0" applyAlignment="0" applyProtection="0"/>
  </cellStyleXfs>
  <cellXfs count="233">
    <xf numFmtId="0" fontId="0" fillId="0" borderId="0" xfId="0"/>
    <xf numFmtId="0" fontId="0" fillId="0" borderId="0" xfId="0" applyAlignment="1">
      <alignment horizontal="center"/>
    </xf>
    <xf numFmtId="0" fontId="1" fillId="0" borderId="0" xfId="0" applyFont="1" applyAlignment="1">
      <alignment horizontal="center"/>
    </xf>
    <xf numFmtId="0" fontId="1" fillId="0" borderId="0" xfId="0" applyFont="1"/>
    <xf numFmtId="44" fontId="0" fillId="0" borderId="0" xfId="1" applyFont="1"/>
    <xf numFmtId="0" fontId="1" fillId="0" borderId="0" xfId="0" applyFont="1" applyAlignment="1">
      <alignment horizontal="left"/>
    </xf>
    <xf numFmtId="0" fontId="0" fillId="0" borderId="0" xfId="0" applyAlignment="1">
      <alignment horizontal="left"/>
    </xf>
    <xf numFmtId="0" fontId="3" fillId="0" borderId="0" xfId="0" applyFont="1" applyAlignment="1">
      <alignment horizontal="left"/>
    </xf>
    <xf numFmtId="0" fontId="0" fillId="2" borderId="0" xfId="0" applyFill="1"/>
    <xf numFmtId="0" fontId="0" fillId="2" borderId="0" xfId="0" applyFill="1" applyAlignment="1">
      <alignment horizontal="center"/>
    </xf>
    <xf numFmtId="0" fontId="3" fillId="0" borderId="0" xfId="0" quotePrefix="1" applyFont="1" applyAlignment="1">
      <alignment horizontal="left"/>
    </xf>
    <xf numFmtId="0" fontId="0" fillId="3" borderId="0" xfId="0" applyFill="1"/>
    <xf numFmtId="164" fontId="0" fillId="0" borderId="0" xfId="1" applyNumberFormat="1" applyFont="1"/>
    <xf numFmtId="9" fontId="0" fillId="0" borderId="0" xfId="0" applyNumberFormat="1"/>
    <xf numFmtId="0" fontId="0" fillId="4" borderId="1" xfId="0" applyFill="1" applyBorder="1" applyProtection="1">
      <protection hidden="1"/>
    </xf>
    <xf numFmtId="0" fontId="0" fillId="4" borderId="2" xfId="0" applyFill="1" applyBorder="1" applyProtection="1">
      <protection hidden="1"/>
    </xf>
    <xf numFmtId="0" fontId="0" fillId="4" borderId="3" xfId="0" applyFill="1" applyBorder="1" applyProtection="1">
      <protection hidden="1"/>
    </xf>
    <xf numFmtId="0" fontId="0" fillId="4" borderId="7" xfId="0" applyFill="1" applyBorder="1" applyProtection="1">
      <protection hidden="1"/>
    </xf>
    <xf numFmtId="0" fontId="0" fillId="4" borderId="0" xfId="0" applyFill="1" applyBorder="1" applyProtection="1">
      <protection hidden="1"/>
    </xf>
    <xf numFmtId="0" fontId="0" fillId="4" borderId="8" xfId="0" applyFill="1" applyBorder="1" applyProtection="1">
      <protection hidden="1"/>
    </xf>
    <xf numFmtId="0" fontId="5" fillId="4" borderId="0" xfId="0" applyFont="1" applyFill="1" applyBorder="1" applyProtection="1">
      <protection hidden="1"/>
    </xf>
    <xf numFmtId="0" fontId="6" fillId="4" borderId="0" xfId="0" applyFont="1" applyFill="1" applyBorder="1" applyProtection="1">
      <protection hidden="1"/>
    </xf>
    <xf numFmtId="0" fontId="5" fillId="4" borderId="0" xfId="0" applyFont="1" applyFill="1" applyBorder="1" applyAlignment="1" applyProtection="1">
      <alignment horizontal="left"/>
      <protection hidden="1"/>
    </xf>
    <xf numFmtId="0" fontId="1" fillId="4" borderId="7" xfId="0" applyFont="1" applyFill="1" applyBorder="1" applyProtection="1">
      <protection hidden="1"/>
    </xf>
    <xf numFmtId="164" fontId="5" fillId="4" borderId="0" xfId="1" applyNumberFormat="1" applyFont="1" applyFill="1" applyBorder="1" applyAlignment="1" applyProtection="1">
      <alignment horizontal="left"/>
      <protection hidden="1"/>
    </xf>
    <xf numFmtId="0" fontId="1" fillId="4" borderId="4" xfId="0" applyFont="1" applyFill="1" applyBorder="1" applyProtection="1">
      <protection hidden="1"/>
    </xf>
    <xf numFmtId="164" fontId="5" fillId="4" borderId="5" xfId="1" applyNumberFormat="1" applyFont="1" applyFill="1" applyBorder="1" applyAlignment="1" applyProtection="1">
      <alignment horizontal="left"/>
      <protection hidden="1"/>
    </xf>
    <xf numFmtId="0" fontId="0" fillId="4" borderId="5" xfId="0" applyFill="1" applyBorder="1" applyProtection="1">
      <protection hidden="1"/>
    </xf>
    <xf numFmtId="0" fontId="6" fillId="4" borderId="5" xfId="0" applyFont="1" applyFill="1" applyBorder="1" applyProtection="1">
      <protection hidden="1"/>
    </xf>
    <xf numFmtId="0" fontId="0" fillId="4" borderId="6" xfId="0" applyFill="1" applyBorder="1" applyProtection="1">
      <protection hidden="1"/>
    </xf>
    <xf numFmtId="8" fontId="0" fillId="0" borderId="0" xfId="0" applyNumberFormat="1"/>
    <xf numFmtId="166" fontId="5" fillId="4" borderId="0" xfId="0" applyNumberFormat="1" applyFont="1" applyFill="1" applyBorder="1" applyAlignment="1" applyProtection="1">
      <alignment horizontal="left"/>
      <protection hidden="1"/>
    </xf>
    <xf numFmtId="166" fontId="5" fillId="4" borderId="0" xfId="1" applyNumberFormat="1" applyFont="1" applyFill="1" applyBorder="1" applyAlignment="1" applyProtection="1">
      <alignment horizontal="left"/>
      <protection hidden="1"/>
    </xf>
    <xf numFmtId="0" fontId="0" fillId="3" borderId="12" xfId="0" applyFill="1" applyBorder="1"/>
    <xf numFmtId="165" fontId="0" fillId="3" borderId="12" xfId="2" applyNumberFormat="1" applyFont="1" applyFill="1" applyBorder="1"/>
    <xf numFmtId="169" fontId="0" fillId="3" borderId="12" xfId="0" applyNumberFormat="1" applyFill="1" applyBorder="1"/>
    <xf numFmtId="170" fontId="0" fillId="3" borderId="12" xfId="0" applyNumberFormat="1" applyFill="1" applyBorder="1"/>
    <xf numFmtId="0" fontId="0" fillId="3" borderId="12" xfId="0" applyFill="1" applyBorder="1" applyAlignment="1">
      <alignment horizontal="center"/>
    </xf>
    <xf numFmtId="3" fontId="0" fillId="0" borderId="0" xfId="0" applyNumberFormat="1"/>
    <xf numFmtId="43" fontId="0" fillId="3" borderId="12" xfId="0" applyNumberFormat="1" applyFill="1" applyBorder="1"/>
    <xf numFmtId="0" fontId="0" fillId="8" borderId="12" xfId="0" applyFill="1" applyBorder="1"/>
    <xf numFmtId="43" fontId="0" fillId="8" borderId="12" xfId="0" applyNumberFormat="1" applyFill="1" applyBorder="1"/>
    <xf numFmtId="165" fontId="0" fillId="8" borderId="12" xfId="2" applyNumberFormat="1" applyFont="1" applyFill="1" applyBorder="1"/>
    <xf numFmtId="165" fontId="0" fillId="8" borderId="12" xfId="0" applyNumberFormat="1" applyFill="1" applyBorder="1"/>
    <xf numFmtId="0" fontId="16" fillId="3" borderId="0" xfId="0" applyFont="1" applyFill="1" applyBorder="1" applyAlignment="1" applyProtection="1">
      <alignment horizontal="center" vertical="top" wrapText="1"/>
      <protection hidden="1"/>
    </xf>
    <xf numFmtId="0" fontId="15" fillId="3" borderId="0" xfId="0" applyFont="1" applyFill="1" applyBorder="1" applyProtection="1">
      <protection hidden="1"/>
    </xf>
    <xf numFmtId="8" fontId="4" fillId="7" borderId="28" xfId="0" applyNumberFormat="1" applyFont="1" applyFill="1" applyBorder="1" applyAlignment="1" applyProtection="1">
      <alignment horizontal="center"/>
      <protection locked="0"/>
    </xf>
    <xf numFmtId="0" fontId="4" fillId="7" borderId="26" xfId="0" applyFont="1" applyFill="1" applyBorder="1" applyAlignment="1" applyProtection="1">
      <alignment horizontal="center" vertical="center"/>
      <protection locked="0"/>
    </xf>
    <xf numFmtId="3" fontId="4" fillId="7" borderId="27" xfId="0" applyNumberFormat="1" applyFont="1" applyFill="1" applyBorder="1" applyAlignment="1" applyProtection="1">
      <alignment horizontal="center" vertical="center"/>
      <protection locked="0"/>
    </xf>
    <xf numFmtId="0" fontId="0" fillId="3" borderId="0" xfId="0" applyFill="1" applyBorder="1" applyProtection="1">
      <protection hidden="1"/>
    </xf>
    <xf numFmtId="0" fontId="19" fillId="3" borderId="0" xfId="0" applyFont="1" applyFill="1" applyBorder="1" applyAlignment="1" applyProtection="1">
      <alignment horizontal="center"/>
      <protection hidden="1"/>
    </xf>
    <xf numFmtId="0" fontId="8" fillId="3" borderId="0" xfId="0" applyFont="1" applyFill="1" applyBorder="1" applyAlignment="1" applyProtection="1">
      <alignment horizontal="center"/>
      <protection hidden="1"/>
    </xf>
    <xf numFmtId="0" fontId="4" fillId="3" borderId="0" xfId="0" applyFont="1" applyFill="1" applyBorder="1" applyAlignment="1" applyProtection="1">
      <alignment horizontal="center" vertical="center"/>
      <protection hidden="1"/>
    </xf>
    <xf numFmtId="0" fontId="4" fillId="3" borderId="0" xfId="0" applyFont="1" applyFill="1" applyBorder="1" applyAlignment="1" applyProtection="1">
      <alignment vertical="center"/>
      <protection hidden="1"/>
    </xf>
    <xf numFmtId="0" fontId="0" fillId="3" borderId="0" xfId="0" applyFill="1" applyBorder="1" applyAlignment="1" applyProtection="1">
      <alignment horizontal="left"/>
      <protection hidden="1"/>
    </xf>
    <xf numFmtId="164" fontId="0" fillId="3" borderId="0" xfId="0" applyNumberFormat="1" applyFill="1" applyBorder="1" applyAlignment="1" applyProtection="1">
      <alignment horizontal="left"/>
      <protection hidden="1"/>
    </xf>
    <xf numFmtId="0" fontId="9" fillId="3" borderId="0" xfId="0" applyFont="1" applyFill="1" applyBorder="1" applyAlignment="1" applyProtection="1">
      <alignment horizontal="left"/>
      <protection hidden="1"/>
    </xf>
    <xf numFmtId="8" fontId="4" fillId="7" borderId="27" xfId="0" applyNumberFormat="1" applyFont="1" applyFill="1" applyBorder="1" applyAlignment="1" applyProtection="1">
      <alignment horizontal="center"/>
      <protection locked="0"/>
    </xf>
    <xf numFmtId="0" fontId="1" fillId="3" borderId="0" xfId="0" applyFont="1" applyFill="1"/>
    <xf numFmtId="0" fontId="1" fillId="0" borderId="0" xfId="0" applyFont="1" applyFill="1"/>
    <xf numFmtId="165" fontId="0" fillId="0" borderId="0" xfId="2" applyNumberFormat="1" applyFont="1" applyFill="1"/>
    <xf numFmtId="0" fontId="0" fillId="0" borderId="0" xfId="0" applyFill="1"/>
    <xf numFmtId="44" fontId="0" fillId="0" borderId="0" xfId="0" applyNumberFormat="1" applyFill="1"/>
    <xf numFmtId="44" fontId="0" fillId="0" borderId="0" xfId="1" applyFont="1" applyFill="1"/>
    <xf numFmtId="8" fontId="0" fillId="0" borderId="0" xfId="0" applyNumberFormat="1" applyFill="1"/>
    <xf numFmtId="3" fontId="0" fillId="0" borderId="0" xfId="0" applyNumberFormat="1" applyFill="1"/>
    <xf numFmtId="0" fontId="1" fillId="3" borderId="0" xfId="0" applyFont="1" applyFill="1" applyAlignment="1"/>
    <xf numFmtId="0" fontId="0" fillId="3" borderId="14" xfId="0" applyFill="1" applyBorder="1"/>
    <xf numFmtId="171" fontId="0" fillId="3" borderId="14" xfId="1" applyNumberFormat="1" applyFont="1" applyFill="1" applyBorder="1" applyAlignment="1">
      <alignment horizontal="left"/>
    </xf>
    <xf numFmtId="0" fontId="1" fillId="3" borderId="0" xfId="0" applyFont="1" applyFill="1" applyBorder="1" applyAlignment="1"/>
    <xf numFmtId="0" fontId="1" fillId="3" borderId="0" xfId="0" applyFont="1" applyFill="1" applyBorder="1" applyAlignment="1" applyProtection="1">
      <alignment vertical="center"/>
      <protection hidden="1"/>
    </xf>
    <xf numFmtId="0" fontId="0" fillId="3" borderId="0" xfId="0" applyFont="1" applyFill="1" applyBorder="1" applyAlignment="1" applyProtection="1">
      <alignment horizontal="center" vertical="center"/>
      <protection hidden="1"/>
    </xf>
    <xf numFmtId="9" fontId="4" fillId="7" borderId="30" xfId="3" applyFont="1" applyFill="1" applyBorder="1" applyAlignment="1" applyProtection="1">
      <alignment horizontal="center"/>
      <protection locked="0"/>
    </xf>
    <xf numFmtId="172" fontId="0" fillId="0" borderId="0" xfId="0" applyNumberFormat="1"/>
    <xf numFmtId="173" fontId="0" fillId="0" borderId="0" xfId="0" applyNumberFormat="1"/>
    <xf numFmtId="173" fontId="0" fillId="0" borderId="0" xfId="1" applyNumberFormat="1" applyFont="1"/>
    <xf numFmtId="8" fontId="0" fillId="3" borderId="14" xfId="0" applyNumberFormat="1" applyFill="1" applyBorder="1"/>
    <xf numFmtId="0" fontId="24" fillId="3" borderId="14" xfId="4" applyFill="1" applyBorder="1"/>
    <xf numFmtId="3" fontId="0" fillId="3" borderId="14" xfId="0" applyNumberFormat="1" applyFill="1" applyBorder="1"/>
    <xf numFmtId="0" fontId="0" fillId="3" borderId="0" xfId="0" applyFill="1" applyProtection="1">
      <protection hidden="1"/>
    </xf>
    <xf numFmtId="0" fontId="11" fillId="3" borderId="0" xfId="0" applyFont="1" applyFill="1" applyBorder="1" applyAlignment="1" applyProtection="1">
      <alignment horizontal="center" vertical="top" wrapText="1"/>
      <protection hidden="1"/>
    </xf>
    <xf numFmtId="0" fontId="0" fillId="3" borderId="0" xfId="0" applyFill="1" applyBorder="1" applyAlignment="1" applyProtection="1">
      <protection hidden="1"/>
    </xf>
    <xf numFmtId="0" fontId="4" fillId="3" borderId="18" xfId="0" applyFont="1" applyFill="1" applyBorder="1" applyAlignment="1" applyProtection="1">
      <alignment vertical="center"/>
      <protection hidden="1"/>
    </xf>
    <xf numFmtId="0" fontId="7" fillId="3" borderId="0" xfId="0" applyFont="1" applyFill="1" applyBorder="1" applyAlignment="1" applyProtection="1">
      <alignment horizontal="center" vertical="center"/>
      <protection hidden="1"/>
    </xf>
    <xf numFmtId="0" fontId="25" fillId="3" borderId="15" xfId="0" applyFont="1" applyFill="1" applyBorder="1" applyAlignment="1" applyProtection="1">
      <protection hidden="1"/>
    </xf>
    <xf numFmtId="0" fontId="7" fillId="3" borderId="16" xfId="0" applyFont="1" applyFill="1" applyBorder="1" applyAlignment="1" applyProtection="1">
      <alignment horizontal="center" vertical="center"/>
      <protection hidden="1"/>
    </xf>
    <xf numFmtId="0" fontId="0" fillId="3" borderId="16" xfId="0" applyFill="1" applyBorder="1" applyProtection="1">
      <protection hidden="1"/>
    </xf>
    <xf numFmtId="0" fontId="0" fillId="3" borderId="29" xfId="0" applyFill="1" applyBorder="1" applyProtection="1">
      <protection hidden="1"/>
    </xf>
    <xf numFmtId="0" fontId="0" fillId="3" borderId="19" xfId="0" applyFill="1" applyBorder="1" applyAlignment="1" applyProtection="1">
      <protection hidden="1"/>
    </xf>
    <xf numFmtId="164" fontId="0" fillId="3" borderId="0" xfId="0" applyNumberFormat="1" applyFill="1" applyBorder="1" applyAlignment="1" applyProtection="1">
      <alignment horizontal="center"/>
      <protection hidden="1"/>
    </xf>
    <xf numFmtId="0" fontId="25" fillId="3" borderId="18" xfId="0" applyFont="1" applyFill="1" applyBorder="1" applyAlignment="1" applyProtection="1">
      <protection hidden="1"/>
    </xf>
    <xf numFmtId="0" fontId="25" fillId="3" borderId="18" xfId="0" applyFont="1" applyFill="1" applyBorder="1" applyAlignment="1" applyProtection="1">
      <alignment horizontal="left"/>
      <protection hidden="1"/>
    </xf>
    <xf numFmtId="0" fontId="0" fillId="3" borderId="19" xfId="0" applyFill="1" applyBorder="1" applyAlignment="1" applyProtection="1">
      <alignment horizontal="center"/>
      <protection hidden="1"/>
    </xf>
    <xf numFmtId="0" fontId="0" fillId="3" borderId="0" xfId="0" applyFill="1" applyBorder="1" applyAlignment="1" applyProtection="1">
      <alignment horizontal="center"/>
      <protection hidden="1"/>
    </xf>
    <xf numFmtId="0" fontId="25" fillId="3" borderId="20" xfId="0" applyFont="1" applyFill="1" applyBorder="1" applyAlignment="1" applyProtection="1">
      <protection hidden="1"/>
    </xf>
    <xf numFmtId="0" fontId="0" fillId="3" borderId="21" xfId="0" applyFill="1" applyBorder="1" applyProtection="1">
      <protection hidden="1"/>
    </xf>
    <xf numFmtId="0" fontId="6" fillId="3" borderId="0" xfId="0" applyFont="1" applyFill="1" applyBorder="1" applyAlignment="1" applyProtection="1">
      <alignment horizontal="center" vertical="center"/>
      <protection hidden="1"/>
    </xf>
    <xf numFmtId="0" fontId="10" fillId="3" borderId="0" xfId="0" applyFont="1" applyFill="1" applyBorder="1" applyAlignment="1" applyProtection="1">
      <alignment vertical="center" wrapText="1"/>
      <protection hidden="1"/>
    </xf>
    <xf numFmtId="0" fontId="1" fillId="3" borderId="0" xfId="0" applyFont="1" applyFill="1" applyAlignment="1" applyProtection="1">
      <alignment vertical="center"/>
      <protection hidden="1"/>
    </xf>
    <xf numFmtId="0" fontId="1" fillId="3" borderId="0" xfId="0" applyFont="1" applyFill="1" applyProtection="1">
      <protection hidden="1"/>
    </xf>
    <xf numFmtId="0" fontId="1" fillId="3" borderId="0" xfId="0" applyFont="1" applyFill="1" applyBorder="1" applyAlignment="1" applyProtection="1">
      <protection hidden="1"/>
    </xf>
    <xf numFmtId="0" fontId="0" fillId="3" borderId="31" xfId="0" applyFill="1" applyBorder="1" applyProtection="1">
      <protection hidden="1"/>
    </xf>
    <xf numFmtId="0" fontId="7" fillId="3" borderId="0" xfId="0" applyFont="1" applyFill="1" applyBorder="1" applyAlignment="1" applyProtection="1">
      <alignment horizontal="right" vertical="center"/>
      <protection hidden="1"/>
    </xf>
    <xf numFmtId="0" fontId="0" fillId="3" borderId="0" xfId="0" applyFont="1" applyFill="1" applyBorder="1" applyProtection="1">
      <protection hidden="1"/>
    </xf>
    <xf numFmtId="0" fontId="0" fillId="3" borderId="0" xfId="0" applyFont="1" applyFill="1" applyProtection="1">
      <protection hidden="1"/>
    </xf>
    <xf numFmtId="165" fontId="0" fillId="3" borderId="0" xfId="2" applyNumberFormat="1" applyFont="1" applyFill="1" applyBorder="1" applyProtection="1">
      <protection hidden="1"/>
    </xf>
    <xf numFmtId="167" fontId="0" fillId="3" borderId="0" xfId="1" applyNumberFormat="1" applyFont="1" applyFill="1" applyBorder="1" applyProtection="1">
      <protection hidden="1"/>
    </xf>
    <xf numFmtId="167" fontId="0" fillId="3" borderId="0" xfId="0" applyNumberFormat="1" applyFont="1" applyFill="1" applyBorder="1" applyProtection="1">
      <protection hidden="1"/>
    </xf>
    <xf numFmtId="0" fontId="0" fillId="3" borderId="0" xfId="0" applyFont="1" applyFill="1" applyBorder="1" applyAlignment="1" applyProtection="1">
      <alignment vertical="center"/>
      <protection hidden="1"/>
    </xf>
    <xf numFmtId="167" fontId="0" fillId="3" borderId="0" xfId="1" applyNumberFormat="1" applyFont="1" applyFill="1" applyBorder="1" applyAlignment="1" applyProtection="1">
      <alignment vertical="center"/>
      <protection hidden="1"/>
    </xf>
    <xf numFmtId="8" fontId="0" fillId="3" borderId="0" xfId="0" applyNumberFormat="1" applyFont="1" applyFill="1" applyBorder="1" applyProtection="1">
      <protection hidden="1"/>
    </xf>
    <xf numFmtId="44" fontId="0" fillId="3" borderId="0" xfId="1" applyFont="1" applyFill="1" applyBorder="1" applyProtection="1">
      <protection hidden="1"/>
    </xf>
    <xf numFmtId="0" fontId="1" fillId="3" borderId="0" xfId="0" applyFont="1" applyFill="1" applyBorder="1" applyAlignment="1" applyProtection="1">
      <alignment horizontal="center" wrapText="1"/>
      <protection hidden="1"/>
    </xf>
    <xf numFmtId="0" fontId="0" fillId="3" borderId="13" xfId="0" applyFont="1" applyFill="1" applyBorder="1" applyProtection="1">
      <protection hidden="1"/>
    </xf>
    <xf numFmtId="0" fontId="0" fillId="3" borderId="12" xfId="0" applyFont="1" applyFill="1" applyBorder="1" applyProtection="1">
      <protection hidden="1"/>
    </xf>
    <xf numFmtId="169" fontId="0" fillId="3" borderId="0" xfId="0" applyNumberFormat="1" applyFont="1" applyFill="1" applyBorder="1" applyProtection="1">
      <protection hidden="1"/>
    </xf>
    <xf numFmtId="169" fontId="0" fillId="3" borderId="13" xfId="0" applyNumberFormat="1" applyFont="1" applyFill="1" applyBorder="1" applyProtection="1">
      <protection hidden="1"/>
    </xf>
    <xf numFmtId="169" fontId="0" fillId="3" borderId="12" xfId="0" applyNumberFormat="1" applyFont="1" applyFill="1" applyBorder="1" applyProtection="1">
      <protection hidden="1"/>
    </xf>
    <xf numFmtId="9" fontId="0" fillId="3" borderId="0" xfId="0" applyNumberFormat="1" applyFont="1" applyFill="1" applyBorder="1" applyProtection="1">
      <protection hidden="1"/>
    </xf>
    <xf numFmtId="0" fontId="0" fillId="3" borderId="0" xfId="0" applyFont="1" applyFill="1" applyBorder="1" applyAlignment="1" applyProtection="1">
      <alignment horizontal="right"/>
      <protection hidden="1"/>
    </xf>
    <xf numFmtId="0" fontId="1" fillId="3" borderId="0" xfId="0" applyFont="1" applyFill="1" applyBorder="1" applyAlignment="1" applyProtection="1">
      <alignment horizontal="center"/>
      <protection hidden="1"/>
    </xf>
    <xf numFmtId="170" fontId="0" fillId="3" borderId="0" xfId="0" applyNumberFormat="1" applyFont="1" applyFill="1" applyBorder="1" applyProtection="1">
      <protection hidden="1"/>
    </xf>
    <xf numFmtId="168" fontId="0" fillId="3" borderId="0" xfId="0" applyNumberFormat="1" applyFont="1" applyFill="1" applyBorder="1" applyProtection="1">
      <protection hidden="1"/>
    </xf>
    <xf numFmtId="169" fontId="0" fillId="3" borderId="0" xfId="0" applyNumberFormat="1" applyFont="1" applyFill="1" applyProtection="1">
      <protection hidden="1"/>
    </xf>
    <xf numFmtId="43" fontId="0" fillId="3" borderId="0" xfId="0" applyNumberFormat="1" applyFont="1" applyFill="1" applyBorder="1" applyProtection="1">
      <protection hidden="1"/>
    </xf>
    <xf numFmtId="165" fontId="0" fillId="3" borderId="0" xfId="0" applyNumberFormat="1" applyFont="1" applyFill="1" applyBorder="1" applyAlignment="1" applyProtection="1">
      <alignment horizontal="center" vertical="center"/>
      <protection hidden="1"/>
    </xf>
    <xf numFmtId="165" fontId="0" fillId="3" borderId="0" xfId="0" applyNumberFormat="1" applyFont="1" applyFill="1" applyBorder="1" applyProtection="1">
      <protection hidden="1"/>
    </xf>
    <xf numFmtId="0" fontId="0" fillId="12" borderId="0" xfId="0" applyFill="1" applyAlignment="1">
      <alignment horizontal="left"/>
    </xf>
    <xf numFmtId="0" fontId="0" fillId="12" borderId="0" xfId="0" applyFill="1" applyAlignment="1">
      <alignment horizontal="center"/>
    </xf>
    <xf numFmtId="44" fontId="2" fillId="12" borderId="0" xfId="1" applyFont="1" applyFill="1"/>
    <xf numFmtId="164" fontId="0" fillId="12" borderId="0" xfId="1" applyNumberFormat="1" applyFont="1" applyFill="1"/>
    <xf numFmtId="0" fontId="0" fillId="12" borderId="0" xfId="0" applyFill="1"/>
    <xf numFmtId="9" fontId="0" fillId="12" borderId="0" xfId="0" applyNumberFormat="1" applyFill="1"/>
    <xf numFmtId="173" fontId="0" fillId="12" borderId="0" xfId="0" applyNumberFormat="1" applyFill="1"/>
    <xf numFmtId="173" fontId="0" fillId="12" borderId="0" xfId="1" applyNumberFormat="1" applyFont="1" applyFill="1"/>
    <xf numFmtId="165" fontId="0" fillId="12" borderId="0" xfId="2" applyNumberFormat="1" applyFont="1" applyFill="1"/>
    <xf numFmtId="44" fontId="0" fillId="12" borderId="0" xfId="1" applyFont="1" applyFill="1"/>
    <xf numFmtId="172" fontId="0" fillId="12" borderId="0" xfId="0" applyNumberFormat="1" applyFill="1"/>
    <xf numFmtId="44" fontId="0" fillId="12" borderId="0" xfId="0" applyNumberFormat="1" applyFill="1"/>
    <xf numFmtId="8" fontId="0" fillId="12" borderId="0" xfId="0" applyNumberFormat="1" applyFill="1"/>
    <xf numFmtId="3" fontId="0" fillId="12" borderId="0" xfId="0" applyNumberFormat="1" applyFill="1"/>
    <xf numFmtId="0" fontId="0" fillId="0" borderId="0" xfId="0" applyFont="1"/>
    <xf numFmtId="0" fontId="0" fillId="3" borderId="0" xfId="0" applyNumberFormat="1" applyFont="1" applyFill="1" applyBorder="1" applyProtection="1">
      <protection hidden="1"/>
    </xf>
    <xf numFmtId="170" fontId="0" fillId="0" borderId="0" xfId="0" applyNumberFormat="1"/>
    <xf numFmtId="43" fontId="0" fillId="0" borderId="0" xfId="0" applyNumberFormat="1"/>
    <xf numFmtId="0" fontId="11" fillId="3" borderId="37" xfId="0" applyFont="1" applyFill="1" applyBorder="1" applyAlignment="1" applyProtection="1">
      <alignment horizontal="center" vertical="top" wrapText="1"/>
      <protection hidden="1"/>
    </xf>
    <xf numFmtId="0" fontId="11" fillId="3" borderId="38" xfId="0" applyFont="1" applyFill="1" applyBorder="1" applyAlignment="1" applyProtection="1">
      <alignment horizontal="center" vertical="top" wrapText="1"/>
      <protection hidden="1"/>
    </xf>
    <xf numFmtId="0" fontId="0" fillId="3" borderId="37" xfId="0" applyFill="1" applyBorder="1" applyProtection="1">
      <protection hidden="1"/>
    </xf>
    <xf numFmtId="0" fontId="0" fillId="3" borderId="38" xfId="0" applyFill="1" applyBorder="1" applyProtection="1">
      <protection hidden="1"/>
    </xf>
    <xf numFmtId="0" fontId="4" fillId="3" borderId="37" xfId="0" applyFont="1" applyFill="1" applyBorder="1" applyAlignment="1" applyProtection="1">
      <alignment vertical="center"/>
      <protection hidden="1"/>
    </xf>
    <xf numFmtId="0" fontId="10" fillId="3" borderId="37" xfId="0" applyFont="1" applyFill="1" applyBorder="1" applyAlignment="1" applyProtection="1">
      <alignment vertical="center" wrapText="1"/>
      <protection hidden="1"/>
    </xf>
    <xf numFmtId="0" fontId="1" fillId="3" borderId="38" xfId="0" applyFont="1" applyFill="1" applyBorder="1" applyAlignment="1" applyProtection="1">
      <alignment vertical="center"/>
      <protection hidden="1"/>
    </xf>
    <xf numFmtId="0" fontId="0" fillId="3" borderId="39" xfId="0" applyFill="1" applyBorder="1" applyProtection="1">
      <protection hidden="1"/>
    </xf>
    <xf numFmtId="0" fontId="0" fillId="3" borderId="40" xfId="0" applyFill="1" applyBorder="1" applyProtection="1">
      <protection hidden="1"/>
    </xf>
    <xf numFmtId="0" fontId="0" fillId="3" borderId="41" xfId="0" applyFill="1" applyBorder="1" applyProtection="1">
      <protection hidden="1"/>
    </xf>
    <xf numFmtId="0" fontId="0" fillId="3" borderId="0" xfId="0" applyFont="1" applyFill="1" applyBorder="1" applyAlignment="1" applyProtection="1">
      <alignment vertical="top"/>
      <protection hidden="1"/>
    </xf>
    <xf numFmtId="0" fontId="0" fillId="3" borderId="0" xfId="0" applyFill="1" applyBorder="1" applyAlignment="1" applyProtection="1">
      <alignment vertical="top"/>
      <protection hidden="1"/>
    </xf>
    <xf numFmtId="0" fontId="0" fillId="3" borderId="0" xfId="0" applyFont="1" applyFill="1" applyBorder="1" applyAlignment="1" applyProtection="1">
      <alignment horizontal="center"/>
      <protection hidden="1"/>
    </xf>
    <xf numFmtId="0" fontId="1" fillId="3" borderId="0" xfId="0" applyFont="1" applyFill="1" applyBorder="1" applyAlignment="1" applyProtection="1">
      <alignment horizontal="center" vertical="center"/>
      <protection hidden="1"/>
    </xf>
    <xf numFmtId="0" fontId="10" fillId="3" borderId="37" xfId="0" applyFont="1" applyFill="1" applyBorder="1" applyAlignment="1" applyProtection="1">
      <alignment horizontal="center" vertical="center" wrapText="1"/>
      <protection hidden="1"/>
    </xf>
    <xf numFmtId="0" fontId="10" fillId="3" borderId="0" xfId="0" applyFont="1" applyFill="1" applyBorder="1" applyAlignment="1" applyProtection="1">
      <alignment horizontal="center" vertical="center" wrapText="1"/>
      <protection hidden="1"/>
    </xf>
    <xf numFmtId="0" fontId="4" fillId="4" borderId="9" xfId="0" applyFont="1" applyFill="1" applyBorder="1" applyAlignment="1" applyProtection="1">
      <alignment horizontal="center" vertical="center"/>
      <protection hidden="1"/>
    </xf>
    <xf numFmtId="0" fontId="4" fillId="4" borderId="10" xfId="0" applyFont="1" applyFill="1" applyBorder="1" applyAlignment="1" applyProtection="1">
      <alignment horizontal="center" vertical="center"/>
      <protection hidden="1"/>
    </xf>
    <xf numFmtId="0" fontId="4" fillId="4" borderId="11" xfId="0" applyFont="1" applyFill="1" applyBorder="1" applyAlignment="1" applyProtection="1">
      <alignment horizontal="center" vertical="center"/>
      <protection hidden="1"/>
    </xf>
    <xf numFmtId="0" fontId="0" fillId="4" borderId="1" xfId="0" applyFill="1" applyBorder="1" applyAlignment="1" applyProtection="1">
      <alignment horizontal="center"/>
      <protection hidden="1"/>
    </xf>
    <xf numFmtId="0" fontId="0" fillId="4" borderId="2" xfId="0" applyFill="1" applyBorder="1" applyAlignment="1" applyProtection="1">
      <alignment horizontal="center"/>
      <protection hidden="1"/>
    </xf>
    <xf numFmtId="0" fontId="0" fillId="4" borderId="3" xfId="0" applyFill="1" applyBorder="1" applyAlignment="1" applyProtection="1">
      <alignment horizontal="center"/>
      <protection hidden="1"/>
    </xf>
    <xf numFmtId="0" fontId="0" fillId="4" borderId="7" xfId="0" applyFill="1" applyBorder="1" applyAlignment="1" applyProtection="1">
      <alignment horizontal="center"/>
      <protection hidden="1"/>
    </xf>
    <xf numFmtId="0" fontId="0" fillId="4" borderId="0" xfId="0" applyFill="1" applyBorder="1" applyAlignment="1" applyProtection="1">
      <alignment horizontal="center"/>
      <protection hidden="1"/>
    </xf>
    <xf numFmtId="0" fontId="0" fillId="4" borderId="8" xfId="0" applyFill="1" applyBorder="1" applyAlignment="1" applyProtection="1">
      <alignment horizontal="center"/>
      <protection hidden="1"/>
    </xf>
    <xf numFmtId="0" fontId="0" fillId="4" borderId="4" xfId="0" applyFill="1" applyBorder="1" applyAlignment="1" applyProtection="1">
      <alignment horizontal="center"/>
      <protection hidden="1"/>
    </xf>
    <xf numFmtId="0" fontId="0" fillId="4" borderId="5" xfId="0" applyFill="1" applyBorder="1" applyAlignment="1" applyProtection="1">
      <alignment horizontal="center"/>
      <protection hidden="1"/>
    </xf>
    <xf numFmtId="0" fontId="0" fillId="4" borderId="6" xfId="0" applyFill="1" applyBorder="1" applyAlignment="1" applyProtection="1">
      <alignment horizontal="center"/>
      <protection hidden="1"/>
    </xf>
    <xf numFmtId="0" fontId="0" fillId="3" borderId="0" xfId="0" applyFont="1" applyFill="1" applyBorder="1" applyAlignment="1" applyProtection="1">
      <alignment horizontal="center"/>
      <protection hidden="1"/>
    </xf>
    <xf numFmtId="0" fontId="17" fillId="3" borderId="0" xfId="0" applyFont="1" applyFill="1" applyBorder="1" applyAlignment="1" applyProtection="1">
      <alignment horizontal="center" vertical="center" wrapText="1"/>
      <protection hidden="1"/>
    </xf>
    <xf numFmtId="0" fontId="17" fillId="3" borderId="0" xfId="0" applyFont="1" applyFill="1" applyBorder="1" applyAlignment="1" applyProtection="1">
      <alignment horizontal="center" vertical="center"/>
      <protection hidden="1"/>
    </xf>
    <xf numFmtId="0" fontId="10" fillId="3" borderId="37" xfId="0" applyFont="1" applyFill="1" applyBorder="1" applyAlignment="1" applyProtection="1">
      <alignment horizontal="center" wrapText="1"/>
      <protection hidden="1"/>
    </xf>
    <xf numFmtId="0" fontId="10" fillId="3" borderId="0" xfId="0" applyFont="1" applyFill="1" applyBorder="1" applyAlignment="1" applyProtection="1">
      <alignment horizontal="center" wrapText="1"/>
      <protection hidden="1"/>
    </xf>
    <xf numFmtId="37" fontId="20" fillId="4" borderId="15" xfId="2" applyNumberFormat="1" applyFont="1" applyFill="1" applyBorder="1" applyAlignment="1" applyProtection="1">
      <alignment horizontal="center" vertical="center"/>
      <protection hidden="1"/>
    </xf>
    <xf numFmtId="37" fontId="20" fillId="4" borderId="16" xfId="2" applyNumberFormat="1" applyFont="1" applyFill="1" applyBorder="1" applyAlignment="1" applyProtection="1">
      <alignment horizontal="center" vertical="center"/>
      <protection hidden="1"/>
    </xf>
    <xf numFmtId="37" fontId="20" fillId="4" borderId="17" xfId="2" applyNumberFormat="1" applyFont="1" applyFill="1" applyBorder="1" applyAlignment="1" applyProtection="1">
      <alignment horizontal="center" vertical="center"/>
      <protection hidden="1"/>
    </xf>
    <xf numFmtId="37" fontId="20" fillId="4" borderId="18" xfId="2" applyNumberFormat="1" applyFont="1" applyFill="1" applyBorder="1" applyAlignment="1" applyProtection="1">
      <alignment horizontal="center" vertical="center"/>
      <protection hidden="1"/>
    </xf>
    <xf numFmtId="37" fontId="20" fillId="4" borderId="0" xfId="2" applyNumberFormat="1" applyFont="1" applyFill="1" applyBorder="1" applyAlignment="1" applyProtection="1">
      <alignment horizontal="center" vertical="center"/>
      <protection hidden="1"/>
    </xf>
    <xf numFmtId="37" fontId="20" fillId="4" borderId="19" xfId="2" applyNumberFormat="1" applyFont="1" applyFill="1" applyBorder="1" applyAlignment="1" applyProtection="1">
      <alignment horizontal="center" vertical="center"/>
      <protection hidden="1"/>
    </xf>
    <xf numFmtId="37" fontId="20" fillId="4" borderId="20" xfId="2" applyNumberFormat="1" applyFont="1" applyFill="1" applyBorder="1" applyAlignment="1" applyProtection="1">
      <alignment horizontal="center" vertical="center"/>
      <protection hidden="1"/>
    </xf>
    <xf numFmtId="37" fontId="20" fillId="4" borderId="21" xfId="2" applyNumberFormat="1" applyFont="1" applyFill="1" applyBorder="1" applyAlignment="1" applyProtection="1">
      <alignment horizontal="center" vertical="center"/>
      <protection hidden="1"/>
    </xf>
    <xf numFmtId="37" fontId="20" fillId="4" borderId="22" xfId="2"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protection hidden="1"/>
    </xf>
    <xf numFmtId="0" fontId="4" fillId="4" borderId="24" xfId="0" applyFont="1" applyFill="1" applyBorder="1" applyAlignment="1" applyProtection="1">
      <alignment horizontal="center" vertical="center"/>
      <protection hidden="1"/>
    </xf>
    <xf numFmtId="0" fontId="4" fillId="4" borderId="25" xfId="0" applyFont="1" applyFill="1" applyBorder="1" applyAlignment="1" applyProtection="1">
      <alignment horizontal="center" vertical="center"/>
      <protection hidden="1"/>
    </xf>
    <xf numFmtId="0" fontId="1" fillId="4" borderId="18" xfId="0" applyFont="1" applyFill="1" applyBorder="1" applyAlignment="1" applyProtection="1">
      <alignment horizontal="center" vertical="center"/>
      <protection hidden="1"/>
    </xf>
    <xf numFmtId="0" fontId="1" fillId="4" borderId="0" xfId="0" applyFont="1" applyFill="1" applyBorder="1" applyAlignment="1" applyProtection="1">
      <alignment horizontal="center" vertical="center"/>
      <protection hidden="1"/>
    </xf>
    <xf numFmtId="0" fontId="1" fillId="4" borderId="19" xfId="0" applyFont="1" applyFill="1" applyBorder="1" applyAlignment="1" applyProtection="1">
      <alignment horizontal="center" vertical="center"/>
      <protection hidden="1"/>
    </xf>
    <xf numFmtId="0" fontId="1" fillId="4" borderId="20" xfId="0" applyFont="1" applyFill="1" applyBorder="1" applyAlignment="1" applyProtection="1">
      <alignment horizontal="center" vertical="center"/>
      <protection hidden="1"/>
    </xf>
    <xf numFmtId="0" fontId="1" fillId="4" borderId="21" xfId="0" applyFont="1" applyFill="1" applyBorder="1" applyAlignment="1" applyProtection="1">
      <alignment horizontal="center" vertical="center"/>
      <protection hidden="1"/>
    </xf>
    <xf numFmtId="0" fontId="1" fillId="4" borderId="22" xfId="0" applyFont="1" applyFill="1" applyBorder="1" applyAlignment="1" applyProtection="1">
      <alignment horizontal="center" vertical="center"/>
      <protection hidden="1"/>
    </xf>
    <xf numFmtId="0" fontId="0" fillId="3" borderId="12" xfId="0" applyFont="1" applyFill="1" applyBorder="1" applyAlignment="1" applyProtection="1">
      <alignment horizontal="left"/>
      <protection hidden="1"/>
    </xf>
    <xf numFmtId="0" fontId="21" fillId="10" borderId="34" xfId="0" applyFont="1" applyFill="1" applyBorder="1" applyAlignment="1" applyProtection="1">
      <alignment horizontal="center" vertical="center" wrapText="1"/>
      <protection hidden="1"/>
    </xf>
    <xf numFmtId="0" fontId="21" fillId="10" borderId="35" xfId="0" applyFont="1" applyFill="1" applyBorder="1" applyAlignment="1" applyProtection="1">
      <alignment horizontal="center" vertical="center" wrapText="1"/>
      <protection hidden="1"/>
    </xf>
    <xf numFmtId="0" fontId="21" fillId="10" borderId="36" xfId="0" applyFont="1" applyFill="1" applyBorder="1" applyAlignment="1" applyProtection="1">
      <alignment horizontal="center" vertical="center" wrapText="1"/>
      <protection hidden="1"/>
    </xf>
    <xf numFmtId="0" fontId="21" fillId="10" borderId="37" xfId="0" applyFont="1" applyFill="1" applyBorder="1" applyAlignment="1" applyProtection="1">
      <alignment horizontal="center" vertical="center" wrapText="1"/>
      <protection hidden="1"/>
    </xf>
    <xf numFmtId="0" fontId="21" fillId="10" borderId="0" xfId="0" applyFont="1" applyFill="1" applyBorder="1" applyAlignment="1" applyProtection="1">
      <alignment horizontal="center" vertical="center" wrapText="1"/>
      <protection hidden="1"/>
    </xf>
    <xf numFmtId="0" fontId="21" fillId="10" borderId="38" xfId="0" applyFont="1" applyFill="1" applyBorder="1" applyAlignment="1" applyProtection="1">
      <alignment horizontal="center" vertical="center" wrapText="1"/>
      <protection hidden="1"/>
    </xf>
    <xf numFmtId="0" fontId="5" fillId="5" borderId="1" xfId="0" applyFont="1" applyFill="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 fillId="5" borderId="6" xfId="0" applyFont="1" applyFill="1" applyBorder="1" applyAlignment="1" applyProtection="1">
      <alignment horizontal="center" vertical="center"/>
      <protection locked="0"/>
    </xf>
    <xf numFmtId="0" fontId="5" fillId="6" borderId="1" xfId="0" applyFont="1" applyFill="1" applyBorder="1" applyAlignment="1" applyProtection="1">
      <alignment horizontal="center" vertical="center"/>
      <protection locked="0"/>
    </xf>
    <xf numFmtId="0" fontId="5" fillId="6" borderId="2"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6" borderId="5"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0" fillId="3" borderId="37" xfId="0" applyFill="1" applyBorder="1" applyAlignment="1" applyProtection="1">
      <alignment horizontal="center" wrapText="1"/>
      <protection hidden="1"/>
    </xf>
    <xf numFmtId="0" fontId="0" fillId="3" borderId="8" xfId="0" applyFill="1" applyBorder="1" applyAlignment="1" applyProtection="1">
      <alignment horizontal="center" wrapText="1"/>
      <protection hidden="1"/>
    </xf>
    <xf numFmtId="0" fontId="1" fillId="3" borderId="0" xfId="0" applyFont="1" applyFill="1" applyAlignment="1" applyProtection="1">
      <alignment horizontal="left"/>
      <protection hidden="1"/>
    </xf>
    <xf numFmtId="0" fontId="1" fillId="11" borderId="32" xfId="0" applyFont="1" applyFill="1" applyBorder="1" applyAlignment="1" applyProtection="1">
      <alignment horizontal="center"/>
      <protection hidden="1"/>
    </xf>
    <xf numFmtId="0" fontId="1" fillId="11" borderId="33" xfId="0" applyFont="1" applyFill="1" applyBorder="1" applyAlignment="1" applyProtection="1">
      <alignment horizontal="center"/>
      <protection hidden="1"/>
    </xf>
    <xf numFmtId="0" fontId="1" fillId="11" borderId="13" xfId="0" applyFont="1" applyFill="1" applyBorder="1" applyAlignment="1" applyProtection="1">
      <alignment horizontal="center"/>
      <protection hidden="1"/>
    </xf>
    <xf numFmtId="0" fontId="10" fillId="3" borderId="8" xfId="0" applyFont="1" applyFill="1" applyBorder="1" applyAlignment="1" applyProtection="1">
      <alignment horizontal="center" wrapText="1"/>
      <protection hidden="1"/>
    </xf>
    <xf numFmtId="0" fontId="10" fillId="3" borderId="7" xfId="0" applyFont="1" applyFill="1" applyBorder="1" applyAlignment="1" applyProtection="1">
      <alignment horizontal="center" wrapText="1"/>
      <protection hidden="1"/>
    </xf>
    <xf numFmtId="0" fontId="10" fillId="3" borderId="38" xfId="0" applyFont="1" applyFill="1" applyBorder="1" applyAlignment="1" applyProtection="1">
      <alignment horizontal="center" wrapText="1"/>
      <protection hidden="1"/>
    </xf>
    <xf numFmtId="0" fontId="4" fillId="7" borderId="23" xfId="0" applyFont="1" applyFill="1" applyBorder="1" applyAlignment="1" applyProtection="1">
      <alignment horizontal="center" vertical="center" wrapText="1"/>
      <protection hidden="1"/>
    </xf>
    <xf numFmtId="0" fontId="4" fillId="7" borderId="24" xfId="0" applyFont="1" applyFill="1" applyBorder="1" applyAlignment="1" applyProtection="1">
      <alignment horizontal="center" vertical="center" wrapText="1"/>
      <protection hidden="1"/>
    </xf>
    <xf numFmtId="0" fontId="4" fillId="7" borderId="25" xfId="0" applyFont="1" applyFill="1" applyBorder="1" applyAlignment="1" applyProtection="1">
      <alignment horizontal="center" vertical="center" wrapText="1"/>
      <protection hidden="1"/>
    </xf>
    <xf numFmtId="0" fontId="18" fillId="9" borderId="0" xfId="0" applyFont="1" applyFill="1" applyBorder="1" applyAlignment="1" applyProtection="1">
      <alignment horizontal="center"/>
      <protection hidden="1"/>
    </xf>
    <xf numFmtId="0" fontId="7" fillId="3" borderId="0" xfId="0" applyFont="1" applyFill="1" applyBorder="1" applyAlignment="1" applyProtection="1">
      <alignment horizontal="left" vertical="center"/>
      <protection hidden="1"/>
    </xf>
    <xf numFmtId="0" fontId="27" fillId="10" borderId="37" xfId="4" applyFont="1" applyFill="1" applyBorder="1" applyAlignment="1" applyProtection="1">
      <alignment horizontal="center" vertical="top" wrapText="1"/>
      <protection hidden="1"/>
    </xf>
    <xf numFmtId="0" fontId="27" fillId="10" borderId="0" xfId="4" applyFont="1" applyFill="1" applyBorder="1" applyAlignment="1" applyProtection="1">
      <alignment horizontal="center" vertical="top" wrapText="1"/>
      <protection hidden="1"/>
    </xf>
    <xf numFmtId="0" fontId="27" fillId="10" borderId="38" xfId="4" applyFont="1" applyFill="1" applyBorder="1" applyAlignment="1" applyProtection="1">
      <alignment horizontal="center" vertical="top" wrapText="1"/>
      <protection hidden="1"/>
    </xf>
    <xf numFmtId="171" fontId="0" fillId="3" borderId="12" xfId="1" applyNumberFormat="1" applyFont="1" applyFill="1" applyBorder="1" applyAlignment="1" applyProtection="1">
      <alignment horizontal="left"/>
      <protection hidden="1"/>
    </xf>
  </cellXfs>
  <cellStyles count="5">
    <cellStyle name="Comma" xfId="2" builtinId="3"/>
    <cellStyle name="Currency" xfId="1" builtinId="4"/>
    <cellStyle name="Hyperlink" xfId="4" builtinId="8"/>
    <cellStyle name="Normal" xfId="0" builtinId="0"/>
    <cellStyle name="Percent" xfId="3" builtinId="5"/>
  </cellStyles>
  <dxfs count="36">
    <dxf>
      <font>
        <color theme="0"/>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00"/>
        </patternFill>
      </fill>
    </dxf>
    <dxf>
      <font>
        <color theme="0" tint="-4.9989318521683403E-2"/>
      </font>
      <fill>
        <patternFill>
          <bgColor theme="0" tint="-4.9989318521683403E-2"/>
        </patternFill>
      </fill>
      <border>
        <left/>
        <right/>
        <top/>
        <bottom/>
      </border>
    </dxf>
    <dxf>
      <font>
        <color theme="0"/>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0.499984740745262"/>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0.499984740745262"/>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font>
      <fill>
        <patternFill>
          <bgColor theme="0"/>
        </patternFill>
      </fill>
      <border>
        <left/>
        <right/>
        <top/>
        <bottom/>
        <vertical/>
        <horizontal/>
      </border>
    </dxf>
    <dxf>
      <font>
        <color theme="0" tint="-4.9989318521683403E-2"/>
      </font>
      <fill>
        <patternFill>
          <bgColor theme="0" tint="-4.9989318521683403E-2"/>
        </patternFill>
      </fill>
    </dxf>
    <dxf>
      <font>
        <color theme="0" tint="-0.499984740745262"/>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C00000"/>
      </font>
    </dxf>
    <dxf>
      <font>
        <color theme="0" tint="-4.9989318521683403E-2"/>
      </font>
      <fill>
        <patternFill>
          <bgColor theme="0" tint="-4.9989318521683403E-2"/>
        </patternFill>
      </fill>
      <border>
        <left/>
        <right/>
        <top/>
        <bottom/>
        <vertical/>
        <horizontal/>
      </border>
    </dxf>
    <dxf>
      <font>
        <color theme="0"/>
      </font>
      <fill>
        <patternFill>
          <bgColor theme="0"/>
        </patternFill>
      </fill>
    </dxf>
    <dxf>
      <font>
        <color theme="0" tint="-4.9989318521683403E-2"/>
      </font>
      <fill>
        <patternFill>
          <bgColor theme="0" tint="-4.9989318521683403E-2"/>
        </patternFill>
      </fill>
      <border>
        <left/>
        <right/>
        <top/>
        <bottom/>
        <vertical/>
        <horizontal/>
      </border>
    </dxf>
    <dxf>
      <fill>
        <patternFill>
          <bgColor rgb="FFFFFF00"/>
        </patternFill>
      </fill>
    </dxf>
    <dxf>
      <font>
        <color theme="0" tint="-4.9989318521683403E-2"/>
      </font>
      <fill>
        <patternFill>
          <bgColor theme="0" tint="-4.9989318521683403E-2"/>
        </patternFill>
      </fill>
      <border>
        <left/>
        <right/>
        <top/>
        <bottom/>
      </border>
    </dxf>
    <dxf>
      <fill>
        <patternFill>
          <bgColor rgb="FFFFFF00"/>
        </patternFill>
      </fill>
    </dxf>
    <dxf>
      <font>
        <color theme="0" tint="-4.9989318521683403E-2"/>
      </font>
      <fill>
        <patternFill>
          <bgColor theme="0" tint="-4.9989318521683403E-2"/>
        </patternFill>
      </fill>
    </dxf>
    <dxf>
      <font>
        <color theme="0"/>
      </font>
    </dxf>
    <dxf>
      <font>
        <color theme="0" tint="-4.9989318521683403E-2"/>
      </font>
    </dxf>
    <dxf>
      <font>
        <color theme="0"/>
      </font>
    </dxf>
    <dxf>
      <font>
        <color theme="0" tint="-4.9989318521683403E-2"/>
      </font>
    </dxf>
    <dxf>
      <fill>
        <patternFill>
          <bgColor rgb="FFFFFF00"/>
        </patternFill>
      </fill>
    </dxf>
    <dxf>
      <fill>
        <patternFill>
          <bgColor rgb="FFFFFF0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rgb="FFFFFF00"/>
        </patternFill>
      </fill>
    </dxf>
  </dxfs>
  <tableStyles count="0" defaultTableStyle="TableStyleMedium2" defaultPivotStyle="PivotStyleLight16"/>
  <colors>
    <mruColors>
      <color rgb="FF46A12B"/>
      <color rgb="FF65A042"/>
      <color rgb="FF4EAE4B"/>
      <color rgb="FF2CAE35"/>
      <color rgb="FFFDC000"/>
      <color rgb="FFFFAC00"/>
      <color rgb="FFFFC819"/>
      <color rgb="FFFFC700"/>
      <color rgb="FF7AC2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0"/>
          <c:tx>
            <c:strRef>
              <c:f>'EV Comparison Calculator'!$U$63</c:f>
              <c:strCache>
                <c:ptCount val="1"/>
                <c:pt idx="0">
                  <c:v>ELECTRICITY</c:v>
                </c:pt>
              </c:strCache>
            </c:strRef>
          </c:tx>
          <c:spPr>
            <a:solidFill>
              <a:schemeClr val="accent6"/>
            </a:solidFill>
            <a:ln>
              <a:noFill/>
            </a:ln>
            <a:effectLst/>
          </c:spPr>
          <c:invertIfNegative val="0"/>
          <c:cat>
            <c:strRef>
              <c:f>'EV Comparison Calculator'!$V$62:$W$62</c:f>
              <c:strCache>
                <c:ptCount val="2"/>
                <c:pt idx="0">
                  <c:v>PLEASE SELECT ZERO-EMISSION VEHICLE FROM DROPDOWN</c:v>
                </c:pt>
                <c:pt idx="1">
                  <c:v>PLEASE SELECT VEHICLE TO COMPARE FROM DROPDOWN</c:v>
                </c:pt>
              </c:strCache>
            </c:strRef>
          </c:cat>
          <c:val>
            <c:numRef>
              <c:f>'EV Comparison Calculator'!$V$63:$W$63</c:f>
              <c:numCache>
                <c:formatCode>_("$"* #,##0_);_("$"* \(#,##0\);_("$"* "-"??_);_(@_)</c:formatCode>
                <c:ptCount val="2"/>
                <c:pt idx="0">
                  <c:v>#N/A</c:v>
                </c:pt>
                <c:pt idx="1">
                  <c:v>#N/A</c:v>
                </c:pt>
              </c:numCache>
            </c:numRef>
          </c:val>
          <c:extLst>
            <c:ext xmlns:c16="http://schemas.microsoft.com/office/drawing/2014/chart" uri="{C3380CC4-5D6E-409C-BE32-E72D297353CC}">
              <c16:uniqueId val="{00000000-11BC-794C-AE8C-166D963BE6D4}"/>
            </c:ext>
          </c:extLst>
        </c:ser>
        <c:ser>
          <c:idx val="0"/>
          <c:order val="1"/>
          <c:tx>
            <c:strRef>
              <c:f>'EV Comparison Calculator'!$U$64</c:f>
              <c:strCache>
                <c:ptCount val="1"/>
                <c:pt idx="0">
                  <c:v>GASOLINE</c:v>
                </c:pt>
              </c:strCache>
            </c:strRef>
          </c:tx>
          <c:spPr>
            <a:solidFill>
              <a:schemeClr val="accent3"/>
            </a:solidFill>
            <a:ln>
              <a:noFill/>
            </a:ln>
            <a:effectLst/>
          </c:spPr>
          <c:invertIfNegative val="0"/>
          <c:cat>
            <c:strRef>
              <c:f>'EV Comparison Calculator'!$V$62:$W$62</c:f>
              <c:strCache>
                <c:ptCount val="2"/>
                <c:pt idx="0">
                  <c:v>PLEASE SELECT ZERO-EMISSION VEHICLE FROM DROPDOWN</c:v>
                </c:pt>
                <c:pt idx="1">
                  <c:v>PLEASE SELECT VEHICLE TO COMPARE FROM DROPDOWN</c:v>
                </c:pt>
              </c:strCache>
            </c:strRef>
          </c:cat>
          <c:val>
            <c:numRef>
              <c:f>'EV Comparison Calculator'!$V$64:$W$64</c:f>
              <c:numCache>
                <c:formatCode>_("$"* #,##0_);_("$"* \(#,##0\);_("$"* "-"??_);_(@_)</c:formatCode>
                <c:ptCount val="2"/>
                <c:pt idx="0">
                  <c:v>#N/A</c:v>
                </c:pt>
                <c:pt idx="1">
                  <c:v>#N/A</c:v>
                </c:pt>
              </c:numCache>
            </c:numRef>
          </c:val>
          <c:extLst>
            <c:ext xmlns:c16="http://schemas.microsoft.com/office/drawing/2014/chart" uri="{C3380CC4-5D6E-409C-BE32-E72D297353CC}">
              <c16:uniqueId val="{00000005-11BC-794C-AE8C-166D963BE6D4}"/>
            </c:ext>
          </c:extLst>
        </c:ser>
        <c:dLbls>
          <c:showLegendKey val="0"/>
          <c:showVal val="0"/>
          <c:showCatName val="0"/>
          <c:showSerName val="0"/>
          <c:showPercent val="0"/>
          <c:showBubbleSize val="0"/>
        </c:dLbls>
        <c:gapWidth val="15"/>
        <c:overlap val="100"/>
        <c:axId val="1459798496"/>
        <c:axId val="1459800128"/>
      </c:barChart>
      <c:barChart>
        <c:barDir val="col"/>
        <c:grouping val="stacked"/>
        <c:varyColors val="0"/>
        <c:ser>
          <c:idx val="2"/>
          <c:order val="2"/>
          <c:tx>
            <c:strRef>
              <c:f>'EV Comparison Calculator'!$U$65</c:f>
              <c:strCache>
                <c:ptCount val="1"/>
                <c:pt idx="0">
                  <c:v>TOTAL ANNUAL</c:v>
                </c:pt>
              </c:strCache>
            </c:strRef>
          </c:tx>
          <c:spPr>
            <a:noFill/>
            <a:ln>
              <a:noFill/>
            </a:ln>
            <a:effectLst/>
          </c:spPr>
          <c:invertIfNegative val="0"/>
          <c:dLbls>
            <c:dLbl>
              <c:idx val="0"/>
              <c:layout>
                <c:manualLayout>
                  <c:x val="-2.7514417874901539E-5"/>
                  <c:y val="-0.3286281503090152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1BC-794C-AE8C-166D963BE6D4}"/>
                </c:ext>
              </c:extLst>
            </c:dLbl>
            <c:dLbl>
              <c:idx val="1"/>
              <c:layout>
                <c:manualLayout>
                  <c:x val="2.7179868235423029E-3"/>
                  <c:y val="-0.4096417537088847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1BC-794C-AE8C-166D963BE6D4}"/>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Comparison Calculator'!$V$62:$W$62</c:f>
              <c:strCache>
                <c:ptCount val="2"/>
                <c:pt idx="0">
                  <c:v>PLEASE SELECT ZERO-EMISSION VEHICLE FROM DROPDOWN</c:v>
                </c:pt>
                <c:pt idx="1">
                  <c:v>PLEASE SELECT VEHICLE TO COMPARE FROM DROPDOWN</c:v>
                </c:pt>
              </c:strCache>
            </c:strRef>
          </c:cat>
          <c:val>
            <c:numRef>
              <c:f>'EV Comparison Calculator'!$V$65:$W$65</c:f>
              <c:numCache>
                <c:formatCode>_("$"* #,##0_);_("$"* \(#,##0\);_("$"* "-"??_);_(@_)</c:formatCode>
                <c:ptCount val="2"/>
                <c:pt idx="0">
                  <c:v>#N/A</c:v>
                </c:pt>
                <c:pt idx="1">
                  <c:v>#N/A</c:v>
                </c:pt>
              </c:numCache>
            </c:numRef>
          </c:val>
          <c:extLst>
            <c:ext xmlns:c16="http://schemas.microsoft.com/office/drawing/2014/chart" uri="{C3380CC4-5D6E-409C-BE32-E72D297353CC}">
              <c16:uniqueId val="{0000000A-11BC-794C-AE8C-166D963BE6D4}"/>
            </c:ext>
          </c:extLst>
        </c:ser>
        <c:dLbls>
          <c:showLegendKey val="0"/>
          <c:showVal val="0"/>
          <c:showCatName val="0"/>
          <c:showSerName val="0"/>
          <c:showPercent val="0"/>
          <c:showBubbleSize val="0"/>
        </c:dLbls>
        <c:gapWidth val="15"/>
        <c:overlap val="100"/>
        <c:axId val="1221356224"/>
        <c:axId val="1203574352"/>
      </c:barChart>
      <c:catAx>
        <c:axId val="1459798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459800128"/>
        <c:crosses val="autoZero"/>
        <c:auto val="1"/>
        <c:lblAlgn val="ctr"/>
        <c:lblOffset val="100"/>
        <c:noMultiLvlLbl val="0"/>
      </c:catAx>
      <c:valAx>
        <c:axId val="1459800128"/>
        <c:scaling>
          <c:orientation val="minMax"/>
          <c:min val="0"/>
        </c:scaling>
        <c:delete val="0"/>
        <c:axPos val="l"/>
        <c:majorGridlines>
          <c:spPr>
            <a:ln w="9525" cap="flat" cmpd="sng" algn="ctr">
              <a:solidFill>
                <a:schemeClr val="bg1">
                  <a:lumMod val="95000"/>
                </a:schemeClr>
              </a:solidFill>
              <a:round/>
            </a:ln>
            <a:effectLst/>
          </c:spPr>
        </c:majorGridlines>
        <c:numFmt formatCode="&quot;$&quot;#,##0_);[Red]\(&quot;$&quot;#,##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1459798496"/>
        <c:crosses val="autoZero"/>
        <c:crossBetween val="between"/>
      </c:valAx>
      <c:valAx>
        <c:axId val="1203574352"/>
        <c:scaling>
          <c:orientation val="minMax"/>
        </c:scaling>
        <c:delete val="0"/>
        <c:axPos val="r"/>
        <c:numFmt formatCode="_(&quot;$&quot;* #,##0_);_(&quot;$&quot;* \(#,##0\);_(&quot;$&quot;*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1356224"/>
        <c:crosses val="max"/>
        <c:crossBetween val="between"/>
      </c:valAx>
      <c:catAx>
        <c:axId val="1221356224"/>
        <c:scaling>
          <c:orientation val="minMax"/>
        </c:scaling>
        <c:delete val="1"/>
        <c:axPos val="b"/>
        <c:numFmt formatCode="General" sourceLinked="1"/>
        <c:majorTickMark val="out"/>
        <c:minorTickMark val="none"/>
        <c:tickLblPos val="nextTo"/>
        <c:crossAx val="1203574352"/>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0.23431670228082499"/>
          <c:y val="0.90603336091176279"/>
          <c:w val="0.33191327439082852"/>
          <c:h val="6.70946907848298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973018576558184"/>
          <c:y val="0.13709677419354838"/>
          <c:w val="0.820140795863324"/>
          <c:h val="0.67717646685293376"/>
        </c:manualLayout>
      </c:layout>
      <c:barChart>
        <c:barDir val="bar"/>
        <c:grouping val="stacked"/>
        <c:varyColors val="0"/>
        <c:ser>
          <c:idx val="0"/>
          <c:order val="0"/>
          <c:tx>
            <c:strRef>
              <c:f>'EV Comparison Calculator'!$T$100</c:f>
              <c:strCache>
                <c:ptCount val="1"/>
                <c:pt idx="0">
                  <c:v>Electricity Emissions</c:v>
                </c:pt>
              </c:strCache>
            </c:strRef>
          </c:tx>
          <c:spPr>
            <a:solidFill>
              <a:schemeClr val="tx2"/>
            </a:solidFill>
            <a:ln>
              <a:noFill/>
            </a:ln>
            <a:effectLst/>
          </c:spPr>
          <c:invertIfNegative val="0"/>
          <c:cat>
            <c:strRef>
              <c:f>'EV Comparison Calculator'!$U$99:$V$99</c:f>
              <c:strCache>
                <c:ptCount val="2"/>
                <c:pt idx="0">
                  <c:v>PLEASE SELECT VEHICLE TO COMPARE FROM DROPDOWN</c:v>
                </c:pt>
                <c:pt idx="1">
                  <c:v>PLEASE SELECT ZERO-EMISSION VEHICLE FROM DROPDOWN</c:v>
                </c:pt>
              </c:strCache>
            </c:strRef>
          </c:cat>
          <c:val>
            <c:numRef>
              <c:f>'EV Comparison Calculator'!$U$100:$V$100</c:f>
              <c:numCache>
                <c:formatCode>_(* #,##0_);_(* \(#,##0\);_(* "-"??_);_(@_)</c:formatCode>
                <c:ptCount val="2"/>
                <c:pt idx="0">
                  <c:v>#N/A</c:v>
                </c:pt>
                <c:pt idx="1">
                  <c:v>#N/A</c:v>
                </c:pt>
              </c:numCache>
            </c:numRef>
          </c:val>
          <c:extLst>
            <c:ext xmlns:c16="http://schemas.microsoft.com/office/drawing/2014/chart" uri="{C3380CC4-5D6E-409C-BE32-E72D297353CC}">
              <c16:uniqueId val="{00000000-AA7A-3649-8593-97D20D826FB2}"/>
            </c:ext>
          </c:extLst>
        </c:ser>
        <c:ser>
          <c:idx val="1"/>
          <c:order val="1"/>
          <c:tx>
            <c:strRef>
              <c:f>'EV Comparison Calculator'!$T$101</c:f>
              <c:strCache>
                <c:ptCount val="1"/>
                <c:pt idx="0">
                  <c:v>Gasoline Emissions</c:v>
                </c:pt>
              </c:strCache>
            </c:strRef>
          </c:tx>
          <c:spPr>
            <a:solidFill>
              <a:schemeClr val="accent3"/>
            </a:solidFill>
            <a:ln>
              <a:noFill/>
            </a:ln>
            <a:effectLst/>
          </c:spPr>
          <c:invertIfNegative val="0"/>
          <c:cat>
            <c:strRef>
              <c:f>'EV Comparison Calculator'!$U$99:$V$99</c:f>
              <c:strCache>
                <c:ptCount val="2"/>
                <c:pt idx="0">
                  <c:v>PLEASE SELECT VEHICLE TO COMPARE FROM DROPDOWN</c:v>
                </c:pt>
                <c:pt idx="1">
                  <c:v>PLEASE SELECT ZERO-EMISSION VEHICLE FROM DROPDOWN</c:v>
                </c:pt>
              </c:strCache>
            </c:strRef>
          </c:cat>
          <c:val>
            <c:numRef>
              <c:f>'EV Comparison Calculator'!$U$101:$V$101</c:f>
              <c:numCache>
                <c:formatCode>_(* #,##0_);_(* \(#,##0\);_(* "-"??_);_(@_)</c:formatCode>
                <c:ptCount val="2"/>
                <c:pt idx="0">
                  <c:v>#N/A</c:v>
                </c:pt>
                <c:pt idx="1">
                  <c:v>#N/A</c:v>
                </c:pt>
              </c:numCache>
            </c:numRef>
          </c:val>
          <c:extLst>
            <c:ext xmlns:c16="http://schemas.microsoft.com/office/drawing/2014/chart" uri="{C3380CC4-5D6E-409C-BE32-E72D297353CC}">
              <c16:uniqueId val="{00000003-AA7A-3649-8593-97D20D826FB2}"/>
            </c:ext>
          </c:extLst>
        </c:ser>
        <c:dLbls>
          <c:showLegendKey val="0"/>
          <c:showVal val="0"/>
          <c:showCatName val="0"/>
          <c:showSerName val="0"/>
          <c:showPercent val="0"/>
          <c:showBubbleSize val="0"/>
        </c:dLbls>
        <c:gapWidth val="15"/>
        <c:overlap val="100"/>
        <c:axId val="1607407312"/>
        <c:axId val="1488200400"/>
      </c:barChart>
      <c:barChart>
        <c:barDir val="bar"/>
        <c:grouping val="stacked"/>
        <c:varyColors val="0"/>
        <c:ser>
          <c:idx val="2"/>
          <c:order val="2"/>
          <c:tx>
            <c:strRef>
              <c:f>'EV Comparison Calculator'!$T$102</c:f>
              <c:strCache>
                <c:ptCount val="1"/>
                <c:pt idx="0">
                  <c:v>Tottal</c:v>
                </c:pt>
              </c:strCache>
            </c:strRef>
          </c:tx>
          <c:spPr>
            <a:noFill/>
            <a:ln>
              <a:noFill/>
            </a:ln>
            <a:effectLst/>
          </c:spPr>
          <c:invertIfNegative val="0"/>
          <c:dLbls>
            <c:dLbl>
              <c:idx val="0"/>
              <c:layout>
                <c:manualLayout>
                  <c:x val="0.42234570872450039"/>
                  <c:y val="7.575680605906666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A7A-3649-8593-97D20D826FB2}"/>
                </c:ext>
              </c:extLst>
            </c:dLbl>
            <c:dLbl>
              <c:idx val="1"/>
              <c:layout>
                <c:manualLayout>
                  <c:x val="0.35578390495104112"/>
                  <c:y val="-7.575680605906666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A7A-3649-8593-97D20D826FB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Comparison Calculator'!$U$99:$V$99</c:f>
              <c:strCache>
                <c:ptCount val="2"/>
                <c:pt idx="0">
                  <c:v>PLEASE SELECT VEHICLE TO COMPARE FROM DROPDOWN</c:v>
                </c:pt>
                <c:pt idx="1">
                  <c:v>PLEASE SELECT ZERO-EMISSION VEHICLE FROM DROPDOWN</c:v>
                </c:pt>
              </c:strCache>
            </c:strRef>
          </c:cat>
          <c:val>
            <c:numRef>
              <c:f>'EV Comparison Calculator'!$U$102:$V$102</c:f>
              <c:numCache>
                <c:formatCode>_(* #,##0_);_(* \(#,##0\);_(* "-"??_);_(@_)</c:formatCode>
                <c:ptCount val="2"/>
                <c:pt idx="0">
                  <c:v>#N/A</c:v>
                </c:pt>
                <c:pt idx="1">
                  <c:v>#N/A</c:v>
                </c:pt>
              </c:numCache>
            </c:numRef>
          </c:val>
          <c:extLst>
            <c:ext xmlns:c16="http://schemas.microsoft.com/office/drawing/2014/chart" uri="{C3380CC4-5D6E-409C-BE32-E72D297353CC}">
              <c16:uniqueId val="{00000006-AA7A-3649-8593-97D20D826FB2}"/>
            </c:ext>
          </c:extLst>
        </c:ser>
        <c:dLbls>
          <c:showLegendKey val="0"/>
          <c:showVal val="0"/>
          <c:showCatName val="0"/>
          <c:showSerName val="0"/>
          <c:showPercent val="0"/>
          <c:showBubbleSize val="0"/>
        </c:dLbls>
        <c:gapWidth val="15"/>
        <c:overlap val="100"/>
        <c:axId val="820960944"/>
        <c:axId val="813202896"/>
      </c:barChart>
      <c:catAx>
        <c:axId val="16074073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8200400"/>
        <c:crosses val="autoZero"/>
        <c:auto val="1"/>
        <c:lblAlgn val="ctr"/>
        <c:lblOffset val="100"/>
        <c:noMultiLvlLbl val="0"/>
      </c:catAx>
      <c:valAx>
        <c:axId val="1488200400"/>
        <c:scaling>
          <c:orientation val="minMax"/>
          <c:min val="0"/>
        </c:scaling>
        <c:delete val="0"/>
        <c:axPos val="b"/>
        <c:majorGridlines>
          <c:spPr>
            <a:ln w="9525" cap="flat" cmpd="sng" algn="ctr">
              <a:solidFill>
                <a:schemeClr val="bg1">
                  <a:lumMod val="9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407312"/>
        <c:crosses val="autoZero"/>
        <c:crossBetween val="between"/>
      </c:valAx>
      <c:valAx>
        <c:axId val="813202896"/>
        <c:scaling>
          <c:orientation val="minMax"/>
          <c:min val="0"/>
        </c:scaling>
        <c:delete val="0"/>
        <c:axPos val="t"/>
        <c:numFmt formatCode="_(* #,##0_);_(* \(#,##0\);_(*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0960944"/>
        <c:crosses val="max"/>
        <c:crossBetween val="between"/>
      </c:valAx>
      <c:catAx>
        <c:axId val="820960944"/>
        <c:scaling>
          <c:orientation val="minMax"/>
        </c:scaling>
        <c:delete val="1"/>
        <c:axPos val="l"/>
        <c:numFmt formatCode="General" sourceLinked="1"/>
        <c:majorTickMark val="out"/>
        <c:minorTickMark val="none"/>
        <c:tickLblPos val="nextTo"/>
        <c:crossAx val="813202896"/>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0.39046310563909487"/>
          <c:y val="0.91359728759117576"/>
          <c:w val="0.32444262111899269"/>
          <c:h val="6.373982289041065E-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9029484990589"/>
          <c:y val="0.1626984126984127"/>
          <c:w val="0.8117507248120579"/>
          <c:h val="0.65452287214098248"/>
        </c:manualLayout>
      </c:layout>
      <c:barChart>
        <c:barDir val="bar"/>
        <c:grouping val="stacked"/>
        <c:varyColors val="0"/>
        <c:ser>
          <c:idx val="0"/>
          <c:order val="0"/>
          <c:tx>
            <c:strRef>
              <c:f>'EV Comparison Calculator'!$Y$52</c:f>
              <c:strCache>
                <c:ptCount val="1"/>
                <c:pt idx="0">
                  <c:v>NET PURCHASE COST</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'EV Comparison Calculator'!$Z$51:$AA$51</c:f>
              <c:strCache>
                <c:ptCount val="2"/>
                <c:pt idx="0">
                  <c:v>PLEASE SELECT VEHICLE TO COMPARE FROM DROPDOWN</c:v>
                </c:pt>
                <c:pt idx="1">
                  <c:v>PLEASE SELECT ZERO-EMISSION VEHICLE FROM DROPDOWN</c:v>
                </c:pt>
              </c:strCache>
            </c:strRef>
          </c:cat>
          <c:val>
            <c:numRef>
              <c:f>'EV Comparison Calculator'!$Z$52:$AA$52</c:f>
              <c:numCache>
                <c:formatCode>_("$"* #,##0_);_("$"* \(#,##0\);_("$"* "-"??_);_(@_)</c:formatCode>
                <c:ptCount val="2"/>
                <c:pt idx="0">
                  <c:v>0</c:v>
                </c:pt>
                <c:pt idx="1">
                  <c:v>0</c:v>
                </c:pt>
              </c:numCache>
            </c:numRef>
          </c:val>
          <c:extLst>
            <c:ext xmlns:c16="http://schemas.microsoft.com/office/drawing/2014/chart" uri="{C3380CC4-5D6E-409C-BE32-E72D297353CC}">
              <c16:uniqueId val="{00000000-F8EE-E247-B8CC-7EFBB56070DE}"/>
            </c:ext>
          </c:extLst>
        </c:ser>
        <c:ser>
          <c:idx val="1"/>
          <c:order val="1"/>
          <c:tx>
            <c:strRef>
              <c:f>'EV Comparison Calculator'!$Y$53</c:f>
              <c:strCache>
                <c:ptCount val="1"/>
                <c:pt idx="0">
                  <c:v>ELECTRICITY COSTS</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'EV Comparison Calculator'!$Z$51:$AA$51</c:f>
              <c:strCache>
                <c:ptCount val="2"/>
                <c:pt idx="0">
                  <c:v>PLEASE SELECT VEHICLE TO COMPARE FROM DROPDOWN</c:v>
                </c:pt>
                <c:pt idx="1">
                  <c:v>PLEASE SELECT ZERO-EMISSION VEHICLE FROM DROPDOWN</c:v>
                </c:pt>
              </c:strCache>
            </c:strRef>
          </c:cat>
          <c:val>
            <c:numRef>
              <c:f>'EV Comparison Calculator'!$Z$53:$AA$53</c:f>
              <c:numCache>
                <c:formatCode>_("$"* #,##0_);_("$"* \(#,##0\);_("$"* "-"??_);_(@_)</c:formatCode>
                <c:ptCount val="2"/>
                <c:pt idx="0" formatCode="General">
                  <c:v>#N/A</c:v>
                </c:pt>
                <c:pt idx="1">
                  <c:v>#N/A</c:v>
                </c:pt>
              </c:numCache>
            </c:numRef>
          </c:val>
          <c:extLst>
            <c:ext xmlns:c16="http://schemas.microsoft.com/office/drawing/2014/chart" uri="{C3380CC4-5D6E-409C-BE32-E72D297353CC}">
              <c16:uniqueId val="{00000001-F8EE-E247-B8CC-7EFBB56070DE}"/>
            </c:ext>
          </c:extLst>
        </c:ser>
        <c:ser>
          <c:idx val="2"/>
          <c:order val="2"/>
          <c:tx>
            <c:strRef>
              <c:f>'EV Comparison Calculator'!$Y$54</c:f>
              <c:strCache>
                <c:ptCount val="1"/>
                <c:pt idx="0">
                  <c:v>GASOLINE COSTS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'EV Comparison Calculator'!$Z$51:$AA$51</c:f>
              <c:strCache>
                <c:ptCount val="2"/>
                <c:pt idx="0">
                  <c:v>PLEASE SELECT VEHICLE TO COMPARE FROM DROPDOWN</c:v>
                </c:pt>
                <c:pt idx="1">
                  <c:v>PLEASE SELECT ZERO-EMISSION VEHICLE FROM DROPDOWN</c:v>
                </c:pt>
              </c:strCache>
            </c:strRef>
          </c:cat>
          <c:val>
            <c:numRef>
              <c:f>'EV Comparison Calculator'!$Z$54:$AA$54</c:f>
              <c:numCache>
                <c:formatCode>_("$"* #,##0_);_("$"* \(#,##0\);_("$"* "-"??_);_(@_)</c:formatCode>
                <c:ptCount val="2"/>
                <c:pt idx="0">
                  <c:v>#N/A</c:v>
                </c:pt>
                <c:pt idx="1">
                  <c:v>#N/A</c:v>
                </c:pt>
              </c:numCache>
            </c:numRef>
          </c:val>
          <c:extLst>
            <c:ext xmlns:c16="http://schemas.microsoft.com/office/drawing/2014/chart" uri="{C3380CC4-5D6E-409C-BE32-E72D297353CC}">
              <c16:uniqueId val="{00000003-F8EE-E247-B8CC-7EFBB56070DE}"/>
            </c:ext>
          </c:extLst>
        </c:ser>
        <c:ser>
          <c:idx val="3"/>
          <c:order val="3"/>
          <c:tx>
            <c:strRef>
              <c:f>'EV Comparison Calculator'!$Y$55</c:f>
              <c:strCache>
                <c:ptCount val="1"/>
                <c:pt idx="0">
                  <c:v>MAINTENANCE COSTS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'EV Comparison Calculator'!$Z$51:$AA$51</c:f>
              <c:strCache>
                <c:ptCount val="2"/>
                <c:pt idx="0">
                  <c:v>PLEASE SELECT VEHICLE TO COMPARE FROM DROPDOWN</c:v>
                </c:pt>
                <c:pt idx="1">
                  <c:v>PLEASE SELECT ZERO-EMISSION VEHICLE FROM DROPDOWN</c:v>
                </c:pt>
              </c:strCache>
            </c:strRef>
          </c:cat>
          <c:val>
            <c:numRef>
              <c:f>'EV Comparison Calculator'!$Z$55:$AA$55</c:f>
              <c:numCache>
                <c:formatCode>_("$"* #,##0_);_("$"* \(#,##0\);_("$"* "-"??_);_(@_)</c:formatCode>
                <c:ptCount val="2"/>
                <c:pt idx="0">
                  <c:v>0</c:v>
                </c:pt>
                <c:pt idx="1">
                  <c:v>0</c:v>
                </c:pt>
              </c:numCache>
            </c:numRef>
          </c:val>
          <c:extLst>
            <c:ext xmlns:c16="http://schemas.microsoft.com/office/drawing/2014/chart" uri="{C3380CC4-5D6E-409C-BE32-E72D297353CC}">
              <c16:uniqueId val="{00000004-F8EE-E247-B8CC-7EFBB56070DE}"/>
            </c:ext>
          </c:extLst>
        </c:ser>
        <c:dLbls>
          <c:showLegendKey val="0"/>
          <c:showVal val="0"/>
          <c:showCatName val="0"/>
          <c:showSerName val="0"/>
          <c:showPercent val="0"/>
          <c:showBubbleSize val="0"/>
        </c:dLbls>
        <c:gapWidth val="50"/>
        <c:overlap val="100"/>
        <c:axId val="809965168"/>
        <c:axId val="809966816"/>
      </c:barChart>
      <c:barChart>
        <c:barDir val="bar"/>
        <c:grouping val="stacked"/>
        <c:varyColors val="0"/>
        <c:ser>
          <c:idx val="4"/>
          <c:order val="4"/>
          <c:tx>
            <c:strRef>
              <c:f>'EV Comparison Calculator'!$Y$56</c:f>
              <c:strCache>
                <c:ptCount val="1"/>
                <c:pt idx="0">
                  <c:v>TOTAL</c:v>
                </c:pt>
              </c:strCache>
            </c:strRef>
          </c:tx>
          <c:spPr>
            <a:noFill/>
            <a:ln>
              <a:noFill/>
            </a:ln>
            <a:effectLst/>
          </c:spPr>
          <c:invertIfNegative val="0"/>
          <c:dLbls>
            <c:dLbl>
              <c:idx val="0"/>
              <c:layout>
                <c:manualLayout>
                  <c:x val="0.65081625811207144"/>
                  <c:y val="-7.8325554350436016E-3"/>
                </c:manualLayout>
              </c:layout>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F8EE-E247-B8CC-7EFBB56070DE}"/>
                </c:ext>
              </c:extLst>
            </c:dLbl>
            <c:dLbl>
              <c:idx val="1"/>
              <c:layout>
                <c:manualLayout>
                  <c:x val="0.65636443989902382"/>
                  <c:y val="-2.3906627813255626E-2"/>
                </c:manualLayout>
              </c:layout>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F8EE-E247-B8CC-7EFBB56070DE}"/>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'EV Comparison Calculator'!$Z$51:$AA$51</c:f>
              <c:strCache>
                <c:ptCount val="2"/>
                <c:pt idx="0">
                  <c:v>PLEASE SELECT VEHICLE TO COMPARE FROM DROPDOWN</c:v>
                </c:pt>
                <c:pt idx="1">
                  <c:v>PLEASE SELECT ZERO-EMISSION VEHICLE FROM DROPDOWN</c:v>
                </c:pt>
              </c:strCache>
            </c:strRef>
          </c:cat>
          <c:val>
            <c:numRef>
              <c:f>'EV Comparison Calculator'!$Z$56:$AA$56</c:f>
              <c:numCache>
                <c:formatCode>_("$"* #,##0_);_("$"* \(#,##0\);_("$"* "-"??_);_(@_)</c:formatCode>
                <c:ptCount val="2"/>
                <c:pt idx="0">
                  <c:v>#N/A</c:v>
                </c:pt>
                <c:pt idx="1">
                  <c:v>#N/A</c:v>
                </c:pt>
              </c:numCache>
            </c:numRef>
          </c:val>
          <c:extLst>
            <c:ext xmlns:c16="http://schemas.microsoft.com/office/drawing/2014/chart" uri="{C3380CC4-5D6E-409C-BE32-E72D297353CC}">
              <c16:uniqueId val="{00000005-F8EE-E247-B8CC-7EFBB56070DE}"/>
            </c:ext>
          </c:extLst>
        </c:ser>
        <c:dLbls>
          <c:showLegendKey val="0"/>
          <c:showVal val="0"/>
          <c:showCatName val="0"/>
          <c:showSerName val="0"/>
          <c:showPercent val="0"/>
          <c:showBubbleSize val="0"/>
        </c:dLbls>
        <c:gapWidth val="15"/>
        <c:overlap val="100"/>
        <c:axId val="867428448"/>
        <c:axId val="820451120"/>
      </c:barChart>
      <c:catAx>
        <c:axId val="8099651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966816"/>
        <c:crosses val="autoZero"/>
        <c:auto val="1"/>
        <c:lblAlgn val="ctr"/>
        <c:lblOffset val="100"/>
        <c:noMultiLvlLbl val="0"/>
      </c:catAx>
      <c:valAx>
        <c:axId val="809966816"/>
        <c:scaling>
          <c:orientation val="minMax"/>
        </c:scaling>
        <c:delete val="0"/>
        <c:axPos val="b"/>
        <c:majorGridlines>
          <c:spPr>
            <a:ln w="9525" cap="flat" cmpd="sng" algn="ctr">
              <a:solidFill>
                <a:schemeClr val="bg1">
                  <a:lumMod val="9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965168"/>
        <c:crosses val="autoZero"/>
        <c:crossBetween val="between"/>
      </c:valAx>
      <c:valAx>
        <c:axId val="820451120"/>
        <c:scaling>
          <c:orientation val="minMax"/>
        </c:scaling>
        <c:delete val="0"/>
        <c:axPos val="t"/>
        <c:numFmt formatCode="_(&quot;$&quot;* #,##0_);_(&quot;$&quot;* \(#,##0\);_(&quot;$&quot;*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7428448"/>
        <c:crosses val="max"/>
        <c:crossBetween val="between"/>
      </c:valAx>
      <c:catAx>
        <c:axId val="867428448"/>
        <c:scaling>
          <c:orientation val="minMax"/>
        </c:scaling>
        <c:delete val="1"/>
        <c:axPos val="l"/>
        <c:numFmt formatCode="General" sourceLinked="1"/>
        <c:majorTickMark val="out"/>
        <c:minorTickMark val="none"/>
        <c:tickLblPos val="nextTo"/>
        <c:crossAx val="820451120"/>
        <c:crosses val="autoZero"/>
        <c:auto val="1"/>
        <c:lblAlgn val="ctr"/>
        <c:lblOffset val="100"/>
        <c:noMultiLvlLbl val="0"/>
      </c:catAx>
      <c:spPr>
        <a:noFill/>
        <a:ln>
          <a:noFill/>
        </a:ln>
        <a:effectLst/>
      </c:spPr>
    </c:plotArea>
    <c:legend>
      <c:legendPos val="b"/>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102624</xdr:colOff>
      <xdr:row>51</xdr:row>
      <xdr:rowOff>89799</xdr:rowOff>
    </xdr:from>
    <xdr:to>
      <xdr:col>6</xdr:col>
      <xdr:colOff>2552700</xdr:colOff>
      <xdr:row>65</xdr:row>
      <xdr:rowOff>12827</xdr:rowOff>
    </xdr:to>
    <xdr:graphicFrame macro="">
      <xdr:nvGraphicFramePr>
        <xdr:cNvPr id="2" name="Chart 1">
          <a:extLst>
            <a:ext uri="{FF2B5EF4-FFF2-40B4-BE49-F238E27FC236}">
              <a16:creationId xmlns:a16="http://schemas.microsoft.com/office/drawing/2014/main" id="{37816C69-97D4-274A-88A3-A13539C0D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2001052</xdr:colOff>
      <xdr:row>51</xdr:row>
      <xdr:rowOff>161771</xdr:rowOff>
    </xdr:from>
    <xdr:to>
      <xdr:col>15</xdr:col>
      <xdr:colOff>1032891</xdr:colOff>
      <xdr:row>51</xdr:row>
      <xdr:rowOff>558800</xdr:rowOff>
    </xdr:to>
    <xdr:sp macro="" textlink="$W$34">
      <xdr:nvSpPr>
        <xdr:cNvPr id="5" name="Rectangle 4">
          <a:extLst>
            <a:ext uri="{FF2B5EF4-FFF2-40B4-BE49-F238E27FC236}">
              <a16:creationId xmlns:a16="http://schemas.microsoft.com/office/drawing/2014/main" id="{97718130-EE31-AC41-80E5-FD0D89E9956F}"/>
            </a:ext>
          </a:extLst>
        </xdr:cNvPr>
        <xdr:cNvSpPr/>
      </xdr:nvSpPr>
      <xdr:spPr>
        <a:xfrm>
          <a:off x="10764052" y="13090371"/>
          <a:ext cx="6880439" cy="397029"/>
        </a:xfrm>
        <a:prstGeom prst="rect">
          <a:avLst/>
        </a:prstGeom>
        <a:solidFill>
          <a:schemeClr val="bg1">
            <a:lumMod val="8500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89ABFEF8-C832-9340-B24E-1AD1ED11604E}" type="TxLink">
            <a:rPr lang="en-US" sz="1200" b="0" i="0" u="none" strike="noStrike">
              <a:solidFill>
                <a:srgbClr val="000000"/>
              </a:solidFill>
              <a:latin typeface="Calibri"/>
              <a:cs typeface="Calibri"/>
            </a:rPr>
            <a:pPr algn="ctr"/>
            <a:t>#N/A</a:t>
          </a:fld>
          <a:endParaRPr lang="en-US" sz="1100" b="1" u="none">
            <a:solidFill>
              <a:schemeClr val="tx1"/>
            </a:solidFill>
          </a:endParaRPr>
        </a:p>
      </xdr:txBody>
    </xdr:sp>
    <xdr:clientData/>
  </xdr:twoCellAnchor>
  <xdr:twoCellAnchor>
    <xdr:from>
      <xdr:col>3</xdr:col>
      <xdr:colOff>309824</xdr:colOff>
      <xdr:row>67</xdr:row>
      <xdr:rowOff>50800</xdr:rowOff>
    </xdr:from>
    <xdr:to>
      <xdr:col>13</xdr:col>
      <xdr:colOff>685800</xdr:colOff>
      <xdr:row>81</xdr:row>
      <xdr:rowOff>127000</xdr:rowOff>
    </xdr:to>
    <xdr:graphicFrame macro="">
      <xdr:nvGraphicFramePr>
        <xdr:cNvPr id="6" name="Chart 5">
          <a:extLst>
            <a:ext uri="{FF2B5EF4-FFF2-40B4-BE49-F238E27FC236}">
              <a16:creationId xmlns:a16="http://schemas.microsoft.com/office/drawing/2014/main" id="{33F69687-F0D8-0C4B-9916-E342C0DB9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19050</xdr:colOff>
      <xdr:row>51</xdr:row>
      <xdr:rowOff>38100</xdr:rowOff>
    </xdr:from>
    <xdr:to>
      <xdr:col>16</xdr:col>
      <xdr:colOff>330200</xdr:colOff>
      <xdr:row>64</xdr:row>
      <xdr:rowOff>215900</xdr:rowOff>
    </xdr:to>
    <xdr:graphicFrame macro="">
      <xdr:nvGraphicFramePr>
        <xdr:cNvPr id="8" name="Chart 7">
          <a:extLst>
            <a:ext uri="{FF2B5EF4-FFF2-40B4-BE49-F238E27FC236}">
              <a16:creationId xmlns:a16="http://schemas.microsoft.com/office/drawing/2014/main" id="{581234AF-4E4B-5E41-9F5D-349CC093F5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508000</xdr:colOff>
      <xdr:row>67</xdr:row>
      <xdr:rowOff>304800</xdr:rowOff>
    </xdr:from>
    <xdr:to>
      <xdr:col>16</xdr:col>
      <xdr:colOff>228599</xdr:colOff>
      <xdr:row>79</xdr:row>
      <xdr:rowOff>228600</xdr:rowOff>
    </xdr:to>
    <xdr:sp macro="" textlink="$W$31">
      <xdr:nvSpPr>
        <xdr:cNvPr id="9" name="Rectangle 8">
          <a:extLst>
            <a:ext uri="{FF2B5EF4-FFF2-40B4-BE49-F238E27FC236}">
              <a16:creationId xmlns:a16="http://schemas.microsoft.com/office/drawing/2014/main" id="{2580A31B-06A8-9B4F-9A53-70B31B97D05A}"/>
            </a:ext>
          </a:extLst>
        </xdr:cNvPr>
        <xdr:cNvSpPr/>
      </xdr:nvSpPr>
      <xdr:spPr>
        <a:xfrm>
          <a:off x="15214600" y="17018000"/>
          <a:ext cx="4292599" cy="2819400"/>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5742722-FFD3-E44D-93C6-FEF4EFE03E87}" type="TxLink">
            <a:rPr lang="en-US" sz="1600" b="1" i="0" u="none" strike="noStrike">
              <a:solidFill>
                <a:srgbClr val="000000"/>
              </a:solidFill>
              <a:latin typeface="Calibri"/>
              <a:cs typeface="Calibri"/>
            </a:rPr>
            <a:pPr algn="ctr"/>
            <a:t>#N/A</a:t>
          </a:fld>
          <a:endParaRPr lang="en-US" sz="1400" b="1" u="none">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635000</xdr:colOff>
      <xdr:row>2</xdr:row>
      <xdr:rowOff>114300</xdr:rowOff>
    </xdr:from>
    <xdr:to>
      <xdr:col>0</xdr:col>
      <xdr:colOff>4559300</xdr:colOff>
      <xdr:row>2</xdr:row>
      <xdr:rowOff>1832784</xdr:rowOff>
    </xdr:to>
    <xdr:pic>
      <xdr:nvPicPr>
        <xdr:cNvPr id="5" name="Picture 4">
          <a:extLst>
            <a:ext uri="{FF2B5EF4-FFF2-40B4-BE49-F238E27FC236}">
              <a16:creationId xmlns:a16="http://schemas.microsoft.com/office/drawing/2014/main" id="{C0E440A8-7D96-B046-A7E1-20EF2651B764}"/>
            </a:ext>
          </a:extLst>
        </xdr:cNvPr>
        <xdr:cNvPicPr>
          <a:picLocks noChangeAspect="1"/>
        </xdr:cNvPicPr>
      </xdr:nvPicPr>
      <xdr:blipFill>
        <a:blip xmlns:r="http://schemas.openxmlformats.org/officeDocument/2006/relationships" r:embed="rId1"/>
        <a:stretch>
          <a:fillRect/>
        </a:stretch>
      </xdr:blipFill>
      <xdr:spPr>
        <a:xfrm>
          <a:off x="635000" y="520700"/>
          <a:ext cx="3924300" cy="17184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ehne, Chelsea (ENE)" id="{D7DD060F-F06C-9042-B4E2-0EB61E405745}" userId="S::chelsea.kehne@mass.gov::18a4958c-b8bf-4c93-9015-7eaeef9b9af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2" dT="2020-03-31T12:47:46.77" personId="{D7DD060F-F06C-9042-B4E2-0EB61E405745}" id="{30D86B1B-5548-834D-9CE8-BA13EEBB557F}">
    <text xml:space="preserve">minimum level of level 2 charging rate and vehicle max AC intahe </text>
  </threadedComment>
  <threadedComment ref="U2" dT="2020-03-31T12:27:23.51" personId="{D7DD060F-F06C-9042-B4E2-0EB61E405745}" id="{E13D7EE7-C6B1-3743-AD3B-799F328DAE5A}">
    <text>EPA efficiency rating</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ass.gov/doc/2018-summary-massachusetts-ghg-emissions-reports-for-retail-sellers-of-electricity/download" TargetMode="External"/><Relationship Id="rId7" Type="http://schemas.openxmlformats.org/officeDocument/2006/relationships/vmlDrawing" Target="../drawings/vmlDrawing1.vml"/><Relationship Id="rId2" Type="http://schemas.openxmlformats.org/officeDocument/2006/relationships/hyperlink" Target="https://advocacy.consumerreports.org/wp-content/uploads/2020/09/Maintenance-Cost-White-Paper-9.24.20-1.pdf" TargetMode="External"/><Relationship Id="rId1" Type="http://schemas.openxmlformats.org/officeDocument/2006/relationships/hyperlink" Target="https://ev.pge.com/vehicl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mass.gov/info-details/leading-by-example-program-scope-goals-and-administration"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mass.gov/doc/2018-summary-massachusetts-ghg-emissions-reports-for-retail-sellers-of-electricity/download" TargetMode="External"/><Relationship Id="rId2" Type="http://schemas.openxmlformats.org/officeDocument/2006/relationships/hyperlink" Target="https://advocacy.consumerreports.org/wp-content/uploads/2020/09/Maintenance-Cost-White-Paper-9.24.20-1.pdf" TargetMode="External"/><Relationship Id="rId1" Type="http://schemas.openxmlformats.org/officeDocument/2006/relationships/hyperlink" Target="https://ev.pge.com/vehicl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1BE9-8F78-5E4C-847B-454B7D454977}">
  <dimension ref="B1:BX108"/>
  <sheetViews>
    <sheetView tabSelected="1" zoomScale="75" zoomScaleNormal="80" workbookViewId="0">
      <selection activeCell="L22" sqref="L22:Q23"/>
    </sheetView>
  </sheetViews>
  <sheetFormatPr defaultColWidth="10.83203125" defaultRowHeight="15.5"/>
  <cols>
    <col min="1" max="1" width="2.08203125" style="79" customWidth="1"/>
    <col min="2" max="2" width="32.58203125" style="79" bestFit="1" customWidth="1"/>
    <col min="3" max="3" width="7.33203125" style="79" customWidth="1"/>
    <col min="4" max="4" width="7.5" style="79" customWidth="1"/>
    <col min="5" max="5" width="10.5" style="79" customWidth="1"/>
    <col min="6" max="6" width="11.33203125" style="79" customWidth="1"/>
    <col min="7" max="7" width="34.58203125" style="79" customWidth="1"/>
    <col min="8" max="8" width="2.08203125" style="79" customWidth="1"/>
    <col min="9" max="9" width="31" style="79" customWidth="1"/>
    <col min="10" max="10" width="3.33203125" style="79" customWidth="1"/>
    <col min="11" max="11" width="6.08203125" style="79" customWidth="1"/>
    <col min="12" max="12" width="4.58203125" style="79" customWidth="1"/>
    <col min="13" max="13" width="32.58203125" style="79" customWidth="1"/>
    <col min="14" max="14" width="21.08203125" style="79" customWidth="1"/>
    <col min="15" max="15" width="3.5" style="79" customWidth="1"/>
    <col min="16" max="16" width="35" style="79" customWidth="1"/>
    <col min="17" max="17" width="5.08203125" style="79" customWidth="1"/>
    <col min="18" max="18" width="2.5" style="79" customWidth="1"/>
    <col min="19" max="19" width="37.33203125" style="79" customWidth="1"/>
    <col min="20" max="20" width="24.83203125" style="45" customWidth="1"/>
    <col min="21" max="21" width="39.08203125" style="103" bestFit="1" customWidth="1"/>
    <col min="22" max="22" width="23.5" style="103" bestFit="1" customWidth="1"/>
    <col min="23" max="23" width="23.33203125" style="103" customWidth="1"/>
    <col min="24" max="24" width="13.83203125" style="103" bestFit="1" customWidth="1"/>
    <col min="25" max="25" width="23.5" style="103" bestFit="1" customWidth="1"/>
    <col min="26" max="26" width="28" style="103" bestFit="1" customWidth="1"/>
    <col min="27" max="27" width="24.58203125" style="103" bestFit="1" customWidth="1"/>
    <col min="28" max="28" width="16.5" style="103" bestFit="1" customWidth="1"/>
    <col min="29" max="37" width="13.83203125" style="103" bestFit="1" customWidth="1"/>
    <col min="38" max="46" width="10.83203125" style="103"/>
    <col min="47" max="76" width="10.83203125" style="104"/>
    <col min="77" max="16384" width="10.83203125" style="79"/>
  </cols>
  <sheetData>
    <row r="1" spans="2:76" ht="19" customHeight="1">
      <c r="B1" s="197" t="s">
        <v>0</v>
      </c>
      <c r="C1" s="198"/>
      <c r="D1" s="198"/>
      <c r="E1" s="198"/>
      <c r="F1" s="198"/>
      <c r="G1" s="198"/>
      <c r="H1" s="198"/>
      <c r="I1" s="198"/>
      <c r="J1" s="198"/>
      <c r="K1" s="198"/>
      <c r="L1" s="198"/>
      <c r="M1" s="198"/>
      <c r="N1" s="198"/>
      <c r="O1" s="198"/>
      <c r="P1" s="198"/>
      <c r="Q1" s="198"/>
      <c r="R1" s="198"/>
      <c r="S1" s="199"/>
      <c r="T1" s="44"/>
    </row>
    <row r="2" spans="2:76" ht="41.15" customHeight="1">
      <c r="B2" s="200"/>
      <c r="C2" s="201"/>
      <c r="D2" s="201"/>
      <c r="E2" s="201"/>
      <c r="F2" s="201"/>
      <c r="G2" s="201"/>
      <c r="H2" s="201"/>
      <c r="I2" s="201"/>
      <c r="J2" s="201"/>
      <c r="K2" s="201"/>
      <c r="L2" s="201"/>
      <c r="M2" s="201"/>
      <c r="N2" s="201"/>
      <c r="O2" s="201"/>
      <c r="P2" s="201"/>
      <c r="Q2" s="201"/>
      <c r="R2" s="201"/>
      <c r="S2" s="202"/>
      <c r="T2" s="44"/>
    </row>
    <row r="3" spans="2:76" s="49" customFormat="1" ht="125.5" customHeight="1">
      <c r="B3" s="200"/>
      <c r="C3" s="201"/>
      <c r="D3" s="201"/>
      <c r="E3" s="201"/>
      <c r="F3" s="201"/>
      <c r="G3" s="201"/>
      <c r="H3" s="201"/>
      <c r="I3" s="201"/>
      <c r="J3" s="201"/>
      <c r="K3" s="201"/>
      <c r="L3" s="201"/>
      <c r="M3" s="201"/>
      <c r="N3" s="201"/>
      <c r="O3" s="201"/>
      <c r="P3" s="201"/>
      <c r="Q3" s="201"/>
      <c r="R3" s="201"/>
      <c r="S3" s="202"/>
      <c r="T3" s="44"/>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row>
    <row r="4" spans="2:76" s="156" customFormat="1" ht="24" customHeight="1">
      <c r="B4" s="229" t="s">
        <v>1</v>
      </c>
      <c r="C4" s="230"/>
      <c r="D4" s="230"/>
      <c r="E4" s="230"/>
      <c r="F4" s="230"/>
      <c r="G4" s="230"/>
      <c r="H4" s="230"/>
      <c r="I4" s="230"/>
      <c r="J4" s="230"/>
      <c r="K4" s="230"/>
      <c r="L4" s="230"/>
      <c r="M4" s="230"/>
      <c r="N4" s="230"/>
      <c r="O4" s="230"/>
      <c r="P4" s="230"/>
      <c r="Q4" s="230"/>
      <c r="R4" s="230"/>
      <c r="S4" s="231"/>
      <c r="T4" s="44"/>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row>
    <row r="5" spans="2:76" s="49" customFormat="1" ht="14.15" customHeight="1" thickBot="1">
      <c r="B5" s="145"/>
      <c r="C5" s="80"/>
      <c r="D5" s="80"/>
      <c r="E5" s="80"/>
      <c r="F5" s="80"/>
      <c r="G5" s="80"/>
      <c r="H5" s="80"/>
      <c r="I5" s="80"/>
      <c r="J5" s="80"/>
      <c r="K5" s="80"/>
      <c r="L5" s="80"/>
      <c r="M5" s="80"/>
      <c r="N5" s="80"/>
      <c r="O5" s="80"/>
      <c r="P5" s="80"/>
      <c r="Q5" s="80"/>
      <c r="R5" s="80"/>
      <c r="S5" s="146"/>
      <c r="T5" s="44"/>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row>
    <row r="6" spans="2:76" ht="41.15" customHeight="1" thickBot="1">
      <c r="B6" s="147"/>
      <c r="C6" s="53"/>
      <c r="D6" s="53"/>
      <c r="E6" s="53"/>
      <c r="F6" s="81"/>
      <c r="G6" s="102" t="s">
        <v>2</v>
      </c>
      <c r="H6" s="49"/>
      <c r="I6" s="224" t="s">
        <v>3</v>
      </c>
      <c r="J6" s="225"/>
      <c r="K6" s="225"/>
      <c r="L6" s="225"/>
      <c r="M6" s="226"/>
      <c r="N6" s="49"/>
      <c r="O6" s="49"/>
      <c r="P6" s="49"/>
      <c r="Q6" s="49"/>
      <c r="R6" s="49"/>
      <c r="S6" s="148"/>
    </row>
    <row r="7" spans="2:76" ht="6" customHeight="1" thickBot="1">
      <c r="B7" s="149"/>
      <c r="C7" s="53"/>
      <c r="D7" s="53"/>
      <c r="E7" s="53"/>
      <c r="F7" s="81"/>
      <c r="G7" s="81"/>
      <c r="H7" s="81"/>
      <c r="I7" s="81"/>
      <c r="J7" s="83"/>
      <c r="K7" s="49"/>
      <c r="L7" s="49"/>
      <c r="M7" s="49"/>
      <c r="N7" s="49"/>
      <c r="O7" s="49"/>
      <c r="P7" s="49"/>
      <c r="Q7" s="49"/>
      <c r="R7" s="49"/>
      <c r="S7" s="148"/>
    </row>
    <row r="8" spans="2:76" ht="20.149999999999999" customHeight="1">
      <c r="B8" s="147"/>
      <c r="C8" s="53"/>
      <c r="D8" s="53"/>
      <c r="E8" s="53"/>
      <c r="F8" s="81"/>
      <c r="G8" s="49"/>
      <c r="H8" s="81"/>
      <c r="I8" s="84" t="s">
        <v>4</v>
      </c>
      <c r="J8" s="85"/>
      <c r="K8" s="86"/>
      <c r="L8" s="87"/>
      <c r="M8" s="47" t="s">
        <v>343</v>
      </c>
      <c r="N8" s="49"/>
      <c r="O8" s="49"/>
      <c r="P8" s="49"/>
      <c r="Q8" s="49"/>
      <c r="R8" s="49"/>
      <c r="S8" s="148"/>
    </row>
    <row r="9" spans="2:76" ht="20.149999999999999" customHeight="1">
      <c r="B9" s="147"/>
      <c r="C9" s="81"/>
      <c r="D9" s="49"/>
      <c r="E9" s="54"/>
      <c r="F9" s="81"/>
      <c r="G9" s="49"/>
      <c r="H9" s="81"/>
      <c r="I9" s="82"/>
      <c r="J9" s="83"/>
      <c r="K9" s="49"/>
      <c r="L9" s="49"/>
      <c r="M9" s="88"/>
      <c r="N9" s="49"/>
      <c r="O9" s="49"/>
      <c r="P9" s="49"/>
      <c r="Q9" s="49"/>
      <c r="R9" s="49"/>
      <c r="S9" s="148"/>
    </row>
    <row r="10" spans="2:76" ht="20.149999999999999" customHeight="1">
      <c r="B10" s="147"/>
      <c r="C10" s="54"/>
      <c r="D10" s="89"/>
      <c r="E10" s="55"/>
      <c r="F10" s="81"/>
      <c r="G10" s="49"/>
      <c r="H10" s="81"/>
      <c r="I10" s="90" t="s">
        <v>6</v>
      </c>
      <c r="J10" s="83"/>
      <c r="K10" s="49"/>
      <c r="L10" s="49"/>
      <c r="M10" s="48" t="s">
        <v>343</v>
      </c>
      <c r="N10" s="49"/>
      <c r="O10" s="49"/>
      <c r="P10" s="49"/>
      <c r="Q10" s="49"/>
      <c r="R10" s="49"/>
      <c r="S10" s="148"/>
    </row>
    <row r="11" spans="2:76" ht="20.149999999999999" customHeight="1">
      <c r="B11" s="147"/>
      <c r="C11" s="81"/>
      <c r="D11" s="49"/>
      <c r="E11" s="54"/>
      <c r="F11" s="81"/>
      <c r="G11" s="49"/>
      <c r="H11" s="81"/>
      <c r="I11" s="91"/>
      <c r="J11" s="83"/>
      <c r="K11" s="49"/>
      <c r="L11" s="49"/>
      <c r="M11" s="88"/>
      <c r="N11" s="49"/>
      <c r="O11" s="49"/>
      <c r="P11" s="49"/>
      <c r="Q11" s="49"/>
      <c r="R11" s="49"/>
      <c r="S11" s="148"/>
    </row>
    <row r="12" spans="2:76" ht="20.149999999999999" customHeight="1">
      <c r="B12" s="147"/>
      <c r="C12" s="54"/>
      <c r="D12" s="49"/>
      <c r="E12" s="54"/>
      <c r="F12" s="81"/>
      <c r="G12" s="49"/>
      <c r="H12" s="81"/>
      <c r="I12" s="90" t="s">
        <v>7</v>
      </c>
      <c r="J12" s="83"/>
      <c r="K12" s="49"/>
      <c r="L12" s="49"/>
      <c r="M12" s="48" t="s">
        <v>343</v>
      </c>
      <c r="N12" s="49"/>
      <c r="O12" s="49"/>
      <c r="P12" s="49"/>
      <c r="Q12" s="49"/>
      <c r="R12" s="49"/>
      <c r="S12" s="148"/>
    </row>
    <row r="13" spans="2:76" ht="20.149999999999999" customHeight="1">
      <c r="B13" s="147"/>
      <c r="C13" s="81"/>
      <c r="D13" s="49"/>
      <c r="E13" s="54"/>
      <c r="F13" s="81"/>
      <c r="G13" s="49"/>
      <c r="H13" s="81"/>
      <c r="I13" s="91"/>
      <c r="J13" s="83"/>
      <c r="K13" s="49"/>
      <c r="L13" s="49"/>
      <c r="M13" s="92"/>
      <c r="N13" s="49"/>
      <c r="O13" s="49"/>
      <c r="P13" s="49"/>
      <c r="Q13" s="49"/>
      <c r="R13" s="49"/>
      <c r="S13" s="148"/>
    </row>
    <row r="14" spans="2:76" ht="20.149999999999999" customHeight="1">
      <c r="B14" s="147"/>
      <c r="C14" s="54"/>
      <c r="D14" s="49"/>
      <c r="E14" s="54"/>
      <c r="F14" s="81"/>
      <c r="G14" s="49"/>
      <c r="H14" s="81"/>
      <c r="I14" s="90" t="s">
        <v>8</v>
      </c>
      <c r="J14" s="83"/>
      <c r="K14" s="49"/>
      <c r="L14" s="49"/>
      <c r="M14" s="46" t="s">
        <v>343</v>
      </c>
      <c r="N14" s="49"/>
      <c r="O14" s="49"/>
      <c r="P14" s="49"/>
      <c r="Q14" s="49"/>
      <c r="R14" s="49"/>
      <c r="S14" s="148"/>
    </row>
    <row r="15" spans="2:76" ht="20.149999999999999" customHeight="1">
      <c r="B15" s="147"/>
      <c r="C15" s="81"/>
      <c r="D15" s="49"/>
      <c r="E15" s="54"/>
      <c r="F15" s="81"/>
      <c r="G15" s="49"/>
      <c r="H15" s="81"/>
      <c r="I15" s="91"/>
      <c r="J15" s="83"/>
      <c r="K15" s="49"/>
      <c r="L15" s="49"/>
      <c r="M15" s="92"/>
      <c r="N15" s="49"/>
      <c r="O15" s="49"/>
      <c r="P15" s="49"/>
      <c r="Q15" s="49"/>
      <c r="R15" s="49"/>
      <c r="S15" s="148"/>
    </row>
    <row r="16" spans="2:76" ht="20.149999999999999" customHeight="1">
      <c r="B16" s="147"/>
      <c r="C16" s="81"/>
      <c r="D16" s="49"/>
      <c r="E16" s="54"/>
      <c r="F16" s="81"/>
      <c r="G16" s="49"/>
      <c r="H16" s="81"/>
      <c r="I16" s="90" t="s">
        <v>9</v>
      </c>
      <c r="J16" s="83"/>
      <c r="K16" s="49"/>
      <c r="L16" s="49"/>
      <c r="M16" s="57" t="s">
        <v>343</v>
      </c>
      <c r="N16" s="49" t="s">
        <v>10</v>
      </c>
      <c r="O16" s="49"/>
      <c r="P16" s="49"/>
      <c r="Q16" s="49"/>
      <c r="R16" s="49"/>
      <c r="S16" s="148"/>
    </row>
    <row r="17" spans="2:76" ht="20.149999999999999" customHeight="1">
      <c r="B17" s="147"/>
      <c r="C17" s="81"/>
      <c r="D17" s="49"/>
      <c r="E17" s="54"/>
      <c r="F17" s="81"/>
      <c r="G17" s="49"/>
      <c r="H17" s="81"/>
      <c r="I17" s="91"/>
      <c r="J17" s="83"/>
      <c r="K17" s="49"/>
      <c r="L17" s="49"/>
      <c r="M17" s="92"/>
      <c r="N17" s="49"/>
      <c r="O17" s="49"/>
      <c r="P17" s="49"/>
      <c r="Q17" s="49"/>
      <c r="R17" s="49"/>
      <c r="S17" s="148"/>
    </row>
    <row r="18" spans="2:76" ht="20.149999999999999" customHeight="1" thickBot="1">
      <c r="B18" s="147"/>
      <c r="C18" s="54"/>
      <c r="D18" s="93"/>
      <c r="E18" s="54"/>
      <c r="F18" s="81"/>
      <c r="G18" s="49"/>
      <c r="H18" s="81"/>
      <c r="I18" s="94" t="s">
        <v>11</v>
      </c>
      <c r="J18" s="95"/>
      <c r="K18" s="95"/>
      <c r="L18" s="95"/>
      <c r="M18" s="72">
        <v>1</v>
      </c>
      <c r="N18" s="49"/>
      <c r="O18" s="49"/>
      <c r="P18" s="49"/>
      <c r="Q18" s="49"/>
      <c r="R18" s="49"/>
      <c r="S18" s="148"/>
    </row>
    <row r="19" spans="2:76" s="49" customFormat="1" ht="11.15" customHeight="1">
      <c r="B19" s="147"/>
      <c r="F19" s="71"/>
      <c r="G19" s="71"/>
      <c r="H19" s="71"/>
      <c r="I19" s="96"/>
      <c r="J19" s="96"/>
      <c r="L19" s="71"/>
      <c r="M19" s="71"/>
      <c r="N19" s="71"/>
      <c r="O19" s="71"/>
      <c r="P19" s="96"/>
      <c r="Q19" s="96"/>
      <c r="S19" s="148"/>
      <c r="T19" s="45"/>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row>
    <row r="20" spans="2:76" s="49" customFormat="1" ht="30" customHeight="1">
      <c r="B20" s="150"/>
      <c r="C20" s="97"/>
      <c r="D20" s="228" t="s">
        <v>12</v>
      </c>
      <c r="E20" s="228"/>
      <c r="F20" s="71"/>
      <c r="G20" s="71"/>
      <c r="H20" s="71"/>
      <c r="I20" s="96"/>
      <c r="J20" s="96"/>
      <c r="L20" s="228" t="s">
        <v>13</v>
      </c>
      <c r="M20" s="228"/>
      <c r="N20" s="71"/>
      <c r="O20" s="71"/>
      <c r="P20" s="96"/>
      <c r="Q20" s="96"/>
      <c r="S20" s="148"/>
      <c r="T20" s="45"/>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row>
    <row r="21" spans="2:76" s="49" customFormat="1" ht="11.15" customHeight="1" thickBot="1">
      <c r="B21" s="150"/>
      <c r="C21" s="97"/>
      <c r="D21" s="71"/>
      <c r="E21" s="71"/>
      <c r="F21" s="71"/>
      <c r="G21" s="71"/>
      <c r="H21" s="71"/>
      <c r="I21" s="96"/>
      <c r="J21" s="96"/>
      <c r="L21" s="71"/>
      <c r="M21" s="71"/>
      <c r="N21" s="71"/>
      <c r="O21" s="71"/>
      <c r="P21" s="96"/>
      <c r="Q21" s="96"/>
      <c r="S21" s="148"/>
      <c r="T21" s="45"/>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row>
    <row r="22" spans="2:76" ht="16" customHeight="1">
      <c r="B22" s="150"/>
      <c r="C22" s="97"/>
      <c r="D22" s="203" t="s">
        <v>311</v>
      </c>
      <c r="E22" s="204"/>
      <c r="F22" s="204"/>
      <c r="G22" s="204"/>
      <c r="H22" s="204"/>
      <c r="I22" s="204"/>
      <c r="J22" s="205"/>
      <c r="K22" s="49"/>
      <c r="L22" s="209" t="s">
        <v>312</v>
      </c>
      <c r="M22" s="210"/>
      <c r="N22" s="210"/>
      <c r="O22" s="210"/>
      <c r="P22" s="210"/>
      <c r="Q22" s="211"/>
      <c r="R22" s="49"/>
      <c r="S22" s="148"/>
    </row>
    <row r="23" spans="2:76" ht="20.149999999999999" customHeight="1" thickBot="1">
      <c r="B23" s="150"/>
      <c r="C23" s="97"/>
      <c r="D23" s="206"/>
      <c r="E23" s="207"/>
      <c r="F23" s="207"/>
      <c r="G23" s="207"/>
      <c r="H23" s="207"/>
      <c r="I23" s="207"/>
      <c r="J23" s="208"/>
      <c r="K23" s="49"/>
      <c r="L23" s="212"/>
      <c r="M23" s="213"/>
      <c r="N23" s="213"/>
      <c r="O23" s="213"/>
      <c r="P23" s="213"/>
      <c r="Q23" s="214"/>
      <c r="R23" s="49"/>
      <c r="S23" s="148"/>
    </row>
    <row r="24" spans="2:76" ht="12" customHeight="1">
      <c r="B24" s="147"/>
      <c r="C24" s="49"/>
      <c r="D24" s="14"/>
      <c r="E24" s="15"/>
      <c r="F24" s="15"/>
      <c r="G24" s="15"/>
      <c r="H24" s="15"/>
      <c r="I24" s="15"/>
      <c r="J24" s="16"/>
      <c r="K24" s="49"/>
      <c r="L24" s="14"/>
      <c r="M24" s="15"/>
      <c r="N24" s="15"/>
      <c r="O24" s="15"/>
      <c r="P24" s="15"/>
      <c r="Q24" s="16"/>
      <c r="R24" s="49"/>
      <c r="S24" s="148"/>
    </row>
    <row r="25" spans="2:76">
      <c r="B25" s="147"/>
      <c r="C25" s="49"/>
      <c r="D25" s="17"/>
      <c r="E25" s="18" t="s">
        <v>16</v>
      </c>
      <c r="F25" s="18"/>
      <c r="G25" s="18"/>
      <c r="H25" s="18"/>
      <c r="I25" s="18" t="s">
        <v>17</v>
      </c>
      <c r="J25" s="19"/>
      <c r="K25" s="49"/>
      <c r="L25" s="17"/>
      <c r="M25" s="18" t="s">
        <v>16</v>
      </c>
      <c r="N25" s="18"/>
      <c r="O25" s="18"/>
      <c r="P25" s="18" t="s">
        <v>17</v>
      </c>
      <c r="Q25" s="19"/>
      <c r="R25" s="49"/>
      <c r="S25" s="148"/>
    </row>
    <row r="26" spans="2:76" ht="21">
      <c r="B26" s="147"/>
      <c r="C26" s="49"/>
      <c r="D26" s="17"/>
      <c r="E26" s="20" t="str">
        <f>IFERROR(VLOOKUP(D22,'VEHICLE source'!A:AW,2,FALSE),"")</f>
        <v/>
      </c>
      <c r="F26" s="21"/>
      <c r="G26" s="21"/>
      <c r="H26" s="21"/>
      <c r="I26" s="20" t="str">
        <f>IFERROR(VLOOKUP(D22,'VEHICLE source'!A:AB,11,FALSE),"")</f>
        <v/>
      </c>
      <c r="J26" s="19"/>
      <c r="K26" s="49"/>
      <c r="L26" s="17"/>
      <c r="M26" s="20" t="str">
        <f>IFERROR(VLOOKUP(L22,'VEHICLE source'!A:AB,2,FALSE),"")</f>
        <v/>
      </c>
      <c r="N26" s="18"/>
      <c r="O26" s="18"/>
      <c r="P26" s="20" t="str">
        <f>IFERROR(VLOOKUP(L22,'VEHICLE source'!A:AB,11,FALSE),"")</f>
        <v/>
      </c>
      <c r="Q26" s="19"/>
      <c r="R26" s="49"/>
      <c r="S26" s="148"/>
    </row>
    <row r="27" spans="2:76">
      <c r="B27" s="176"/>
      <c r="C27" s="221"/>
      <c r="D27" s="17"/>
      <c r="E27" s="18"/>
      <c r="F27" s="18"/>
      <c r="G27" s="18"/>
      <c r="H27" s="18"/>
      <c r="I27" s="18"/>
      <c r="J27" s="19"/>
      <c r="K27" s="49"/>
      <c r="L27" s="17"/>
      <c r="M27" s="18"/>
      <c r="N27" s="18"/>
      <c r="O27" s="18"/>
      <c r="P27" s="18"/>
      <c r="Q27" s="19"/>
      <c r="R27" s="49"/>
      <c r="S27" s="148"/>
    </row>
    <row r="28" spans="2:76" ht="16" customHeight="1">
      <c r="B28" s="176"/>
      <c r="C28" s="221"/>
      <c r="D28" s="17"/>
      <c r="E28" s="18" t="s">
        <v>18</v>
      </c>
      <c r="F28" s="18"/>
      <c r="G28" s="18"/>
      <c r="H28" s="18"/>
      <c r="I28" s="18" t="s">
        <v>19</v>
      </c>
      <c r="J28" s="19"/>
      <c r="K28" s="49"/>
      <c r="L28" s="17"/>
      <c r="M28" s="18" t="s">
        <v>18</v>
      </c>
      <c r="N28" s="18"/>
      <c r="O28" s="18"/>
      <c r="P28" s="18" t="s">
        <v>19</v>
      </c>
      <c r="Q28" s="19"/>
      <c r="R28" s="222"/>
      <c r="S28" s="223"/>
    </row>
    <row r="29" spans="2:76" ht="21">
      <c r="B29" s="176"/>
      <c r="C29" s="221"/>
      <c r="D29" s="17"/>
      <c r="E29" s="20" t="str">
        <f>IFERROR(VLOOKUP(D22,'VEHICLE source'!A:AB,12,FALSE),"")</f>
        <v/>
      </c>
      <c r="F29" s="21"/>
      <c r="G29" s="21"/>
      <c r="H29" s="21"/>
      <c r="I29" s="20" t="str">
        <f>IFERROR(VLOOKUP(D22,'VEHICLE source'!A:AB,13,FALSE),"")</f>
        <v/>
      </c>
      <c r="J29" s="19"/>
      <c r="K29" s="49"/>
      <c r="L29" s="17"/>
      <c r="M29" s="20" t="str">
        <f>IFERROR(VLOOKUP(L22,'VEHICLE source'!A:AB,12,FALSE),"")</f>
        <v/>
      </c>
      <c r="N29" s="18"/>
      <c r="O29" s="18"/>
      <c r="P29" s="22" t="str">
        <f>IFERROR(VLOOKUP(L22,'VEHICLE source'!A:AB,13,FALSE),"")</f>
        <v/>
      </c>
      <c r="Q29" s="19"/>
      <c r="R29" s="222"/>
      <c r="S29" s="223"/>
    </row>
    <row r="30" spans="2:76">
      <c r="B30" s="147"/>
      <c r="C30" s="49"/>
      <c r="D30" s="17"/>
      <c r="E30" s="18"/>
      <c r="F30" s="18"/>
      <c r="G30" s="18"/>
      <c r="H30" s="18"/>
      <c r="I30" s="18"/>
      <c r="J30" s="19"/>
      <c r="K30" s="49"/>
      <c r="L30" s="17"/>
      <c r="M30" s="18"/>
      <c r="N30" s="18"/>
      <c r="O30" s="18"/>
      <c r="P30" s="18"/>
      <c r="Q30" s="19"/>
      <c r="R30" s="222"/>
      <c r="S30" s="223"/>
      <c r="V30" s="103" t="s">
        <v>20</v>
      </c>
      <c r="W30" s="103" t="str">
        <f>(D22)</f>
        <v>PLEASE SELECT ZERO-EMISSION VEHICLE FROM DROPDOWN</v>
      </c>
      <c r="X30" s="103" t="s">
        <v>21</v>
      </c>
      <c r="Y30" s="105" t="e">
        <f>ABS(V102-U102)</f>
        <v>#N/A</v>
      </c>
      <c r="Z30" s="103" t="e" cm="1">
        <f t="array" ref="Z30">_xlfn.IFS(V102&gt;U102,"more pounds of CO2e than the",V102&lt;U102,"fewer pounds of CO2e than the")</f>
        <v>#N/A</v>
      </c>
      <c r="AA30" s="103" t="str">
        <f>L22</f>
        <v>PLEASE SELECT VEHICLE TO COMPARE FROM DROPDOWN</v>
      </c>
      <c r="AB30" s="103" t="s">
        <v>22</v>
      </c>
    </row>
    <row r="31" spans="2:76">
      <c r="B31" s="147"/>
      <c r="C31" s="49"/>
      <c r="D31" s="17"/>
      <c r="E31" s="18" t="s">
        <v>23</v>
      </c>
      <c r="F31" s="18"/>
      <c r="G31" s="18"/>
      <c r="H31" s="18"/>
      <c r="I31" s="18" t="s">
        <v>24</v>
      </c>
      <c r="J31" s="19"/>
      <c r="K31" s="49"/>
      <c r="L31" s="17"/>
      <c r="M31" s="18" t="s">
        <v>23</v>
      </c>
      <c r="N31" s="18"/>
      <c r="O31" s="18"/>
      <c r="P31" s="18" t="s">
        <v>24</v>
      </c>
      <c r="Q31" s="19"/>
      <c r="R31" s="222"/>
      <c r="S31" s="223"/>
      <c r="W31" s="103" t="e">
        <f>_xlfn.CONCAT(V30," ",W30," ",X30," ",TEXT(Y30,"0")," ",Z30," ",AA30,AB30)</f>
        <v>#N/A</v>
      </c>
    </row>
    <row r="32" spans="2:76" ht="21">
      <c r="B32" s="147"/>
      <c r="C32" s="49"/>
      <c r="D32" s="17"/>
      <c r="E32" s="22" t="str">
        <f>IFERROR(VLOOKUP(D22,'VEHICLE source'!A:AB,8,FALSE),"")</f>
        <v/>
      </c>
      <c r="F32" s="21"/>
      <c r="G32" s="21"/>
      <c r="H32" s="21"/>
      <c r="I32" s="22" t="str">
        <f>IFERROR(VLOOKUP(D22,'VEHICLE source'!A:AZ,49,FALSE),"")</f>
        <v/>
      </c>
      <c r="J32" s="19"/>
      <c r="K32" s="49"/>
      <c r="L32" s="17"/>
      <c r="M32" s="22" t="str">
        <f>IFERROR(VLOOKUP(L22,'VEHICLE source'!A:AB,8,FALSE),"")</f>
        <v/>
      </c>
      <c r="N32" s="18"/>
      <c r="O32" s="18"/>
      <c r="P32" s="20" t="str">
        <f>IFERROR(VLOOKUP(L22,'VEHICLE source'!A:AZ,49,FALSE),"")</f>
        <v/>
      </c>
      <c r="Q32" s="19"/>
      <c r="R32" s="49"/>
      <c r="S32" s="148"/>
      <c r="V32" s="103" t="s">
        <v>20</v>
      </c>
      <c r="W32" s="103" t="str">
        <f>(D22)</f>
        <v>PLEASE SELECT ZERO-EMISSION VEHICLE FROM DROPDOWN</v>
      </c>
      <c r="X32" s="103" t="s">
        <v>25</v>
      </c>
      <c r="Y32" s="106" t="e">
        <f>ABS(SUM(Z52:Z55)-SUM(AA52:AA55))</f>
        <v>#N/A</v>
      </c>
      <c r="Z32" s="103" t="e" cm="1">
        <f t="array" ref="Z32">_xlfn.IFS(AA56&gt;Z56,"more expensive to own than the",AA56&lt;Z56,"cheaper to own than the")</f>
        <v>#N/A</v>
      </c>
      <c r="AA32" s="103" t="str">
        <f>L22</f>
        <v>PLEASE SELECT VEHICLE TO COMPARE FROM DROPDOWN</v>
      </c>
    </row>
    <row r="33" spans="2:27">
      <c r="B33" s="147"/>
      <c r="C33" s="49"/>
      <c r="D33" s="17"/>
      <c r="E33" s="18"/>
      <c r="F33" s="18"/>
      <c r="G33" s="18"/>
      <c r="H33" s="18"/>
      <c r="I33" s="18"/>
      <c r="J33" s="19"/>
      <c r="K33" s="49"/>
      <c r="L33" s="17"/>
      <c r="M33" s="18"/>
      <c r="N33" s="18"/>
      <c r="O33" s="18"/>
      <c r="P33" s="18"/>
      <c r="Q33" s="19"/>
      <c r="R33" s="49"/>
      <c r="S33" s="148"/>
    </row>
    <row r="34" spans="2:27">
      <c r="B34" s="215"/>
      <c r="C34" s="216"/>
      <c r="D34" s="17"/>
      <c r="E34" s="18" t="s">
        <v>26</v>
      </c>
      <c r="F34" s="18"/>
      <c r="G34" s="18"/>
      <c r="H34" s="18"/>
      <c r="I34" s="18" t="s">
        <v>27</v>
      </c>
      <c r="J34" s="19"/>
      <c r="K34" s="49"/>
      <c r="L34" s="17"/>
      <c r="M34" s="18" t="s">
        <v>26</v>
      </c>
      <c r="N34" s="18"/>
      <c r="O34" s="18"/>
      <c r="P34" s="18" t="s">
        <v>27</v>
      </c>
      <c r="Q34" s="19"/>
      <c r="R34" s="49"/>
      <c r="S34" s="148"/>
      <c r="W34" s="103" t="e">
        <f>_xlfn.CONCAT(V32," ",W32," ",X32," ",TEXT(Y32,"$0")," ",Z32," ",AA32)</f>
        <v>#N/A</v>
      </c>
    </row>
    <row r="35" spans="2:27" ht="21">
      <c r="B35" s="147"/>
      <c r="C35" s="49"/>
      <c r="D35" s="17"/>
      <c r="E35" s="22" t="str">
        <f>IFERROR(VLOOKUP(D22,'VEHICLE source'!A:AB,15,FALSE),"")</f>
        <v/>
      </c>
      <c r="F35" s="21"/>
      <c r="G35" s="21"/>
      <c r="H35" s="21"/>
      <c r="I35" s="22" t="str">
        <f>IFERROR(VLOOKUP(D22,'VEHICLE source'!A:AB,23,FALSE),"")</f>
        <v/>
      </c>
      <c r="J35" s="19"/>
      <c r="K35" s="49"/>
      <c r="L35" s="17"/>
      <c r="M35" s="22" t="str">
        <f>IFERROR(VLOOKUP(L22,'VEHICLE source'!A:AB,15,FALSE),"")</f>
        <v/>
      </c>
      <c r="N35" s="18"/>
      <c r="O35" s="18"/>
      <c r="P35" s="20" t="str">
        <f>IFERROR(VLOOKUP(L22,'VEHICLE source'!A:AB,23,FALSE),"")</f>
        <v/>
      </c>
      <c r="Q35" s="19"/>
      <c r="R35" s="49"/>
      <c r="S35" s="148"/>
    </row>
    <row r="36" spans="2:27">
      <c r="B36" s="147"/>
      <c r="C36" s="49"/>
      <c r="D36" s="17"/>
      <c r="E36" s="18"/>
      <c r="F36" s="18"/>
      <c r="G36" s="18"/>
      <c r="H36" s="18"/>
      <c r="I36" s="18"/>
      <c r="J36" s="19"/>
      <c r="K36" s="49"/>
      <c r="L36" s="17"/>
      <c r="M36" s="18"/>
      <c r="N36" s="18"/>
      <c r="O36" s="18"/>
      <c r="P36" s="18"/>
      <c r="Q36" s="19"/>
      <c r="R36" s="49"/>
      <c r="S36" s="148"/>
    </row>
    <row r="37" spans="2:27">
      <c r="B37" s="147"/>
      <c r="C37" s="49"/>
      <c r="D37" s="17"/>
      <c r="E37" s="18" t="s">
        <v>28</v>
      </c>
      <c r="F37" s="18"/>
      <c r="G37" s="18"/>
      <c r="H37" s="18"/>
      <c r="I37" s="18" t="s">
        <v>29</v>
      </c>
      <c r="J37" s="19"/>
      <c r="K37" s="49"/>
      <c r="L37" s="17"/>
      <c r="M37" s="18" t="s">
        <v>28</v>
      </c>
      <c r="N37" s="18"/>
      <c r="O37" s="18"/>
      <c r="P37" s="18" t="s">
        <v>29</v>
      </c>
      <c r="Q37" s="19"/>
      <c r="R37" s="49"/>
      <c r="S37" s="148"/>
    </row>
    <row r="38" spans="2:27" ht="21">
      <c r="B38" s="147"/>
      <c r="C38" s="49"/>
      <c r="D38" s="17"/>
      <c r="E38" s="32" t="str">
        <f>IFERROR(VLOOKUP(D22,'VEHICLE source'!A:AZ,48,FALSE),"")</f>
        <v/>
      </c>
      <c r="F38" s="21"/>
      <c r="G38" s="21"/>
      <c r="H38" s="21"/>
      <c r="I38" s="22" t="str">
        <f>IFERROR(VLOOKUP(D22,'VEHICLE source'!A:AB,22,FALSE),"")</f>
        <v/>
      </c>
      <c r="J38" s="19"/>
      <c r="K38" s="49"/>
      <c r="L38" s="17"/>
      <c r="M38" s="31" t="str">
        <f>IFERROR(VLOOKUP(L22,'VEHICLE source'!A:AZ,48,FALSE),"")</f>
        <v/>
      </c>
      <c r="N38" s="18"/>
      <c r="O38" s="18"/>
      <c r="P38" s="20" t="str">
        <f>IFERROR(VLOOKUP(L22,'VEHICLE source'!A:AB,22,FALSE),"")</f>
        <v/>
      </c>
      <c r="Q38" s="19"/>
      <c r="R38" s="49"/>
      <c r="S38" s="148"/>
    </row>
    <row r="39" spans="2:27">
      <c r="B39" s="147"/>
      <c r="C39" s="49"/>
      <c r="D39" s="17"/>
      <c r="E39" s="18"/>
      <c r="F39" s="18"/>
      <c r="G39" s="18"/>
      <c r="H39" s="18"/>
      <c r="I39" s="18"/>
      <c r="J39" s="19"/>
      <c r="K39" s="49"/>
      <c r="L39" s="17"/>
      <c r="M39" s="18"/>
      <c r="N39" s="18"/>
      <c r="O39" s="18"/>
      <c r="P39" s="18"/>
      <c r="Q39" s="19"/>
      <c r="R39" s="49"/>
      <c r="S39" s="148"/>
    </row>
    <row r="40" spans="2:27">
      <c r="B40" s="147"/>
      <c r="C40" s="49"/>
      <c r="D40" s="17"/>
      <c r="E40" s="18" t="s">
        <v>30</v>
      </c>
      <c r="F40" s="18"/>
      <c r="G40" s="18"/>
      <c r="H40" s="18"/>
      <c r="I40" s="18" t="s">
        <v>31</v>
      </c>
      <c r="J40" s="19"/>
      <c r="K40" s="49"/>
      <c r="L40" s="17"/>
      <c r="M40" s="18" t="s">
        <v>32</v>
      </c>
      <c r="N40" s="18"/>
      <c r="O40" s="18"/>
      <c r="P40" s="18" t="s">
        <v>31</v>
      </c>
      <c r="Q40" s="19"/>
      <c r="R40" s="49"/>
      <c r="S40" s="148"/>
    </row>
    <row r="41" spans="2:27" ht="21">
      <c r="B41" s="147"/>
      <c r="C41" s="49"/>
      <c r="D41" s="23"/>
      <c r="E41" s="32" t="str">
        <f>IFERROR(VLOOKUP(D22,'VEHICLE source'!A:AB,24,FALSE),"")</f>
        <v/>
      </c>
      <c r="F41" s="18"/>
      <c r="G41" s="18"/>
      <c r="H41" s="18"/>
      <c r="I41" s="31" t="b">
        <f>IFERROR(IF(M8="Purchase",VLOOKUP(D22,'VEHICLE source'!A:AU,25,FALSE),IF(M8="Standard Lease",VLOOKUP(D22,'VEHICLE source'!A:AU,26,FALSE),IF(M8="OVM Lease (Exec Branch Only)",VLOOKUP(D22,'VEHICLE source'!A:AU,47,FALSE)))),"")</f>
        <v>0</v>
      </c>
      <c r="J41" s="19"/>
      <c r="K41" s="49"/>
      <c r="L41" s="23"/>
      <c r="M41" s="31" t="str">
        <f>IFERROR(VLOOKUP(L22,'VEHICLE source'!A:AZ,24,FALSE),"")</f>
        <v/>
      </c>
      <c r="N41" s="18"/>
      <c r="O41" s="18"/>
      <c r="P41" s="31" t="b">
        <f>IFERROR(IF(M8="Purchase",VLOOKUP(L22,'VEHICLE source'!A:AU,25,FALSE),IF(M8="Standard Lease",VLOOKUP(L22,'VEHICLE source'!A:AU,26,FALSE),IF(M8="OVM Lease (Exec Branch Only)",VLOOKUP(L22,'VEHICLE source'!A:AU,47,FALSE)))),"")</f>
        <v>0</v>
      </c>
      <c r="Q41" s="19"/>
      <c r="R41" s="49"/>
      <c r="S41" s="148"/>
    </row>
    <row r="42" spans="2:27" ht="21">
      <c r="B42" s="147"/>
      <c r="C42" s="49"/>
      <c r="D42" s="23"/>
      <c r="E42" s="24"/>
      <c r="F42" s="18"/>
      <c r="G42" s="18"/>
      <c r="H42" s="18"/>
      <c r="I42" s="21"/>
      <c r="J42" s="19"/>
      <c r="K42" s="49"/>
      <c r="L42" s="23"/>
      <c r="M42" s="18"/>
      <c r="N42" s="18"/>
      <c r="O42" s="18"/>
      <c r="P42" s="18"/>
      <c r="Q42" s="19"/>
      <c r="R42" s="49"/>
      <c r="S42" s="148"/>
    </row>
    <row r="43" spans="2:27">
      <c r="B43" s="147"/>
      <c r="C43" s="49"/>
      <c r="D43" s="23"/>
      <c r="E43" s="18" t="s">
        <v>33</v>
      </c>
      <c r="F43" s="18"/>
      <c r="G43" s="18"/>
      <c r="H43" s="18"/>
      <c r="I43" s="18" t="s">
        <v>34</v>
      </c>
      <c r="J43" s="19"/>
      <c r="K43" s="49"/>
      <c r="L43" s="23"/>
      <c r="M43" s="18" t="s">
        <v>33</v>
      </c>
      <c r="N43" s="18"/>
      <c r="O43" s="18"/>
      <c r="P43" s="18" t="s">
        <v>34</v>
      </c>
      <c r="Q43" s="19"/>
      <c r="R43" s="49"/>
      <c r="S43" s="148"/>
    </row>
    <row r="44" spans="2:27" ht="21">
      <c r="B44" s="147"/>
      <c r="C44" s="49"/>
      <c r="D44" s="23"/>
      <c r="E44" s="32" t="str">
        <f>IFERROR(E41-I41,"")</f>
        <v/>
      </c>
      <c r="F44" s="18"/>
      <c r="G44" s="18"/>
      <c r="H44" s="18"/>
      <c r="I44" s="31" t="str">
        <f>IFERROR(VLOOKUP(D22,'VEHICLE source'!A:AL,38,FALSE),"")</f>
        <v/>
      </c>
      <c r="J44" s="19"/>
      <c r="K44" s="49"/>
      <c r="L44" s="23"/>
      <c r="M44" s="31" t="str">
        <f>IFERROR(M38-P41,"")</f>
        <v/>
      </c>
      <c r="N44" s="18"/>
      <c r="O44" s="18"/>
      <c r="P44" s="31" t="str">
        <f>IFERROR(VLOOKUP(L22,'VEHICLE source'!A:AL,38,FALSE),"")</f>
        <v/>
      </c>
      <c r="Q44" s="19"/>
      <c r="R44" s="49"/>
      <c r="S44" s="148"/>
    </row>
    <row r="45" spans="2:27" ht="21.5" thickBot="1">
      <c r="B45" s="147"/>
      <c r="C45" s="49"/>
      <c r="D45" s="25"/>
      <c r="E45" s="26"/>
      <c r="F45" s="27"/>
      <c r="G45" s="27"/>
      <c r="H45" s="27"/>
      <c r="I45" s="28"/>
      <c r="J45" s="29"/>
      <c r="K45" s="49"/>
      <c r="L45" s="25"/>
      <c r="M45" s="27"/>
      <c r="N45" s="27"/>
      <c r="O45" s="27"/>
      <c r="P45" s="27"/>
      <c r="Q45" s="29"/>
      <c r="R45" s="49"/>
      <c r="S45" s="148"/>
    </row>
    <row r="46" spans="2:27">
      <c r="B46" s="147"/>
      <c r="C46" s="49"/>
      <c r="D46" s="49"/>
      <c r="E46" s="49"/>
      <c r="F46" s="49"/>
      <c r="G46" s="49"/>
      <c r="H46" s="49"/>
      <c r="I46" s="49"/>
      <c r="J46" s="49"/>
      <c r="K46" s="49"/>
      <c r="L46" s="49"/>
      <c r="M46" s="49"/>
      <c r="N46" s="49"/>
      <c r="O46" s="49"/>
      <c r="P46" s="49"/>
      <c r="Q46" s="49"/>
      <c r="R46" s="49"/>
      <c r="S46" s="148"/>
    </row>
    <row r="47" spans="2:27" ht="26">
      <c r="B47" s="147"/>
      <c r="C47" s="49"/>
      <c r="D47" s="227" t="s">
        <v>35</v>
      </c>
      <c r="E47" s="227"/>
      <c r="F47" s="227"/>
      <c r="G47" s="227"/>
      <c r="H47" s="227"/>
      <c r="I47" s="227"/>
      <c r="J47" s="227"/>
      <c r="K47" s="227"/>
      <c r="L47" s="227"/>
      <c r="M47" s="227"/>
      <c r="N47" s="227"/>
      <c r="O47" s="227"/>
      <c r="P47" s="227"/>
      <c r="Q47" s="227"/>
      <c r="R47" s="49"/>
      <c r="S47" s="148"/>
      <c r="Y47" s="158" t="s">
        <v>36</v>
      </c>
      <c r="Z47" s="158"/>
      <c r="AA47" s="158"/>
    </row>
    <row r="48" spans="2:27" ht="4" customHeight="1">
      <c r="B48" s="147"/>
      <c r="C48" s="49"/>
      <c r="D48" s="49"/>
      <c r="E48" s="49"/>
      <c r="F48" s="50"/>
      <c r="G48" s="50"/>
      <c r="H48" s="50"/>
      <c r="I48" s="50"/>
      <c r="J48" s="50"/>
      <c r="K48" s="50"/>
      <c r="L48" s="50"/>
      <c r="M48" s="50"/>
      <c r="N48" s="50"/>
      <c r="O48" s="51"/>
      <c r="P48" s="49"/>
      <c r="Q48" s="49"/>
      <c r="R48" s="49"/>
      <c r="S48" s="148"/>
      <c r="Y48" s="158"/>
      <c r="Z48" s="158"/>
      <c r="AA48" s="158"/>
    </row>
    <row r="49" spans="2:46" ht="4" customHeight="1">
      <c r="B49" s="147"/>
      <c r="C49" s="49"/>
      <c r="D49" s="49"/>
      <c r="E49" s="49"/>
      <c r="F49" s="50"/>
      <c r="G49" s="50"/>
      <c r="H49" s="50"/>
      <c r="I49" s="50"/>
      <c r="J49" s="50"/>
      <c r="K49" s="50"/>
      <c r="L49" s="50"/>
      <c r="M49" s="50"/>
      <c r="N49" s="50"/>
      <c r="O49" s="51"/>
      <c r="P49" s="49"/>
      <c r="Q49" s="49"/>
      <c r="R49" s="49"/>
      <c r="S49" s="148"/>
      <c r="Y49" s="158"/>
      <c r="Z49" s="158"/>
      <c r="AA49" s="158"/>
    </row>
    <row r="50" spans="2:46" ht="7" customHeight="1" thickBot="1">
      <c r="B50" s="147"/>
      <c r="C50" s="49"/>
      <c r="D50" s="49"/>
      <c r="E50" s="49"/>
      <c r="F50" s="49"/>
      <c r="G50" s="49"/>
      <c r="H50" s="49"/>
      <c r="I50" s="49"/>
      <c r="J50" s="49"/>
      <c r="K50" s="49"/>
      <c r="L50" s="49"/>
      <c r="M50" s="49"/>
      <c r="N50" s="49"/>
      <c r="O50" s="49"/>
      <c r="P50" s="49"/>
      <c r="Q50" s="49"/>
      <c r="R50" s="49"/>
      <c r="S50" s="148"/>
      <c r="Y50" s="158"/>
      <c r="Z50" s="158"/>
      <c r="AA50" s="158"/>
    </row>
    <row r="51" spans="2:46" ht="23.15" customHeight="1" thickBot="1">
      <c r="B51" s="159"/>
      <c r="C51" s="160"/>
      <c r="D51" s="161" t="s">
        <v>37</v>
      </c>
      <c r="E51" s="162"/>
      <c r="F51" s="162"/>
      <c r="G51" s="163"/>
      <c r="H51" s="52"/>
      <c r="I51" s="187" t="s">
        <v>38</v>
      </c>
      <c r="J51" s="188"/>
      <c r="K51" s="188"/>
      <c r="L51" s="188"/>
      <c r="M51" s="188"/>
      <c r="N51" s="188"/>
      <c r="O51" s="188"/>
      <c r="P51" s="188"/>
      <c r="Q51" s="189"/>
      <c r="R51" s="49"/>
      <c r="S51" s="148"/>
      <c r="Z51" s="103" t="str">
        <f>L22</f>
        <v>PLEASE SELECT VEHICLE TO COMPARE FROM DROPDOWN</v>
      </c>
      <c r="AA51" s="103" t="str">
        <f>D22</f>
        <v>PLEASE SELECT ZERO-EMISSION VEHICLE FROM DROPDOWN</v>
      </c>
    </row>
    <row r="52" spans="2:46" s="98" customFormat="1" ht="45" customHeight="1">
      <c r="B52" s="159"/>
      <c r="C52" s="160"/>
      <c r="D52" s="164"/>
      <c r="E52" s="165"/>
      <c r="F52" s="165"/>
      <c r="G52" s="166"/>
      <c r="H52" s="53"/>
      <c r="I52" s="190"/>
      <c r="J52" s="191"/>
      <c r="K52" s="191"/>
      <c r="L52" s="191"/>
      <c r="M52" s="191"/>
      <c r="N52" s="191"/>
      <c r="O52" s="191"/>
      <c r="P52" s="191"/>
      <c r="Q52" s="192"/>
      <c r="R52" s="70"/>
      <c r="S52" s="151"/>
      <c r="T52" s="174" t="s">
        <v>39</v>
      </c>
      <c r="U52" s="103"/>
      <c r="V52" s="103" t="str">
        <f>D22</f>
        <v>PLEASE SELECT ZERO-EMISSION VEHICLE FROM DROPDOWN</v>
      </c>
      <c r="W52" s="103" t="str">
        <f>L22</f>
        <v>PLEASE SELECT VEHICLE TO COMPARE FROM DROPDOWN</v>
      </c>
      <c r="X52" s="70"/>
      <c r="Y52" s="103" t="s">
        <v>40</v>
      </c>
      <c r="Z52" s="107" t="str">
        <f>M44</f>
        <v/>
      </c>
      <c r="AA52" s="107" t="str">
        <f>E44</f>
        <v/>
      </c>
      <c r="AB52" s="70"/>
      <c r="AC52" s="70"/>
      <c r="AD52" s="70"/>
      <c r="AE52" s="70"/>
      <c r="AF52" s="70"/>
      <c r="AG52" s="70"/>
      <c r="AH52" s="70"/>
      <c r="AI52" s="70"/>
      <c r="AJ52" s="70"/>
      <c r="AK52" s="70"/>
      <c r="AL52" s="70"/>
      <c r="AM52" s="70"/>
      <c r="AN52" s="70"/>
      <c r="AO52" s="70"/>
      <c r="AP52" s="70"/>
      <c r="AQ52" s="70"/>
      <c r="AR52" s="70"/>
      <c r="AS52" s="70"/>
      <c r="AT52" s="70"/>
    </row>
    <row r="53" spans="2:46" ht="16" customHeight="1">
      <c r="B53" s="159"/>
      <c r="C53" s="160"/>
      <c r="D53" s="167"/>
      <c r="E53" s="168"/>
      <c r="F53" s="168"/>
      <c r="G53" s="169"/>
      <c r="H53" s="54"/>
      <c r="I53" s="190"/>
      <c r="J53" s="191"/>
      <c r="K53" s="191"/>
      <c r="L53" s="191"/>
      <c r="M53" s="191"/>
      <c r="N53" s="191"/>
      <c r="O53" s="191"/>
      <c r="P53" s="191"/>
      <c r="Q53" s="192"/>
      <c r="R53" s="49"/>
      <c r="S53" s="148"/>
      <c r="T53" s="174"/>
      <c r="U53" s="103" t="s">
        <v>41</v>
      </c>
      <c r="V53" s="106" t="e">
        <f>VLOOKUP(V52,'VEHICLE source'!A:AZ,44,FALSE)</f>
        <v>#N/A</v>
      </c>
      <c r="W53" s="106" t="e">
        <f>VLOOKUP(W52,'VEHICLE source'!A:AZ,44,FALSE)</f>
        <v>#N/A</v>
      </c>
      <c r="Y53" s="103" t="s">
        <v>42</v>
      </c>
      <c r="Z53" s="142" t="e">
        <f>$W$63*$M$12</f>
        <v>#N/A</v>
      </c>
      <c r="AA53" s="107" t="e">
        <f>$V$63*$M$12</f>
        <v>#N/A</v>
      </c>
    </row>
    <row r="54" spans="2:46">
      <c r="B54" s="159"/>
      <c r="C54" s="160"/>
      <c r="D54" s="167"/>
      <c r="E54" s="168"/>
      <c r="F54" s="168"/>
      <c r="G54" s="169"/>
      <c r="H54" s="55"/>
      <c r="I54" s="190"/>
      <c r="J54" s="191"/>
      <c r="K54" s="191"/>
      <c r="L54" s="191"/>
      <c r="M54" s="191"/>
      <c r="N54" s="191"/>
      <c r="O54" s="191"/>
      <c r="P54" s="191"/>
      <c r="Q54" s="192"/>
      <c r="R54" s="49"/>
      <c r="S54" s="148"/>
      <c r="T54" s="174"/>
      <c r="U54" s="108" t="s">
        <v>43</v>
      </c>
      <c r="V54" s="109" t="e">
        <f>V53*M12</f>
        <v>#N/A</v>
      </c>
      <c r="W54" s="109" t="e">
        <f>W53*M12</f>
        <v>#N/A</v>
      </c>
      <c r="Y54" s="103" t="s">
        <v>44</v>
      </c>
      <c r="Z54" s="107" t="e">
        <f>$W$64*$M$12</f>
        <v>#N/A</v>
      </c>
      <c r="AA54" s="107" t="e">
        <f>$V$64*$M$12</f>
        <v>#N/A</v>
      </c>
    </row>
    <row r="55" spans="2:46">
      <c r="B55" s="159"/>
      <c r="C55" s="160"/>
      <c r="D55" s="167"/>
      <c r="E55" s="168"/>
      <c r="F55" s="168"/>
      <c r="G55" s="169"/>
      <c r="H55" s="54"/>
      <c r="I55" s="190"/>
      <c r="J55" s="191"/>
      <c r="K55" s="191"/>
      <c r="L55" s="191"/>
      <c r="M55" s="191"/>
      <c r="N55" s="191"/>
      <c r="O55" s="191"/>
      <c r="P55" s="191"/>
      <c r="Q55" s="192"/>
      <c r="R55" s="49"/>
      <c r="S55" s="148"/>
      <c r="T55" s="174"/>
      <c r="U55" s="103" t="s">
        <v>45</v>
      </c>
      <c r="V55" s="106" t="str">
        <f>$I$44</f>
        <v/>
      </c>
      <c r="W55" s="106" t="str">
        <f>$P$44</f>
        <v/>
      </c>
      <c r="Y55" s="103" t="s">
        <v>46</v>
      </c>
      <c r="Z55" s="107" t="e">
        <f>W56</f>
        <v>#VALUE!</v>
      </c>
      <c r="AA55" s="107" t="e">
        <f>V56</f>
        <v>#VALUE!</v>
      </c>
    </row>
    <row r="56" spans="2:46">
      <c r="B56" s="159"/>
      <c r="C56" s="160"/>
      <c r="D56" s="167"/>
      <c r="E56" s="168"/>
      <c r="F56" s="168"/>
      <c r="G56" s="169"/>
      <c r="H56" s="54"/>
      <c r="I56" s="190"/>
      <c r="J56" s="191"/>
      <c r="K56" s="191"/>
      <c r="L56" s="191"/>
      <c r="M56" s="191"/>
      <c r="N56" s="191"/>
      <c r="O56" s="191"/>
      <c r="P56" s="191"/>
      <c r="Q56" s="192"/>
      <c r="R56" s="49"/>
      <c r="S56" s="148"/>
      <c r="T56" s="174"/>
      <c r="U56" s="103" t="s">
        <v>47</v>
      </c>
      <c r="V56" s="106" t="e">
        <f>$V$55*$M$12</f>
        <v>#VALUE!</v>
      </c>
      <c r="W56" s="106" t="e">
        <f>$W$55*$M$12</f>
        <v>#VALUE!</v>
      </c>
      <c r="Y56" s="103" t="s">
        <v>48</v>
      </c>
      <c r="Z56" s="107" t="e">
        <f>SUM(Z52:Z55)</f>
        <v>#N/A</v>
      </c>
      <c r="AA56" s="107" t="e">
        <f>SUM(AA52:AA55)</f>
        <v>#N/A</v>
      </c>
    </row>
    <row r="57" spans="2:46">
      <c r="B57" s="159"/>
      <c r="C57" s="160"/>
      <c r="D57" s="167"/>
      <c r="E57" s="168"/>
      <c r="F57" s="168"/>
      <c r="G57" s="169"/>
      <c r="H57" s="54"/>
      <c r="I57" s="190"/>
      <c r="J57" s="191"/>
      <c r="K57" s="191"/>
      <c r="L57" s="191"/>
      <c r="M57" s="191"/>
      <c r="N57" s="191"/>
      <c r="O57" s="191"/>
      <c r="P57" s="191"/>
      <c r="Q57" s="192"/>
      <c r="R57" s="49"/>
      <c r="S57" s="148"/>
    </row>
    <row r="58" spans="2:46">
      <c r="B58" s="159"/>
      <c r="C58" s="160"/>
      <c r="D58" s="167"/>
      <c r="E58" s="168"/>
      <c r="F58" s="168"/>
      <c r="G58" s="169"/>
      <c r="H58" s="54"/>
      <c r="I58" s="190"/>
      <c r="J58" s="191"/>
      <c r="K58" s="191"/>
      <c r="L58" s="191"/>
      <c r="M58" s="191"/>
      <c r="N58" s="191"/>
      <c r="O58" s="191"/>
      <c r="P58" s="191"/>
      <c r="Q58" s="192"/>
      <c r="R58" s="49"/>
      <c r="S58" s="148"/>
      <c r="T58" s="175" t="s">
        <v>46</v>
      </c>
      <c r="V58" s="103" t="s">
        <v>49</v>
      </c>
      <c r="W58" s="103" t="s">
        <v>50</v>
      </c>
      <c r="X58" s="103" t="s">
        <v>51</v>
      </c>
      <c r="Y58" s="103" t="s">
        <v>52</v>
      </c>
      <c r="Z58" s="103" t="s">
        <v>53</v>
      </c>
      <c r="AA58" s="103" t="s">
        <v>54</v>
      </c>
      <c r="AB58" s="103" t="s">
        <v>55</v>
      </c>
    </row>
    <row r="59" spans="2:46">
      <c r="B59" s="159"/>
      <c r="C59" s="160"/>
      <c r="D59" s="167"/>
      <c r="E59" s="168"/>
      <c r="F59" s="168"/>
      <c r="G59" s="169"/>
      <c r="H59" s="54"/>
      <c r="I59" s="190"/>
      <c r="J59" s="191"/>
      <c r="K59" s="191"/>
      <c r="L59" s="191"/>
      <c r="M59" s="191"/>
      <c r="N59" s="191"/>
      <c r="O59" s="191"/>
      <c r="P59" s="191"/>
      <c r="Q59" s="192"/>
      <c r="R59" s="49"/>
      <c r="S59" s="148"/>
      <c r="T59" s="175"/>
      <c r="U59" s="110" t="str">
        <f>D22</f>
        <v>PLEASE SELECT ZERO-EMISSION VEHICLE FROM DROPDOWN</v>
      </c>
      <c r="V59" s="110" t="e">
        <f>VLOOKUP($D$22,'VEHICLE source'!$A:$AK,31,FALSE)</f>
        <v>#N/A</v>
      </c>
      <c r="W59" s="110" t="e">
        <f>VLOOKUP($D$22,'VEHICLE source'!$A:$AK,32,FALSE)</f>
        <v>#N/A</v>
      </c>
      <c r="X59" s="105" t="e">
        <f>VLOOKUP($D$22,'VEHICLE source'!$A:$AK,33,FALSE)</f>
        <v>#N/A</v>
      </c>
      <c r="Y59" s="111" t="e">
        <f>VLOOKUP($D$22,'VEHICLE source'!$A:$AK,34,FALSE)</f>
        <v>#N/A</v>
      </c>
      <c r="Z59" s="111" t="e">
        <f>VLOOKUP($D$22,'VEHICLE source'!$A:$AK,35,FALSE)</f>
        <v>#N/A</v>
      </c>
      <c r="AA59" s="111" t="e">
        <f>VLOOKUP($D$22,'VEHICLE source'!$A:$AK,36,FALSE)</f>
        <v>#N/A</v>
      </c>
      <c r="AB59" s="111" t="e">
        <f>VLOOKUP($D$22,'VEHICLE source'!$A:$AK,37,FALSE)</f>
        <v>#N/A</v>
      </c>
    </row>
    <row r="60" spans="2:46">
      <c r="B60" s="159"/>
      <c r="C60" s="160"/>
      <c r="D60" s="167"/>
      <c r="E60" s="168"/>
      <c r="F60" s="168"/>
      <c r="G60" s="169"/>
      <c r="H60" s="54"/>
      <c r="I60" s="190"/>
      <c r="J60" s="191"/>
      <c r="K60" s="191"/>
      <c r="L60" s="191"/>
      <c r="M60" s="191"/>
      <c r="N60" s="191"/>
      <c r="O60" s="191"/>
      <c r="P60" s="191"/>
      <c r="Q60" s="192"/>
      <c r="R60" s="49"/>
      <c r="S60" s="148"/>
      <c r="T60" s="175"/>
      <c r="U60" s="110" t="str">
        <f>L22</f>
        <v>PLEASE SELECT VEHICLE TO COMPARE FROM DROPDOWN</v>
      </c>
      <c r="V60" s="110" t="e">
        <f>VLOOKUP($L$22,'VEHICLE source'!$A:$AK,31,FALSE)</f>
        <v>#N/A</v>
      </c>
      <c r="W60" s="110" t="e">
        <f>VLOOKUP($L$22,'VEHICLE source'!$A:$AK,32,FALSE)</f>
        <v>#N/A</v>
      </c>
      <c r="X60" s="105" t="e">
        <f>VLOOKUP($L$22,'VEHICLE source'!$A:$AK,33,FALSE)</f>
        <v>#N/A</v>
      </c>
      <c r="Y60" s="111" t="e">
        <f>VLOOKUP($L$22,'VEHICLE source'!$A:$AK,34,FALSE)</f>
        <v>#N/A</v>
      </c>
      <c r="Z60" s="111" t="e">
        <f>VLOOKUP($L$22,'VEHICLE source'!$A:$AK,35,FALSE)</f>
        <v>#N/A</v>
      </c>
      <c r="AA60" s="111" t="e">
        <f>VLOOKUP($L$22,'VEHICLE source'!$A:$AK,36,FALSE)</f>
        <v>#N/A</v>
      </c>
      <c r="AB60" s="111" t="e">
        <f>VLOOKUP($L$22,'VEHICLE source'!$A:$AK,37,FALSE)</f>
        <v>#N/A</v>
      </c>
    </row>
    <row r="61" spans="2:46">
      <c r="B61" s="159"/>
      <c r="C61" s="160"/>
      <c r="D61" s="167"/>
      <c r="E61" s="168"/>
      <c r="F61" s="168"/>
      <c r="G61" s="169"/>
      <c r="H61" s="56"/>
      <c r="I61" s="190"/>
      <c r="J61" s="191"/>
      <c r="K61" s="191"/>
      <c r="L61" s="191"/>
      <c r="M61" s="191"/>
      <c r="N61" s="191"/>
      <c r="O61" s="191"/>
      <c r="P61" s="191"/>
      <c r="Q61" s="192"/>
      <c r="R61" s="49"/>
      <c r="S61" s="148"/>
    </row>
    <row r="62" spans="2:46">
      <c r="B62" s="159"/>
      <c r="C62" s="160"/>
      <c r="D62" s="167"/>
      <c r="E62" s="168"/>
      <c r="F62" s="168"/>
      <c r="G62" s="169"/>
      <c r="H62" s="56"/>
      <c r="I62" s="190"/>
      <c r="J62" s="191"/>
      <c r="K62" s="191"/>
      <c r="L62" s="191"/>
      <c r="M62" s="191"/>
      <c r="N62" s="191"/>
      <c r="O62" s="191"/>
      <c r="P62" s="191"/>
      <c r="Q62" s="192"/>
      <c r="R62" s="49"/>
      <c r="S62" s="148"/>
      <c r="T62" s="174" t="s">
        <v>56</v>
      </c>
      <c r="V62" s="103" t="str">
        <f>D22</f>
        <v>PLEASE SELECT ZERO-EMISSION VEHICLE FROM DROPDOWN</v>
      </c>
      <c r="W62" s="103" t="str">
        <f>L22</f>
        <v>PLEASE SELECT VEHICLE TO COMPARE FROM DROPDOWN</v>
      </c>
    </row>
    <row r="63" spans="2:46">
      <c r="B63" s="176"/>
      <c r="C63" s="177"/>
      <c r="D63" s="167"/>
      <c r="E63" s="168"/>
      <c r="F63" s="168"/>
      <c r="G63" s="169"/>
      <c r="H63" s="56"/>
      <c r="I63" s="190"/>
      <c r="J63" s="191"/>
      <c r="K63" s="191"/>
      <c r="L63" s="191"/>
      <c r="M63" s="191"/>
      <c r="N63" s="191"/>
      <c r="O63" s="191"/>
      <c r="P63" s="191"/>
      <c r="Q63" s="192"/>
      <c r="R63" s="49"/>
      <c r="S63" s="148"/>
      <c r="T63" s="174"/>
      <c r="U63" s="103" t="s">
        <v>57</v>
      </c>
      <c r="V63" s="106" t="e">
        <f>VLOOKUP(V62,'VEHICLE source'!$A:$AR,42,FALSE)</f>
        <v>#N/A</v>
      </c>
      <c r="W63" s="106" t="e">
        <f>VLOOKUP(W62,'VEHICLE source'!$A:$AR,42,FALSE)</f>
        <v>#N/A</v>
      </c>
      <c r="AA63" s="110"/>
    </row>
    <row r="64" spans="2:46">
      <c r="B64" s="176"/>
      <c r="C64" s="177"/>
      <c r="D64" s="167"/>
      <c r="E64" s="168"/>
      <c r="F64" s="168"/>
      <c r="G64" s="169"/>
      <c r="H64" s="56"/>
      <c r="I64" s="190"/>
      <c r="J64" s="191"/>
      <c r="K64" s="191"/>
      <c r="L64" s="191"/>
      <c r="M64" s="191"/>
      <c r="N64" s="191"/>
      <c r="O64" s="191"/>
      <c r="P64" s="191"/>
      <c r="Q64" s="192"/>
      <c r="R64" s="49"/>
      <c r="S64" s="148"/>
      <c r="T64" s="174"/>
      <c r="U64" s="103" t="s">
        <v>58</v>
      </c>
      <c r="V64" s="106" t="e">
        <f>VLOOKUP(V62,'VEHICLE source'!$A:$AR,43,FALSE)</f>
        <v>#N/A</v>
      </c>
      <c r="W64" s="106" t="e">
        <f>VLOOKUP(W62,'VEHICLE source'!$A:$AR,43,FALSE)</f>
        <v>#N/A</v>
      </c>
    </row>
    <row r="65" spans="2:52" ht="16" thickBot="1">
      <c r="B65" s="176"/>
      <c r="C65" s="177"/>
      <c r="D65" s="170"/>
      <c r="E65" s="171"/>
      <c r="F65" s="171"/>
      <c r="G65" s="172"/>
      <c r="H65" s="49"/>
      <c r="I65" s="193"/>
      <c r="J65" s="194"/>
      <c r="K65" s="194"/>
      <c r="L65" s="194"/>
      <c r="M65" s="194"/>
      <c r="N65" s="194"/>
      <c r="O65" s="194"/>
      <c r="P65" s="194"/>
      <c r="Q65" s="195"/>
      <c r="R65" s="49"/>
      <c r="S65" s="148"/>
      <c r="T65" s="174"/>
      <c r="U65" s="103" t="s">
        <v>59</v>
      </c>
      <c r="V65" s="106" t="e">
        <f>SUM(V63:V64)</f>
        <v>#N/A</v>
      </c>
      <c r="W65" s="106" t="e">
        <f>SUM(W63:W64)</f>
        <v>#N/A</v>
      </c>
    </row>
    <row r="66" spans="2:52" ht="16" thickBot="1">
      <c r="B66" s="147"/>
      <c r="C66" s="49"/>
      <c r="D66" s="49"/>
      <c r="E66" s="49"/>
      <c r="F66" s="49"/>
      <c r="G66" s="49"/>
      <c r="H66" s="49"/>
      <c r="I66" s="49"/>
      <c r="J66" s="49"/>
      <c r="K66" s="49"/>
      <c r="L66" s="49"/>
      <c r="M66" s="49"/>
      <c r="N66" s="49"/>
      <c r="O66" s="49"/>
      <c r="P66" s="49"/>
      <c r="Q66" s="49"/>
      <c r="R66" s="49"/>
      <c r="S66" s="148"/>
      <c r="Z66" s="110"/>
    </row>
    <row r="67" spans="2:52" ht="24" customHeight="1" thickBot="1">
      <c r="B67" s="147"/>
      <c r="C67" s="49"/>
      <c r="D67" s="187" t="s">
        <v>60</v>
      </c>
      <c r="E67" s="188"/>
      <c r="F67" s="188"/>
      <c r="G67" s="188"/>
      <c r="H67" s="188"/>
      <c r="I67" s="188"/>
      <c r="J67" s="188"/>
      <c r="K67" s="188"/>
      <c r="L67" s="188"/>
      <c r="M67" s="188"/>
      <c r="N67" s="188"/>
      <c r="O67" s="188"/>
      <c r="P67" s="188"/>
      <c r="Q67" s="189"/>
      <c r="R67" s="49"/>
      <c r="S67" s="148"/>
    </row>
    <row r="68" spans="2:52" ht="34" customHeight="1">
      <c r="B68" s="147"/>
      <c r="C68" s="49"/>
      <c r="D68" s="178" t="e">
        <f>W100</f>
        <v>#N/A</v>
      </c>
      <c r="E68" s="179"/>
      <c r="F68" s="179"/>
      <c r="G68" s="179"/>
      <c r="H68" s="179"/>
      <c r="I68" s="179"/>
      <c r="J68" s="179"/>
      <c r="K68" s="179"/>
      <c r="L68" s="179"/>
      <c r="M68" s="179"/>
      <c r="N68" s="179"/>
      <c r="O68" s="179"/>
      <c r="P68" s="179"/>
      <c r="Q68" s="180"/>
      <c r="R68" s="49"/>
      <c r="S68" s="148"/>
    </row>
    <row r="69" spans="2:52" ht="17.149999999999999" customHeight="1">
      <c r="B69" s="147"/>
      <c r="C69" s="49"/>
      <c r="D69" s="181"/>
      <c r="E69" s="182"/>
      <c r="F69" s="182"/>
      <c r="G69" s="182"/>
      <c r="H69" s="182"/>
      <c r="I69" s="182"/>
      <c r="J69" s="182"/>
      <c r="K69" s="182"/>
      <c r="L69" s="182"/>
      <c r="M69" s="182"/>
      <c r="N69" s="182"/>
      <c r="O69" s="182"/>
      <c r="P69" s="182"/>
      <c r="Q69" s="183"/>
      <c r="R69" s="49"/>
      <c r="S69" s="148"/>
      <c r="T69" s="174" t="s">
        <v>61</v>
      </c>
      <c r="U69" s="112" t="s">
        <v>62</v>
      </c>
      <c r="V69" s="103">
        <v>2020</v>
      </c>
      <c r="W69" s="103">
        <v>2021</v>
      </c>
      <c r="X69" s="103">
        <v>2022</v>
      </c>
      <c r="Y69" s="103">
        <v>2023</v>
      </c>
      <c r="Z69" s="103">
        <v>2024</v>
      </c>
      <c r="AA69" s="103">
        <v>2025</v>
      </c>
      <c r="AB69" s="103">
        <v>2026</v>
      </c>
      <c r="AC69" s="103">
        <v>2027</v>
      </c>
      <c r="AD69" s="103">
        <v>2028</v>
      </c>
      <c r="AE69" s="103">
        <v>2029</v>
      </c>
      <c r="AF69" s="103">
        <v>2030</v>
      </c>
      <c r="AG69" s="103">
        <v>2031</v>
      </c>
      <c r="AH69" s="103">
        <v>2032</v>
      </c>
      <c r="AI69" s="103">
        <v>2033</v>
      </c>
      <c r="AJ69" s="103">
        <v>2034</v>
      </c>
      <c r="AK69" s="103">
        <v>2035</v>
      </c>
      <c r="AL69" s="103">
        <v>2036</v>
      </c>
      <c r="AM69" s="103">
        <v>2037</v>
      </c>
      <c r="AN69" s="103">
        <v>2038</v>
      </c>
      <c r="AO69" s="103">
        <v>2039</v>
      </c>
      <c r="AP69" s="103">
        <v>2040</v>
      </c>
      <c r="AQ69" s="103">
        <v>2041</v>
      </c>
      <c r="AR69" s="103">
        <v>2042</v>
      </c>
      <c r="AS69" s="103">
        <v>2043</v>
      </c>
      <c r="AT69" s="103">
        <v>2044</v>
      </c>
      <c r="AU69" s="113">
        <v>2045</v>
      </c>
      <c r="AV69" s="114">
        <v>2046</v>
      </c>
      <c r="AW69" s="114">
        <v>2047</v>
      </c>
      <c r="AX69" s="114">
        <v>2048</v>
      </c>
      <c r="AY69" s="114">
        <v>2049</v>
      </c>
      <c r="AZ69" s="114">
        <v>2050</v>
      </c>
    </row>
    <row r="70" spans="2:52">
      <c r="B70" s="147"/>
      <c r="C70" s="49"/>
      <c r="D70" s="181"/>
      <c r="E70" s="182"/>
      <c r="F70" s="182"/>
      <c r="G70" s="182"/>
      <c r="H70" s="182"/>
      <c r="I70" s="182"/>
      <c r="J70" s="182"/>
      <c r="K70" s="182"/>
      <c r="L70" s="182"/>
      <c r="M70" s="182"/>
      <c r="N70" s="182"/>
      <c r="O70" s="182"/>
      <c r="P70" s="182"/>
      <c r="Q70" s="183"/>
      <c r="R70" s="49"/>
      <c r="S70" s="148"/>
      <c r="T70" s="174"/>
      <c r="U70" s="112" t="s">
        <v>63</v>
      </c>
      <c r="V70" s="115">
        <v>0.70450000000000002</v>
      </c>
      <c r="W70" s="115">
        <v>0.68947066666666668</v>
      </c>
      <c r="X70" s="115">
        <v>0.67444133333333334</v>
      </c>
      <c r="Y70" s="115">
        <v>0.659412</v>
      </c>
      <c r="Z70" s="115">
        <v>0.64438266666666666</v>
      </c>
      <c r="AA70" s="115">
        <v>0.62935333333333332</v>
      </c>
      <c r="AB70" s="115">
        <v>0.61432399999999998</v>
      </c>
      <c r="AC70" s="115">
        <v>0.59929466666666664</v>
      </c>
      <c r="AD70" s="115">
        <v>0.5842653333333333</v>
      </c>
      <c r="AE70" s="115">
        <v>0.56923599999999996</v>
      </c>
      <c r="AF70" s="115">
        <v>0.55420666666666663</v>
      </c>
      <c r="AG70" s="115">
        <v>0.53917733333333329</v>
      </c>
      <c r="AH70" s="115">
        <v>0.52414799999999995</v>
      </c>
      <c r="AI70" s="115">
        <v>0.50911866666666661</v>
      </c>
      <c r="AJ70" s="115">
        <v>0.49408933333333327</v>
      </c>
      <c r="AK70" s="115">
        <v>0.47905999999999993</v>
      </c>
      <c r="AL70" s="115">
        <v>0.46403066666666659</v>
      </c>
      <c r="AM70" s="115">
        <v>0.44900133333333325</v>
      </c>
      <c r="AN70" s="115">
        <v>0.43397199999999991</v>
      </c>
      <c r="AO70" s="115">
        <v>0.41894266666666657</v>
      </c>
      <c r="AP70" s="115">
        <v>0.40391333333333324</v>
      </c>
      <c r="AQ70" s="115">
        <v>0.3888839999999999</v>
      </c>
      <c r="AR70" s="115">
        <v>0.37385466666666656</v>
      </c>
      <c r="AS70" s="115">
        <v>0.35882533333333322</v>
      </c>
      <c r="AT70" s="115">
        <v>0.34379599999999988</v>
      </c>
      <c r="AU70" s="116">
        <v>0.32876666666666654</v>
      </c>
      <c r="AV70" s="117">
        <v>0.3137373333333332</v>
      </c>
      <c r="AW70" s="117">
        <v>0.29870799999999986</v>
      </c>
      <c r="AX70" s="117">
        <v>0.28367866666666652</v>
      </c>
      <c r="AY70" s="117">
        <v>0.26864933333333318</v>
      </c>
      <c r="AZ70" s="117">
        <v>0.25362000000000001</v>
      </c>
    </row>
    <row r="71" spans="2:52">
      <c r="B71" s="147"/>
      <c r="C71" s="49"/>
      <c r="D71" s="181"/>
      <c r="E71" s="182"/>
      <c r="F71" s="182"/>
      <c r="G71" s="182"/>
      <c r="H71" s="182"/>
      <c r="I71" s="182"/>
      <c r="J71" s="182"/>
      <c r="K71" s="182"/>
      <c r="L71" s="182"/>
      <c r="M71" s="182"/>
      <c r="N71" s="182"/>
      <c r="O71" s="182"/>
      <c r="P71" s="182"/>
      <c r="Q71" s="183"/>
      <c r="R71" s="49"/>
      <c r="S71" s="148"/>
      <c r="T71" s="174"/>
      <c r="U71" s="112" t="s">
        <v>64</v>
      </c>
      <c r="V71" s="115">
        <v>3.1950113378684806E-4</v>
      </c>
      <c r="W71" s="115">
        <v>3.1268510959939531E-4</v>
      </c>
      <c r="X71" s="115">
        <v>3.0586908541194256E-4</v>
      </c>
      <c r="Y71" s="115">
        <v>2.990530612244898E-4</v>
      </c>
      <c r="Z71" s="115">
        <v>2.9223703703703705E-4</v>
      </c>
      <c r="AA71" s="115">
        <v>2.854210128495843E-4</v>
      </c>
      <c r="AB71" s="115">
        <v>2.7860498866213155E-4</v>
      </c>
      <c r="AC71" s="115">
        <v>2.717889644746788E-4</v>
      </c>
      <c r="AD71" s="115">
        <v>2.6497294028722605E-4</v>
      </c>
      <c r="AE71" s="115">
        <v>2.581569160997733E-4</v>
      </c>
      <c r="AF71" s="115">
        <v>2.5134089191232055E-4</v>
      </c>
      <c r="AG71" s="115">
        <v>2.4452486772486779E-4</v>
      </c>
      <c r="AH71" s="115">
        <v>2.3770884353741504E-4</v>
      </c>
      <c r="AI71" s="115">
        <v>2.3089281934996229E-4</v>
      </c>
      <c r="AJ71" s="115">
        <v>2.2407679516250954E-4</v>
      </c>
      <c r="AK71" s="115">
        <v>2.1726077097505679E-4</v>
      </c>
      <c r="AL71" s="115">
        <v>2.1044474678760404E-4</v>
      </c>
      <c r="AM71" s="115">
        <v>2.0362872260015129E-4</v>
      </c>
      <c r="AN71" s="115">
        <v>1.9681269841269854E-4</v>
      </c>
      <c r="AO71" s="115">
        <v>0.41894266666666657</v>
      </c>
      <c r="AP71" s="115">
        <v>0.40391333333333324</v>
      </c>
      <c r="AQ71" s="115">
        <v>0.3888839999999999</v>
      </c>
      <c r="AR71" s="115">
        <v>0.37385466666666656</v>
      </c>
      <c r="AS71" s="115">
        <v>0.35882533333333322</v>
      </c>
      <c r="AT71" s="115">
        <v>0.34379599999999988</v>
      </c>
      <c r="AU71" s="116">
        <v>0.32876666666666654</v>
      </c>
      <c r="AV71" s="117">
        <v>0.3137373333333332</v>
      </c>
      <c r="AW71" s="117">
        <v>0.29870799999999986</v>
      </c>
      <c r="AX71" s="117">
        <v>0.28367866666666652</v>
      </c>
      <c r="AY71" s="117">
        <v>0.26864933333333318</v>
      </c>
      <c r="AZ71" s="117">
        <v>1.1502040816326531E-4</v>
      </c>
    </row>
    <row r="72" spans="2:52">
      <c r="B72" s="147"/>
      <c r="C72" s="49"/>
      <c r="D72" s="181"/>
      <c r="E72" s="182"/>
      <c r="F72" s="182"/>
      <c r="G72" s="182"/>
      <c r="H72" s="182"/>
      <c r="I72" s="182"/>
      <c r="J72" s="182"/>
      <c r="K72" s="182"/>
      <c r="L72" s="182"/>
      <c r="M72" s="182"/>
      <c r="N72" s="182"/>
      <c r="O72" s="182"/>
      <c r="P72" s="182"/>
      <c r="Q72" s="183"/>
      <c r="R72" s="49"/>
      <c r="S72" s="148"/>
    </row>
    <row r="73" spans="2:52" ht="22" customHeight="1">
      <c r="B73" s="147"/>
      <c r="C73" s="49"/>
      <c r="D73" s="181"/>
      <c r="E73" s="182"/>
      <c r="F73" s="182"/>
      <c r="G73" s="182"/>
      <c r="H73" s="182"/>
      <c r="I73" s="182"/>
      <c r="J73" s="182"/>
      <c r="K73" s="182"/>
      <c r="L73" s="182"/>
      <c r="M73" s="182"/>
      <c r="N73" s="182"/>
      <c r="O73" s="182"/>
      <c r="P73" s="182"/>
      <c r="Q73" s="183"/>
      <c r="R73" s="49"/>
      <c r="S73" s="148"/>
      <c r="V73" s="118">
        <v>0.16</v>
      </c>
      <c r="W73" s="103">
        <f>V71*0.64</f>
        <v>2.0448072562358275E-4</v>
      </c>
      <c r="X73" s="103">
        <f>V70*0.64</f>
        <v>0.45088</v>
      </c>
      <c r="Y73" s="115">
        <f>(V71-AZ71)/30</f>
        <v>6.8160241874527588E-6</v>
      </c>
      <c r="Z73" s="103" t="s">
        <v>65</v>
      </c>
    </row>
    <row r="74" spans="2:52">
      <c r="B74" s="147"/>
      <c r="C74" s="49"/>
      <c r="D74" s="181"/>
      <c r="E74" s="182"/>
      <c r="F74" s="182"/>
      <c r="G74" s="182"/>
      <c r="H74" s="182"/>
      <c r="I74" s="182"/>
      <c r="J74" s="182"/>
      <c r="K74" s="182"/>
      <c r="L74" s="182"/>
      <c r="M74" s="182"/>
      <c r="N74" s="182"/>
      <c r="O74" s="182"/>
      <c r="P74" s="182"/>
      <c r="Q74" s="183"/>
      <c r="R74" s="49"/>
      <c r="S74" s="148"/>
      <c r="V74" s="103">
        <f>80-16</f>
        <v>64</v>
      </c>
      <c r="W74" s="115">
        <f>V71-W73</f>
        <v>1.1502040816326531E-4</v>
      </c>
      <c r="X74" s="115">
        <f>V70-X73</f>
        <v>0.25362000000000001</v>
      </c>
      <c r="Y74" s="103">
        <f>(V70-AZ70)/30</f>
        <v>1.5029333333333334E-2</v>
      </c>
      <c r="Z74" s="103" t="s">
        <v>66</v>
      </c>
    </row>
    <row r="75" spans="2:52" ht="16" customHeight="1">
      <c r="B75" s="147"/>
      <c r="C75" s="49"/>
      <c r="D75" s="181"/>
      <c r="E75" s="182"/>
      <c r="F75" s="182"/>
      <c r="G75" s="182"/>
      <c r="H75" s="182"/>
      <c r="I75" s="182"/>
      <c r="J75" s="182"/>
      <c r="K75" s="182"/>
      <c r="L75" s="182"/>
      <c r="M75" s="182"/>
      <c r="N75" s="182"/>
      <c r="O75" s="182"/>
      <c r="P75" s="182"/>
      <c r="Q75" s="183"/>
      <c r="R75" s="49"/>
      <c r="S75" s="148"/>
      <c r="W75" s="119" t="s">
        <v>65</v>
      </c>
      <c r="X75" s="119" t="s">
        <v>66</v>
      </c>
    </row>
    <row r="76" spans="2:52" ht="16" customHeight="1">
      <c r="B76" s="147"/>
      <c r="C76" s="49"/>
      <c r="D76" s="181"/>
      <c r="E76" s="182"/>
      <c r="F76" s="182"/>
      <c r="G76" s="182"/>
      <c r="H76" s="182"/>
      <c r="I76" s="182"/>
      <c r="J76" s="182"/>
      <c r="K76" s="182"/>
      <c r="L76" s="182"/>
      <c r="M76" s="182"/>
      <c r="N76" s="182"/>
      <c r="O76" s="182"/>
      <c r="P76" s="182"/>
      <c r="Q76" s="183"/>
      <c r="R76" s="49"/>
      <c r="S76" s="148"/>
      <c r="V76" s="103">
        <v>2020</v>
      </c>
      <c r="W76" s="103">
        <v>2021</v>
      </c>
      <c r="X76" s="103">
        <v>2022</v>
      </c>
      <c r="Y76" s="103">
        <v>2023</v>
      </c>
      <c r="Z76" s="103">
        <v>2024</v>
      </c>
      <c r="AA76" s="103">
        <v>2025</v>
      </c>
      <c r="AB76" s="103">
        <v>2026</v>
      </c>
      <c r="AC76" s="103">
        <v>2027</v>
      </c>
      <c r="AD76" s="103">
        <v>2028</v>
      </c>
      <c r="AE76" s="103">
        <v>2029</v>
      </c>
      <c r="AF76" s="103">
        <v>2030</v>
      </c>
      <c r="AG76" s="103">
        <v>2031</v>
      </c>
      <c r="AH76" s="103">
        <v>2032</v>
      </c>
      <c r="AI76" s="103">
        <v>2033</v>
      </c>
      <c r="AJ76" s="103">
        <v>2034</v>
      </c>
      <c r="AK76" s="103">
        <v>2035</v>
      </c>
    </row>
    <row r="77" spans="2:52" ht="16" customHeight="1">
      <c r="B77" s="147"/>
      <c r="C77" s="49"/>
      <c r="D77" s="181"/>
      <c r="E77" s="182"/>
      <c r="F77" s="182"/>
      <c r="G77" s="182"/>
      <c r="H77" s="182"/>
      <c r="I77" s="182"/>
      <c r="J77" s="182"/>
      <c r="K77" s="182"/>
      <c r="L77" s="182"/>
      <c r="M77" s="182"/>
      <c r="N77" s="182"/>
      <c r="O77" s="182"/>
      <c r="P77" s="182"/>
      <c r="Q77" s="183"/>
      <c r="R77" s="49"/>
      <c r="S77" s="148"/>
      <c r="T77" s="174" t="s">
        <v>67</v>
      </c>
      <c r="U77" s="120" t="s">
        <v>63</v>
      </c>
      <c r="V77" s="121">
        <v>19.643203583837458</v>
      </c>
      <c r="W77" s="121">
        <v>19.643203583837458</v>
      </c>
      <c r="X77" s="121">
        <v>19.643203583837458</v>
      </c>
      <c r="Y77" s="121">
        <v>19.643203583837458</v>
      </c>
      <c r="Z77" s="121">
        <v>19.643203583837458</v>
      </c>
      <c r="AA77" s="121">
        <v>19.643203583837458</v>
      </c>
      <c r="AB77" s="121">
        <v>19.643203583837458</v>
      </c>
      <c r="AC77" s="121">
        <v>19.643203583837458</v>
      </c>
      <c r="AD77" s="121">
        <v>19.643203583837458</v>
      </c>
      <c r="AE77" s="121">
        <v>19.643203583837458</v>
      </c>
      <c r="AF77" s="121">
        <v>19.643203583837458</v>
      </c>
      <c r="AG77" s="121">
        <v>19.643203583837458</v>
      </c>
      <c r="AH77" s="121">
        <v>19.643203583837458</v>
      </c>
      <c r="AI77" s="121">
        <v>19.643203583837458</v>
      </c>
      <c r="AJ77" s="121">
        <v>19.643203583837458</v>
      </c>
      <c r="AK77" s="121">
        <v>19.643203583837458</v>
      </c>
    </row>
    <row r="78" spans="2:52" ht="21" customHeight="1">
      <c r="B78" s="147"/>
      <c r="C78" s="49"/>
      <c r="D78" s="181"/>
      <c r="E78" s="182"/>
      <c r="F78" s="182"/>
      <c r="G78" s="182"/>
      <c r="H78" s="182"/>
      <c r="I78" s="182"/>
      <c r="J78" s="182"/>
      <c r="K78" s="182"/>
      <c r="L78" s="182"/>
      <c r="M78" s="182"/>
      <c r="N78" s="182"/>
      <c r="O78" s="182"/>
      <c r="P78" s="182"/>
      <c r="Q78" s="183"/>
      <c r="R78" s="49"/>
      <c r="S78" s="148"/>
      <c r="T78" s="174"/>
      <c r="U78" s="120" t="s">
        <v>64</v>
      </c>
      <c r="V78" s="122">
        <v>8.9084823509466924E-3</v>
      </c>
      <c r="W78" s="122">
        <v>8.9084823509466924E-3</v>
      </c>
      <c r="X78" s="122">
        <v>8.9084823509466924E-3</v>
      </c>
      <c r="Y78" s="122">
        <v>8.9084823509466924E-3</v>
      </c>
      <c r="Z78" s="122">
        <v>8.9084823509466924E-3</v>
      </c>
      <c r="AA78" s="122">
        <v>8.9084823509466924E-3</v>
      </c>
      <c r="AB78" s="122">
        <v>8.9084823509466924E-3</v>
      </c>
      <c r="AC78" s="122">
        <v>8.9084823509466924E-3</v>
      </c>
      <c r="AD78" s="122">
        <v>8.9084823509466924E-3</v>
      </c>
      <c r="AE78" s="122">
        <v>8.9084823509466924E-3</v>
      </c>
      <c r="AF78" s="122">
        <v>8.9084823509466924E-3</v>
      </c>
      <c r="AG78" s="122">
        <v>8.9084823509466924E-3</v>
      </c>
      <c r="AH78" s="122">
        <v>8.9084823509466924E-3</v>
      </c>
      <c r="AI78" s="122">
        <v>8.9084823509466924E-3</v>
      </c>
      <c r="AJ78" s="122">
        <v>8.9084823509466924E-3</v>
      </c>
      <c r="AK78" s="122">
        <v>8.9084823509466924E-3</v>
      </c>
      <c r="AL78" s="115"/>
      <c r="AM78" s="115"/>
      <c r="AN78" s="115"/>
      <c r="AO78" s="115"/>
      <c r="AP78" s="115"/>
      <c r="AQ78" s="115"/>
      <c r="AR78" s="115"/>
      <c r="AS78" s="115"/>
      <c r="AT78" s="115"/>
      <c r="AU78" s="123"/>
      <c r="AV78" s="123"/>
      <c r="AW78" s="123"/>
      <c r="AX78" s="123"/>
      <c r="AY78" s="123"/>
      <c r="AZ78" s="123"/>
    </row>
    <row r="79" spans="2:52">
      <c r="B79" s="147"/>
      <c r="C79" s="49"/>
      <c r="D79" s="181"/>
      <c r="E79" s="182"/>
      <c r="F79" s="182"/>
      <c r="G79" s="182"/>
      <c r="H79" s="182"/>
      <c r="I79" s="182"/>
      <c r="J79" s="182"/>
      <c r="K79" s="182"/>
      <c r="L79" s="182"/>
      <c r="M79" s="182"/>
      <c r="N79" s="182"/>
      <c r="O79" s="182"/>
      <c r="P79" s="182"/>
      <c r="Q79" s="183"/>
      <c r="R79" s="49"/>
      <c r="S79" s="148"/>
      <c r="V79" s="119"/>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23"/>
      <c r="AV79" s="123"/>
      <c r="AW79" s="123"/>
      <c r="AX79" s="123"/>
      <c r="AY79" s="123"/>
      <c r="AZ79" s="123"/>
    </row>
    <row r="80" spans="2:52" ht="19" customHeight="1">
      <c r="B80" s="147"/>
      <c r="C80" s="49"/>
      <c r="D80" s="181"/>
      <c r="E80" s="182"/>
      <c r="F80" s="182"/>
      <c r="G80" s="182"/>
      <c r="H80" s="182"/>
      <c r="I80" s="182"/>
      <c r="J80" s="182"/>
      <c r="K80" s="182"/>
      <c r="L80" s="182"/>
      <c r="M80" s="182"/>
      <c r="N80" s="182"/>
      <c r="O80" s="182"/>
      <c r="P80" s="182"/>
      <c r="Q80" s="183"/>
      <c r="R80" s="49"/>
      <c r="S80" s="148"/>
      <c r="U80" s="173" t="s">
        <v>68</v>
      </c>
      <c r="V80" s="173"/>
      <c r="W80" s="173"/>
      <c r="X80" s="173"/>
      <c r="Y80" s="173"/>
      <c r="Z80" s="173"/>
    </row>
    <row r="81" spans="2:28" ht="12" customHeight="1">
      <c r="B81" s="147"/>
      <c r="C81" s="49"/>
      <c r="D81" s="181"/>
      <c r="E81" s="182"/>
      <c r="F81" s="182"/>
      <c r="G81" s="182"/>
      <c r="H81" s="182"/>
      <c r="I81" s="182"/>
      <c r="J81" s="182"/>
      <c r="K81" s="182"/>
      <c r="L81" s="182"/>
      <c r="M81" s="182"/>
      <c r="N81" s="182"/>
      <c r="O81" s="182"/>
      <c r="P81" s="182"/>
      <c r="Q81" s="183"/>
      <c r="R81" s="49"/>
      <c r="S81" s="148"/>
      <c r="U81" s="157" t="s">
        <v>69</v>
      </c>
      <c r="V81" s="103" t="s">
        <v>70</v>
      </c>
      <c r="W81" s="103" t="s">
        <v>71</v>
      </c>
      <c r="X81" s="103" t="s">
        <v>72</v>
      </c>
      <c r="Y81" s="103" t="s">
        <v>73</v>
      </c>
      <c r="Z81" s="103" t="s">
        <v>74</v>
      </c>
      <c r="AA81" s="103" t="s">
        <v>75</v>
      </c>
      <c r="AB81" s="103" t="s">
        <v>76</v>
      </c>
    </row>
    <row r="82" spans="2:28" ht="13" customHeight="1" thickBot="1">
      <c r="B82" s="147"/>
      <c r="C82" s="49"/>
      <c r="D82" s="184"/>
      <c r="E82" s="185"/>
      <c r="F82" s="185"/>
      <c r="G82" s="185"/>
      <c r="H82" s="185"/>
      <c r="I82" s="185"/>
      <c r="J82" s="185"/>
      <c r="K82" s="185"/>
      <c r="L82" s="185"/>
      <c r="M82" s="185"/>
      <c r="N82" s="185"/>
      <c r="O82" s="185"/>
      <c r="P82" s="185"/>
      <c r="Q82" s="186"/>
      <c r="R82" s="49"/>
      <c r="S82" s="148"/>
      <c r="U82" s="157">
        <v>1</v>
      </c>
      <c r="V82" s="105" t="e">
        <f>VLOOKUP($D$22,'VEHICLE source'!$A:$AT,45,FALSE)</f>
        <v>#N/A</v>
      </c>
      <c r="W82" s="105" t="e">
        <f>VLOOKUP($D$22,'VEHICLE source'!$A:$AT,46,FALSE)</f>
        <v>#N/A</v>
      </c>
      <c r="X82" s="103" t="e">
        <f>V82*$V$77</f>
        <v>#N/A</v>
      </c>
      <c r="Y82" s="121">
        <v>19.643203583837458</v>
      </c>
      <c r="Z82" s="124" t="e">
        <f t="shared" ref="Z82:Z96" si="0">W82*AA82</f>
        <v>#N/A</v>
      </c>
      <c r="AA82" s="115">
        <v>0.70450000000000002</v>
      </c>
      <c r="AB82" s="124" t="e">
        <f t="shared" ref="AB82:AB96" si="1">X82+Z82</f>
        <v>#N/A</v>
      </c>
    </row>
    <row r="83" spans="2:28">
      <c r="B83" s="147"/>
      <c r="C83" s="49"/>
      <c r="D83" s="49"/>
      <c r="E83" s="49"/>
      <c r="F83" s="49"/>
      <c r="G83" s="49"/>
      <c r="H83" s="49"/>
      <c r="I83" s="49"/>
      <c r="J83" s="49"/>
      <c r="K83" s="49"/>
      <c r="L83" s="49"/>
      <c r="M83" s="49"/>
      <c r="N83" s="49"/>
      <c r="O83" s="49"/>
      <c r="P83" s="49"/>
      <c r="Q83" s="49"/>
      <c r="R83" s="49"/>
      <c r="S83" s="148"/>
      <c r="U83" s="157">
        <v>2</v>
      </c>
      <c r="V83" s="105" t="e">
        <f>VLOOKUP($D$22,'VEHICLE source'!$A:$AT,45,FALSE)</f>
        <v>#N/A</v>
      </c>
      <c r="W83" s="105" t="e">
        <f>VLOOKUP($D$22,'VEHICLE source'!$A:$AT,46,FALSE)</f>
        <v>#N/A</v>
      </c>
      <c r="X83" s="103" t="e">
        <f t="shared" ref="X83:X96" si="2">V83*$V$77</f>
        <v>#N/A</v>
      </c>
      <c r="Y83" s="121">
        <v>19.643203583837458</v>
      </c>
      <c r="Z83" s="124" t="e">
        <f t="shared" si="0"/>
        <v>#N/A</v>
      </c>
      <c r="AA83" s="115">
        <v>0.68947066666666668</v>
      </c>
      <c r="AB83" s="124" t="e">
        <f t="shared" si="1"/>
        <v>#N/A</v>
      </c>
    </row>
    <row r="84" spans="2:28">
      <c r="B84" s="147"/>
      <c r="C84" s="49"/>
      <c r="D84" s="49"/>
      <c r="E84" s="49"/>
      <c r="F84" s="49"/>
      <c r="G84" s="49"/>
      <c r="H84" s="49"/>
      <c r="I84" s="49"/>
      <c r="J84" s="49"/>
      <c r="K84" s="49"/>
      <c r="L84" s="49"/>
      <c r="M84" s="49"/>
      <c r="N84" s="49"/>
      <c r="O84" s="49"/>
      <c r="P84" s="49"/>
      <c r="Q84" s="49"/>
      <c r="R84" s="49"/>
      <c r="S84" s="148"/>
      <c r="U84" s="157">
        <v>3</v>
      </c>
      <c r="V84" s="105" t="e">
        <f>VLOOKUP($D$22,'VEHICLE source'!$A:$AT,45,FALSE)</f>
        <v>#N/A</v>
      </c>
      <c r="W84" s="105" t="e">
        <f>VLOOKUP($D$22,'VEHICLE source'!$A:$AT,46,FALSE)</f>
        <v>#N/A</v>
      </c>
      <c r="X84" s="103" t="e">
        <f t="shared" si="2"/>
        <v>#N/A</v>
      </c>
      <c r="Y84" s="121">
        <v>19.643203583837458</v>
      </c>
      <c r="Z84" s="124" t="e">
        <f t="shared" si="0"/>
        <v>#N/A</v>
      </c>
      <c r="AA84" s="115">
        <v>0.67444133333333334</v>
      </c>
      <c r="AB84" s="124" t="e">
        <f t="shared" si="1"/>
        <v>#N/A</v>
      </c>
    </row>
    <row r="85" spans="2:28" ht="16" thickBot="1">
      <c r="B85" s="152"/>
      <c r="C85" s="153"/>
      <c r="D85" s="153"/>
      <c r="E85" s="153"/>
      <c r="F85" s="153"/>
      <c r="G85" s="153"/>
      <c r="H85" s="153"/>
      <c r="I85" s="153"/>
      <c r="J85" s="153"/>
      <c r="K85" s="153"/>
      <c r="L85" s="153"/>
      <c r="M85" s="153"/>
      <c r="N85" s="153"/>
      <c r="O85" s="153"/>
      <c r="P85" s="153"/>
      <c r="Q85" s="153"/>
      <c r="R85" s="153"/>
      <c r="S85" s="154"/>
      <c r="U85" s="157">
        <v>4</v>
      </c>
      <c r="V85" s="105" t="e">
        <f>VLOOKUP($D$22,'VEHICLE source'!$A:$AT,45,FALSE)</f>
        <v>#N/A</v>
      </c>
      <c r="W85" s="105" t="e">
        <f>VLOOKUP($D$22,'VEHICLE source'!$A:$AT,46,FALSE)</f>
        <v>#N/A</v>
      </c>
      <c r="X85" s="103" t="e">
        <f t="shared" si="2"/>
        <v>#N/A</v>
      </c>
      <c r="Y85" s="121">
        <v>19.643203583837458</v>
      </c>
      <c r="Z85" s="124" t="e">
        <f t="shared" si="0"/>
        <v>#N/A</v>
      </c>
      <c r="AA85" s="115">
        <v>0.659412</v>
      </c>
      <c r="AB85" s="124" t="e">
        <f t="shared" si="1"/>
        <v>#N/A</v>
      </c>
    </row>
    <row r="86" spans="2:28">
      <c r="B86" s="49"/>
      <c r="S86" s="49"/>
      <c r="U86" s="157">
        <v>5</v>
      </c>
      <c r="V86" s="105" t="e">
        <f>VLOOKUP($D$22,'VEHICLE source'!$A:$AT,45,FALSE)</f>
        <v>#N/A</v>
      </c>
      <c r="W86" s="105" t="e">
        <f>VLOOKUP($D$22,'VEHICLE source'!$A:$AT,46,FALSE)</f>
        <v>#N/A</v>
      </c>
      <c r="X86" s="103" t="e">
        <f t="shared" si="2"/>
        <v>#N/A</v>
      </c>
      <c r="Y86" s="121">
        <v>19.643203583837458</v>
      </c>
      <c r="Z86" s="124" t="e">
        <f t="shared" si="0"/>
        <v>#N/A</v>
      </c>
      <c r="AA86" s="115">
        <v>0.64438266666666666</v>
      </c>
      <c r="AB86" s="124" t="e">
        <f t="shared" si="1"/>
        <v>#N/A</v>
      </c>
    </row>
    <row r="87" spans="2:28">
      <c r="S87" s="49"/>
      <c r="U87" s="157">
        <v>6</v>
      </c>
      <c r="V87" s="105" t="e">
        <f>VLOOKUP($D$22,'VEHICLE source'!$A:$AT,45,FALSE)</f>
        <v>#N/A</v>
      </c>
      <c r="W87" s="105" t="e">
        <f>VLOOKUP($D$22,'VEHICLE source'!$A:$AT,46,FALSE)</f>
        <v>#N/A</v>
      </c>
      <c r="X87" s="103" t="e">
        <f t="shared" si="2"/>
        <v>#N/A</v>
      </c>
      <c r="Y87" s="121">
        <v>19.643203583837458</v>
      </c>
      <c r="Z87" s="124" t="e">
        <f t="shared" si="0"/>
        <v>#N/A</v>
      </c>
      <c r="AA87" s="115">
        <v>0.62935333333333332</v>
      </c>
      <c r="AB87" s="124" t="e">
        <f t="shared" si="1"/>
        <v>#N/A</v>
      </c>
    </row>
    <row r="88" spans="2:28">
      <c r="U88" s="157">
        <v>7</v>
      </c>
      <c r="V88" s="105" t="e">
        <f>VLOOKUP($D$22,'VEHICLE source'!$A:$AT,45,FALSE)</f>
        <v>#N/A</v>
      </c>
      <c r="W88" s="105" t="e">
        <f>VLOOKUP($D$22,'VEHICLE source'!$A:$AT,46,FALSE)</f>
        <v>#N/A</v>
      </c>
      <c r="X88" s="103" t="e">
        <f t="shared" si="2"/>
        <v>#N/A</v>
      </c>
      <c r="Y88" s="121">
        <v>19.643203583837458</v>
      </c>
      <c r="Z88" s="124" t="e">
        <f t="shared" si="0"/>
        <v>#N/A</v>
      </c>
      <c r="AA88" s="115">
        <v>0.61432399999999998</v>
      </c>
      <c r="AB88" s="124" t="e">
        <f t="shared" si="1"/>
        <v>#N/A</v>
      </c>
    </row>
    <row r="89" spans="2:28">
      <c r="B89" s="218" t="s">
        <v>77</v>
      </c>
      <c r="C89" s="219"/>
      <c r="D89" s="219"/>
      <c r="E89" s="219"/>
      <c r="F89" s="219"/>
      <c r="G89" s="219"/>
      <c r="H89" s="219"/>
      <c r="I89" s="219"/>
      <c r="J89" s="219"/>
      <c r="K89" s="219"/>
      <c r="L89" s="219"/>
      <c r="M89" s="220"/>
      <c r="U89" s="157">
        <v>8</v>
      </c>
      <c r="V89" s="105" t="e">
        <f>VLOOKUP($D$22,'VEHICLE source'!$A:$AT,45,FALSE)</f>
        <v>#N/A</v>
      </c>
      <c r="W89" s="105" t="e">
        <f>VLOOKUP($D$22,'VEHICLE source'!$A:$AT,46,FALSE)</f>
        <v>#N/A</v>
      </c>
      <c r="X89" s="103" t="e">
        <f t="shared" si="2"/>
        <v>#N/A</v>
      </c>
      <c r="Y89" s="121">
        <v>19.643203583837458</v>
      </c>
      <c r="Z89" s="124" t="e">
        <f t="shared" si="0"/>
        <v>#N/A</v>
      </c>
      <c r="AA89" s="115">
        <v>0.59929466666666664</v>
      </c>
      <c r="AB89" s="124" t="e">
        <f t="shared" si="1"/>
        <v>#N/A</v>
      </c>
    </row>
    <row r="90" spans="2:28" ht="6" customHeight="1">
      <c r="U90" s="157">
        <v>9</v>
      </c>
      <c r="V90" s="105" t="e">
        <f>VLOOKUP($D$22,'VEHICLE source'!$A:$AT,45,FALSE)</f>
        <v>#N/A</v>
      </c>
      <c r="W90" s="105" t="e">
        <f>VLOOKUP($D$22,'VEHICLE source'!$A:$AT,46,FALSE)</f>
        <v>#N/A</v>
      </c>
      <c r="X90" s="103" t="e">
        <f t="shared" si="2"/>
        <v>#N/A</v>
      </c>
      <c r="Y90" s="121">
        <v>19.643203583837458</v>
      </c>
      <c r="Z90" s="124" t="e">
        <f t="shared" si="0"/>
        <v>#N/A</v>
      </c>
      <c r="AA90" s="115">
        <v>0.5842653333333333</v>
      </c>
      <c r="AB90" s="124" t="e">
        <f t="shared" si="1"/>
        <v>#N/A</v>
      </c>
    </row>
    <row r="91" spans="2:28" ht="11.15" customHeight="1">
      <c r="B91" s="99" t="s">
        <v>78</v>
      </c>
      <c r="C91" s="100" t="s">
        <v>79</v>
      </c>
      <c r="F91" s="217" t="s">
        <v>80</v>
      </c>
      <c r="G91" s="217"/>
      <c r="H91" s="217"/>
      <c r="I91" s="217"/>
      <c r="J91" s="217"/>
      <c r="K91" s="217"/>
      <c r="L91" s="217"/>
      <c r="M91" s="217"/>
      <c r="U91" s="157">
        <v>10</v>
      </c>
      <c r="V91" s="105" t="e">
        <f>VLOOKUP($D$22,'VEHICLE source'!$A:$AT,45,FALSE)</f>
        <v>#N/A</v>
      </c>
      <c r="W91" s="105" t="e">
        <f>VLOOKUP($D$22,'VEHICLE source'!$A:$AT,46,FALSE)</f>
        <v>#N/A</v>
      </c>
      <c r="X91" s="103" t="e">
        <f t="shared" si="2"/>
        <v>#N/A</v>
      </c>
      <c r="Y91" s="121">
        <v>19.643203583837458</v>
      </c>
      <c r="Z91" s="124" t="e">
        <f t="shared" si="0"/>
        <v>#N/A</v>
      </c>
      <c r="AA91" s="115">
        <v>0.56923599999999996</v>
      </c>
      <c r="AB91" s="124" t="e">
        <f t="shared" si="1"/>
        <v>#N/A</v>
      </c>
    </row>
    <row r="92" spans="2:28">
      <c r="B92" s="101" t="s">
        <v>81</v>
      </c>
      <c r="C92" s="232" t="s">
        <v>82</v>
      </c>
      <c r="D92" s="232"/>
      <c r="E92" s="232"/>
      <c r="F92" s="196" t="s">
        <v>83</v>
      </c>
      <c r="G92" s="196"/>
      <c r="H92" s="196"/>
      <c r="I92" s="196"/>
      <c r="J92" s="196"/>
      <c r="K92" s="196"/>
      <c r="L92" s="196"/>
      <c r="M92" s="196"/>
      <c r="U92" s="157">
        <v>11</v>
      </c>
      <c r="V92" s="105" t="e">
        <f>VLOOKUP($D$22,'VEHICLE source'!$A:$AT,45,FALSE)</f>
        <v>#N/A</v>
      </c>
      <c r="W92" s="105" t="e">
        <f>VLOOKUP($D$22,'VEHICLE source'!$A:$AT,46,FALSE)</f>
        <v>#N/A</v>
      </c>
      <c r="X92" s="103" t="e">
        <f t="shared" si="2"/>
        <v>#N/A</v>
      </c>
      <c r="Y92" s="121">
        <v>19.643203583837458</v>
      </c>
      <c r="Z92" s="124" t="e">
        <f t="shared" si="0"/>
        <v>#N/A</v>
      </c>
      <c r="AA92" s="115">
        <v>0.55420666666666663</v>
      </c>
      <c r="AB92" s="124" t="e">
        <f t="shared" si="1"/>
        <v>#N/A</v>
      </c>
    </row>
    <row r="93" spans="2:28">
      <c r="B93" s="101" t="s">
        <v>84</v>
      </c>
      <c r="C93" s="232" t="s">
        <v>82</v>
      </c>
      <c r="D93" s="232"/>
      <c r="E93" s="232"/>
      <c r="F93" s="196" t="s">
        <v>85</v>
      </c>
      <c r="G93" s="196"/>
      <c r="H93" s="196"/>
      <c r="I93" s="196"/>
      <c r="J93" s="196"/>
      <c r="K93" s="196"/>
      <c r="L93" s="196"/>
      <c r="M93" s="196"/>
      <c r="U93" s="157">
        <v>12</v>
      </c>
      <c r="V93" s="105" t="e">
        <f>VLOOKUP($D$22,'VEHICLE source'!$A:$AT,45,FALSE)</f>
        <v>#N/A</v>
      </c>
      <c r="W93" s="105" t="e">
        <f>VLOOKUP($D$22,'VEHICLE source'!$A:$AT,46,FALSE)</f>
        <v>#N/A</v>
      </c>
      <c r="X93" s="103" t="e">
        <f t="shared" si="2"/>
        <v>#N/A</v>
      </c>
      <c r="Y93" s="121">
        <v>19.643203583837458</v>
      </c>
      <c r="Z93" s="124" t="e">
        <f t="shared" si="0"/>
        <v>#N/A</v>
      </c>
      <c r="AA93" s="115">
        <v>0.53917733333333329</v>
      </c>
      <c r="AB93" s="124" t="e">
        <f t="shared" si="1"/>
        <v>#N/A</v>
      </c>
    </row>
    <row r="94" spans="2:28">
      <c r="B94" s="101" t="s">
        <v>86</v>
      </c>
      <c r="C94" s="232" t="s">
        <v>87</v>
      </c>
      <c r="D94" s="232"/>
      <c r="E94" s="232"/>
      <c r="F94" s="196" t="s">
        <v>88</v>
      </c>
      <c r="G94" s="196"/>
      <c r="H94" s="196"/>
      <c r="I94" s="196"/>
      <c r="J94" s="196"/>
      <c r="K94" s="196"/>
      <c r="L94" s="196"/>
      <c r="M94" s="196"/>
      <c r="U94" s="157">
        <v>13</v>
      </c>
      <c r="V94" s="105" t="e">
        <f>VLOOKUP($D$22,'VEHICLE source'!$A:$AT,45,FALSE)</f>
        <v>#N/A</v>
      </c>
      <c r="W94" s="105" t="e">
        <f>VLOOKUP($D$22,'VEHICLE source'!$A:$AT,46,FALSE)</f>
        <v>#N/A</v>
      </c>
      <c r="X94" s="103" t="e">
        <f t="shared" si="2"/>
        <v>#N/A</v>
      </c>
      <c r="Y94" s="121">
        <v>19.643203583837458</v>
      </c>
      <c r="Z94" s="124" t="e">
        <f t="shared" si="0"/>
        <v>#N/A</v>
      </c>
      <c r="AA94" s="115">
        <v>0.52414799999999995</v>
      </c>
      <c r="AB94" s="124" t="e">
        <f t="shared" si="1"/>
        <v>#N/A</v>
      </c>
    </row>
    <row r="95" spans="2:28">
      <c r="B95" s="101" t="s">
        <v>89</v>
      </c>
      <c r="C95" s="232" t="s">
        <v>90</v>
      </c>
      <c r="D95" s="232"/>
      <c r="E95" s="232"/>
      <c r="F95" s="196" t="s">
        <v>91</v>
      </c>
      <c r="G95" s="196"/>
      <c r="H95" s="196"/>
      <c r="I95" s="196"/>
      <c r="J95" s="196"/>
      <c r="K95" s="196"/>
      <c r="L95" s="196"/>
      <c r="M95" s="196"/>
      <c r="U95" s="157">
        <v>14</v>
      </c>
      <c r="V95" s="105" t="e">
        <f>VLOOKUP($D$22,'VEHICLE source'!$A:$AT,45,FALSE)</f>
        <v>#N/A</v>
      </c>
      <c r="W95" s="105" t="e">
        <f>VLOOKUP($D$22,'VEHICLE source'!$A:$AT,46,FALSE)</f>
        <v>#N/A</v>
      </c>
      <c r="X95" s="103" t="e">
        <f t="shared" si="2"/>
        <v>#N/A</v>
      </c>
      <c r="Y95" s="121">
        <v>19.643203583837458</v>
      </c>
      <c r="Z95" s="124" t="e">
        <f t="shared" si="0"/>
        <v>#N/A</v>
      </c>
      <c r="AA95" s="115">
        <v>0.50911866666666661</v>
      </c>
      <c r="AB95" s="124" t="e">
        <f t="shared" si="1"/>
        <v>#N/A</v>
      </c>
    </row>
    <row r="96" spans="2:28">
      <c r="B96" s="101" t="s">
        <v>92</v>
      </c>
      <c r="C96" s="232" t="s">
        <v>82</v>
      </c>
      <c r="D96" s="232"/>
      <c r="E96" s="232"/>
      <c r="F96" s="196" t="s">
        <v>93</v>
      </c>
      <c r="G96" s="196"/>
      <c r="H96" s="196"/>
      <c r="I96" s="196"/>
      <c r="J96" s="196"/>
      <c r="K96" s="196"/>
      <c r="L96" s="196"/>
      <c r="M96" s="196"/>
      <c r="U96" s="157">
        <v>15</v>
      </c>
      <c r="V96" s="105" t="e">
        <f>VLOOKUP($D$22,'VEHICLE source'!$A:$AT,45,FALSE)</f>
        <v>#N/A</v>
      </c>
      <c r="W96" s="105" t="e">
        <f>VLOOKUP($D$22,'VEHICLE source'!$A:$AT,46,FALSE)</f>
        <v>#N/A</v>
      </c>
      <c r="X96" s="103" t="e">
        <f t="shared" si="2"/>
        <v>#N/A</v>
      </c>
      <c r="Y96" s="121">
        <v>19.643203583837458</v>
      </c>
      <c r="Z96" s="124" t="e">
        <f t="shared" si="0"/>
        <v>#N/A</v>
      </c>
      <c r="AA96" s="115">
        <v>0.49408933333333327</v>
      </c>
      <c r="AB96" s="124" t="e">
        <f t="shared" si="1"/>
        <v>#N/A</v>
      </c>
    </row>
    <row r="97" spans="2:26">
      <c r="B97" s="101" t="s">
        <v>94</v>
      </c>
      <c r="C97" s="232">
        <v>2.66</v>
      </c>
      <c r="D97" s="232"/>
      <c r="E97" s="232"/>
      <c r="F97" s="196" t="s">
        <v>95</v>
      </c>
      <c r="G97" s="196"/>
      <c r="H97" s="196"/>
      <c r="I97" s="196"/>
      <c r="J97" s="196"/>
      <c r="K97" s="196"/>
      <c r="L97" s="196"/>
      <c r="M97" s="196"/>
      <c r="V97" s="105"/>
      <c r="W97" s="105"/>
    </row>
    <row r="98" spans="2:26">
      <c r="B98" s="101" t="s">
        <v>96</v>
      </c>
      <c r="C98" s="232">
        <v>17.88</v>
      </c>
      <c r="D98" s="232"/>
      <c r="E98" s="232"/>
      <c r="F98" s="196" t="s">
        <v>97</v>
      </c>
      <c r="G98" s="196"/>
      <c r="H98" s="196"/>
      <c r="I98" s="196"/>
      <c r="J98" s="196"/>
      <c r="K98" s="196"/>
      <c r="L98" s="196"/>
      <c r="M98" s="196"/>
      <c r="Z98" s="115"/>
    </row>
    <row r="99" spans="2:26">
      <c r="B99" s="101" t="s">
        <v>98</v>
      </c>
      <c r="C99" s="232">
        <v>14263</v>
      </c>
      <c r="D99" s="232"/>
      <c r="E99" s="232"/>
      <c r="F99" s="196" t="s">
        <v>99</v>
      </c>
      <c r="G99" s="196"/>
      <c r="H99" s="196"/>
      <c r="I99" s="196"/>
      <c r="J99" s="196"/>
      <c r="K99" s="196"/>
      <c r="L99" s="196"/>
      <c r="M99" s="196"/>
      <c r="U99" s="103" t="str">
        <f>L22</f>
        <v>PLEASE SELECT VEHICLE TO COMPARE FROM DROPDOWN</v>
      </c>
      <c r="V99" s="103" t="str">
        <f>D22</f>
        <v>PLEASE SELECT ZERO-EMISSION VEHICLE FROM DROPDOWN</v>
      </c>
      <c r="W99" s="71" t="s">
        <v>48</v>
      </c>
    </row>
    <row r="100" spans="2:26">
      <c r="B100" s="101"/>
      <c r="C100" s="232"/>
      <c r="D100" s="232"/>
      <c r="E100" s="232"/>
      <c r="F100" s="196"/>
      <c r="G100" s="196"/>
      <c r="H100" s="196"/>
      <c r="I100" s="196"/>
      <c r="J100" s="196"/>
      <c r="K100" s="196"/>
      <c r="L100" s="196"/>
      <c r="M100" s="196"/>
      <c r="T100" s="45" t="s">
        <v>100</v>
      </c>
      <c r="U100" s="105" t="e">
        <f>VLOOKUP($M$12,'Vehicle 2 GHG Source'!$A:$H,6,FALSE)</f>
        <v>#N/A</v>
      </c>
      <c r="V100" s="105" t="e">
        <f>VLOOKUP($M$12,'Vehicle 1 GHG source'!$A:$H,6,FALSE)</f>
        <v>#N/A</v>
      </c>
      <c r="W100" s="125" t="e">
        <f>SUM(U100:U101)-SUM(V100:V101)</f>
        <v>#N/A</v>
      </c>
    </row>
    <row r="101" spans="2:26">
      <c r="T101" s="45" t="s">
        <v>101</v>
      </c>
      <c r="U101" s="105" t="e">
        <f>VLOOKUP($M$12,'Vehicle 2 GHG Source'!$A:$H,4,FALSE)</f>
        <v>#N/A</v>
      </c>
      <c r="V101" s="105" t="e">
        <f>VLOOKUP($M$12,'Vehicle 1 GHG source'!$A:$H,4,FALSE)</f>
        <v>#N/A</v>
      </c>
    </row>
    <row r="102" spans="2:26">
      <c r="T102" s="45" t="s">
        <v>102</v>
      </c>
      <c r="U102" s="126" t="e">
        <f>SUM(U100:U101)</f>
        <v>#N/A</v>
      </c>
      <c r="V102" s="126" t="e">
        <f>SUM(V100:V101)</f>
        <v>#N/A</v>
      </c>
      <c r="W102" s="126"/>
    </row>
    <row r="104" spans="2:26">
      <c r="T104" s="45" t="s">
        <v>103</v>
      </c>
      <c r="U104" s="126" t="e">
        <f>U102-V102</f>
        <v>#N/A</v>
      </c>
    </row>
    <row r="105" spans="2:26">
      <c r="T105" s="45" t="s">
        <v>104</v>
      </c>
      <c r="U105" s="103">
        <v>48</v>
      </c>
    </row>
    <row r="108" spans="2:26">
      <c r="U108" s="124"/>
    </row>
  </sheetData>
  <sheetProtection sheet="1" selectLockedCells="1"/>
  <mergeCells count="47">
    <mergeCell ref="F97:M97"/>
    <mergeCell ref="F98:M98"/>
    <mergeCell ref="F99:M99"/>
    <mergeCell ref="F100:M100"/>
    <mergeCell ref="C92:E92"/>
    <mergeCell ref="C93:E93"/>
    <mergeCell ref="C94:E94"/>
    <mergeCell ref="C95:E95"/>
    <mergeCell ref="C96:E96"/>
    <mergeCell ref="C97:E97"/>
    <mergeCell ref="C98:E98"/>
    <mergeCell ref="C99:E99"/>
    <mergeCell ref="C100:E100"/>
    <mergeCell ref="F92:M92"/>
    <mergeCell ref="F93:M93"/>
    <mergeCell ref="F94:M94"/>
    <mergeCell ref="F95:M95"/>
    <mergeCell ref="F96:M96"/>
    <mergeCell ref="B1:S3"/>
    <mergeCell ref="D22:J23"/>
    <mergeCell ref="L22:Q23"/>
    <mergeCell ref="B34:C34"/>
    <mergeCell ref="F91:M91"/>
    <mergeCell ref="B89:M89"/>
    <mergeCell ref="B27:C29"/>
    <mergeCell ref="R28:S31"/>
    <mergeCell ref="I6:M6"/>
    <mergeCell ref="D47:Q47"/>
    <mergeCell ref="D20:E20"/>
    <mergeCell ref="L20:M20"/>
    <mergeCell ref="B4:S4"/>
    <mergeCell ref="Y47:AA50"/>
    <mergeCell ref="B51:C52"/>
    <mergeCell ref="D51:G51"/>
    <mergeCell ref="D52:G65"/>
    <mergeCell ref="U80:Z80"/>
    <mergeCell ref="T69:T71"/>
    <mergeCell ref="T77:T78"/>
    <mergeCell ref="T52:T56"/>
    <mergeCell ref="B53:C62"/>
    <mergeCell ref="T58:T60"/>
    <mergeCell ref="T62:T65"/>
    <mergeCell ref="B63:C65"/>
    <mergeCell ref="D68:Q82"/>
    <mergeCell ref="D67:Q67"/>
    <mergeCell ref="I52:Q65"/>
    <mergeCell ref="I51:Q51"/>
  </mergeCells>
  <conditionalFormatting sqref="D22:J23">
    <cfRule type="containsText" dxfId="35" priority="39" operator="containsText" text="Select Zero-Emission Vehicle">
      <formula>NOT(ISERROR(SEARCH("Select Zero-Emission Vehicle",D22)))</formula>
    </cfRule>
  </conditionalFormatting>
  <conditionalFormatting sqref="I11 D10 B18:D19 D52 M13:M17 C14 I13:I17">
    <cfRule type="expression" dxfId="34" priority="38">
      <formula>$L$22="Select Vehicle to Compare"</formula>
    </cfRule>
  </conditionalFormatting>
  <conditionalFormatting sqref="L22:Q23">
    <cfRule type="expression" dxfId="33" priority="35">
      <formula>$D$22="Select Zero-Emission Vehicle"</formula>
    </cfRule>
    <cfRule type="containsText" dxfId="32" priority="36" operator="containsText" text="Select Vehicle to Compare">
      <formula>NOT(ISERROR(SEARCH("Select Vehicle to Compare",L22)))</formula>
    </cfRule>
  </conditionalFormatting>
  <conditionalFormatting sqref="I19:J21 P19:Q21">
    <cfRule type="containsText" dxfId="31" priority="34" operator="containsText" text="SELECT">
      <formula>NOT(ISERROR(SEARCH("SELECT",I19)))</formula>
    </cfRule>
  </conditionalFormatting>
  <conditionalFormatting sqref="I41">
    <cfRule type="containsText" dxfId="30" priority="1" operator="containsText" text="FALSE">
      <formula>NOT(ISERROR(SEARCH("FALSE",I41)))</formula>
    </cfRule>
    <cfRule type="expression" dxfId="29" priority="33">
      <formula>$D$22="Select Zero-Emission Vehicle"</formula>
    </cfRule>
  </conditionalFormatting>
  <conditionalFormatting sqref="P41">
    <cfRule type="containsText" dxfId="28" priority="17" operator="containsText" text="FALSE">
      <formula>NOT(ISERROR(SEARCH("FALSE",P41)))</formula>
    </cfRule>
    <cfRule type="expression" dxfId="27" priority="32">
      <formula>$L$22="Select Vehicle to Compare"</formula>
    </cfRule>
  </conditionalFormatting>
  <conditionalFormatting sqref="O48:O49 F48:F49 D47">
    <cfRule type="expression" dxfId="26" priority="31">
      <formula>$L$22="Select Vehicle to Compare"</formula>
    </cfRule>
  </conditionalFormatting>
  <conditionalFormatting sqref="M10 M14 M12">
    <cfRule type="containsBlanks" dxfId="25" priority="30">
      <formula>LEN(TRIM(M10))=0</formula>
    </cfRule>
  </conditionalFormatting>
  <conditionalFormatting sqref="I16">
    <cfRule type="expression" dxfId="24" priority="29">
      <formula>$L$22="Select Vehicle to Compare"</formula>
    </cfRule>
  </conditionalFormatting>
  <conditionalFormatting sqref="M16">
    <cfRule type="containsBlanks" dxfId="23" priority="28">
      <formula>LEN(TRIM(M16))=0</formula>
    </cfRule>
  </conditionalFormatting>
  <conditionalFormatting sqref="A52 AD58:XFD59 AJ56:XFD56 A57:A59 U59:AB59 A51:B51 B7:E7 I6 R59:S59 D57:H59 R57:XFD57 R58:AB58 D51:H52 R51:T52 I51 M8 E13:E17 C8:E8 I9 C14 M14:M17 I14:I17">
    <cfRule type="expression" dxfId="22" priority="25">
      <formula>$L$22="SELECT VEHICLE TO COMPARE"</formula>
    </cfRule>
  </conditionalFormatting>
  <conditionalFormatting sqref="I44">
    <cfRule type="expression" dxfId="21" priority="21">
      <formula>$D$22="Select Zero-Emission Vehicle"</formula>
    </cfRule>
    <cfRule type="expression" dxfId="20" priority="23">
      <formula>$D$22="Select Zero-Emission Vehicle"</formula>
    </cfRule>
  </conditionalFormatting>
  <conditionalFormatting sqref="Y32">
    <cfRule type="expression" dxfId="19" priority="22">
      <formula>$Z$32="more expensive to own compared to the"</formula>
    </cfRule>
  </conditionalFormatting>
  <conditionalFormatting sqref="B7:E7 B18:E19 I6 D51:H65 I51 D66:Q66 D83:Q84 M8 E9 M10 E11:E17 C10:E10 C8:E8 C12 C14 D67:D68 M12:M17 I9:I17">
    <cfRule type="expression" dxfId="18" priority="20">
      <formula>$L$22="Select Vehicle to Compare"</formula>
    </cfRule>
  </conditionalFormatting>
  <conditionalFormatting sqref="L25:P27 L28:O29 L44:P44 L43 N43:P43 L39:P42 L37:L38 N37:P38 L30:P36">
    <cfRule type="containsText" dxfId="17" priority="19" operator="containsText" text="N/A">
      <formula>NOT(ISERROR(SEARCH("N/A",L25)))</formula>
    </cfRule>
  </conditionalFormatting>
  <conditionalFormatting sqref="B27:C29 B20:C23 R28:S31 B53:C65">
    <cfRule type="expression" dxfId="16" priority="18">
      <formula>$L$22="select vehicle to compare"</formula>
    </cfRule>
  </conditionalFormatting>
  <conditionalFormatting sqref="I8">
    <cfRule type="expression" dxfId="15" priority="16">
      <formula>$L$22="Select Vehicle to Compare"</formula>
    </cfRule>
  </conditionalFormatting>
  <conditionalFormatting sqref="M10">
    <cfRule type="expression" dxfId="14" priority="15">
      <formula>$L$22="SELECT VEHICLE TO COMPARE"</formula>
    </cfRule>
  </conditionalFormatting>
  <conditionalFormatting sqref="M12">
    <cfRule type="expression" dxfId="13" priority="14">
      <formula>$L$22="SELECT VEHICLE TO COMPARE"</formula>
    </cfRule>
  </conditionalFormatting>
  <conditionalFormatting sqref="L19:Q19 L28:O29 Q28:Q29 L44:Q45 L43 N43:Q43 L39:Q42 L37:L38 N37:Q38 L30:Q36 L21:Q27 N20:Q20">
    <cfRule type="expression" dxfId="12" priority="53">
      <formula>$D$22="Select Zero-Emission Vehicle"</formula>
    </cfRule>
  </conditionalFormatting>
  <conditionalFormatting sqref="P28:P29">
    <cfRule type="containsText" dxfId="11" priority="12" operator="containsText" text="N/A">
      <formula>NOT(ISERROR(SEARCH("N/A",P28)))</formula>
    </cfRule>
  </conditionalFormatting>
  <conditionalFormatting sqref="P28:P29">
    <cfRule type="expression" dxfId="10" priority="13">
      <formula>$D$22="Select Zero-Emission Vehicle"</formula>
    </cfRule>
  </conditionalFormatting>
  <conditionalFormatting sqref="M38">
    <cfRule type="containsText" dxfId="9" priority="10" operator="containsText" text="N/A">
      <formula>NOT(ISERROR(SEARCH("N/A",M38)))</formula>
    </cfRule>
  </conditionalFormatting>
  <conditionalFormatting sqref="M38">
    <cfRule type="expression" dxfId="8" priority="11">
      <formula>$D$22="Select Zero-Emission Vehicle"</formula>
    </cfRule>
  </conditionalFormatting>
  <conditionalFormatting sqref="I18">
    <cfRule type="expression" dxfId="7" priority="9">
      <formula>$L$22="Select Vehicle to Compare"</formula>
    </cfRule>
  </conditionalFormatting>
  <conditionalFormatting sqref="I18">
    <cfRule type="expression" dxfId="6" priority="8">
      <formula>$L$22="Select Vehicle to Compare"</formula>
    </cfRule>
  </conditionalFormatting>
  <conditionalFormatting sqref="I18">
    <cfRule type="expression" dxfId="5" priority="7">
      <formula>$L$22="SELECT VEHICLE TO COMPARE"</formula>
    </cfRule>
  </conditionalFormatting>
  <conditionalFormatting sqref="I18">
    <cfRule type="expression" dxfId="4" priority="6">
      <formula>$L$22="Select Vehicle to Compare"</formula>
    </cfRule>
  </conditionalFormatting>
  <conditionalFormatting sqref="M18">
    <cfRule type="expression" dxfId="3" priority="5">
      <formula>$L$22="Select Vehicle to Compare"</formula>
    </cfRule>
  </conditionalFormatting>
  <conditionalFormatting sqref="M18">
    <cfRule type="containsBlanks" dxfId="2" priority="4">
      <formula>LEN(TRIM(M18))=0</formula>
    </cfRule>
  </conditionalFormatting>
  <conditionalFormatting sqref="M18">
    <cfRule type="expression" dxfId="1" priority="3">
      <formula>$L$22="SELECT VEHICLE TO COMPARE"</formula>
    </cfRule>
  </conditionalFormatting>
  <conditionalFormatting sqref="M18">
    <cfRule type="expression" dxfId="0" priority="2">
      <formula>$L$22="Select Vehicle to Compare"</formula>
    </cfRule>
  </conditionalFormatting>
  <hyperlinks>
    <hyperlink ref="F93" r:id="rId1" xr:uid="{B400E577-3499-7343-85BE-8B6588AA240F}"/>
    <hyperlink ref="F92" r:id="rId2" xr:uid="{50FDC4A1-0DFD-9345-AC7D-83D40C96CE35}"/>
    <hyperlink ref="F94" r:id="rId3" display="MassDEP retail consumer emission factors" xr:uid="{E6D42CA4-8B7B-C143-B8A9-063E3DC21832}"/>
    <hyperlink ref="B4:S4" r:id="rId4" location="leading-by-example-program-staff-contacts-" display="LBE Staff Contact Info" xr:uid="{9314A27B-8BA1-4524-9EBE-14435148E94E}"/>
  </hyperlinks>
  <pageMargins left="0.7" right="0.7" top="0.75" bottom="0.75" header="0.3" footer="0.3"/>
  <pageSetup orientation="portrait" r:id="rId5"/>
  <drawing r:id="rId6"/>
  <legacyDrawing r:id="rId7"/>
  <extLst>
    <ext xmlns:x14="http://schemas.microsoft.com/office/spreadsheetml/2009/9/main" uri="{CCE6A557-97BC-4b89-ADB6-D9C93CAAB3DF}">
      <x14:dataValidations xmlns:xm="http://schemas.microsoft.com/office/excel/2006/main" count="10">
        <x14:dataValidation type="list" allowBlank="1" showInputMessage="1" showErrorMessage="1" xr:uid="{85A30AB9-793E-584D-AE1A-38A738BDF39C}">
          <x14:formula1>
            <xm:f>PL!$N$1:$N$5</xm:f>
          </x14:formula1>
          <xm:sqref>M8</xm:sqref>
        </x14:dataValidation>
        <x14:dataValidation type="list" allowBlank="1" showInputMessage="1" showErrorMessage="1" xr:uid="{B13934E5-2BDE-8A49-A3B3-5FE910F18DE7}">
          <x14:formula1>
            <xm:f>PL!$R$1:$R$7</xm:f>
          </x14:formula1>
          <xm:sqref>M10</xm:sqref>
        </x14:dataValidation>
        <x14:dataValidation type="list" allowBlank="1" showInputMessage="1" showErrorMessage="1" xr:uid="{136328AB-732C-3E44-9B68-50783590C540}">
          <x14:formula1>
            <xm:f>PL!$T$1:$T$14</xm:f>
          </x14:formula1>
          <xm:sqref>M12</xm:sqref>
        </x14:dataValidation>
        <x14:dataValidation type="list" allowBlank="1" showInputMessage="1" showErrorMessage="1" xr:uid="{D87A1362-1C61-8E4E-85CA-A0C878A59968}">
          <x14:formula1>
            <xm:f>PL!$X$1:$X$87</xm:f>
          </x14:formula1>
          <xm:sqref>M14</xm:sqref>
        </x14:dataValidation>
        <x14:dataValidation type="list" allowBlank="1" showInputMessage="1" showErrorMessage="1" xr:uid="{1349AB6D-3382-5144-BB49-A81E0B1F9087}">
          <x14:formula1>
            <xm:f>PL!$V$1:$V$19</xm:f>
          </x14:formula1>
          <xm:sqref>M16</xm:sqref>
        </x14:dataValidation>
        <x14:dataValidation type="list" allowBlank="1" showInputMessage="1" showErrorMessage="1" xr:uid="{6C695666-EDB2-6A42-AA34-0DF7DB28A3AD}">
          <x14:formula1>
            <xm:f>PL!$N$1:$N$4</xm:f>
          </x14:formula1>
          <xm:sqref>P19:Q21 I19:J21</xm:sqref>
        </x14:dataValidation>
        <x14:dataValidation type="list" allowBlank="1" showInputMessage="1" showErrorMessage="1" xr:uid="{10E6C3F1-BCD9-9C4C-ABA7-702F2A61B1CF}">
          <x14:formula1>
            <xm:f>PL!$P$3:$P$11</xm:f>
          </x14:formula1>
          <xm:sqref>H61:H64</xm:sqref>
        </x14:dataValidation>
        <x14:dataValidation type="list" allowBlank="1" showInputMessage="1" showErrorMessage="1" xr:uid="{827BE8E6-BD4C-4547-BA67-672940743022}">
          <x14:formula1>
            <xm:f>PL!$P$1:$P$11</xm:f>
          </x14:formula1>
          <xm:sqref>M18</xm:sqref>
        </x14:dataValidation>
        <x14:dataValidation type="list" allowBlank="1" showInputMessage="1" showErrorMessage="1" xr:uid="{3E09E5BC-2BC0-E14D-8782-17212DFED794}">
          <x14:formula1>
            <xm:f>PL!$I$1:$I$28</xm:f>
          </x14:formula1>
          <xm:sqref>D22:J23</xm:sqref>
        </x14:dataValidation>
        <x14:dataValidation type="list" allowBlank="1" showInputMessage="1" showErrorMessage="1" xr:uid="{96EF2D91-3B6C-EC42-BD90-05634305057E}">
          <x14:formula1>
            <xm:f>PL!$K$1:$K$37</xm:f>
          </x14:formula1>
          <xm:sqref>L22:Q23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02E2-062B-174C-A6AA-B202E0DA9AB0}">
  <dimension ref="A1:J16"/>
  <sheetViews>
    <sheetView workbookViewId="0">
      <selection activeCell="E12" sqref="E12"/>
    </sheetView>
  </sheetViews>
  <sheetFormatPr defaultColWidth="11" defaultRowHeight="15.5"/>
  <cols>
    <col min="1" max="1" width="9.33203125" bestFit="1" customWidth="1"/>
    <col min="2" max="2" width="11.83203125" bestFit="1" customWidth="1"/>
    <col min="3" max="3" width="9.33203125" bestFit="1" customWidth="1"/>
    <col min="4" max="4" width="23.5" bestFit="1" customWidth="1"/>
    <col min="5" max="5" width="23" bestFit="1" customWidth="1"/>
    <col min="6" max="6" width="22.58203125" bestFit="1" customWidth="1"/>
    <col min="7" max="7" width="20.58203125" bestFit="1" customWidth="1"/>
    <col min="8" max="8" width="18" bestFit="1" customWidth="1"/>
  </cols>
  <sheetData>
    <row r="1" spans="1:10">
      <c r="A1" s="37" t="s">
        <v>69</v>
      </c>
      <c r="B1" s="33" t="s">
        <v>70</v>
      </c>
      <c r="C1" s="33" t="s">
        <v>71</v>
      </c>
      <c r="D1" s="40" t="s">
        <v>72</v>
      </c>
      <c r="E1" s="33" t="s">
        <v>73</v>
      </c>
      <c r="F1" s="40" t="s">
        <v>74</v>
      </c>
      <c r="G1" s="33" t="s">
        <v>75</v>
      </c>
      <c r="H1" s="33" t="s">
        <v>76</v>
      </c>
    </row>
    <row r="2" spans="1:10">
      <c r="A2" s="37">
        <v>1</v>
      </c>
      <c r="B2" s="34" t="e">
        <f>VLOOKUP('EV Comparison Calculator'!$L$22,'VEHICLE source'!$A:$AT,45,FALSE)</f>
        <v>#N/A</v>
      </c>
      <c r="C2" s="34" t="e">
        <f>VLOOKUP('EV Comparison Calculator'!$L$22,'VEHICLE source'!$A:$AZ,46,FALSE)</f>
        <v>#N/A</v>
      </c>
      <c r="D2" s="42" t="e">
        <f>B2*E2</f>
        <v>#N/A</v>
      </c>
      <c r="E2" s="36">
        <v>19.643203583837458</v>
      </c>
      <c r="F2" s="43" t="e">
        <f>C2*G2</f>
        <v>#N/A</v>
      </c>
      <c r="G2" s="35">
        <v>0.70450000000000002</v>
      </c>
      <c r="H2" s="39" t="e">
        <f t="shared" ref="H2:H16" si="0">D2+F2</f>
        <v>#N/A</v>
      </c>
      <c r="J2" s="13">
        <v>1.01</v>
      </c>
    </row>
    <row r="3" spans="1:10">
      <c r="A3" s="37">
        <v>2</v>
      </c>
      <c r="B3" s="34" t="e">
        <f>VLOOKUP('EV Comparison Calculator'!$L$22,'VEHICLE source'!$A:$AT,45,FALSE)</f>
        <v>#N/A</v>
      </c>
      <c r="C3" s="34" t="e">
        <f>C2*$J$2</f>
        <v>#N/A</v>
      </c>
      <c r="D3" s="42" t="e">
        <f>(B3*E3)+D2</f>
        <v>#N/A</v>
      </c>
      <c r="E3" s="36">
        <v>19.643203583837458</v>
      </c>
      <c r="F3" s="43" t="e">
        <f>(C3*G3)+F2</f>
        <v>#N/A</v>
      </c>
      <c r="G3" s="35">
        <v>0.68947066666666668</v>
      </c>
      <c r="H3" s="39" t="e">
        <f t="shared" si="0"/>
        <v>#N/A</v>
      </c>
    </row>
    <row r="4" spans="1:10">
      <c r="A4" s="37">
        <v>3</v>
      </c>
      <c r="B4" s="34" t="e">
        <f>VLOOKUP('EV Comparison Calculator'!$L$22,'VEHICLE source'!$A:$AT,45,FALSE)</f>
        <v>#N/A</v>
      </c>
      <c r="C4" s="34" t="e">
        <f t="shared" ref="C4:C16" si="1">C3*$J$2</f>
        <v>#N/A</v>
      </c>
      <c r="D4" s="42" t="e">
        <f>(B4*E4)+D3</f>
        <v>#N/A</v>
      </c>
      <c r="E4" s="36">
        <v>19.643203583837458</v>
      </c>
      <c r="F4" s="43" t="e">
        <f t="shared" ref="F4:F16" si="2">(C4*G4)+F3</f>
        <v>#N/A</v>
      </c>
      <c r="G4" s="35">
        <v>0.67444133333333334</v>
      </c>
      <c r="H4" s="39" t="e">
        <f t="shared" si="0"/>
        <v>#N/A</v>
      </c>
    </row>
    <row r="5" spans="1:10">
      <c r="A5" s="37">
        <v>4</v>
      </c>
      <c r="B5" s="34" t="e">
        <f>VLOOKUP('EV Comparison Calculator'!$L$22,'VEHICLE source'!$A:$AT,45,FALSE)</f>
        <v>#N/A</v>
      </c>
      <c r="C5" s="34" t="e">
        <f t="shared" si="1"/>
        <v>#N/A</v>
      </c>
      <c r="D5" s="42" t="e">
        <f t="shared" ref="D5:D16" si="3">(B5*E5)+D4</f>
        <v>#N/A</v>
      </c>
      <c r="E5" s="36">
        <v>19.643203583837458</v>
      </c>
      <c r="F5" s="43" t="e">
        <f t="shared" si="2"/>
        <v>#N/A</v>
      </c>
      <c r="G5" s="35">
        <v>0.659412</v>
      </c>
      <c r="H5" s="39" t="e">
        <f t="shared" si="0"/>
        <v>#N/A</v>
      </c>
    </row>
    <row r="6" spans="1:10">
      <c r="A6" s="37">
        <v>5</v>
      </c>
      <c r="B6" s="34" t="e">
        <f>VLOOKUP('EV Comparison Calculator'!$L$22,'VEHICLE source'!$A:$AT,45,FALSE)</f>
        <v>#N/A</v>
      </c>
      <c r="C6" s="34" t="e">
        <f t="shared" si="1"/>
        <v>#N/A</v>
      </c>
      <c r="D6" s="42" t="e">
        <f t="shared" si="3"/>
        <v>#N/A</v>
      </c>
      <c r="E6" s="36">
        <v>19.643203583837458</v>
      </c>
      <c r="F6" s="43" t="e">
        <f t="shared" si="2"/>
        <v>#N/A</v>
      </c>
      <c r="G6" s="35">
        <v>0.64438266666666666</v>
      </c>
      <c r="H6" s="39" t="e">
        <f t="shared" si="0"/>
        <v>#N/A</v>
      </c>
    </row>
    <row r="7" spans="1:10">
      <c r="A7" s="37">
        <v>6</v>
      </c>
      <c r="B7" s="34" t="e">
        <f>VLOOKUP('EV Comparison Calculator'!$L$22,'VEHICLE source'!$A:$AT,45,FALSE)</f>
        <v>#N/A</v>
      </c>
      <c r="C7" s="34" t="e">
        <f t="shared" si="1"/>
        <v>#N/A</v>
      </c>
      <c r="D7" s="42" t="e">
        <f t="shared" si="3"/>
        <v>#N/A</v>
      </c>
      <c r="E7" s="36">
        <v>19.643203583837458</v>
      </c>
      <c r="F7" s="43" t="e">
        <f t="shared" si="2"/>
        <v>#N/A</v>
      </c>
      <c r="G7" s="35">
        <v>0.62935333333333332</v>
      </c>
      <c r="H7" s="39" t="e">
        <f t="shared" si="0"/>
        <v>#N/A</v>
      </c>
    </row>
    <row r="8" spans="1:10">
      <c r="A8" s="37">
        <v>7</v>
      </c>
      <c r="B8" s="34" t="e">
        <f>VLOOKUP('EV Comparison Calculator'!$L$22,'VEHICLE source'!$A:$AT,45,FALSE)</f>
        <v>#N/A</v>
      </c>
      <c r="C8" s="34" t="e">
        <f t="shared" si="1"/>
        <v>#N/A</v>
      </c>
      <c r="D8" s="42" t="e">
        <f>(B8*E8)+D7</f>
        <v>#N/A</v>
      </c>
      <c r="E8" s="36">
        <v>19.643203583837458</v>
      </c>
      <c r="F8" s="43" t="e">
        <f t="shared" si="2"/>
        <v>#N/A</v>
      </c>
      <c r="G8" s="35">
        <v>0.61432399999999998</v>
      </c>
      <c r="H8" s="39" t="e">
        <f t="shared" si="0"/>
        <v>#N/A</v>
      </c>
    </row>
    <row r="9" spans="1:10">
      <c r="A9" s="37">
        <v>8</v>
      </c>
      <c r="B9" s="34" t="e">
        <f>VLOOKUP('EV Comparison Calculator'!$L$22,'VEHICLE source'!$A:$AT,45,FALSE)</f>
        <v>#N/A</v>
      </c>
      <c r="C9" s="34" t="e">
        <f t="shared" si="1"/>
        <v>#N/A</v>
      </c>
      <c r="D9" s="42" t="e">
        <f t="shared" si="3"/>
        <v>#N/A</v>
      </c>
      <c r="E9" s="36">
        <v>19.643203583837458</v>
      </c>
      <c r="F9" s="43" t="e">
        <f t="shared" si="2"/>
        <v>#N/A</v>
      </c>
      <c r="G9" s="35">
        <v>0.59929466666666664</v>
      </c>
      <c r="H9" s="39" t="e">
        <f>D9+F9</f>
        <v>#N/A</v>
      </c>
    </row>
    <row r="10" spans="1:10">
      <c r="A10" s="37">
        <v>9</v>
      </c>
      <c r="B10" s="34" t="e">
        <f>VLOOKUP('EV Comparison Calculator'!$L$22,'VEHICLE source'!$A:$AT,45,FALSE)</f>
        <v>#N/A</v>
      </c>
      <c r="C10" s="34" t="e">
        <f t="shared" si="1"/>
        <v>#N/A</v>
      </c>
      <c r="D10" s="42" t="e">
        <f t="shared" si="3"/>
        <v>#N/A</v>
      </c>
      <c r="E10" s="36">
        <v>19.643203583837458</v>
      </c>
      <c r="F10" s="43" t="e">
        <f t="shared" si="2"/>
        <v>#N/A</v>
      </c>
      <c r="G10" s="35">
        <v>0.5842653333333333</v>
      </c>
      <c r="H10" s="39" t="e">
        <f t="shared" si="0"/>
        <v>#N/A</v>
      </c>
    </row>
    <row r="11" spans="1:10">
      <c r="A11" s="37">
        <v>10</v>
      </c>
      <c r="B11" s="34" t="e">
        <f>VLOOKUP('EV Comparison Calculator'!$L$22,'VEHICLE source'!$A:$AT,45,FALSE)</f>
        <v>#N/A</v>
      </c>
      <c r="C11" s="34" t="e">
        <f t="shared" si="1"/>
        <v>#N/A</v>
      </c>
      <c r="D11" s="42" t="e">
        <f t="shared" si="3"/>
        <v>#N/A</v>
      </c>
      <c r="E11" s="36">
        <v>19.643203583837458</v>
      </c>
      <c r="F11" s="43" t="e">
        <f t="shared" si="2"/>
        <v>#N/A</v>
      </c>
      <c r="G11" s="35">
        <v>0.56923599999999996</v>
      </c>
      <c r="H11" s="39" t="e">
        <f t="shared" si="0"/>
        <v>#N/A</v>
      </c>
    </row>
    <row r="12" spans="1:10">
      <c r="A12" s="37">
        <v>11</v>
      </c>
      <c r="B12" s="34" t="e">
        <f>VLOOKUP('EV Comparison Calculator'!$L$22,'VEHICLE source'!$A:$AT,45,FALSE)</f>
        <v>#N/A</v>
      </c>
      <c r="C12" s="34" t="e">
        <f t="shared" si="1"/>
        <v>#N/A</v>
      </c>
      <c r="D12" s="42" t="e">
        <f t="shared" si="3"/>
        <v>#N/A</v>
      </c>
      <c r="E12" s="36">
        <v>19.643203583837458</v>
      </c>
      <c r="F12" s="43" t="e">
        <f t="shared" si="2"/>
        <v>#N/A</v>
      </c>
      <c r="G12" s="35">
        <v>0.55420666666666663</v>
      </c>
      <c r="H12" s="39" t="e">
        <f t="shared" si="0"/>
        <v>#N/A</v>
      </c>
    </row>
    <row r="13" spans="1:10">
      <c r="A13" s="37">
        <v>12</v>
      </c>
      <c r="B13" s="34" t="e">
        <f>VLOOKUP('EV Comparison Calculator'!$L$22,'VEHICLE source'!$A:$AT,45,FALSE)</f>
        <v>#N/A</v>
      </c>
      <c r="C13" s="34" t="e">
        <f t="shared" si="1"/>
        <v>#N/A</v>
      </c>
      <c r="D13" s="42" t="e">
        <f t="shared" si="3"/>
        <v>#N/A</v>
      </c>
      <c r="E13" s="36">
        <v>19.643203583837458</v>
      </c>
      <c r="F13" s="43" t="e">
        <f t="shared" si="2"/>
        <v>#N/A</v>
      </c>
      <c r="G13" s="35">
        <v>0.53917733333333329</v>
      </c>
      <c r="H13" s="39" t="e">
        <f t="shared" si="0"/>
        <v>#N/A</v>
      </c>
    </row>
    <row r="14" spans="1:10">
      <c r="A14" s="37">
        <v>13</v>
      </c>
      <c r="B14" s="34" t="e">
        <f>VLOOKUP('EV Comparison Calculator'!$L$22,'VEHICLE source'!$A:$AT,45,FALSE)</f>
        <v>#N/A</v>
      </c>
      <c r="C14" s="34" t="e">
        <f t="shared" si="1"/>
        <v>#N/A</v>
      </c>
      <c r="D14" s="42" t="e">
        <f t="shared" si="3"/>
        <v>#N/A</v>
      </c>
      <c r="E14" s="36">
        <v>19.643203583837458</v>
      </c>
      <c r="F14" s="43" t="e">
        <f t="shared" si="2"/>
        <v>#N/A</v>
      </c>
      <c r="G14" s="35">
        <v>0.52414799999999995</v>
      </c>
      <c r="H14" s="39" t="e">
        <f t="shared" si="0"/>
        <v>#N/A</v>
      </c>
    </row>
    <row r="15" spans="1:10">
      <c r="A15" s="37">
        <v>14</v>
      </c>
      <c r="B15" s="34" t="e">
        <f>VLOOKUP('EV Comparison Calculator'!$L$22,'VEHICLE source'!$A:$AT,45,FALSE)</f>
        <v>#N/A</v>
      </c>
      <c r="C15" s="34" t="e">
        <f t="shared" si="1"/>
        <v>#N/A</v>
      </c>
      <c r="D15" s="42" t="e">
        <f t="shared" si="3"/>
        <v>#N/A</v>
      </c>
      <c r="E15" s="36">
        <v>19.643203583837458</v>
      </c>
      <c r="F15" s="43" t="e">
        <f t="shared" si="2"/>
        <v>#N/A</v>
      </c>
      <c r="G15" s="35">
        <v>0.50911866666666661</v>
      </c>
      <c r="H15" s="39" t="e">
        <f t="shared" si="0"/>
        <v>#N/A</v>
      </c>
    </row>
    <row r="16" spans="1:10">
      <c r="A16" s="37">
        <v>15</v>
      </c>
      <c r="B16" s="34" t="e">
        <f>VLOOKUP('EV Comparison Calculator'!$L$22,'VEHICLE source'!$A:$AT,45,FALSE)</f>
        <v>#N/A</v>
      </c>
      <c r="C16" s="34" t="e">
        <f t="shared" si="1"/>
        <v>#N/A</v>
      </c>
      <c r="D16" s="42" t="e">
        <f t="shared" si="3"/>
        <v>#N/A</v>
      </c>
      <c r="E16" s="36">
        <v>19.643203583837458</v>
      </c>
      <c r="F16" s="43" t="e">
        <f t="shared" si="2"/>
        <v>#N/A</v>
      </c>
      <c r="G16" s="35">
        <v>0.49408933333333327</v>
      </c>
      <c r="H16" s="39" t="e">
        <f t="shared" si="0"/>
        <v>#N/A</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7959E-0E3B-A943-AC45-3DBABD102F68}">
  <dimension ref="A1:BB32"/>
  <sheetViews>
    <sheetView workbookViewId="0">
      <pane xSplit="1" ySplit="1" topLeftCell="AH13" activePane="bottomRight" state="frozen"/>
      <selection pane="topRight" activeCell="B1" sqref="B1"/>
      <selection pane="bottomLeft" activeCell="A2" sqref="A2"/>
      <selection pane="bottomRight" activeCell="AI35" sqref="AI35"/>
    </sheetView>
  </sheetViews>
  <sheetFormatPr defaultColWidth="11" defaultRowHeight="15.5"/>
  <cols>
    <col min="1" max="1" width="37" style="6" customWidth="1"/>
    <col min="2" max="2" width="11.5" style="1" bestFit="1" customWidth="1"/>
    <col min="3" max="3" width="23.58203125" style="6" bestFit="1" customWidth="1"/>
    <col min="4" max="4" width="11.5" style="1" customWidth="1"/>
    <col min="5" max="5" width="15" style="1" bestFit="1" customWidth="1"/>
    <col min="6" max="8" width="10.83203125" style="1"/>
    <col min="9" max="9" width="12.08203125" style="1" bestFit="1" customWidth="1"/>
    <col min="10" max="10" width="15.08203125" style="1" bestFit="1" customWidth="1"/>
    <col min="11" max="11" width="25.5" style="1" bestFit="1" customWidth="1"/>
    <col min="12" max="12" width="13.33203125" style="1" bestFit="1" customWidth="1"/>
    <col min="13" max="13" width="10.83203125" style="1"/>
    <col min="14" max="14" width="18.08203125" style="1" bestFit="1" customWidth="1"/>
    <col min="15" max="16" width="10.83203125" style="1"/>
    <col min="17" max="17" width="19.83203125" style="1" bestFit="1" customWidth="1"/>
    <col min="18" max="18" width="19.08203125" style="1" bestFit="1" customWidth="1"/>
    <col min="19" max="19" width="12.58203125" style="1" bestFit="1" customWidth="1"/>
    <col min="20" max="20" width="19.58203125" style="1" bestFit="1" customWidth="1"/>
    <col min="21" max="21" width="16.83203125" style="1" bestFit="1" customWidth="1"/>
    <col min="22" max="22" width="25.5" style="1" bestFit="1" customWidth="1"/>
    <col min="23" max="23" width="25" style="1" bestFit="1" customWidth="1"/>
    <col min="24" max="24" width="11.5" bestFit="1" customWidth="1"/>
    <col min="25" max="25" width="17.33203125" customWidth="1"/>
    <col min="26" max="26" width="16" customWidth="1"/>
    <col min="27" max="27" width="13.58203125" customWidth="1"/>
    <col min="28" max="28" width="12.58203125" customWidth="1"/>
    <col min="31" max="31" width="23.58203125" bestFit="1" customWidth="1"/>
    <col min="32" max="32" width="25.83203125" bestFit="1" customWidth="1"/>
    <col min="33" max="33" width="19.08203125" style="61" bestFit="1" customWidth="1"/>
    <col min="34" max="34" width="22.58203125" bestFit="1" customWidth="1"/>
    <col min="35" max="35" width="19.58203125" style="61" bestFit="1" customWidth="1"/>
    <col min="36" max="36" width="22.33203125" bestFit="1" customWidth="1"/>
    <col min="37" max="37" width="25.33203125" bestFit="1" customWidth="1"/>
    <col min="38" max="38" width="23.08203125" style="61" bestFit="1" customWidth="1"/>
    <col min="39" max="39" width="28.33203125" bestFit="1" customWidth="1"/>
    <col min="40" max="40" width="13.83203125" style="61" bestFit="1" customWidth="1"/>
    <col min="41" max="41" width="11" style="61"/>
    <col min="42" max="42" width="25.33203125" bestFit="1" customWidth="1"/>
    <col min="43" max="43" width="15.08203125" style="61" bestFit="1" customWidth="1"/>
    <col min="44" max="44" width="20.5" style="61" bestFit="1" customWidth="1"/>
    <col min="45" max="45" width="17.33203125" style="61" bestFit="1" customWidth="1"/>
    <col min="46" max="46" width="10.83203125" style="61" customWidth="1"/>
    <col min="48" max="48" width="11.5" bestFit="1" customWidth="1"/>
    <col min="50" max="50" width="11.5" style="1" bestFit="1" customWidth="1"/>
    <col min="51" max="51" width="19.33203125" style="6" customWidth="1"/>
  </cols>
  <sheetData>
    <row r="1" spans="1:51" s="3" customFormat="1">
      <c r="A1" s="5" t="s">
        <v>105</v>
      </c>
      <c r="B1" s="2" t="s">
        <v>106</v>
      </c>
      <c r="C1" s="2" t="s">
        <v>107</v>
      </c>
      <c r="D1" s="2" t="s">
        <v>108</v>
      </c>
      <c r="E1" s="2" t="s">
        <v>109</v>
      </c>
      <c r="F1" s="2" t="s">
        <v>110</v>
      </c>
      <c r="G1" s="2" t="s">
        <v>111</v>
      </c>
      <c r="H1" s="2" t="s">
        <v>112</v>
      </c>
      <c r="I1" s="2" t="s">
        <v>113</v>
      </c>
      <c r="J1" s="2" t="s">
        <v>114</v>
      </c>
      <c r="K1" s="2" t="s">
        <v>115</v>
      </c>
      <c r="L1" s="2" t="s">
        <v>116</v>
      </c>
      <c r="M1" s="2" t="s">
        <v>117</v>
      </c>
      <c r="N1" s="2" t="s">
        <v>118</v>
      </c>
      <c r="O1" s="2" t="s">
        <v>119</v>
      </c>
      <c r="P1" s="2" t="s">
        <v>120</v>
      </c>
      <c r="Q1" s="2" t="s">
        <v>121</v>
      </c>
      <c r="R1" s="2" t="s">
        <v>122</v>
      </c>
      <c r="S1" s="2" t="s">
        <v>123</v>
      </c>
      <c r="T1" s="2" t="s">
        <v>124</v>
      </c>
      <c r="U1" s="2" t="s">
        <v>125</v>
      </c>
      <c r="V1" s="2" t="s">
        <v>126</v>
      </c>
      <c r="W1" s="2" t="s">
        <v>127</v>
      </c>
      <c r="X1" s="3" t="s">
        <v>128</v>
      </c>
      <c r="Y1" s="3" t="s">
        <v>129</v>
      </c>
      <c r="Z1" s="3" t="s">
        <v>130</v>
      </c>
      <c r="AA1" s="3" t="s">
        <v>131</v>
      </c>
      <c r="AB1" s="3" t="s">
        <v>132</v>
      </c>
      <c r="AC1" s="3" t="s">
        <v>133</v>
      </c>
      <c r="AD1" s="3" t="s">
        <v>134</v>
      </c>
      <c r="AE1" s="3" t="s">
        <v>135</v>
      </c>
      <c r="AF1" s="3" t="s">
        <v>136</v>
      </c>
      <c r="AG1" s="59" t="s">
        <v>137</v>
      </c>
      <c r="AH1" s="3" t="s">
        <v>138</v>
      </c>
      <c r="AI1" s="59" t="s">
        <v>139</v>
      </c>
      <c r="AJ1" s="3" t="s">
        <v>140</v>
      </c>
      <c r="AK1" s="3" t="s">
        <v>141</v>
      </c>
      <c r="AL1" s="59" t="s">
        <v>142</v>
      </c>
      <c r="AM1" s="3" t="s">
        <v>143</v>
      </c>
      <c r="AN1" s="59" t="s">
        <v>144</v>
      </c>
      <c r="AO1" s="59" t="s">
        <v>145</v>
      </c>
      <c r="AP1" s="3" t="s">
        <v>146</v>
      </c>
      <c r="AQ1" s="59" t="s">
        <v>147</v>
      </c>
      <c r="AR1" s="59" t="s">
        <v>148</v>
      </c>
      <c r="AS1" s="59" t="s">
        <v>149</v>
      </c>
      <c r="AT1" s="59" t="s">
        <v>150</v>
      </c>
      <c r="AU1" s="3" t="s">
        <v>151</v>
      </c>
      <c r="AV1" s="3" t="s">
        <v>152</v>
      </c>
      <c r="AW1" s="3" t="s">
        <v>153</v>
      </c>
      <c r="AX1" s="2" t="s">
        <v>106</v>
      </c>
      <c r="AY1" s="5" t="s">
        <v>154</v>
      </c>
    </row>
    <row r="2" spans="1:51" s="131" customFormat="1">
      <c r="A2" s="127" t="str">
        <f>_xlfn.CONCAT(D2," ",E2," ",F2," (",J2,")")</f>
        <v>Hyundai Kona SEL (BEV)</v>
      </c>
      <c r="B2" s="128" t="s">
        <v>155</v>
      </c>
      <c r="C2" s="127" t="s">
        <v>156</v>
      </c>
      <c r="D2" s="128" t="s">
        <v>157</v>
      </c>
      <c r="E2" s="128" t="s">
        <v>158</v>
      </c>
      <c r="F2" s="128" t="s">
        <v>159</v>
      </c>
      <c r="G2" s="128">
        <v>2022</v>
      </c>
      <c r="H2" s="128">
        <v>5</v>
      </c>
      <c r="I2" s="128" t="s">
        <v>160</v>
      </c>
      <c r="J2" s="128" t="s">
        <v>161</v>
      </c>
      <c r="K2" s="128" t="s">
        <v>162</v>
      </c>
      <c r="L2" s="128" t="s">
        <v>163</v>
      </c>
      <c r="M2" s="128" t="s">
        <v>164</v>
      </c>
      <c r="N2" s="128" t="str">
        <f>_xlfn.CONCAT(L2,"/",M2)</f>
        <v>258 miles/-</v>
      </c>
      <c r="O2" s="128">
        <v>120</v>
      </c>
      <c r="P2" s="128" t="s">
        <v>165</v>
      </c>
      <c r="Q2" s="128" t="s">
        <v>166</v>
      </c>
      <c r="R2" s="128" t="s">
        <v>167</v>
      </c>
      <c r="S2" s="128" t="s">
        <v>166</v>
      </c>
      <c r="T2" s="128" t="s">
        <v>168</v>
      </c>
      <c r="U2" s="128" t="s">
        <v>169</v>
      </c>
      <c r="V2" s="128" t="s">
        <v>170</v>
      </c>
      <c r="W2" s="128" t="s">
        <v>171</v>
      </c>
      <c r="X2" s="129">
        <v>35102</v>
      </c>
      <c r="Y2" s="130">
        <v>7500</v>
      </c>
      <c r="Z2" s="130">
        <v>5000</v>
      </c>
      <c r="AD2" s="132">
        <v>0.47</v>
      </c>
      <c r="AE2" s="133">
        <f t="shared" ref="AE2:AE7" si="0">AF2*AD2</f>
        <v>2.8199999999999996E-2</v>
      </c>
      <c r="AF2" s="134">
        <v>0.06</v>
      </c>
      <c r="AG2" s="135" t="e">
        <f>'EV Comparison Calculator'!$M$10*'EV Comparison Calculator'!$M$12</f>
        <v>#VALUE!</v>
      </c>
      <c r="AH2" s="136" t="e">
        <f>AE2*AG2</f>
        <v>#VALUE!</v>
      </c>
      <c r="AI2" s="136">
        <v>0</v>
      </c>
      <c r="AJ2" s="136" t="e">
        <f>AH2+AI2</f>
        <v>#VALUE!</v>
      </c>
      <c r="AK2" s="137" t="e">
        <f>AJ2/AG2</f>
        <v>#VALUE!</v>
      </c>
      <c r="AL2" s="138" t="e">
        <f>$AJ2/'EV Comparison Calculator'!$M$12</f>
        <v>#VALUE!</v>
      </c>
      <c r="AM2" s="139" t="str">
        <f>IFERROR('EV Comparison Calculator'!$M$16*LEFT(U2,2),"")</f>
        <v/>
      </c>
      <c r="AN2" s="139" t="str">
        <f>'EV Comparison Calculator'!$M$16</f>
        <v>PLEASE SELECT</v>
      </c>
      <c r="AO2" s="139" t="str">
        <f>'EV Comparison Calculator'!$M$14</f>
        <v>PLEASE SELECT</v>
      </c>
      <c r="AP2" s="139" t="e">
        <f>AM2*'EV Comparison Calculator'!$M$10/100</f>
        <v>#VALUE!</v>
      </c>
      <c r="AQ2" s="139">
        <v>0</v>
      </c>
      <c r="AR2" s="139" t="e">
        <f>AP2+AQ2</f>
        <v>#VALUE!</v>
      </c>
      <c r="AS2" s="140">
        <v>0</v>
      </c>
      <c r="AT2" s="135" t="e">
        <f>('EV Comparison Calculator'!$M$10*(LEFT($U2,2)))/100</f>
        <v>#VALUE!</v>
      </c>
      <c r="AU2" s="130">
        <v>7500</v>
      </c>
      <c r="AV2" s="136">
        <v>34000</v>
      </c>
      <c r="AW2" s="131" t="s">
        <v>172</v>
      </c>
      <c r="AX2" s="128" t="s">
        <v>155</v>
      </c>
      <c r="AY2" s="127" t="s">
        <v>173</v>
      </c>
    </row>
    <row r="3" spans="1:51" s="131" customFormat="1">
      <c r="A3" s="127" t="str">
        <f>_xlfn.CONCAT(D3," ",E3," ",F3," (",J3,")")</f>
        <v>Hyundai Kona Limited (BEV)</v>
      </c>
      <c r="B3" s="128" t="s">
        <v>155</v>
      </c>
      <c r="C3" s="127" t="s">
        <v>156</v>
      </c>
      <c r="D3" s="128" t="s">
        <v>157</v>
      </c>
      <c r="E3" s="128" t="s">
        <v>158</v>
      </c>
      <c r="F3" s="128" t="s">
        <v>174</v>
      </c>
      <c r="G3" s="128">
        <v>2022</v>
      </c>
      <c r="H3" s="128">
        <v>5</v>
      </c>
      <c r="I3" s="128" t="s">
        <v>160</v>
      </c>
      <c r="J3" s="128" t="s">
        <v>161</v>
      </c>
      <c r="K3" s="128" t="s">
        <v>162</v>
      </c>
      <c r="L3" s="128" t="s">
        <v>163</v>
      </c>
      <c r="M3" s="128" t="s">
        <v>164</v>
      </c>
      <c r="N3" s="128" t="str">
        <f>_xlfn.CONCAT(L3,"/",M3)</f>
        <v>258 miles/-</v>
      </c>
      <c r="O3" s="128">
        <v>120</v>
      </c>
      <c r="P3" s="128" t="s">
        <v>165</v>
      </c>
      <c r="Q3" s="128" t="s">
        <v>166</v>
      </c>
      <c r="R3" s="128" t="s">
        <v>167</v>
      </c>
      <c r="S3" s="128" t="s">
        <v>166</v>
      </c>
      <c r="T3" s="128" t="s">
        <v>168</v>
      </c>
      <c r="U3" s="128" t="s">
        <v>169</v>
      </c>
      <c r="V3" s="128" t="s">
        <v>170</v>
      </c>
      <c r="W3" s="128" t="s">
        <v>171</v>
      </c>
      <c r="X3" s="129">
        <v>43612</v>
      </c>
      <c r="Y3" s="130">
        <v>7500</v>
      </c>
      <c r="Z3" s="130">
        <v>5000</v>
      </c>
      <c r="AD3" s="132">
        <v>0.47</v>
      </c>
      <c r="AE3" s="133">
        <f t="shared" si="0"/>
        <v>2.8199999999999996E-2</v>
      </c>
      <c r="AF3" s="134">
        <v>0.06</v>
      </c>
      <c r="AG3" s="135" t="e">
        <f>'EV Comparison Calculator'!$M$10*'EV Comparison Calculator'!$M$12</f>
        <v>#VALUE!</v>
      </c>
      <c r="AH3" s="136" t="e">
        <f>AE3*AG3</f>
        <v>#VALUE!</v>
      </c>
      <c r="AI3" s="136">
        <v>0</v>
      </c>
      <c r="AJ3" s="136" t="e">
        <f>AH3+AI3</f>
        <v>#VALUE!</v>
      </c>
      <c r="AK3" s="137" t="e">
        <f>AJ3/AG3</f>
        <v>#VALUE!</v>
      </c>
      <c r="AL3" s="138" t="e">
        <f>$AJ3/'EV Comparison Calculator'!$M$12</f>
        <v>#VALUE!</v>
      </c>
      <c r="AM3" s="139" t="str">
        <f>IFERROR('EV Comparison Calculator'!$M$16*LEFT(U3,2),"")</f>
        <v/>
      </c>
      <c r="AN3" s="139" t="str">
        <f>'EV Comparison Calculator'!$M$16</f>
        <v>PLEASE SELECT</v>
      </c>
      <c r="AO3" s="139" t="str">
        <f>'EV Comparison Calculator'!$M$14</f>
        <v>PLEASE SELECT</v>
      </c>
      <c r="AP3" s="139" t="e">
        <f>AM3*'EV Comparison Calculator'!$M$10/100</f>
        <v>#VALUE!</v>
      </c>
      <c r="AQ3" s="139">
        <v>0</v>
      </c>
      <c r="AR3" s="139" t="e">
        <f>AP3+AQ3</f>
        <v>#VALUE!</v>
      </c>
      <c r="AS3" s="140">
        <v>0</v>
      </c>
      <c r="AT3" s="135" t="e">
        <f>('EV Comparison Calculator'!$M$10*(LEFT($U3,2)))/100</f>
        <v>#VALUE!</v>
      </c>
      <c r="AU3" s="130">
        <v>7500</v>
      </c>
      <c r="AV3" s="136">
        <v>42500</v>
      </c>
      <c r="AW3" s="131" t="s">
        <v>172</v>
      </c>
      <c r="AX3" s="128" t="s">
        <v>155</v>
      </c>
      <c r="AY3" s="127" t="s">
        <v>173</v>
      </c>
    </row>
    <row r="4" spans="1:51">
      <c r="A4" s="6" t="str">
        <f t="shared" ref="A4:A30" si="1">_xlfn.CONCAT(D4," ",E4," ",F4," (",J4,")")</f>
        <v>Nissan Leaf S (BEV)</v>
      </c>
      <c r="B4" s="1" t="s">
        <v>175</v>
      </c>
      <c r="C4" s="6" t="s">
        <v>176</v>
      </c>
      <c r="D4" s="1" t="s">
        <v>177</v>
      </c>
      <c r="E4" s="1" t="s">
        <v>178</v>
      </c>
      <c r="F4" s="1" t="s">
        <v>179</v>
      </c>
      <c r="G4" s="1">
        <v>2022</v>
      </c>
      <c r="H4" s="1">
        <v>5</v>
      </c>
      <c r="I4" s="1" t="s">
        <v>180</v>
      </c>
      <c r="J4" s="1" t="s">
        <v>161</v>
      </c>
      <c r="K4" s="1" t="s">
        <v>162</v>
      </c>
      <c r="L4" s="1" t="s">
        <v>181</v>
      </c>
      <c r="M4" s="1" t="s">
        <v>164</v>
      </c>
      <c r="N4" s="1" t="str">
        <f t="shared" ref="N4:N13" si="2">_xlfn.CONCAT(L4,"/",M4)</f>
        <v>149 miles/-</v>
      </c>
      <c r="O4" s="1">
        <v>112</v>
      </c>
      <c r="P4" s="1" t="s">
        <v>182</v>
      </c>
      <c r="Q4" s="1" t="s">
        <v>183</v>
      </c>
      <c r="R4" s="1" t="s">
        <v>167</v>
      </c>
      <c r="S4" s="1" t="s">
        <v>183</v>
      </c>
      <c r="T4" s="1" t="s">
        <v>168</v>
      </c>
      <c r="U4" s="1" t="s">
        <v>184</v>
      </c>
      <c r="V4" s="1" t="s">
        <v>185</v>
      </c>
      <c r="W4" s="1" t="s">
        <v>186</v>
      </c>
      <c r="X4" s="4">
        <v>28209</v>
      </c>
      <c r="Y4" s="12">
        <v>7500</v>
      </c>
      <c r="Z4" s="12">
        <v>5000</v>
      </c>
      <c r="AD4" s="13">
        <v>0.47</v>
      </c>
      <c r="AE4" s="74">
        <f t="shared" si="0"/>
        <v>2.8199999999999996E-2</v>
      </c>
      <c r="AF4" s="75">
        <v>0.06</v>
      </c>
      <c r="AG4" s="60" t="e">
        <f>'EV Comparison Calculator'!$M$10*'EV Comparison Calculator'!$M$12</f>
        <v>#VALUE!</v>
      </c>
      <c r="AH4" s="4" t="e">
        <f t="shared" ref="AH4:AH5" si="3">AE4*AG4</f>
        <v>#VALUE!</v>
      </c>
      <c r="AI4" s="63">
        <v>0</v>
      </c>
      <c r="AJ4" s="4" t="e">
        <f t="shared" ref="AJ4:AJ13" si="4">AH4+AI4</f>
        <v>#VALUE!</v>
      </c>
      <c r="AK4" s="73" t="e">
        <f t="shared" ref="AK4:AK5" si="5">AJ4/AG4</f>
        <v>#VALUE!</v>
      </c>
      <c r="AL4" s="62" t="e">
        <f>$AJ4/'EV Comparison Calculator'!$M$12</f>
        <v>#VALUE!</v>
      </c>
      <c r="AM4" s="30" t="str">
        <f>IFERROR('EV Comparison Calculator'!$M$16*LEFT(U4,2),"")</f>
        <v/>
      </c>
      <c r="AN4" s="64" t="str">
        <f>'EV Comparison Calculator'!$M$16</f>
        <v>PLEASE SELECT</v>
      </c>
      <c r="AO4" s="64" t="str">
        <f>'EV Comparison Calculator'!$M$14</f>
        <v>PLEASE SELECT</v>
      </c>
      <c r="AP4" s="30" t="e">
        <f>AM4*'EV Comparison Calculator'!$M$10/100</f>
        <v>#VALUE!</v>
      </c>
      <c r="AQ4" s="64">
        <v>0</v>
      </c>
      <c r="AR4" s="64" t="e">
        <f t="shared" ref="AR4:AR26" si="6">AP4+AQ4</f>
        <v>#VALUE!</v>
      </c>
      <c r="AS4" s="65">
        <v>0</v>
      </c>
      <c r="AT4" s="60" t="e">
        <f>('EV Comparison Calculator'!$M$10*(LEFT($U4,2)))/100</f>
        <v>#VALUE!</v>
      </c>
      <c r="AU4" s="12">
        <v>7500</v>
      </c>
      <c r="AV4" s="4"/>
      <c r="AW4" t="s">
        <v>172</v>
      </c>
      <c r="AX4" s="1" t="s">
        <v>175</v>
      </c>
      <c r="AY4" s="6" t="s">
        <v>187</v>
      </c>
    </row>
    <row r="5" spans="1:51">
      <c r="A5" s="6" t="str">
        <f t="shared" si="1"/>
        <v>Chevy  Bolt LT (BEV)</v>
      </c>
      <c r="B5" s="1" t="s">
        <v>175</v>
      </c>
      <c r="C5" s="6" t="s">
        <v>188</v>
      </c>
      <c r="D5" s="1" t="s">
        <v>189</v>
      </c>
      <c r="E5" s="1" t="s">
        <v>190</v>
      </c>
      <c r="F5" s="1" t="s">
        <v>191</v>
      </c>
      <c r="G5" s="1">
        <v>2022</v>
      </c>
      <c r="H5" s="1">
        <v>5</v>
      </c>
      <c r="I5" s="1" t="s">
        <v>180</v>
      </c>
      <c r="J5" s="1" t="s">
        <v>161</v>
      </c>
      <c r="K5" s="1" t="s">
        <v>162</v>
      </c>
      <c r="L5" s="1" t="s">
        <v>192</v>
      </c>
      <c r="M5" s="1" t="s">
        <v>164</v>
      </c>
      <c r="N5" s="1" t="str">
        <f t="shared" si="2"/>
        <v>238 miles/-</v>
      </c>
      <c r="O5" s="1">
        <v>119</v>
      </c>
      <c r="P5" s="1" t="s">
        <v>193</v>
      </c>
      <c r="Q5" s="1" t="s">
        <v>166</v>
      </c>
      <c r="R5" s="1" t="s">
        <v>167</v>
      </c>
      <c r="S5" s="1" t="s">
        <v>166</v>
      </c>
      <c r="T5" s="1" t="s">
        <v>168</v>
      </c>
      <c r="U5" s="1" t="s">
        <v>194</v>
      </c>
      <c r="V5" s="1" t="s">
        <v>195</v>
      </c>
      <c r="W5" s="1" t="s">
        <v>171</v>
      </c>
      <c r="X5" s="4">
        <v>27122</v>
      </c>
      <c r="Y5" s="12">
        <v>7500</v>
      </c>
      <c r="Z5" s="12">
        <v>5000</v>
      </c>
      <c r="AD5" s="13">
        <v>0.47</v>
      </c>
      <c r="AE5" s="74">
        <f t="shared" si="0"/>
        <v>2.8199999999999996E-2</v>
      </c>
      <c r="AF5" s="75">
        <v>0.06</v>
      </c>
      <c r="AG5" s="60" t="e">
        <f>'EV Comparison Calculator'!$M$10*'EV Comparison Calculator'!$M$12</f>
        <v>#VALUE!</v>
      </c>
      <c r="AH5" s="4" t="e">
        <f t="shared" si="3"/>
        <v>#VALUE!</v>
      </c>
      <c r="AI5" s="63">
        <v>0</v>
      </c>
      <c r="AJ5" s="4" t="e">
        <f t="shared" si="4"/>
        <v>#VALUE!</v>
      </c>
      <c r="AK5" s="73" t="e">
        <f t="shared" si="5"/>
        <v>#VALUE!</v>
      </c>
      <c r="AL5" s="62" t="e">
        <f>$AJ5/'EV Comparison Calculator'!$M$12</f>
        <v>#VALUE!</v>
      </c>
      <c r="AM5" s="30" t="str">
        <f>IFERROR('EV Comparison Calculator'!$M$16*LEFT(U5,2),"")</f>
        <v/>
      </c>
      <c r="AN5" s="64" t="str">
        <f>'EV Comparison Calculator'!$M$16</f>
        <v>PLEASE SELECT</v>
      </c>
      <c r="AO5" s="64" t="str">
        <f>'EV Comparison Calculator'!$M$14</f>
        <v>PLEASE SELECT</v>
      </c>
      <c r="AP5" s="30" t="e">
        <f>AM5*'EV Comparison Calculator'!$M$10/100</f>
        <v>#VALUE!</v>
      </c>
      <c r="AQ5" s="64">
        <v>0</v>
      </c>
      <c r="AR5" s="64" t="e">
        <f t="shared" si="6"/>
        <v>#VALUE!</v>
      </c>
      <c r="AS5" s="65">
        <v>0</v>
      </c>
      <c r="AT5" s="60" t="e">
        <f>('EV Comparison Calculator'!$M$10*(LEFT($U5,2)))/100</f>
        <v>#VALUE!</v>
      </c>
      <c r="AU5" s="12">
        <v>7500</v>
      </c>
      <c r="AV5" s="4">
        <v>38245</v>
      </c>
      <c r="AW5" t="s">
        <v>172</v>
      </c>
      <c r="AX5" s="1" t="s">
        <v>175</v>
      </c>
      <c r="AY5" s="6" t="s">
        <v>187</v>
      </c>
    </row>
    <row r="6" spans="1:51">
      <c r="A6" s="6" t="str">
        <f t="shared" si="1"/>
        <v>Chevy  Bolt Premier (BEV)</v>
      </c>
      <c r="B6" s="1" t="s">
        <v>175</v>
      </c>
      <c r="C6" s="6" t="s">
        <v>188</v>
      </c>
      <c r="D6" s="1" t="s">
        <v>189</v>
      </c>
      <c r="E6" s="1" t="s">
        <v>190</v>
      </c>
      <c r="F6" s="1" t="s">
        <v>196</v>
      </c>
      <c r="G6" s="1">
        <v>2022</v>
      </c>
      <c r="H6" s="1">
        <v>5</v>
      </c>
      <c r="I6" s="1" t="s">
        <v>180</v>
      </c>
      <c r="J6" s="1" t="s">
        <v>161</v>
      </c>
      <c r="K6" s="1" t="s">
        <v>162</v>
      </c>
      <c r="L6" s="1" t="s">
        <v>197</v>
      </c>
      <c r="M6" s="1" t="s">
        <v>164</v>
      </c>
      <c r="N6" s="1" t="str">
        <f t="shared" si="2"/>
        <v>259 miles/-</v>
      </c>
      <c r="O6" s="1">
        <v>119</v>
      </c>
      <c r="P6" s="1" t="s">
        <v>193</v>
      </c>
      <c r="Q6" s="1" t="s">
        <v>166</v>
      </c>
      <c r="R6" s="1" t="s">
        <v>167</v>
      </c>
      <c r="S6" s="1" t="s">
        <v>166</v>
      </c>
      <c r="T6" s="1" t="s">
        <v>168</v>
      </c>
      <c r="U6" s="1" t="s">
        <v>194</v>
      </c>
      <c r="V6" s="1" t="s">
        <v>195</v>
      </c>
      <c r="W6" s="1" t="s">
        <v>171</v>
      </c>
      <c r="X6" s="4">
        <v>30122</v>
      </c>
      <c r="Y6" s="12">
        <v>7500</v>
      </c>
      <c r="Z6" s="12">
        <v>5000</v>
      </c>
      <c r="AD6" s="13">
        <v>0.47</v>
      </c>
      <c r="AE6" s="74">
        <f t="shared" si="0"/>
        <v>2.8199999999999996E-2</v>
      </c>
      <c r="AF6" s="75">
        <v>0.06</v>
      </c>
      <c r="AG6" s="60" t="e">
        <f>'EV Comparison Calculator'!$M$10*'EV Comparison Calculator'!$M$12</f>
        <v>#VALUE!</v>
      </c>
      <c r="AH6" s="4" t="e">
        <f>AE6*AG6</f>
        <v>#VALUE!</v>
      </c>
      <c r="AI6" s="63">
        <v>0</v>
      </c>
      <c r="AJ6" s="4" t="e">
        <f t="shared" si="4"/>
        <v>#VALUE!</v>
      </c>
      <c r="AK6" s="73" t="e">
        <f>AJ6/AG6</f>
        <v>#VALUE!</v>
      </c>
      <c r="AL6" s="62" t="e">
        <f>$AJ6/'EV Comparison Calculator'!$M$12</f>
        <v>#VALUE!</v>
      </c>
      <c r="AM6" s="30" t="str">
        <f>IFERROR('EV Comparison Calculator'!$M$16*LEFT(U6,2),"")</f>
        <v/>
      </c>
      <c r="AN6" s="64" t="str">
        <f>'EV Comparison Calculator'!$M$16</f>
        <v>PLEASE SELECT</v>
      </c>
      <c r="AO6" s="64" t="str">
        <f>'EV Comparison Calculator'!$M$14</f>
        <v>PLEASE SELECT</v>
      </c>
      <c r="AP6" s="30" t="e">
        <f>AM6*'EV Comparison Calculator'!$M$10/100</f>
        <v>#VALUE!</v>
      </c>
      <c r="AQ6" s="64">
        <v>0</v>
      </c>
      <c r="AR6" s="64" t="e">
        <f t="shared" si="6"/>
        <v>#VALUE!</v>
      </c>
      <c r="AS6" s="65">
        <v>0</v>
      </c>
      <c r="AT6" s="60" t="e">
        <f>('EV Comparison Calculator'!$M$10*(LEFT($U6,2)))/100</f>
        <v>#VALUE!</v>
      </c>
      <c r="AU6" s="12">
        <v>7500</v>
      </c>
      <c r="AV6" s="4">
        <v>42695</v>
      </c>
      <c r="AW6" t="s">
        <v>172</v>
      </c>
      <c r="AX6" s="1" t="s">
        <v>175</v>
      </c>
      <c r="AY6" s="6" t="s">
        <v>187</v>
      </c>
    </row>
    <row r="7" spans="1:51">
      <c r="A7" s="6" t="str">
        <f t="shared" si="1"/>
        <v>Chevy  Bolt EUV LT (BEV)</v>
      </c>
      <c r="B7" s="1" t="s">
        <v>155</v>
      </c>
      <c r="D7" s="1" t="s">
        <v>189</v>
      </c>
      <c r="E7" s="1" t="s">
        <v>198</v>
      </c>
      <c r="F7" s="1" t="s">
        <v>191</v>
      </c>
      <c r="G7" s="1">
        <v>2022</v>
      </c>
      <c r="H7" s="1">
        <v>5</v>
      </c>
      <c r="I7" s="1" t="s">
        <v>160</v>
      </c>
      <c r="J7" s="1" t="s">
        <v>161</v>
      </c>
      <c r="K7" s="1" t="s">
        <v>162</v>
      </c>
      <c r="L7" s="1" t="s">
        <v>199</v>
      </c>
      <c r="M7" s="1" t="s">
        <v>164</v>
      </c>
      <c r="N7" s="1" t="str">
        <f t="shared" si="2"/>
        <v>247 miles/-</v>
      </c>
      <c r="O7" s="1">
        <v>115</v>
      </c>
      <c r="P7" s="1" t="s">
        <v>193</v>
      </c>
      <c r="Q7" s="1" t="s">
        <v>166</v>
      </c>
      <c r="R7" s="1" t="s">
        <v>167</v>
      </c>
      <c r="S7" s="1" t="s">
        <v>166</v>
      </c>
      <c r="T7" s="1" t="s">
        <v>200</v>
      </c>
      <c r="U7" s="1" t="s">
        <v>201</v>
      </c>
      <c r="V7" s="1" t="s">
        <v>195</v>
      </c>
      <c r="W7" s="1" t="s">
        <v>171</v>
      </c>
      <c r="X7" s="4">
        <v>30512</v>
      </c>
      <c r="Y7" s="12">
        <v>7500</v>
      </c>
      <c r="Z7" s="12">
        <v>5000</v>
      </c>
      <c r="AD7" s="13">
        <v>0.47</v>
      </c>
      <c r="AE7" s="74">
        <f t="shared" si="0"/>
        <v>2.8199999999999996E-2</v>
      </c>
      <c r="AF7" s="75">
        <v>0.06</v>
      </c>
      <c r="AG7" s="60" t="e">
        <f>'EV Comparison Calculator'!$M$10*'EV Comparison Calculator'!$M$12</f>
        <v>#VALUE!</v>
      </c>
      <c r="AH7" s="4" t="e">
        <f t="shared" ref="AH7:AH8" si="7">AE7*AG7</f>
        <v>#VALUE!</v>
      </c>
      <c r="AI7" s="63">
        <v>0</v>
      </c>
      <c r="AJ7" s="4" t="e">
        <f t="shared" ref="AJ7:AJ9" si="8">AH7+AI7</f>
        <v>#VALUE!</v>
      </c>
      <c r="AK7" s="73" t="e">
        <f t="shared" ref="AK7:AK9" si="9">AJ7/AG7</f>
        <v>#VALUE!</v>
      </c>
      <c r="AL7" s="62" t="e">
        <f>$AJ7/'EV Comparison Calculator'!$M$12</f>
        <v>#VALUE!</v>
      </c>
      <c r="AM7" s="30" t="str">
        <f>IFERROR('EV Comparison Calculator'!$M$16*LEFT(U7,2),"")</f>
        <v/>
      </c>
      <c r="AN7" s="64" t="str">
        <f>'EV Comparison Calculator'!$M$16</f>
        <v>PLEASE SELECT</v>
      </c>
      <c r="AO7" s="64" t="str">
        <f>'EV Comparison Calculator'!$M$14</f>
        <v>PLEASE SELECT</v>
      </c>
      <c r="AP7" s="30" t="e">
        <f>AM7*'EV Comparison Calculator'!$M$10/100</f>
        <v>#VALUE!</v>
      </c>
      <c r="AQ7" s="64">
        <v>0</v>
      </c>
      <c r="AR7" s="64" t="e">
        <f t="shared" ref="AR7" si="10">AP7+AQ7</f>
        <v>#VALUE!</v>
      </c>
      <c r="AS7" s="65">
        <v>0</v>
      </c>
      <c r="AT7" s="60" t="e">
        <f>('EV Comparison Calculator'!$M$10*(LEFT($U7,2)))/100</f>
        <v>#VALUE!</v>
      </c>
      <c r="AU7" s="12">
        <v>7500</v>
      </c>
      <c r="AV7" s="4">
        <v>33500</v>
      </c>
      <c r="AW7" t="s">
        <v>172</v>
      </c>
      <c r="AX7" s="1" t="s">
        <v>175</v>
      </c>
      <c r="AY7" s="6" t="s">
        <v>187</v>
      </c>
    </row>
    <row r="8" spans="1:51">
      <c r="A8" s="6" t="str">
        <f t="shared" si="1"/>
        <v>Chevy  Bolt EUV Premier (BEV)</v>
      </c>
      <c r="B8" s="1" t="s">
        <v>155</v>
      </c>
      <c r="D8" s="1" t="s">
        <v>189</v>
      </c>
      <c r="E8" s="1" t="s">
        <v>198</v>
      </c>
      <c r="F8" s="1" t="s">
        <v>196</v>
      </c>
      <c r="G8" s="1">
        <v>2022</v>
      </c>
      <c r="H8" s="1">
        <v>5</v>
      </c>
      <c r="I8" s="1" t="s">
        <v>160</v>
      </c>
      <c r="J8" s="1" t="s">
        <v>161</v>
      </c>
      <c r="K8" s="1" t="s">
        <v>162</v>
      </c>
      <c r="L8" s="1" t="s">
        <v>199</v>
      </c>
      <c r="M8" s="1" t="s">
        <v>164</v>
      </c>
      <c r="N8" s="1" t="str">
        <f t="shared" si="2"/>
        <v>247 miles/-</v>
      </c>
      <c r="O8" s="1">
        <v>115</v>
      </c>
      <c r="P8" s="1" t="s">
        <v>193</v>
      </c>
      <c r="Q8" s="1" t="s">
        <v>166</v>
      </c>
      <c r="R8" s="1" t="s">
        <v>167</v>
      </c>
      <c r="S8" s="1" t="s">
        <v>166</v>
      </c>
      <c r="T8" s="1" t="s">
        <v>202</v>
      </c>
      <c r="U8" s="1" t="s">
        <v>201</v>
      </c>
      <c r="V8" s="1" t="s">
        <v>195</v>
      </c>
      <c r="W8" s="1" t="s">
        <v>171</v>
      </c>
      <c r="X8" s="4">
        <v>34722</v>
      </c>
      <c r="Y8" s="12">
        <v>7500</v>
      </c>
      <c r="Z8" s="12">
        <v>5000</v>
      </c>
      <c r="AD8" s="13">
        <v>0.47</v>
      </c>
      <c r="AE8" s="74">
        <f t="shared" ref="AE8:AE9" si="11">AF8*AD8</f>
        <v>2.8199999999999996E-2</v>
      </c>
      <c r="AF8" s="75">
        <v>0.06</v>
      </c>
      <c r="AG8" s="60" t="e">
        <f>'EV Comparison Calculator'!$M$10*'EV Comparison Calculator'!$M$12</f>
        <v>#VALUE!</v>
      </c>
      <c r="AH8" s="4" t="e">
        <f t="shared" si="7"/>
        <v>#VALUE!</v>
      </c>
      <c r="AI8" s="63">
        <v>0</v>
      </c>
      <c r="AJ8" s="4" t="e">
        <f t="shared" si="8"/>
        <v>#VALUE!</v>
      </c>
      <c r="AK8" s="73" t="e">
        <f t="shared" si="9"/>
        <v>#VALUE!</v>
      </c>
      <c r="AL8" s="62" t="e">
        <f>$AJ8/'EV Comparison Calculator'!$M$12</f>
        <v>#VALUE!</v>
      </c>
      <c r="AM8" s="30" t="str">
        <f>IFERROR('EV Comparison Calculator'!$M$16*LEFT(U8,2),"")</f>
        <v/>
      </c>
      <c r="AN8" s="64" t="str">
        <f>'EV Comparison Calculator'!$M$16</f>
        <v>PLEASE SELECT</v>
      </c>
      <c r="AO8" s="64" t="str">
        <f>'EV Comparison Calculator'!$M$14</f>
        <v>PLEASE SELECT</v>
      </c>
      <c r="AP8" s="30" t="e">
        <f>AM8*'EV Comparison Calculator'!$M$10/100</f>
        <v>#VALUE!</v>
      </c>
      <c r="AQ8" s="64">
        <v>0</v>
      </c>
      <c r="AR8" s="64" t="e">
        <f>AP8+AQ8</f>
        <v>#VALUE!</v>
      </c>
      <c r="AS8" s="65">
        <v>0</v>
      </c>
      <c r="AT8" s="60" t="e">
        <f>('EV Comparison Calculator'!$M$10*(LEFT($U8,2)))/100</f>
        <v>#VALUE!</v>
      </c>
      <c r="AU8" s="12">
        <v>7500</v>
      </c>
      <c r="AV8" s="4">
        <v>38000</v>
      </c>
      <c r="AW8" t="s">
        <v>172</v>
      </c>
      <c r="AX8" s="1" t="s">
        <v>175</v>
      </c>
      <c r="AY8" s="6" t="s">
        <v>187</v>
      </c>
    </row>
    <row r="9" spans="1:51">
      <c r="A9" s="6" t="str">
        <f t="shared" si="1"/>
        <v>Hyundai Ioniq SE (BEV)</v>
      </c>
      <c r="B9" s="1" t="s">
        <v>175</v>
      </c>
      <c r="D9" s="1" t="s">
        <v>157</v>
      </c>
      <c r="E9" s="1" t="s">
        <v>203</v>
      </c>
      <c r="F9" s="1" t="s">
        <v>204</v>
      </c>
      <c r="G9" s="1">
        <v>2022</v>
      </c>
      <c r="H9" s="1">
        <v>5</v>
      </c>
      <c r="I9" s="1" t="s">
        <v>180</v>
      </c>
      <c r="J9" s="1" t="s">
        <v>161</v>
      </c>
      <c r="K9" s="1" t="s">
        <v>162</v>
      </c>
      <c r="L9" s="1" t="s">
        <v>205</v>
      </c>
      <c r="M9" s="1" t="s">
        <v>164</v>
      </c>
      <c r="N9" s="1" t="str">
        <f t="shared" ref="N9" si="12">_xlfn.CONCAT(L9,"/",M9)</f>
        <v>170 miles/-</v>
      </c>
      <c r="O9" s="1">
        <v>133</v>
      </c>
      <c r="P9" s="1" t="s">
        <v>206</v>
      </c>
      <c r="Q9" s="1" t="s">
        <v>166</v>
      </c>
      <c r="R9" s="1" t="s">
        <v>167</v>
      </c>
      <c r="S9" s="1" t="s">
        <v>166</v>
      </c>
      <c r="T9" s="1" t="s">
        <v>207</v>
      </c>
      <c r="U9" s="1" t="s">
        <v>208</v>
      </c>
      <c r="V9" s="1" t="s">
        <v>209</v>
      </c>
      <c r="W9" s="1" t="s">
        <v>186</v>
      </c>
      <c r="X9" s="4">
        <v>34202</v>
      </c>
      <c r="Y9" s="12">
        <v>7500</v>
      </c>
      <c r="Z9" s="12">
        <v>5000</v>
      </c>
      <c r="AD9" s="13">
        <v>0.47</v>
      </c>
      <c r="AE9" s="74">
        <f t="shared" si="11"/>
        <v>2.8199999999999996E-2</v>
      </c>
      <c r="AF9" s="75">
        <v>0.06</v>
      </c>
      <c r="AG9" s="60" t="e">
        <f>'EV Comparison Calculator'!$M$10*'EV Comparison Calculator'!$M$12</f>
        <v>#VALUE!</v>
      </c>
      <c r="AH9" s="4" t="e">
        <f t="shared" ref="AH9" si="13">AE9*AG9</f>
        <v>#VALUE!</v>
      </c>
      <c r="AI9" s="63">
        <v>0</v>
      </c>
      <c r="AJ9" s="4" t="e">
        <f t="shared" si="8"/>
        <v>#VALUE!</v>
      </c>
      <c r="AK9" s="73" t="e">
        <f t="shared" si="9"/>
        <v>#VALUE!</v>
      </c>
      <c r="AL9" s="62" t="e">
        <f>$AJ9/'EV Comparison Calculator'!$M$12</f>
        <v>#VALUE!</v>
      </c>
      <c r="AM9" s="30" t="str">
        <f>IFERROR('EV Comparison Calculator'!$M$16*LEFT(U9,2),"")</f>
        <v/>
      </c>
      <c r="AN9" s="64" t="str">
        <f>'EV Comparison Calculator'!$M$16</f>
        <v>PLEASE SELECT</v>
      </c>
      <c r="AO9" s="64" t="str">
        <f>'EV Comparison Calculator'!$M$14</f>
        <v>PLEASE SELECT</v>
      </c>
      <c r="AP9" s="30" t="e">
        <f>AM9*'EV Comparison Calculator'!$M$10/100</f>
        <v>#VALUE!</v>
      </c>
      <c r="AQ9" s="64">
        <v>0</v>
      </c>
      <c r="AR9" s="64" t="e">
        <f t="shared" ref="AR9" si="14">AP9+AQ9</f>
        <v>#VALUE!</v>
      </c>
      <c r="AS9" s="65">
        <v>0</v>
      </c>
      <c r="AT9" s="60" t="e">
        <f>('EV Comparison Calculator'!$M$10*(LEFT($U9,2)))/100</f>
        <v>#VALUE!</v>
      </c>
      <c r="AU9" s="12">
        <v>7500</v>
      </c>
      <c r="AV9" s="4">
        <v>33245</v>
      </c>
      <c r="AW9" t="s">
        <v>172</v>
      </c>
      <c r="AX9" s="1" t="s">
        <v>175</v>
      </c>
      <c r="AY9" s="6" t="s">
        <v>187</v>
      </c>
    </row>
    <row r="10" spans="1:51">
      <c r="A10" s="6" t="str">
        <f t="shared" si="1"/>
        <v>Ford Mustang Mach-E Standard (BEV)</v>
      </c>
      <c r="B10" s="1" t="s">
        <v>155</v>
      </c>
      <c r="D10" s="1" t="s">
        <v>210</v>
      </c>
      <c r="E10" s="1" t="s">
        <v>211</v>
      </c>
      <c r="F10" s="1" t="s">
        <v>212</v>
      </c>
      <c r="G10" s="1">
        <v>2022</v>
      </c>
      <c r="H10" s="1">
        <v>5</v>
      </c>
      <c r="I10" s="1" t="s">
        <v>160</v>
      </c>
      <c r="J10" s="1" t="s">
        <v>161</v>
      </c>
      <c r="K10" s="1" t="s">
        <v>162</v>
      </c>
      <c r="L10" s="1" t="s">
        <v>213</v>
      </c>
      <c r="M10" s="1" t="s">
        <v>164</v>
      </c>
      <c r="N10" s="1" t="str">
        <f t="shared" si="2"/>
        <v>230 miles/-</v>
      </c>
      <c r="O10" s="1">
        <v>93</v>
      </c>
      <c r="P10" s="1" t="s">
        <v>193</v>
      </c>
      <c r="Q10" s="1" t="s">
        <v>214</v>
      </c>
      <c r="R10" s="1" t="s">
        <v>167</v>
      </c>
      <c r="S10" s="1" t="s">
        <v>167</v>
      </c>
      <c r="T10" s="1" t="s">
        <v>215</v>
      </c>
      <c r="U10" s="1" t="s">
        <v>216</v>
      </c>
      <c r="V10" s="1" t="s">
        <v>217</v>
      </c>
      <c r="W10" s="1" t="s">
        <v>171</v>
      </c>
      <c r="X10" s="4">
        <v>40932</v>
      </c>
      <c r="Y10" s="12">
        <v>7500</v>
      </c>
      <c r="Z10" s="12">
        <v>5000</v>
      </c>
      <c r="AD10" s="13">
        <v>0.47</v>
      </c>
      <c r="AE10" s="74">
        <v>3.1E-2</v>
      </c>
      <c r="AF10" s="75">
        <v>0.06</v>
      </c>
      <c r="AG10" s="60" t="e">
        <f>'EV Comparison Calculator'!$M$10*'EV Comparison Calculator'!$M$12</f>
        <v>#VALUE!</v>
      </c>
      <c r="AH10" s="4" t="e">
        <f t="shared" ref="AH10:AH12" si="15">AE10*AG10</f>
        <v>#VALUE!</v>
      </c>
      <c r="AI10" s="63">
        <v>0</v>
      </c>
      <c r="AJ10" s="4" t="e">
        <f t="shared" si="4"/>
        <v>#VALUE!</v>
      </c>
      <c r="AK10" s="73" t="e">
        <f t="shared" ref="AK10:AK12" si="16">AJ10/AG10</f>
        <v>#VALUE!</v>
      </c>
      <c r="AL10" s="62" t="e">
        <f>$AJ10/'EV Comparison Calculator'!$M$12</f>
        <v>#VALUE!</v>
      </c>
      <c r="AM10" s="30" t="str">
        <f>IFERROR('EV Comparison Calculator'!$M$16*LEFT(U10,2),"")</f>
        <v/>
      </c>
      <c r="AN10" s="64" t="str">
        <f>'EV Comparison Calculator'!$M$16</f>
        <v>PLEASE SELECT</v>
      </c>
      <c r="AO10" s="64" t="str">
        <f>'EV Comparison Calculator'!$M$14</f>
        <v>PLEASE SELECT</v>
      </c>
      <c r="AP10" s="30" t="e">
        <f>AM10*'EV Comparison Calculator'!$M$10/100</f>
        <v>#VALUE!</v>
      </c>
      <c r="AQ10" s="64">
        <v>0</v>
      </c>
      <c r="AR10" s="64" t="e">
        <f t="shared" si="6"/>
        <v>#VALUE!</v>
      </c>
      <c r="AS10" s="65">
        <v>0</v>
      </c>
      <c r="AT10" s="60" t="e">
        <f>('EV Comparison Calculator'!$M$10*(LEFT($U10,2)))/100</f>
        <v>#VALUE!</v>
      </c>
      <c r="AU10" s="12">
        <v>7500</v>
      </c>
      <c r="AV10" s="4">
        <v>43995</v>
      </c>
      <c r="AW10" t="s">
        <v>218</v>
      </c>
      <c r="AX10" s="1" t="s">
        <v>155</v>
      </c>
      <c r="AY10" s="6" t="s">
        <v>173</v>
      </c>
    </row>
    <row r="11" spans="1:51">
      <c r="A11" s="6" t="str">
        <f t="shared" si="1"/>
        <v>Ford Mustang Mach-E Premium (BEV)</v>
      </c>
      <c r="B11" s="1" t="s">
        <v>155</v>
      </c>
      <c r="D11" s="1" t="s">
        <v>210</v>
      </c>
      <c r="E11" s="1" t="s">
        <v>211</v>
      </c>
      <c r="F11" s="1" t="s">
        <v>219</v>
      </c>
      <c r="G11" s="1">
        <v>2022</v>
      </c>
      <c r="H11" s="1">
        <v>5</v>
      </c>
      <c r="I11" s="1" t="s">
        <v>160</v>
      </c>
      <c r="J11" s="1" t="s">
        <v>161</v>
      </c>
      <c r="K11" s="1" t="s">
        <v>162</v>
      </c>
      <c r="L11" s="1" t="s">
        <v>220</v>
      </c>
      <c r="M11" s="1" t="s">
        <v>164</v>
      </c>
      <c r="N11" s="1" t="str">
        <f t="shared" si="2"/>
        <v>300 miles/-</v>
      </c>
      <c r="O11" s="1">
        <v>93</v>
      </c>
      <c r="P11" s="1" t="s">
        <v>221</v>
      </c>
      <c r="Q11" s="1" t="s">
        <v>214</v>
      </c>
      <c r="R11" s="1" t="s">
        <v>167</v>
      </c>
      <c r="S11" s="1" t="s">
        <v>167</v>
      </c>
      <c r="T11" s="1" t="s">
        <v>215</v>
      </c>
      <c r="U11" s="1" t="s">
        <v>216</v>
      </c>
      <c r="V11" s="1" t="s">
        <v>217</v>
      </c>
      <c r="W11" s="1" t="s">
        <v>171</v>
      </c>
      <c r="X11" s="4">
        <v>43475</v>
      </c>
      <c r="Y11" s="12">
        <v>7500</v>
      </c>
      <c r="Z11" s="12">
        <v>5000</v>
      </c>
      <c r="AD11" s="13">
        <v>0.47</v>
      </c>
      <c r="AE11" s="74">
        <v>3.1E-2</v>
      </c>
      <c r="AF11" s="75">
        <v>0.06</v>
      </c>
      <c r="AG11" s="60" t="e">
        <f>'EV Comparison Calculator'!$M$10*'EV Comparison Calculator'!$M$12</f>
        <v>#VALUE!</v>
      </c>
      <c r="AH11" s="4" t="e">
        <f t="shared" si="15"/>
        <v>#VALUE!</v>
      </c>
      <c r="AI11" s="63">
        <v>0</v>
      </c>
      <c r="AJ11" s="4" t="e">
        <f t="shared" si="4"/>
        <v>#VALUE!</v>
      </c>
      <c r="AK11" s="73" t="e">
        <f t="shared" si="16"/>
        <v>#VALUE!</v>
      </c>
      <c r="AL11" s="62" t="e">
        <f>$AJ11/'EV Comparison Calculator'!$M$12</f>
        <v>#VALUE!</v>
      </c>
      <c r="AM11" s="30" t="str">
        <f>IFERROR('EV Comparison Calculator'!$M$16*LEFT(U11,2),"")</f>
        <v/>
      </c>
      <c r="AN11" s="64" t="str">
        <f>'EV Comparison Calculator'!$M$16</f>
        <v>PLEASE SELECT</v>
      </c>
      <c r="AO11" s="64" t="str">
        <f>'EV Comparison Calculator'!$M$14</f>
        <v>PLEASE SELECT</v>
      </c>
      <c r="AP11" s="30" t="e">
        <f>AM11*'EV Comparison Calculator'!$M$10/100</f>
        <v>#VALUE!</v>
      </c>
      <c r="AQ11" s="64">
        <v>0</v>
      </c>
      <c r="AR11" s="64" t="e">
        <f t="shared" si="6"/>
        <v>#VALUE!</v>
      </c>
      <c r="AS11" s="65">
        <v>0</v>
      </c>
      <c r="AT11" s="60" t="e">
        <f>('EV Comparison Calculator'!$M$10*(LEFT($U11,2)))/100</f>
        <v>#VALUE!</v>
      </c>
      <c r="AU11" s="12">
        <v>7500</v>
      </c>
      <c r="AV11" s="4">
        <v>50900</v>
      </c>
      <c r="AW11" t="s">
        <v>218</v>
      </c>
      <c r="AX11" s="1" t="s">
        <v>155</v>
      </c>
      <c r="AY11" s="6" t="s">
        <v>173</v>
      </c>
    </row>
    <row r="12" spans="1:51">
      <c r="A12" s="6" t="str">
        <f t="shared" si="1"/>
        <v>Ford E-Transit Cargo LR (BEV)</v>
      </c>
      <c r="B12" s="1" t="s">
        <v>222</v>
      </c>
      <c r="D12" s="1" t="s">
        <v>210</v>
      </c>
      <c r="E12" s="1" t="s">
        <v>223</v>
      </c>
      <c r="F12" s="1" t="s">
        <v>224</v>
      </c>
      <c r="G12" s="1">
        <v>2022</v>
      </c>
      <c r="H12" s="1">
        <v>2</v>
      </c>
      <c r="I12" s="1" t="s">
        <v>160</v>
      </c>
      <c r="J12" s="1" t="s">
        <v>161</v>
      </c>
      <c r="K12" s="1" t="s">
        <v>162</v>
      </c>
      <c r="L12" s="1" t="s">
        <v>225</v>
      </c>
      <c r="M12" s="1" t="s">
        <v>164</v>
      </c>
      <c r="N12" s="1" t="str">
        <f t="shared" si="2"/>
        <v>126 miles/-</v>
      </c>
      <c r="O12" s="1">
        <v>100</v>
      </c>
      <c r="P12" s="1" t="s">
        <v>226</v>
      </c>
      <c r="Q12" s="1" t="s">
        <v>166</v>
      </c>
      <c r="R12" s="1" t="s">
        <v>167</v>
      </c>
      <c r="S12" s="1" t="s">
        <v>166</v>
      </c>
      <c r="T12" s="1" t="s">
        <v>200</v>
      </c>
      <c r="U12" s="9" t="s">
        <v>208</v>
      </c>
      <c r="V12" s="1" t="s">
        <v>227</v>
      </c>
      <c r="W12" s="1" t="s">
        <v>171</v>
      </c>
      <c r="X12" s="4">
        <v>47400</v>
      </c>
      <c r="Y12" s="12">
        <v>7500</v>
      </c>
      <c r="Z12" s="12">
        <v>5000</v>
      </c>
      <c r="AD12" s="13">
        <v>0.47</v>
      </c>
      <c r="AE12" s="74">
        <f t="shared" ref="AE12:AE14" si="17">AF12*AD12</f>
        <v>2.8199999999999996E-2</v>
      </c>
      <c r="AF12" s="75">
        <v>0.06</v>
      </c>
      <c r="AG12" s="60" t="e">
        <f>'EV Comparison Calculator'!$M$10*'EV Comparison Calculator'!$M$12</f>
        <v>#VALUE!</v>
      </c>
      <c r="AH12" s="4" t="e">
        <f t="shared" si="15"/>
        <v>#VALUE!</v>
      </c>
      <c r="AI12" s="63">
        <v>0</v>
      </c>
      <c r="AJ12" s="4" t="e">
        <f t="shared" si="4"/>
        <v>#VALUE!</v>
      </c>
      <c r="AK12" s="73" t="e">
        <f t="shared" si="16"/>
        <v>#VALUE!</v>
      </c>
      <c r="AL12" s="62" t="e">
        <f>$AJ12/'EV Comparison Calculator'!$M$12</f>
        <v>#VALUE!</v>
      </c>
      <c r="AM12" s="30" t="str">
        <f>IFERROR('EV Comparison Calculator'!$M$16*LEFT(U12,2),"")</f>
        <v/>
      </c>
      <c r="AN12" s="64" t="str">
        <f>'EV Comparison Calculator'!$M$16</f>
        <v>PLEASE SELECT</v>
      </c>
      <c r="AO12" s="64" t="str">
        <f>'EV Comparison Calculator'!$M$14</f>
        <v>PLEASE SELECT</v>
      </c>
      <c r="AP12" s="30" t="e">
        <f>AM12*'EV Comparison Calculator'!$M$10/100</f>
        <v>#VALUE!</v>
      </c>
      <c r="AQ12" s="64">
        <v>0</v>
      </c>
      <c r="AR12" s="64" t="e">
        <f t="shared" si="6"/>
        <v>#VALUE!</v>
      </c>
      <c r="AS12" s="65">
        <v>0</v>
      </c>
      <c r="AT12" s="60" t="e">
        <f>('EV Comparison Calculator'!$M$10*(LEFT($U12,2)))/100</f>
        <v>#VALUE!</v>
      </c>
      <c r="AU12" s="12">
        <v>7500</v>
      </c>
      <c r="AV12" s="4">
        <v>48880</v>
      </c>
      <c r="AW12" t="s">
        <v>228</v>
      </c>
      <c r="AX12" s="1" t="s">
        <v>222</v>
      </c>
      <c r="AY12" s="6" t="s">
        <v>222</v>
      </c>
    </row>
    <row r="13" spans="1:51">
      <c r="A13" s="6" t="str">
        <f t="shared" si="1"/>
        <v>Chrysler Pacifica Touring (PHEV)</v>
      </c>
      <c r="B13" s="1" t="s">
        <v>229</v>
      </c>
      <c r="D13" s="1" t="s">
        <v>230</v>
      </c>
      <c r="E13" s="1" t="s">
        <v>231</v>
      </c>
      <c r="F13" s="1" t="s">
        <v>232</v>
      </c>
      <c r="G13" s="1">
        <v>2021</v>
      </c>
      <c r="H13" s="1">
        <v>7</v>
      </c>
      <c r="I13" s="1" t="s">
        <v>160</v>
      </c>
      <c r="J13" s="1" t="s">
        <v>233</v>
      </c>
      <c r="K13" s="1" t="s">
        <v>234</v>
      </c>
      <c r="L13" s="1" t="s">
        <v>235</v>
      </c>
      <c r="M13" s="1" t="s">
        <v>236</v>
      </c>
      <c r="N13" s="1" t="str">
        <f t="shared" si="2"/>
        <v>32 miles/520 miles</v>
      </c>
      <c r="O13" s="1" t="s">
        <v>237</v>
      </c>
      <c r="P13" s="1" t="s">
        <v>238</v>
      </c>
      <c r="Q13" s="1" t="s">
        <v>239</v>
      </c>
      <c r="R13" s="1" t="s">
        <v>167</v>
      </c>
      <c r="S13" s="1" t="s">
        <v>239</v>
      </c>
      <c r="T13" s="1" t="s">
        <v>156</v>
      </c>
      <c r="U13" s="1" t="s">
        <v>240</v>
      </c>
      <c r="V13" s="1" t="s">
        <v>156</v>
      </c>
      <c r="W13" s="1" t="s">
        <v>241</v>
      </c>
      <c r="X13" s="4">
        <v>36891</v>
      </c>
      <c r="Y13" s="12">
        <v>5000</v>
      </c>
      <c r="Z13" s="12">
        <v>3000</v>
      </c>
      <c r="AD13" s="13">
        <v>0.47</v>
      </c>
      <c r="AE13" s="74">
        <v>3.1300000000000001E-2</v>
      </c>
      <c r="AF13" s="75">
        <v>6.2600000000000003E-2</v>
      </c>
      <c r="AG13" s="60" t="e">
        <f>'EV Comparison Calculator'!$M$10*'EV Comparison Calculator'!$M$12</f>
        <v>#VALUE!</v>
      </c>
      <c r="AH13" s="4" t="e">
        <f>($AG13*'EV Comparison Calculator'!$M$18)*'VEHICLE source'!AE13</f>
        <v>#VALUE!</v>
      </c>
      <c r="AI13" s="63" t="e">
        <f>$AG13*(1-'EV Comparison Calculator'!$M$18)*'VEHICLE source'!$AF13</f>
        <v>#VALUE!</v>
      </c>
      <c r="AJ13" s="4" t="e">
        <f t="shared" si="4"/>
        <v>#VALUE!</v>
      </c>
      <c r="AK13" s="73">
        <f>(AE13*'EV Comparison Calculator'!$M$18)+('VEHICLE source'!AF13*(1-'EV Comparison Calculator'!$M$18))</f>
        <v>3.1300000000000001E-2</v>
      </c>
      <c r="AL13" s="62" t="e">
        <f>$AJ13/'EV Comparison Calculator'!$M$12</f>
        <v>#VALUE!</v>
      </c>
      <c r="AM13" s="30" t="str">
        <f>IFERROR('EV Comparison Calculator'!$M$16*LEFT(U13,2),"")</f>
        <v/>
      </c>
      <c r="AN13" s="64" t="str">
        <f>'EV Comparison Calculator'!$M$16</f>
        <v>PLEASE SELECT</v>
      </c>
      <c r="AO13" s="64" t="str">
        <f>'EV Comparison Calculator'!$M$14</f>
        <v>PLEASE SELECT</v>
      </c>
      <c r="AP13" s="30" t="e">
        <f>(AM13*('EV Comparison Calculator'!$M$10*'EV Comparison Calculator'!$M$18))/100</f>
        <v>#VALUE!</v>
      </c>
      <c r="AQ13" s="64" t="e">
        <f>(AO13*('EV Comparison Calculator'!$M$10*(1-'EV Comparison Calculator'!$M$18)))/LEFT(O13,2)</f>
        <v>#VALUE!</v>
      </c>
      <c r="AR13" s="64" t="e">
        <f t="shared" si="6"/>
        <v>#VALUE!</v>
      </c>
      <c r="AS13" s="65" t="e">
        <f>('EV Comparison Calculator'!$M$10*(1-'EV Comparison Calculator'!$M$18)/LEFT('VEHICLE source'!O13,2))</f>
        <v>#VALUE!</v>
      </c>
      <c r="AT13" s="60" t="e">
        <f>('EV Comparison Calculator'!$M$10*('EV Comparison Calculator'!$M$18)*(LEFT($U13,2)))/100</f>
        <v>#VALUE!</v>
      </c>
      <c r="AU13" s="12">
        <v>5000</v>
      </c>
      <c r="AV13" s="4">
        <v>41490</v>
      </c>
      <c r="AW13" t="s">
        <v>172</v>
      </c>
      <c r="AX13" s="1" t="s">
        <v>229</v>
      </c>
      <c r="AY13" s="6" t="s">
        <v>229</v>
      </c>
    </row>
    <row r="14" spans="1:51">
      <c r="A14" s="6" t="str">
        <f t="shared" si="1"/>
        <v>Toyota Prius Prime LE (PHEV)</v>
      </c>
      <c r="B14" s="1" t="s">
        <v>175</v>
      </c>
      <c r="C14" s="6" t="s">
        <v>242</v>
      </c>
      <c r="D14" s="1" t="s">
        <v>243</v>
      </c>
      <c r="E14" s="1" t="s">
        <v>244</v>
      </c>
      <c r="F14" s="1" t="s">
        <v>245</v>
      </c>
      <c r="G14" s="1">
        <v>2021</v>
      </c>
      <c r="H14" s="1">
        <v>5</v>
      </c>
      <c r="I14" s="1" t="s">
        <v>180</v>
      </c>
      <c r="J14" s="1" t="s">
        <v>233</v>
      </c>
      <c r="K14" s="1" t="s">
        <v>234</v>
      </c>
      <c r="L14" s="1" t="s">
        <v>246</v>
      </c>
      <c r="M14" s="1" t="s">
        <v>247</v>
      </c>
      <c r="N14" s="1" t="str">
        <f t="shared" ref="N14:N19" si="18">_xlfn.CONCAT(L14,"/",M14)</f>
        <v>25 miles/615 miles</v>
      </c>
      <c r="O14" s="1" t="s">
        <v>248</v>
      </c>
      <c r="P14" s="1" t="s">
        <v>249</v>
      </c>
      <c r="Q14" s="1" t="s">
        <v>250</v>
      </c>
      <c r="R14" s="1" t="s">
        <v>167</v>
      </c>
      <c r="S14" s="1" t="s">
        <v>250</v>
      </c>
      <c r="T14" s="1" t="s">
        <v>156</v>
      </c>
      <c r="U14" s="1" t="s">
        <v>208</v>
      </c>
      <c r="V14" s="1" t="s">
        <v>156</v>
      </c>
      <c r="W14" s="1" t="s">
        <v>241</v>
      </c>
      <c r="X14" s="4">
        <v>25422</v>
      </c>
      <c r="Y14" s="12">
        <v>5000</v>
      </c>
      <c r="Z14" s="12">
        <v>3000</v>
      </c>
      <c r="AD14" s="13">
        <v>0.47</v>
      </c>
      <c r="AE14" s="74">
        <f t="shared" si="17"/>
        <v>2.8199999999999996E-2</v>
      </c>
      <c r="AF14" s="75">
        <v>0.06</v>
      </c>
      <c r="AG14" s="60" t="e">
        <f>'EV Comparison Calculator'!$M$10*'EV Comparison Calculator'!$M$12</f>
        <v>#VALUE!</v>
      </c>
      <c r="AH14" s="4" t="e">
        <f>($AG14*'EV Comparison Calculator'!$M$18)*'VEHICLE source'!AE14</f>
        <v>#VALUE!</v>
      </c>
      <c r="AI14" s="63" t="e">
        <f>$AG14*(1-'EV Comparison Calculator'!$M$18)*'VEHICLE source'!$AF14</f>
        <v>#VALUE!</v>
      </c>
      <c r="AJ14" s="4" t="e">
        <f>AH14+AI14</f>
        <v>#VALUE!</v>
      </c>
      <c r="AK14" s="73">
        <f>(AE14*'EV Comparison Calculator'!$M$18)+('VEHICLE source'!AF14*(1-'EV Comparison Calculator'!$M$18))</f>
        <v>2.8199999999999996E-2</v>
      </c>
      <c r="AL14" s="62" t="e">
        <f>$AJ14/'EV Comparison Calculator'!$M$12</f>
        <v>#VALUE!</v>
      </c>
      <c r="AM14" s="30" t="str">
        <f>IFERROR('EV Comparison Calculator'!$M$16*LEFT(U14,2),"")</f>
        <v/>
      </c>
      <c r="AN14" s="64" t="str">
        <f>'EV Comparison Calculator'!$M$16</f>
        <v>PLEASE SELECT</v>
      </c>
      <c r="AO14" s="64" t="str">
        <f>'EV Comparison Calculator'!$M$14</f>
        <v>PLEASE SELECT</v>
      </c>
      <c r="AP14" s="30" t="e">
        <f>(AM14*('EV Comparison Calculator'!$M$10*'EV Comparison Calculator'!$M$18))/100</f>
        <v>#VALUE!</v>
      </c>
      <c r="AQ14" s="64" t="e">
        <f>(AO14*('EV Comparison Calculator'!$M$10*(1-'EV Comparison Calculator'!$M$18)))/LEFT(O14,2)</f>
        <v>#VALUE!</v>
      </c>
      <c r="AR14" s="64" t="e">
        <f t="shared" si="6"/>
        <v>#VALUE!</v>
      </c>
      <c r="AS14" s="65" t="e">
        <f>('EV Comparison Calculator'!$M$10*(1-'EV Comparison Calculator'!$M$18)/LEFT('VEHICLE source'!O14,2))</f>
        <v>#VALUE!</v>
      </c>
      <c r="AT14" s="60" t="e">
        <f>('EV Comparison Calculator'!$M$10*('EV Comparison Calculator'!$M$18)*(LEFT($U14,2)))/100</f>
        <v>#VALUE!</v>
      </c>
      <c r="AU14" s="12">
        <v>5000</v>
      </c>
      <c r="AV14" s="4">
        <v>29215</v>
      </c>
      <c r="AW14" t="s">
        <v>172</v>
      </c>
      <c r="AX14" s="1" t="s">
        <v>175</v>
      </c>
      <c r="AY14" s="6" t="s">
        <v>187</v>
      </c>
    </row>
    <row r="15" spans="1:51">
      <c r="A15" s="6" t="str">
        <f t="shared" si="1"/>
        <v>Ford Escape SE (PHEV)</v>
      </c>
      <c r="B15" s="1" t="s">
        <v>155</v>
      </c>
      <c r="D15" s="1" t="s">
        <v>210</v>
      </c>
      <c r="E15" s="1" t="s">
        <v>251</v>
      </c>
      <c r="F15" s="1" t="s">
        <v>204</v>
      </c>
      <c r="G15" s="1">
        <v>2021</v>
      </c>
      <c r="H15" s="1">
        <v>5</v>
      </c>
      <c r="I15" s="1" t="s">
        <v>160</v>
      </c>
      <c r="J15" s="1" t="s">
        <v>233</v>
      </c>
      <c r="K15" s="1" t="s">
        <v>234</v>
      </c>
      <c r="L15" s="1" t="s">
        <v>252</v>
      </c>
      <c r="M15" s="1" t="s">
        <v>236</v>
      </c>
      <c r="N15" s="1" t="str">
        <f t="shared" si="18"/>
        <v>37 miles/520 miles</v>
      </c>
      <c r="O15" s="1">
        <v>40</v>
      </c>
      <c r="P15" s="1" t="s">
        <v>253</v>
      </c>
      <c r="Q15" s="1" t="s">
        <v>254</v>
      </c>
      <c r="R15" s="1" t="s">
        <v>167</v>
      </c>
      <c r="S15" s="1" t="s">
        <v>254</v>
      </c>
      <c r="T15" s="1" t="s">
        <v>156</v>
      </c>
      <c r="U15" s="1" t="s">
        <v>255</v>
      </c>
      <c r="V15" s="1" t="s">
        <v>156</v>
      </c>
      <c r="W15" s="1" t="s">
        <v>256</v>
      </c>
      <c r="X15" s="4">
        <v>29611</v>
      </c>
      <c r="Y15" s="12">
        <v>5000</v>
      </c>
      <c r="Z15" s="12">
        <v>3000</v>
      </c>
      <c r="AD15" s="13">
        <v>0.47</v>
      </c>
      <c r="AE15" s="74">
        <v>2.9399999999999999E-2</v>
      </c>
      <c r="AF15" s="75">
        <v>0.06</v>
      </c>
      <c r="AG15" s="60" t="e">
        <f>'EV Comparison Calculator'!$M$10*'EV Comparison Calculator'!$M$12</f>
        <v>#VALUE!</v>
      </c>
      <c r="AH15" s="4" t="e">
        <f>($AG15*'EV Comparison Calculator'!$M$18)*'VEHICLE source'!AE15</f>
        <v>#VALUE!</v>
      </c>
      <c r="AI15" s="63" t="e">
        <f>$AG15*(1-'EV Comparison Calculator'!$M$18)*'VEHICLE source'!$AF15</f>
        <v>#VALUE!</v>
      </c>
      <c r="AJ15" s="4" t="e">
        <f>AH15+AI15</f>
        <v>#VALUE!</v>
      </c>
      <c r="AK15" s="73">
        <f>(AE15*'EV Comparison Calculator'!$M$18)+('VEHICLE source'!AF15*(1-'EV Comparison Calculator'!$M$18))</f>
        <v>2.9399999999999999E-2</v>
      </c>
      <c r="AL15" s="62" t="e">
        <f>$AJ15/'EV Comparison Calculator'!$M$12</f>
        <v>#VALUE!</v>
      </c>
      <c r="AM15" s="30" t="str">
        <f>IFERROR('EV Comparison Calculator'!$M$16*LEFT(U15,2),"")</f>
        <v/>
      </c>
      <c r="AN15" s="64" t="str">
        <f>'EV Comparison Calculator'!$M$16</f>
        <v>PLEASE SELECT</v>
      </c>
      <c r="AO15" s="64" t="str">
        <f>'EV Comparison Calculator'!$M$14</f>
        <v>PLEASE SELECT</v>
      </c>
      <c r="AP15" s="30" t="e">
        <f>(AM15*('EV Comparison Calculator'!$M$10*'EV Comparison Calculator'!$M$18))/100</f>
        <v>#VALUE!</v>
      </c>
      <c r="AQ15" s="64" t="e">
        <f>(AO15*('EV Comparison Calculator'!$M$10*(1-'EV Comparison Calculator'!$M$18)))/LEFT(O15,2)</f>
        <v>#VALUE!</v>
      </c>
      <c r="AR15" s="64" t="e">
        <f t="shared" si="6"/>
        <v>#VALUE!</v>
      </c>
      <c r="AS15" s="65" t="e">
        <f>('EV Comparison Calculator'!$M$10*(1-'EV Comparison Calculator'!$M$18)/LEFT('VEHICLE source'!O15,2))</f>
        <v>#VALUE!</v>
      </c>
      <c r="AT15" s="60" t="e">
        <f>('EV Comparison Calculator'!$M$10*('EV Comparison Calculator'!$M$18)*(LEFT($U15,2)))/100</f>
        <v>#VALUE!</v>
      </c>
      <c r="AU15" s="12">
        <v>5000</v>
      </c>
      <c r="AV15" s="4">
        <v>33895</v>
      </c>
      <c r="AW15" t="s">
        <v>172</v>
      </c>
      <c r="AX15" s="1" t="s">
        <v>155</v>
      </c>
      <c r="AY15" s="6" t="s">
        <v>257</v>
      </c>
    </row>
    <row r="16" spans="1:51" ht="15" customHeight="1">
      <c r="A16" s="6" t="str">
        <f t="shared" si="1"/>
        <v>Honda Clarity Plug-in Base (PHEV)</v>
      </c>
      <c r="B16" s="1" t="s">
        <v>175</v>
      </c>
      <c r="D16" s="1" t="s">
        <v>258</v>
      </c>
      <c r="E16" s="1" t="s">
        <v>259</v>
      </c>
      <c r="F16" s="1" t="s">
        <v>260</v>
      </c>
      <c r="G16" s="1">
        <v>2021</v>
      </c>
      <c r="H16" s="1">
        <v>5</v>
      </c>
      <c r="I16" s="1" t="s">
        <v>180</v>
      </c>
      <c r="J16" s="1" t="s">
        <v>233</v>
      </c>
      <c r="K16" s="1" t="s">
        <v>234</v>
      </c>
      <c r="L16" s="1" t="s">
        <v>261</v>
      </c>
      <c r="M16" s="1" t="s">
        <v>262</v>
      </c>
      <c r="N16" s="1" t="str">
        <f t="shared" si="18"/>
        <v>48 miles/320 miles</v>
      </c>
      <c r="O16" s="1" t="s">
        <v>263</v>
      </c>
      <c r="P16" s="1" t="s">
        <v>264</v>
      </c>
      <c r="Q16" s="1" t="s">
        <v>239</v>
      </c>
      <c r="R16" s="1" t="s">
        <v>167</v>
      </c>
      <c r="S16" s="1" t="s">
        <v>239</v>
      </c>
      <c r="T16" s="1" t="s">
        <v>156</v>
      </c>
      <c r="U16" s="1" t="s">
        <v>184</v>
      </c>
      <c r="V16" s="1" t="s">
        <v>156</v>
      </c>
      <c r="W16" s="1" t="s">
        <v>241</v>
      </c>
      <c r="X16" s="4">
        <v>33043</v>
      </c>
      <c r="Y16" s="12">
        <v>5000</v>
      </c>
      <c r="Z16" s="12">
        <v>3000</v>
      </c>
      <c r="AD16" s="13">
        <v>0.47</v>
      </c>
      <c r="AE16" s="74">
        <v>2.9399999999999999E-2</v>
      </c>
      <c r="AF16" s="75">
        <v>5.8799999999999998E-2</v>
      </c>
      <c r="AG16" s="60" t="e">
        <f>'EV Comparison Calculator'!$M$10*'EV Comparison Calculator'!$M$12</f>
        <v>#VALUE!</v>
      </c>
      <c r="AH16" s="4" t="e">
        <f>($AG16*'EV Comparison Calculator'!$M$18)*'VEHICLE source'!AE16</f>
        <v>#VALUE!</v>
      </c>
      <c r="AI16" s="63" t="e">
        <f>$AG16*(1-'EV Comparison Calculator'!$M$18)*'VEHICLE source'!$AF16</f>
        <v>#VALUE!</v>
      </c>
      <c r="AJ16" s="4" t="e">
        <f t="shared" ref="AJ16:AJ26" si="19">AH16+AI16</f>
        <v>#VALUE!</v>
      </c>
      <c r="AK16" s="73">
        <f>(AE16*'EV Comparison Calculator'!$M$18)+('VEHICLE source'!AF16*(1-'EV Comparison Calculator'!$M$18))</f>
        <v>2.9399999999999999E-2</v>
      </c>
      <c r="AL16" s="62" t="e">
        <f>$AJ16/'EV Comparison Calculator'!$M$12</f>
        <v>#VALUE!</v>
      </c>
      <c r="AM16" s="30" t="str">
        <f>IFERROR('EV Comparison Calculator'!$M$16*LEFT(U16,2),"")</f>
        <v/>
      </c>
      <c r="AN16" s="64" t="str">
        <f>'EV Comparison Calculator'!$M$16</f>
        <v>PLEASE SELECT</v>
      </c>
      <c r="AO16" s="64" t="str">
        <f>'EV Comparison Calculator'!$M$14</f>
        <v>PLEASE SELECT</v>
      </c>
      <c r="AP16" s="30" t="e">
        <f>(AM16*('EV Comparison Calculator'!$M$10*'EV Comparison Calculator'!$M$18))/100</f>
        <v>#VALUE!</v>
      </c>
      <c r="AQ16" s="64" t="e">
        <f>(AO16*('EV Comparison Calculator'!$M$10*(1-'EV Comparison Calculator'!$M$18)))/LEFT(O16,2)</f>
        <v>#VALUE!</v>
      </c>
      <c r="AR16" s="64" t="e">
        <f t="shared" si="6"/>
        <v>#VALUE!</v>
      </c>
      <c r="AS16" s="65" t="e">
        <f>('EV Comparison Calculator'!$M$10*(1-'EV Comparison Calculator'!$M$18)/LEFT('VEHICLE source'!O16,2))</f>
        <v>#VALUE!</v>
      </c>
      <c r="AT16" s="60" t="e">
        <f>('EV Comparison Calculator'!$M$10*('EV Comparison Calculator'!$M$18)*(LEFT($U16,2)))/100</f>
        <v>#VALUE!</v>
      </c>
      <c r="AU16" s="12">
        <v>5000</v>
      </c>
      <c r="AV16" s="4">
        <v>34555</v>
      </c>
      <c r="AW16" t="s">
        <v>172</v>
      </c>
      <c r="AX16" s="1" t="s">
        <v>175</v>
      </c>
      <c r="AY16" s="6" t="s">
        <v>187</v>
      </c>
    </row>
    <row r="17" spans="1:54">
      <c r="A17" s="6" t="str">
        <f t="shared" si="1"/>
        <v>Hyundai Tucson EX (PHEV)</v>
      </c>
      <c r="B17" s="1" t="s">
        <v>155</v>
      </c>
      <c r="D17" s="1" t="s">
        <v>157</v>
      </c>
      <c r="E17" s="1" t="s">
        <v>265</v>
      </c>
      <c r="F17" s="1" t="s">
        <v>266</v>
      </c>
      <c r="G17" s="1">
        <v>2022</v>
      </c>
      <c r="H17" s="1">
        <v>5</v>
      </c>
      <c r="I17" s="1" t="s">
        <v>160</v>
      </c>
      <c r="J17" s="1" t="s">
        <v>233</v>
      </c>
      <c r="K17" s="1" t="s">
        <v>234</v>
      </c>
      <c r="L17" s="1" t="s">
        <v>267</v>
      </c>
      <c r="M17" s="1" t="s">
        <v>268</v>
      </c>
      <c r="N17" s="1" t="str">
        <f t="shared" si="18"/>
        <v>33 miles/420 miles</v>
      </c>
      <c r="O17" s="1">
        <v>35</v>
      </c>
      <c r="P17" s="1" t="s">
        <v>269</v>
      </c>
      <c r="Q17" s="1" t="s">
        <v>270</v>
      </c>
      <c r="R17" s="1" t="s">
        <v>167</v>
      </c>
      <c r="S17" s="1" t="s">
        <v>270</v>
      </c>
      <c r="T17" s="1" t="s">
        <v>156</v>
      </c>
      <c r="U17" s="1" t="s">
        <v>271</v>
      </c>
      <c r="V17" s="1" t="s">
        <v>156</v>
      </c>
      <c r="W17" s="1" t="s">
        <v>272</v>
      </c>
      <c r="X17" s="4">
        <v>35922</v>
      </c>
      <c r="Y17" s="12">
        <v>5000</v>
      </c>
      <c r="Z17" s="12">
        <v>3000</v>
      </c>
      <c r="AD17" s="13">
        <v>0.47</v>
      </c>
      <c r="AE17" s="74">
        <v>2.9600000000000001E-2</v>
      </c>
      <c r="AF17" s="75">
        <v>5.9299999999999999E-2</v>
      </c>
      <c r="AG17" s="60" t="e">
        <f>'EV Comparison Calculator'!$M$10*'EV Comparison Calculator'!$M$12</f>
        <v>#VALUE!</v>
      </c>
      <c r="AH17" s="4" t="e">
        <f>($AG17*'EV Comparison Calculator'!$M$18)*'VEHICLE source'!AE17</f>
        <v>#VALUE!</v>
      </c>
      <c r="AI17" s="63" t="e">
        <f>$AG17*(1-'EV Comparison Calculator'!$M$18)*'VEHICLE source'!$AF17</f>
        <v>#VALUE!</v>
      </c>
      <c r="AJ17" s="4" t="e">
        <f t="shared" ref="AJ17" si="20">AH17+AI17</f>
        <v>#VALUE!</v>
      </c>
      <c r="AK17" s="73">
        <f>(AE17*'EV Comparison Calculator'!$M$18)+('VEHICLE source'!AF17*(1-'EV Comparison Calculator'!$M$18))</f>
        <v>2.9600000000000001E-2</v>
      </c>
      <c r="AL17" s="62" t="e">
        <f>$AJ17/'EV Comparison Calculator'!$M$12</f>
        <v>#VALUE!</v>
      </c>
      <c r="AM17" s="30" t="str">
        <f>IFERROR('EV Comparison Calculator'!$M$16*LEFT(U17,2),"")</f>
        <v/>
      </c>
      <c r="AN17" s="64" t="str">
        <f>'EV Comparison Calculator'!$M$16</f>
        <v>PLEASE SELECT</v>
      </c>
      <c r="AO17" s="64" t="str">
        <f>'EV Comparison Calculator'!$M$14</f>
        <v>PLEASE SELECT</v>
      </c>
      <c r="AP17" s="30" t="e">
        <f>(AM17*('EV Comparison Calculator'!$M$10*'EV Comparison Calculator'!$M$18))/100</f>
        <v>#VALUE!</v>
      </c>
      <c r="AQ17" s="64" t="e">
        <f>(AO17*('EV Comparison Calculator'!$M$10*(1-'EV Comparison Calculator'!$M$18)))/LEFT(O17,2)</f>
        <v>#VALUE!</v>
      </c>
      <c r="AR17" s="64" t="e">
        <f t="shared" ref="AR17" si="21">AP17+AQ17</f>
        <v>#VALUE!</v>
      </c>
      <c r="AS17" s="65" t="e">
        <f>('EV Comparison Calculator'!$M$10*(1-'EV Comparison Calculator'!$M$18)/LEFT('VEHICLE source'!O17,2))</f>
        <v>#VALUE!</v>
      </c>
      <c r="AT17" s="60" t="e">
        <f>('EV Comparison Calculator'!$M$10*('EV Comparison Calculator'!$M$18)*(LEFT($U17,2)))/100</f>
        <v>#VALUE!</v>
      </c>
      <c r="AU17" s="12">
        <v>5000</v>
      </c>
      <c r="AV17" s="4">
        <v>34750</v>
      </c>
      <c r="AW17" t="s">
        <v>218</v>
      </c>
      <c r="AX17" s="1" t="s">
        <v>155</v>
      </c>
      <c r="AY17" s="6" t="s">
        <v>257</v>
      </c>
    </row>
    <row r="18" spans="1:54">
      <c r="A18" s="6" t="str">
        <f t="shared" si="1"/>
        <v>Hyundai Sante Fe SEL (PHEV)</v>
      </c>
      <c r="B18" s="1" t="s">
        <v>155</v>
      </c>
      <c r="D18" s="1" t="s">
        <v>157</v>
      </c>
      <c r="E18" s="1" t="s">
        <v>273</v>
      </c>
      <c r="F18" s="1" t="s">
        <v>159</v>
      </c>
      <c r="G18" s="1">
        <v>2022</v>
      </c>
      <c r="H18" s="1">
        <v>5</v>
      </c>
      <c r="I18" s="1" t="s">
        <v>160</v>
      </c>
      <c r="J18" s="1" t="s">
        <v>233</v>
      </c>
      <c r="K18" s="1" t="s">
        <v>234</v>
      </c>
      <c r="L18" s="1" t="s">
        <v>274</v>
      </c>
      <c r="M18" s="1" t="s">
        <v>275</v>
      </c>
      <c r="N18" s="1" t="str">
        <f t="shared" si="18"/>
        <v>31 miles/440 miles</v>
      </c>
      <c r="O18" s="1">
        <v>33</v>
      </c>
      <c r="P18" s="1" t="s">
        <v>253</v>
      </c>
      <c r="Q18" s="1" t="s">
        <v>270</v>
      </c>
      <c r="R18" s="1" t="s">
        <v>167</v>
      </c>
      <c r="S18" s="1" t="s">
        <v>270</v>
      </c>
      <c r="T18" s="1" t="s">
        <v>156</v>
      </c>
      <c r="U18" s="1" t="s">
        <v>276</v>
      </c>
      <c r="V18" s="1" t="s">
        <v>156</v>
      </c>
      <c r="W18" s="1" t="s">
        <v>256</v>
      </c>
      <c r="X18" s="4">
        <v>40432</v>
      </c>
      <c r="Y18" s="12">
        <v>5000</v>
      </c>
      <c r="Z18" s="12">
        <v>3000</v>
      </c>
      <c r="AD18" s="13">
        <v>0.47</v>
      </c>
      <c r="AE18" s="74">
        <v>3.04E-2</v>
      </c>
      <c r="AF18" s="75">
        <v>6.08E-2</v>
      </c>
      <c r="AG18" s="60" t="e">
        <f>'EV Comparison Calculator'!$M$10*'EV Comparison Calculator'!$M$12</f>
        <v>#VALUE!</v>
      </c>
      <c r="AH18" s="4" t="e">
        <f>($AG18*'EV Comparison Calculator'!$M$18)*'VEHICLE source'!AE18</f>
        <v>#VALUE!</v>
      </c>
      <c r="AI18" s="63" t="e">
        <f>$AG18*(1-'EV Comparison Calculator'!$M$18)*'VEHICLE source'!$AF18</f>
        <v>#VALUE!</v>
      </c>
      <c r="AJ18" s="4" t="e">
        <f t="shared" ref="AJ18" si="22">AH18+AI18</f>
        <v>#VALUE!</v>
      </c>
      <c r="AK18" s="73">
        <f>(AE18*'EV Comparison Calculator'!$M$18)+('VEHICLE source'!AF18*(1-'EV Comparison Calculator'!$M$18))</f>
        <v>3.04E-2</v>
      </c>
      <c r="AL18" s="62" t="e">
        <f>$AJ18/'EV Comparison Calculator'!$M$12</f>
        <v>#VALUE!</v>
      </c>
      <c r="AM18" s="30" t="str">
        <f>IFERROR('EV Comparison Calculator'!$M$16*LEFT(U18,2),"")</f>
        <v/>
      </c>
      <c r="AN18" s="64" t="str">
        <f>'EV Comparison Calculator'!$M$16</f>
        <v>PLEASE SELECT</v>
      </c>
      <c r="AO18" s="64" t="str">
        <f>'EV Comparison Calculator'!$M$14</f>
        <v>PLEASE SELECT</v>
      </c>
      <c r="AP18" s="30" t="e">
        <f>(AM18*('EV Comparison Calculator'!$M$10*'EV Comparison Calculator'!$M$18))/100</f>
        <v>#VALUE!</v>
      </c>
      <c r="AQ18" s="64" t="e">
        <f>(AO18*('EV Comparison Calculator'!$M$10*(1-'EV Comparison Calculator'!$M$18)))/LEFT(O18,2)</f>
        <v>#VALUE!</v>
      </c>
      <c r="AR18" s="64" t="e">
        <f t="shared" ref="AR18" si="23">AP18+AQ18</f>
        <v>#VALUE!</v>
      </c>
      <c r="AS18" s="65" t="e">
        <f>('EV Comparison Calculator'!$M$10*(1-'EV Comparison Calculator'!$M$18)/LEFT('VEHICLE source'!O18,2))</f>
        <v>#VALUE!</v>
      </c>
      <c r="AT18" s="60" t="e">
        <f>('EV Comparison Calculator'!$M$10*('EV Comparison Calculator'!$M$18)*(LEFT($U18,2)))/100</f>
        <v>#VALUE!</v>
      </c>
      <c r="AU18" s="12">
        <v>5000</v>
      </c>
      <c r="AV18" s="4">
        <v>39350</v>
      </c>
      <c r="AW18" t="s">
        <v>218</v>
      </c>
      <c r="AX18" s="1" t="s">
        <v>155</v>
      </c>
      <c r="AY18" s="6" t="s">
        <v>257</v>
      </c>
    </row>
    <row r="19" spans="1:54">
      <c r="A19" s="6" t="str">
        <f t="shared" si="1"/>
        <v>Toyota RAV-4 Prime SE (PHEV)</v>
      </c>
      <c r="B19" s="1" t="s">
        <v>155</v>
      </c>
      <c r="D19" s="1" t="s">
        <v>243</v>
      </c>
      <c r="E19" s="1" t="s">
        <v>277</v>
      </c>
      <c r="F19" s="1" t="s">
        <v>204</v>
      </c>
      <c r="G19" s="1">
        <v>2022</v>
      </c>
      <c r="H19" s="1">
        <v>5</v>
      </c>
      <c r="I19" s="1" t="s">
        <v>160</v>
      </c>
      <c r="J19" s="1" t="s">
        <v>233</v>
      </c>
      <c r="K19" s="1" t="s">
        <v>234</v>
      </c>
      <c r="L19" s="1" t="s">
        <v>278</v>
      </c>
      <c r="M19" s="1" t="s">
        <v>279</v>
      </c>
      <c r="N19" s="1" t="str">
        <f t="shared" si="18"/>
        <v>42 miles/600 miles</v>
      </c>
      <c r="O19" s="1">
        <v>38</v>
      </c>
      <c r="P19" s="1" t="s">
        <v>280</v>
      </c>
      <c r="Q19" s="1" t="s">
        <v>239</v>
      </c>
      <c r="R19" s="1" t="s">
        <v>167</v>
      </c>
      <c r="S19" s="1" t="s">
        <v>239</v>
      </c>
      <c r="T19" s="1" t="s">
        <v>156</v>
      </c>
      <c r="U19" s="1" t="s">
        <v>281</v>
      </c>
      <c r="V19" s="1" t="s">
        <v>156</v>
      </c>
      <c r="W19" s="1" t="s">
        <v>241</v>
      </c>
      <c r="X19" s="4">
        <v>38562</v>
      </c>
      <c r="Y19" s="12">
        <v>5000</v>
      </c>
      <c r="Z19" s="12">
        <v>3000</v>
      </c>
      <c r="AD19" s="13">
        <v>0.47</v>
      </c>
      <c r="AE19" s="74">
        <v>4.2599999999999999E-2</v>
      </c>
      <c r="AF19" s="75">
        <v>6.0900000000000003E-2</v>
      </c>
      <c r="AG19" s="60" t="e">
        <f>'EV Comparison Calculator'!$M$10*'EV Comparison Calculator'!$M$12</f>
        <v>#VALUE!</v>
      </c>
      <c r="AH19" s="4" t="e">
        <f>($AG19*'EV Comparison Calculator'!$M$18)*'VEHICLE source'!AE19</f>
        <v>#VALUE!</v>
      </c>
      <c r="AI19" s="63" t="e">
        <f>$AG19*(1-'EV Comparison Calculator'!$M$18)*'VEHICLE source'!$AF19</f>
        <v>#VALUE!</v>
      </c>
      <c r="AJ19" s="4" t="e">
        <f t="shared" ref="AJ19:AJ22" si="24">AH19+AI19</f>
        <v>#VALUE!</v>
      </c>
      <c r="AK19" s="73">
        <f>(AE19*'EV Comparison Calculator'!$M$18)+('VEHICLE source'!AF19*(1-'EV Comparison Calculator'!$M$18))</f>
        <v>4.2599999999999999E-2</v>
      </c>
      <c r="AL19" s="62" t="e">
        <f>$AJ19/'EV Comparison Calculator'!$M$12</f>
        <v>#VALUE!</v>
      </c>
      <c r="AM19" s="30" t="str">
        <f>IFERROR('EV Comparison Calculator'!$M$16*LEFT(U19,2),"")</f>
        <v/>
      </c>
      <c r="AN19" s="64" t="str">
        <f>'EV Comparison Calculator'!$M$16</f>
        <v>PLEASE SELECT</v>
      </c>
      <c r="AO19" s="64" t="str">
        <f>'EV Comparison Calculator'!$M$14</f>
        <v>PLEASE SELECT</v>
      </c>
      <c r="AP19" s="30" t="e">
        <f>(AM19*('EV Comparison Calculator'!$M$10*'EV Comparison Calculator'!$M$18))/100</f>
        <v>#VALUE!</v>
      </c>
      <c r="AQ19" s="64" t="e">
        <f>(AO19*('EV Comparison Calculator'!$M$10*(1-'EV Comparison Calculator'!$M$18)))/LEFT(O19,2)</f>
        <v>#VALUE!</v>
      </c>
      <c r="AR19" s="64" t="e">
        <f t="shared" ref="AR19:AR21" si="25">AP19+AQ19</f>
        <v>#VALUE!</v>
      </c>
      <c r="AS19" s="65" t="e">
        <f>('EV Comparison Calculator'!$M$10*(1-'EV Comparison Calculator'!$M$18)/LEFT('VEHICLE source'!O19,2))</f>
        <v>#VALUE!</v>
      </c>
      <c r="AT19" s="60" t="e">
        <f>('EV Comparison Calculator'!$M$10*('EV Comparison Calculator'!$M$18)*(LEFT($U19,2)))/100</f>
        <v>#VALUE!</v>
      </c>
      <c r="AU19" s="12">
        <v>5000</v>
      </c>
      <c r="AV19" s="4">
        <v>39800</v>
      </c>
      <c r="AW19" t="s">
        <v>218</v>
      </c>
      <c r="AX19" s="1" t="s">
        <v>155</v>
      </c>
      <c r="AY19" s="6" t="s">
        <v>257</v>
      </c>
    </row>
    <row r="20" spans="1:54">
      <c r="A20" s="6" t="str">
        <f t="shared" si="1"/>
        <v>Toyota Prius LE (HEV)</v>
      </c>
      <c r="B20" s="1" t="s">
        <v>282</v>
      </c>
      <c r="D20" s="1" t="s">
        <v>243</v>
      </c>
      <c r="E20" s="1" t="s">
        <v>283</v>
      </c>
      <c r="F20" s="1" t="s">
        <v>245</v>
      </c>
      <c r="G20" s="1">
        <v>2022</v>
      </c>
      <c r="H20" s="1">
        <v>5</v>
      </c>
      <c r="I20" s="1" t="s">
        <v>160</v>
      </c>
      <c r="J20" s="1" t="s">
        <v>284</v>
      </c>
      <c r="K20" s="1" t="s">
        <v>285</v>
      </c>
      <c r="L20" s="1" t="s">
        <v>164</v>
      </c>
      <c r="M20" s="1" t="s">
        <v>286</v>
      </c>
      <c r="N20" s="1" t="str">
        <f>_xlfn.CONCAT(L20,"/",M20)</f>
        <v>-/640 miles</v>
      </c>
      <c r="O20" s="1">
        <v>49</v>
      </c>
      <c r="P20" s="1" t="s">
        <v>156</v>
      </c>
      <c r="Q20" s="1" t="s">
        <v>156</v>
      </c>
      <c r="R20" s="1" t="s">
        <v>156</v>
      </c>
      <c r="S20" s="1" t="s">
        <v>156</v>
      </c>
      <c r="T20" s="1" t="s">
        <v>156</v>
      </c>
      <c r="U20" s="1" t="s">
        <v>156</v>
      </c>
      <c r="V20" s="1" t="s">
        <v>156</v>
      </c>
      <c r="W20" s="1" t="s">
        <v>156</v>
      </c>
      <c r="X20" s="4">
        <v>25202</v>
      </c>
      <c r="Y20" s="12">
        <v>0</v>
      </c>
      <c r="Z20" s="12">
        <v>0</v>
      </c>
      <c r="AD20" s="13">
        <v>0.47</v>
      </c>
      <c r="AE20" s="74">
        <v>0</v>
      </c>
      <c r="AF20" s="75">
        <v>0.06</v>
      </c>
      <c r="AG20" s="60" t="e">
        <f>'EV Comparison Calculator'!$M$10*'EV Comparison Calculator'!$M$12</f>
        <v>#VALUE!</v>
      </c>
      <c r="AH20" s="4" t="e">
        <f>($AG20*'EV Comparison Calculator'!$M$18)*'VEHICLE source'!AE20</f>
        <v>#VALUE!</v>
      </c>
      <c r="AI20" s="63" t="e">
        <f>$AG20*'VEHICLE source'!$AF20</f>
        <v>#VALUE!</v>
      </c>
      <c r="AJ20" s="4" t="e">
        <f t="shared" si="24"/>
        <v>#VALUE!</v>
      </c>
      <c r="AK20" s="73" t="e">
        <f>AJ20/AG20</f>
        <v>#VALUE!</v>
      </c>
      <c r="AL20" s="62" t="e">
        <f>$AJ20/'EV Comparison Calculator'!$M$12</f>
        <v>#VALUE!</v>
      </c>
      <c r="AM20" s="30">
        <v>0</v>
      </c>
      <c r="AN20" s="64" t="str">
        <f>'EV Comparison Calculator'!$M$16</f>
        <v>PLEASE SELECT</v>
      </c>
      <c r="AO20" s="64" t="str">
        <f>'EV Comparison Calculator'!$M$14</f>
        <v>PLEASE SELECT</v>
      </c>
      <c r="AP20" s="30" t="e">
        <f>(AM20*('EV Comparison Calculator'!$M$10*'EV Comparison Calculator'!$M$18))/100</f>
        <v>#VALUE!</v>
      </c>
      <c r="AQ20" s="64" t="e">
        <f>AO20*'EV Comparison Calculator'!$M$10/LEFT(O20,2)</f>
        <v>#VALUE!</v>
      </c>
      <c r="AR20" s="64" t="e">
        <f t="shared" ref="AR20" si="26">AP20+AQ20</f>
        <v>#VALUE!</v>
      </c>
      <c r="AS20" s="65" t="e">
        <f>'EV Comparison Calculator'!$M$10/LEFT(O20,2)</f>
        <v>#VALUE!</v>
      </c>
      <c r="AT20" s="60">
        <v>0</v>
      </c>
      <c r="AU20" s="12">
        <v>0</v>
      </c>
      <c r="AV20" s="4">
        <v>25202</v>
      </c>
      <c r="AW20" t="s">
        <v>172</v>
      </c>
      <c r="AX20" s="1" t="s">
        <v>155</v>
      </c>
      <c r="AY20" s="6" t="s">
        <v>257</v>
      </c>
      <c r="AZ20" s="143"/>
      <c r="BA20" s="144"/>
    </row>
    <row r="21" spans="1:54">
      <c r="A21" s="6" t="str">
        <f>_xlfn.CONCAT(D21," ",E21," ",F21," (",J21,")")</f>
        <v>Honda CR-V Hybrid EX (HEV)</v>
      </c>
      <c r="B21" s="1" t="s">
        <v>155</v>
      </c>
      <c r="D21" s="1" t="s">
        <v>258</v>
      </c>
      <c r="E21" s="1" t="s">
        <v>287</v>
      </c>
      <c r="F21" s="1" t="s">
        <v>266</v>
      </c>
      <c r="G21" s="1">
        <v>2022</v>
      </c>
      <c r="H21" s="1">
        <v>5</v>
      </c>
      <c r="I21" s="1" t="s">
        <v>160</v>
      </c>
      <c r="J21" s="1" t="s">
        <v>284</v>
      </c>
      <c r="K21" s="1" t="s">
        <v>285</v>
      </c>
      <c r="L21" s="1" t="s">
        <v>288</v>
      </c>
      <c r="M21" s="1" t="s">
        <v>289</v>
      </c>
      <c r="N21" s="1" t="str">
        <f>_xlfn.CONCAT(L21,"/",M21)</f>
        <v xml:space="preserve"> - /532 miles</v>
      </c>
      <c r="O21" s="1">
        <v>38</v>
      </c>
      <c r="P21" s="1" t="s">
        <v>156</v>
      </c>
      <c r="Q21" s="1" t="s">
        <v>156</v>
      </c>
      <c r="R21" s="1" t="s">
        <v>156</v>
      </c>
      <c r="S21" s="1" t="s">
        <v>156</v>
      </c>
      <c r="T21" s="1" t="s">
        <v>156</v>
      </c>
      <c r="U21" s="1" t="s">
        <v>156</v>
      </c>
      <c r="V21" s="1" t="s">
        <v>156</v>
      </c>
      <c r="W21" s="1" t="s">
        <v>156</v>
      </c>
      <c r="X21" s="4">
        <v>31560</v>
      </c>
      <c r="Y21" s="12">
        <v>0</v>
      </c>
      <c r="Z21" s="12">
        <v>0</v>
      </c>
      <c r="AD21" s="13">
        <v>0.47</v>
      </c>
      <c r="AE21" s="74">
        <v>0</v>
      </c>
      <c r="AF21" s="75">
        <v>0.06</v>
      </c>
      <c r="AG21" s="60" t="e">
        <f>'EV Comparison Calculator'!$M$10*'EV Comparison Calculator'!$M$12</f>
        <v>#VALUE!</v>
      </c>
      <c r="AH21" s="4" t="e">
        <f>($AG21*'EV Comparison Calculator'!$M$18)*'VEHICLE source'!AE21</f>
        <v>#VALUE!</v>
      </c>
      <c r="AI21" s="63" t="e">
        <f>$AG21*'VEHICLE source'!$AF21</f>
        <v>#VALUE!</v>
      </c>
      <c r="AJ21" s="4" t="e">
        <f t="shared" ref="AJ21" si="27">AH21+AI21</f>
        <v>#VALUE!</v>
      </c>
      <c r="AK21" s="73" t="e">
        <f>AJ21/AG21</f>
        <v>#VALUE!</v>
      </c>
      <c r="AL21" s="62" t="e">
        <f>$AJ21/'EV Comparison Calculator'!$M$12</f>
        <v>#VALUE!</v>
      </c>
      <c r="AM21" s="30">
        <v>0</v>
      </c>
      <c r="AN21" s="64" t="str">
        <f>'EV Comparison Calculator'!$M$16</f>
        <v>PLEASE SELECT</v>
      </c>
      <c r="AO21" s="64" t="str">
        <f>'EV Comparison Calculator'!$M$14</f>
        <v>PLEASE SELECT</v>
      </c>
      <c r="AP21" s="30" t="e">
        <f>(AM21*('EV Comparison Calculator'!$M$10*'EV Comparison Calculator'!$M$18))/100</f>
        <v>#VALUE!</v>
      </c>
      <c r="AQ21" s="64" t="e">
        <f>AO21*'EV Comparison Calculator'!$M$10/LEFT(O21,2)</f>
        <v>#VALUE!</v>
      </c>
      <c r="AR21" s="64" t="e">
        <f t="shared" si="25"/>
        <v>#VALUE!</v>
      </c>
      <c r="AS21" s="65" t="e">
        <f>'EV Comparison Calculator'!$M$10/LEFT(O21,2)</f>
        <v>#VALUE!</v>
      </c>
      <c r="AT21" s="60">
        <v>0</v>
      </c>
      <c r="AU21" s="12">
        <v>0</v>
      </c>
      <c r="AV21" s="4">
        <v>31610</v>
      </c>
      <c r="AW21" t="s">
        <v>218</v>
      </c>
      <c r="AX21" s="1" t="s">
        <v>155</v>
      </c>
      <c r="AY21" s="6" t="s">
        <v>257</v>
      </c>
      <c r="BA21" s="144"/>
    </row>
    <row r="22" spans="1:54">
      <c r="A22" s="6" t="str">
        <f t="shared" si="1"/>
        <v>Toyota RAV-4 XLE (ICE)</v>
      </c>
      <c r="B22" s="1" t="s">
        <v>155</v>
      </c>
      <c r="D22" s="1" t="s">
        <v>243</v>
      </c>
      <c r="E22" s="1" t="s">
        <v>290</v>
      </c>
      <c r="F22" s="1" t="s">
        <v>291</v>
      </c>
      <c r="G22" s="1">
        <v>2022</v>
      </c>
      <c r="H22" s="1">
        <v>6</v>
      </c>
      <c r="I22" s="1" t="s">
        <v>160</v>
      </c>
      <c r="J22" s="1" t="s">
        <v>292</v>
      </c>
      <c r="K22" s="1" t="s">
        <v>293</v>
      </c>
      <c r="L22" s="1" t="s">
        <v>288</v>
      </c>
      <c r="M22" s="1" t="s">
        <v>294</v>
      </c>
      <c r="N22" s="1" t="str">
        <f t="shared" ref="N22:N30" si="28">_xlfn.CONCAT(L22,"/",M22)</f>
        <v xml:space="preserve"> - /479 miles</v>
      </c>
      <c r="O22" s="1">
        <v>29</v>
      </c>
      <c r="P22" s="1" t="s">
        <v>156</v>
      </c>
      <c r="Q22" s="1" t="s">
        <v>156</v>
      </c>
      <c r="R22" s="1" t="s">
        <v>156</v>
      </c>
      <c r="S22" s="1" t="s">
        <v>156</v>
      </c>
      <c r="T22" s="1" t="s">
        <v>156</v>
      </c>
      <c r="U22" s="1" t="s">
        <v>156</v>
      </c>
      <c r="V22" s="1" t="s">
        <v>156</v>
      </c>
      <c r="W22" s="1" t="s">
        <v>156</v>
      </c>
      <c r="X22" s="4" t="s">
        <v>156</v>
      </c>
      <c r="Y22" s="12">
        <v>0</v>
      </c>
      <c r="Z22" s="12">
        <v>0</v>
      </c>
      <c r="AD22" s="13">
        <v>0.47</v>
      </c>
      <c r="AE22" s="74">
        <v>0</v>
      </c>
      <c r="AF22" s="75">
        <v>5.8500000000000003E-2</v>
      </c>
      <c r="AG22" s="60" t="e">
        <f>'EV Comparison Calculator'!$M$10*'EV Comparison Calculator'!$M$12</f>
        <v>#VALUE!</v>
      </c>
      <c r="AH22" s="4" t="e">
        <f>($AG22*'EV Comparison Calculator'!$M$18)*'VEHICLE source'!AE22</f>
        <v>#VALUE!</v>
      </c>
      <c r="AI22" s="63" t="e">
        <f>$AG22*'VEHICLE source'!$AF22</f>
        <v>#VALUE!</v>
      </c>
      <c r="AJ22" s="4" t="e">
        <f t="shared" si="24"/>
        <v>#VALUE!</v>
      </c>
      <c r="AK22" s="73" t="e">
        <f>AJ22/AG22</f>
        <v>#VALUE!</v>
      </c>
      <c r="AL22" s="62" t="e">
        <f>$AJ22/'EV Comparison Calculator'!$M$12</f>
        <v>#VALUE!</v>
      </c>
      <c r="AM22" s="30">
        <v>0</v>
      </c>
      <c r="AN22" s="64" t="str">
        <f>'EV Comparison Calculator'!$M$16</f>
        <v>PLEASE SELECT</v>
      </c>
      <c r="AO22" s="64" t="str">
        <f>'EV Comparison Calculator'!$M$14</f>
        <v>PLEASE SELECT</v>
      </c>
      <c r="AP22" s="30" t="e">
        <f>(AM22*('EV Comparison Calculator'!$M$10*'EV Comparison Calculator'!$M$18))/100</f>
        <v>#VALUE!</v>
      </c>
      <c r="AQ22" s="64" t="e">
        <f>AO22*'EV Comparison Calculator'!$M$10/LEFT(O22,2)</f>
        <v>#VALUE!</v>
      </c>
      <c r="AR22" s="64" t="e">
        <f t="shared" ref="AR22" si="29">AP22+AQ22</f>
        <v>#VALUE!</v>
      </c>
      <c r="AS22" s="65" t="e">
        <f>'EV Comparison Calculator'!$M$10/LEFT(O22,2)</f>
        <v>#VALUE!</v>
      </c>
      <c r="AT22" s="60">
        <v>0</v>
      </c>
      <c r="AU22" s="12">
        <v>0</v>
      </c>
      <c r="AV22" s="4">
        <v>32805</v>
      </c>
      <c r="AW22" t="s">
        <v>218</v>
      </c>
      <c r="AX22" s="1" t="s">
        <v>155</v>
      </c>
      <c r="AY22" s="6" t="s">
        <v>257</v>
      </c>
    </row>
    <row r="23" spans="1:54">
      <c r="A23" s="6" t="str">
        <f t="shared" si="1"/>
        <v>Honda Civic Hatchback LX (ICE)</v>
      </c>
      <c r="B23" s="1" t="s">
        <v>175</v>
      </c>
      <c r="D23" s="1" t="s">
        <v>258</v>
      </c>
      <c r="E23" s="1" t="s">
        <v>295</v>
      </c>
      <c r="F23" s="1" t="s">
        <v>296</v>
      </c>
      <c r="G23" s="1">
        <v>2021</v>
      </c>
      <c r="H23" s="1">
        <v>5</v>
      </c>
      <c r="I23" s="1" t="s">
        <v>180</v>
      </c>
      <c r="J23" s="1" t="s">
        <v>292</v>
      </c>
      <c r="K23" s="1" t="s">
        <v>293</v>
      </c>
      <c r="L23" s="1" t="s">
        <v>288</v>
      </c>
      <c r="M23" s="1" t="s">
        <v>297</v>
      </c>
      <c r="N23" s="1" t="str">
        <f t="shared" si="28"/>
        <v xml:space="preserve"> - /446 miles</v>
      </c>
      <c r="O23" s="1">
        <v>34</v>
      </c>
      <c r="P23" s="1" t="s">
        <v>156</v>
      </c>
      <c r="Q23" s="1" t="s">
        <v>156</v>
      </c>
      <c r="R23" s="1" t="s">
        <v>156</v>
      </c>
      <c r="S23" s="1" t="s">
        <v>156</v>
      </c>
      <c r="T23" s="1" t="s">
        <v>156</v>
      </c>
      <c r="U23" s="1" t="s">
        <v>156</v>
      </c>
      <c r="V23" s="1" t="s">
        <v>156</v>
      </c>
      <c r="W23" s="1" t="s">
        <v>156</v>
      </c>
      <c r="X23" s="4" t="s">
        <v>156</v>
      </c>
      <c r="Y23" s="12">
        <v>0</v>
      </c>
      <c r="Z23" s="12">
        <v>0</v>
      </c>
      <c r="AD23" s="13">
        <v>0.47</v>
      </c>
      <c r="AE23" s="74">
        <v>0</v>
      </c>
      <c r="AF23" s="75">
        <v>0.06</v>
      </c>
      <c r="AG23" s="60" t="e">
        <f>'EV Comparison Calculator'!$M$10*'EV Comparison Calculator'!$M$12</f>
        <v>#VALUE!</v>
      </c>
      <c r="AH23" s="4" t="e">
        <f>($AG23*'EV Comparison Calculator'!$M$18)*'VEHICLE source'!AE23</f>
        <v>#VALUE!</v>
      </c>
      <c r="AI23" s="63" t="e">
        <f>$AG23*'VEHICLE source'!$AF23</f>
        <v>#VALUE!</v>
      </c>
      <c r="AJ23" s="4" t="e">
        <f t="shared" si="19"/>
        <v>#VALUE!</v>
      </c>
      <c r="AK23" s="73" t="e">
        <f>AJ23/AG23</f>
        <v>#VALUE!</v>
      </c>
      <c r="AL23" s="62" t="e">
        <f>$AJ23/'EV Comparison Calculator'!$M$12</f>
        <v>#VALUE!</v>
      </c>
      <c r="AM23" s="30">
        <v>0</v>
      </c>
      <c r="AN23" s="64" t="str">
        <f>'EV Comparison Calculator'!$M$16</f>
        <v>PLEASE SELECT</v>
      </c>
      <c r="AO23" s="64" t="str">
        <f>'EV Comparison Calculator'!$M$14</f>
        <v>PLEASE SELECT</v>
      </c>
      <c r="AP23" s="30">
        <v>0</v>
      </c>
      <c r="AQ23" s="64" t="e">
        <f>AO23*'EV Comparison Calculator'!$M$10/LEFT(O23,2)</f>
        <v>#VALUE!</v>
      </c>
      <c r="AR23" s="64" t="e">
        <f t="shared" si="6"/>
        <v>#VALUE!</v>
      </c>
      <c r="AS23" s="65" t="e">
        <f>'EV Comparison Calculator'!$M$10/LEFT(O23,2)</f>
        <v>#VALUE!</v>
      </c>
      <c r="AT23" s="60">
        <v>0</v>
      </c>
      <c r="AU23" s="12">
        <v>0</v>
      </c>
      <c r="AV23" s="4">
        <v>22955</v>
      </c>
      <c r="AW23" t="s">
        <v>172</v>
      </c>
      <c r="AX23" s="1" t="s">
        <v>175</v>
      </c>
      <c r="AY23" s="6" t="s">
        <v>187</v>
      </c>
      <c r="BB23" s="36">
        <v>19.643203583837458</v>
      </c>
    </row>
    <row r="24" spans="1:54">
      <c r="A24" s="6" t="str">
        <f t="shared" si="1"/>
        <v>Toyota Sienna LE (HEV)</v>
      </c>
      <c r="B24" s="1" t="s">
        <v>229</v>
      </c>
      <c r="D24" s="1" t="s">
        <v>243</v>
      </c>
      <c r="E24" s="1" t="s">
        <v>298</v>
      </c>
      <c r="F24" s="1" t="s">
        <v>245</v>
      </c>
      <c r="G24" s="1">
        <v>2021</v>
      </c>
      <c r="H24" s="1">
        <v>8</v>
      </c>
      <c r="I24" s="1" t="s">
        <v>160</v>
      </c>
      <c r="J24" s="1" t="s">
        <v>284</v>
      </c>
      <c r="K24" s="1" t="s">
        <v>285</v>
      </c>
      <c r="L24" s="1" t="s">
        <v>288</v>
      </c>
      <c r="M24" s="1" t="s">
        <v>299</v>
      </c>
      <c r="N24" s="1" t="str">
        <f t="shared" si="28"/>
        <v xml:space="preserve"> - /648 mles</v>
      </c>
      <c r="O24" s="1">
        <v>36</v>
      </c>
      <c r="P24" s="1" t="s">
        <v>156</v>
      </c>
      <c r="Q24" s="1" t="s">
        <v>156</v>
      </c>
      <c r="R24" s="1" t="s">
        <v>156</v>
      </c>
      <c r="S24" s="1" t="s">
        <v>156</v>
      </c>
      <c r="T24" s="1" t="s">
        <v>156</v>
      </c>
      <c r="U24" s="1" t="s">
        <v>156</v>
      </c>
      <c r="V24" s="1" t="s">
        <v>156</v>
      </c>
      <c r="W24" s="1" t="s">
        <v>156</v>
      </c>
      <c r="X24" s="4">
        <v>33550</v>
      </c>
      <c r="Y24" s="12">
        <v>0</v>
      </c>
      <c r="Z24" s="12">
        <v>0</v>
      </c>
      <c r="AD24" s="13">
        <v>0.47</v>
      </c>
      <c r="AE24" s="74">
        <v>0</v>
      </c>
      <c r="AF24" s="75">
        <v>0.06</v>
      </c>
      <c r="AG24" s="60" t="e">
        <f>'EV Comparison Calculator'!$M$10*'EV Comparison Calculator'!$M$12</f>
        <v>#VALUE!</v>
      </c>
      <c r="AH24" s="4" t="e">
        <f>($AG24*'EV Comparison Calculator'!$M$18)*'VEHICLE source'!AE24</f>
        <v>#VALUE!</v>
      </c>
      <c r="AI24" s="63" t="e">
        <f>$AG24*'VEHICLE source'!$AF24</f>
        <v>#VALUE!</v>
      </c>
      <c r="AJ24" s="4" t="e">
        <f t="shared" si="19"/>
        <v>#VALUE!</v>
      </c>
      <c r="AK24" s="73" t="e">
        <f t="shared" ref="AK24:AK26" si="30">AJ24/AG24</f>
        <v>#VALUE!</v>
      </c>
      <c r="AL24" s="62" t="e">
        <f>$AJ24/'EV Comparison Calculator'!$M$12</f>
        <v>#VALUE!</v>
      </c>
      <c r="AM24" s="30">
        <v>0</v>
      </c>
      <c r="AN24" s="64" t="str">
        <f>'EV Comparison Calculator'!$M$16</f>
        <v>PLEASE SELECT</v>
      </c>
      <c r="AO24" s="64" t="str">
        <f>'EV Comparison Calculator'!$M$14</f>
        <v>PLEASE SELECT</v>
      </c>
      <c r="AP24" s="30">
        <v>0</v>
      </c>
      <c r="AQ24" s="64" t="e">
        <f>AO24*'EV Comparison Calculator'!$M$10/LEFT(O24,2)</f>
        <v>#VALUE!</v>
      </c>
      <c r="AR24" s="64" t="e">
        <f t="shared" si="6"/>
        <v>#VALUE!</v>
      </c>
      <c r="AS24" s="65" t="e">
        <f>'EV Comparison Calculator'!$M$10/LEFT(O24,2)</f>
        <v>#VALUE!</v>
      </c>
      <c r="AT24" s="60">
        <v>0</v>
      </c>
      <c r="AU24" s="12">
        <v>0</v>
      </c>
      <c r="AV24" s="4">
        <v>35635</v>
      </c>
      <c r="AW24" t="s">
        <v>218</v>
      </c>
      <c r="AX24" s="1" t="s">
        <v>229</v>
      </c>
      <c r="AY24" s="6" t="s">
        <v>229</v>
      </c>
      <c r="BB24" s="144" t="e">
        <f>AS23*BB23</f>
        <v>#VALUE!</v>
      </c>
    </row>
    <row r="25" spans="1:54">
      <c r="A25" s="6" t="str">
        <f t="shared" si="1"/>
        <v>Honda Odyssey LX (ICE)</v>
      </c>
      <c r="B25" s="1" t="s">
        <v>229</v>
      </c>
      <c r="D25" s="1" t="s">
        <v>258</v>
      </c>
      <c r="E25" s="1" t="s">
        <v>300</v>
      </c>
      <c r="F25" s="1" t="s">
        <v>296</v>
      </c>
      <c r="G25" s="1">
        <v>2021</v>
      </c>
      <c r="H25" s="1">
        <v>7</v>
      </c>
      <c r="I25" s="1" t="s">
        <v>160</v>
      </c>
      <c r="J25" s="1" t="s">
        <v>292</v>
      </c>
      <c r="K25" s="1" t="s">
        <v>293</v>
      </c>
      <c r="L25" s="1" t="s">
        <v>288</v>
      </c>
      <c r="M25" s="1" t="s">
        <v>301</v>
      </c>
      <c r="N25" s="1" t="str">
        <f t="shared" si="28"/>
        <v xml:space="preserve"> - /429 miles</v>
      </c>
      <c r="O25" s="1">
        <v>22</v>
      </c>
      <c r="P25" s="1" t="s">
        <v>156</v>
      </c>
      <c r="Q25" s="1" t="s">
        <v>156</v>
      </c>
      <c r="R25" s="1" t="s">
        <v>156</v>
      </c>
      <c r="S25" s="1" t="s">
        <v>156</v>
      </c>
      <c r="T25" s="1" t="s">
        <v>156</v>
      </c>
      <c r="U25" s="1" t="s">
        <v>156</v>
      </c>
      <c r="V25" s="1" t="s">
        <v>156</v>
      </c>
      <c r="W25" s="1" t="s">
        <v>156</v>
      </c>
      <c r="X25" s="4" t="s">
        <v>156</v>
      </c>
      <c r="Y25" s="12">
        <v>0</v>
      </c>
      <c r="Z25" s="12">
        <v>0</v>
      </c>
      <c r="AD25" s="13">
        <v>0.47</v>
      </c>
      <c r="AE25" s="74">
        <v>0</v>
      </c>
      <c r="AF25" s="75">
        <v>0.06</v>
      </c>
      <c r="AG25" s="60" t="e">
        <f>'EV Comparison Calculator'!$M$10*'EV Comparison Calculator'!$M$12</f>
        <v>#VALUE!</v>
      </c>
      <c r="AH25" s="4" t="e">
        <f>($AG25*'EV Comparison Calculator'!$M$18)*'VEHICLE source'!AE25</f>
        <v>#VALUE!</v>
      </c>
      <c r="AI25" s="63" t="e">
        <f>$AG25*'VEHICLE source'!$AF25</f>
        <v>#VALUE!</v>
      </c>
      <c r="AJ25" s="4" t="e">
        <f t="shared" si="19"/>
        <v>#VALUE!</v>
      </c>
      <c r="AK25" s="73" t="e">
        <f t="shared" si="30"/>
        <v>#VALUE!</v>
      </c>
      <c r="AL25" s="62" t="e">
        <f>$AJ25/'EV Comparison Calculator'!$M$12</f>
        <v>#VALUE!</v>
      </c>
      <c r="AM25" s="30">
        <v>0</v>
      </c>
      <c r="AN25" s="64" t="str">
        <f>'EV Comparison Calculator'!$M$16</f>
        <v>PLEASE SELECT</v>
      </c>
      <c r="AO25" s="64" t="str">
        <f>'EV Comparison Calculator'!$M$14</f>
        <v>PLEASE SELECT</v>
      </c>
      <c r="AP25" s="30">
        <v>0</v>
      </c>
      <c r="AQ25" s="64" t="e">
        <f>AO25*'EV Comparison Calculator'!$M$10/LEFT(O25,2)</f>
        <v>#VALUE!</v>
      </c>
      <c r="AR25" s="64" t="e">
        <f t="shared" si="6"/>
        <v>#VALUE!</v>
      </c>
      <c r="AS25" s="65" t="e">
        <f>'EV Comparison Calculator'!$M$10/LEFT(O25,2)</f>
        <v>#VALUE!</v>
      </c>
      <c r="AT25" s="60">
        <v>0</v>
      </c>
      <c r="AU25" s="12">
        <v>0</v>
      </c>
      <c r="AV25" s="4">
        <v>32910</v>
      </c>
      <c r="AW25" t="s">
        <v>172</v>
      </c>
      <c r="AX25" s="1" t="s">
        <v>229</v>
      </c>
      <c r="AY25" s="6" t="s">
        <v>229</v>
      </c>
      <c r="BB25" s="144" t="e">
        <f>BB24*8</f>
        <v>#VALUE!</v>
      </c>
    </row>
    <row r="26" spans="1:54">
      <c r="A26" s="6" t="str">
        <f t="shared" si="1"/>
        <v>Ford Transit 150 Cargo LR (ICE)</v>
      </c>
      <c r="B26" s="1" t="s">
        <v>222</v>
      </c>
      <c r="D26" s="1" t="s">
        <v>210</v>
      </c>
      <c r="E26" s="1" t="s">
        <v>302</v>
      </c>
      <c r="F26" s="1" t="s">
        <v>224</v>
      </c>
      <c r="G26" s="1">
        <v>2021</v>
      </c>
      <c r="H26" s="1">
        <v>2</v>
      </c>
      <c r="I26" s="1" t="s">
        <v>160</v>
      </c>
      <c r="J26" s="1" t="s">
        <v>292</v>
      </c>
      <c r="K26" s="1" t="s">
        <v>293</v>
      </c>
      <c r="L26" s="1" t="s">
        <v>288</v>
      </c>
      <c r="M26" s="1" t="s">
        <v>303</v>
      </c>
      <c r="N26" s="1" t="str">
        <f t="shared" si="28"/>
        <v xml:space="preserve"> - /400 miles</v>
      </c>
      <c r="O26" s="1">
        <v>16</v>
      </c>
      <c r="P26" s="1" t="s">
        <v>156</v>
      </c>
      <c r="Q26" s="1" t="s">
        <v>156</v>
      </c>
      <c r="R26" s="1" t="s">
        <v>156</v>
      </c>
      <c r="S26" s="1" t="s">
        <v>156</v>
      </c>
      <c r="T26" s="1" t="s">
        <v>156</v>
      </c>
      <c r="U26" s="1" t="s">
        <v>156</v>
      </c>
      <c r="V26" s="1" t="s">
        <v>156</v>
      </c>
      <c r="W26" s="1" t="s">
        <v>156</v>
      </c>
      <c r="X26" s="4" t="s">
        <v>156</v>
      </c>
      <c r="Y26" s="12">
        <v>0</v>
      </c>
      <c r="Z26" s="12">
        <v>0</v>
      </c>
      <c r="AD26" s="13">
        <v>0.47</v>
      </c>
      <c r="AE26" s="74">
        <v>0</v>
      </c>
      <c r="AF26" s="75">
        <v>0.06</v>
      </c>
      <c r="AG26" s="60" t="e">
        <f>'EV Comparison Calculator'!$M$10*'EV Comparison Calculator'!$M$12</f>
        <v>#VALUE!</v>
      </c>
      <c r="AH26" s="4" t="e">
        <f>($AG26*'EV Comparison Calculator'!$M$18)*'VEHICLE source'!AE26</f>
        <v>#VALUE!</v>
      </c>
      <c r="AI26" s="63" t="e">
        <f>$AG26*'VEHICLE source'!$AF26</f>
        <v>#VALUE!</v>
      </c>
      <c r="AJ26" s="4" t="e">
        <f t="shared" si="19"/>
        <v>#VALUE!</v>
      </c>
      <c r="AK26" s="73" t="e">
        <f t="shared" si="30"/>
        <v>#VALUE!</v>
      </c>
      <c r="AL26" s="62" t="e">
        <f>$AJ26/'EV Comparison Calculator'!$M$12</f>
        <v>#VALUE!</v>
      </c>
      <c r="AM26" s="30">
        <v>0</v>
      </c>
      <c r="AN26" s="64" t="str">
        <f>'EV Comparison Calculator'!$M$16</f>
        <v>PLEASE SELECT</v>
      </c>
      <c r="AO26" s="64" t="str">
        <f>'EV Comparison Calculator'!$M$14</f>
        <v>PLEASE SELECT</v>
      </c>
      <c r="AP26" s="30">
        <v>0</v>
      </c>
      <c r="AQ26" s="64" t="e">
        <f>AO26*'EV Comparison Calculator'!$M$10/LEFT(O26,2)</f>
        <v>#VALUE!</v>
      </c>
      <c r="AR26" s="64" t="e">
        <f t="shared" si="6"/>
        <v>#VALUE!</v>
      </c>
      <c r="AS26" s="65" t="e">
        <f>'EV Comparison Calculator'!$M$10/LEFT(O26,2)</f>
        <v>#VALUE!</v>
      </c>
      <c r="AT26" s="60">
        <v>0</v>
      </c>
      <c r="AU26" s="12">
        <v>0</v>
      </c>
      <c r="AV26" s="4">
        <v>36515</v>
      </c>
      <c r="AW26" t="s">
        <v>218</v>
      </c>
      <c r="AX26" s="1" t="s">
        <v>222</v>
      </c>
      <c r="AY26" s="6" t="s">
        <v>222</v>
      </c>
    </row>
    <row r="27" spans="1:54">
      <c r="A27" s="6" t="str">
        <f t="shared" si="1"/>
        <v>Ford Escape S (ICE)</v>
      </c>
      <c r="B27" s="1" t="s">
        <v>155</v>
      </c>
      <c r="D27" s="1" t="s">
        <v>210</v>
      </c>
      <c r="E27" s="1" t="s">
        <v>251</v>
      </c>
      <c r="F27" s="1" t="s">
        <v>179</v>
      </c>
      <c r="G27" s="1">
        <v>2021</v>
      </c>
      <c r="H27" s="1">
        <v>5</v>
      </c>
      <c r="I27" s="1" t="s">
        <v>160</v>
      </c>
      <c r="J27" s="1" t="s">
        <v>292</v>
      </c>
      <c r="K27" s="1" t="s">
        <v>293</v>
      </c>
      <c r="L27" s="1" t="s">
        <v>288</v>
      </c>
      <c r="M27" s="1" t="s">
        <v>304</v>
      </c>
      <c r="N27" s="1" t="str">
        <f t="shared" si="28"/>
        <v xml:space="preserve"> - /350 miles</v>
      </c>
      <c r="O27" s="1">
        <v>30</v>
      </c>
      <c r="P27" s="1" t="s">
        <v>156</v>
      </c>
      <c r="Q27" s="1" t="s">
        <v>156</v>
      </c>
      <c r="R27" s="1" t="s">
        <v>156</v>
      </c>
      <c r="S27" s="1" t="s">
        <v>156</v>
      </c>
      <c r="T27" s="1" t="s">
        <v>156</v>
      </c>
      <c r="U27" s="1" t="s">
        <v>156</v>
      </c>
      <c r="V27" s="1" t="s">
        <v>156</v>
      </c>
      <c r="W27" s="1" t="s">
        <v>156</v>
      </c>
      <c r="X27" s="4" t="s">
        <v>156</v>
      </c>
      <c r="Y27" s="12">
        <v>0</v>
      </c>
      <c r="Z27" s="12">
        <v>0</v>
      </c>
      <c r="AD27" s="13">
        <v>0.47</v>
      </c>
      <c r="AE27" s="74">
        <v>0</v>
      </c>
      <c r="AF27" s="75">
        <v>5.6800000000000003E-2</v>
      </c>
      <c r="AG27" s="60" t="e">
        <f>'EV Comparison Calculator'!$M$10*'EV Comparison Calculator'!$M$12</f>
        <v>#VALUE!</v>
      </c>
      <c r="AH27" s="4" t="e">
        <f>($AG27*'EV Comparison Calculator'!$M$18)*'VEHICLE source'!AE27</f>
        <v>#VALUE!</v>
      </c>
      <c r="AI27" s="63" t="e">
        <f>$AG27*'VEHICLE source'!$AF27</f>
        <v>#VALUE!</v>
      </c>
      <c r="AJ27" s="4" t="e">
        <f t="shared" ref="AJ27:AJ29" si="31">AH27+AI27</f>
        <v>#VALUE!</v>
      </c>
      <c r="AK27" s="73" t="e">
        <f t="shared" ref="AK27:AK29" si="32">AJ27/AG27</f>
        <v>#VALUE!</v>
      </c>
      <c r="AL27" s="62" t="e">
        <f>$AJ27/'EV Comparison Calculator'!$M$12</f>
        <v>#VALUE!</v>
      </c>
      <c r="AM27" s="30">
        <v>0</v>
      </c>
      <c r="AN27" s="64" t="str">
        <f>'EV Comparison Calculator'!$M$16</f>
        <v>PLEASE SELECT</v>
      </c>
      <c r="AO27" s="64" t="str">
        <f>'EV Comparison Calculator'!$M$14</f>
        <v>PLEASE SELECT</v>
      </c>
      <c r="AP27" s="30">
        <v>0</v>
      </c>
      <c r="AQ27" s="64" t="e">
        <f>AO27*'EV Comparison Calculator'!$M$10/LEFT(O27,2)</f>
        <v>#VALUE!</v>
      </c>
      <c r="AR27" s="64" t="e">
        <f t="shared" ref="AR27:AR29" si="33">AP27+AQ27</f>
        <v>#VALUE!</v>
      </c>
      <c r="AS27" s="65" t="e">
        <f>'EV Comparison Calculator'!$M$10/LEFT(O27,2)</f>
        <v>#VALUE!</v>
      </c>
      <c r="AT27" s="60">
        <v>0</v>
      </c>
      <c r="AU27" s="12">
        <v>0</v>
      </c>
      <c r="AV27" s="4">
        <v>25594</v>
      </c>
      <c r="AW27" t="s">
        <v>218</v>
      </c>
      <c r="AX27" s="1" t="s">
        <v>155</v>
      </c>
      <c r="AY27" s="6" t="s">
        <v>257</v>
      </c>
    </row>
    <row r="28" spans="1:54">
      <c r="A28" s="6" t="s">
        <v>305</v>
      </c>
      <c r="B28" s="1" t="s">
        <v>155</v>
      </c>
      <c r="D28" s="1" t="s">
        <v>157</v>
      </c>
      <c r="E28" s="1" t="s">
        <v>273</v>
      </c>
      <c r="F28" s="1" t="s">
        <v>159</v>
      </c>
      <c r="G28" s="1">
        <v>2021</v>
      </c>
      <c r="H28" s="1">
        <v>5</v>
      </c>
      <c r="I28" s="1" t="s">
        <v>160</v>
      </c>
      <c r="J28" s="1" t="s">
        <v>292</v>
      </c>
      <c r="K28" s="1" t="s">
        <v>293</v>
      </c>
      <c r="L28" s="1" t="s">
        <v>164</v>
      </c>
      <c r="M28" s="1" t="s">
        <v>306</v>
      </c>
      <c r="N28" s="1" t="str">
        <f t="shared" si="28"/>
        <v>-/526 miles</v>
      </c>
      <c r="O28" s="1">
        <v>24</v>
      </c>
      <c r="P28" s="1" t="s">
        <v>156</v>
      </c>
      <c r="Q28" s="1" t="s">
        <v>156</v>
      </c>
      <c r="R28" s="1" t="s">
        <v>156</v>
      </c>
      <c r="S28" s="1" t="s">
        <v>156</v>
      </c>
      <c r="T28" s="1" t="s">
        <v>156</v>
      </c>
      <c r="U28" s="1" t="s">
        <v>156</v>
      </c>
      <c r="V28" s="1" t="s">
        <v>156</v>
      </c>
      <c r="W28" s="1" t="s">
        <v>156</v>
      </c>
      <c r="X28" s="4" t="s">
        <v>156</v>
      </c>
      <c r="Y28" s="12">
        <v>0</v>
      </c>
      <c r="Z28" s="12">
        <v>0</v>
      </c>
      <c r="AD28" s="13">
        <v>0.47</v>
      </c>
      <c r="AE28" s="74">
        <v>0</v>
      </c>
      <c r="AF28" s="75">
        <v>5.8000000000000003E-2</v>
      </c>
      <c r="AG28" s="60" t="e">
        <f>'EV Comparison Calculator'!$M$10*'EV Comparison Calculator'!$M$12</f>
        <v>#VALUE!</v>
      </c>
      <c r="AH28" s="4" t="e">
        <f>($AG28*'EV Comparison Calculator'!$M$18)*'VEHICLE source'!AE28</f>
        <v>#VALUE!</v>
      </c>
      <c r="AI28" s="63" t="e">
        <f>$AG28*'VEHICLE source'!$AF28</f>
        <v>#VALUE!</v>
      </c>
      <c r="AJ28" s="4" t="e">
        <f t="shared" ref="AJ28" si="34">AH28+AI28</f>
        <v>#VALUE!</v>
      </c>
      <c r="AK28" s="73" t="e">
        <f t="shared" si="32"/>
        <v>#VALUE!</v>
      </c>
      <c r="AL28" s="62" t="e">
        <f>$AJ28/'EV Comparison Calculator'!$M$12</f>
        <v>#VALUE!</v>
      </c>
      <c r="AM28" s="30">
        <v>0</v>
      </c>
      <c r="AN28" s="64" t="str">
        <f>'EV Comparison Calculator'!$M$16</f>
        <v>PLEASE SELECT</v>
      </c>
      <c r="AO28" s="64" t="str">
        <f>'EV Comparison Calculator'!$M$14</f>
        <v>PLEASE SELECT</v>
      </c>
      <c r="AP28" s="30">
        <v>0</v>
      </c>
      <c r="AQ28" s="64" t="e">
        <f>AO28*'EV Comparison Calculator'!$M$10/LEFT(O28,2)</f>
        <v>#VALUE!</v>
      </c>
      <c r="AR28" s="64" t="e">
        <f t="shared" ref="AR28" si="35">AP28+AQ28</f>
        <v>#VALUE!</v>
      </c>
      <c r="AS28" s="65" t="e">
        <f>'EV Comparison Calculator'!$M$10/LEFT(O28,2)</f>
        <v>#VALUE!</v>
      </c>
      <c r="AT28" s="60">
        <v>0</v>
      </c>
      <c r="AU28" s="12">
        <v>0</v>
      </c>
      <c r="AV28" s="4">
        <v>30700</v>
      </c>
      <c r="AW28" t="s">
        <v>218</v>
      </c>
      <c r="AX28" s="1" t="s">
        <v>155</v>
      </c>
      <c r="AY28" s="6" t="s">
        <v>257</v>
      </c>
    </row>
    <row r="29" spans="1:54">
      <c r="A29" s="6" t="str">
        <f t="shared" si="1"/>
        <v>Nissan Sentra S (ICE)</v>
      </c>
      <c r="B29" s="1" t="s">
        <v>175</v>
      </c>
      <c r="D29" s="1" t="s">
        <v>177</v>
      </c>
      <c r="E29" s="1" t="s">
        <v>307</v>
      </c>
      <c r="F29" s="1" t="s">
        <v>179</v>
      </c>
      <c r="G29" s="1">
        <v>2021</v>
      </c>
      <c r="H29" s="1">
        <v>5</v>
      </c>
      <c r="I29" s="1" t="s">
        <v>180</v>
      </c>
      <c r="J29" s="1" t="s">
        <v>292</v>
      </c>
      <c r="K29" s="1" t="s">
        <v>293</v>
      </c>
      <c r="L29" s="1" t="s">
        <v>288</v>
      </c>
      <c r="M29" s="1" t="s">
        <v>308</v>
      </c>
      <c r="N29" s="1" t="str">
        <f t="shared" si="28"/>
        <v xml:space="preserve"> - /459 miles</v>
      </c>
      <c r="O29" s="1">
        <v>33</v>
      </c>
      <c r="P29" s="1" t="s">
        <v>156</v>
      </c>
      <c r="Q29" s="1" t="s">
        <v>156</v>
      </c>
      <c r="R29" s="1" t="s">
        <v>156</v>
      </c>
      <c r="S29" s="1" t="s">
        <v>156</v>
      </c>
      <c r="T29" s="1" t="s">
        <v>156</v>
      </c>
      <c r="U29" s="1" t="s">
        <v>156</v>
      </c>
      <c r="V29" s="1" t="s">
        <v>156</v>
      </c>
      <c r="W29" s="1" t="s">
        <v>156</v>
      </c>
      <c r="X29" s="4" t="s">
        <v>156</v>
      </c>
      <c r="Y29" s="12">
        <v>0</v>
      </c>
      <c r="Z29" s="12">
        <v>0</v>
      </c>
      <c r="AD29" s="13">
        <v>0.47</v>
      </c>
      <c r="AE29" s="74">
        <v>0</v>
      </c>
      <c r="AF29" s="75">
        <v>0.06</v>
      </c>
      <c r="AG29" s="60" t="e">
        <f>'EV Comparison Calculator'!$M$10*'EV Comparison Calculator'!$M$12</f>
        <v>#VALUE!</v>
      </c>
      <c r="AH29" s="4" t="e">
        <f>($AG29*'EV Comparison Calculator'!$M$18)*'VEHICLE source'!AE29</f>
        <v>#VALUE!</v>
      </c>
      <c r="AI29" s="63" t="e">
        <f>$AG29*'VEHICLE source'!$AF29</f>
        <v>#VALUE!</v>
      </c>
      <c r="AJ29" s="4" t="e">
        <f t="shared" si="31"/>
        <v>#VALUE!</v>
      </c>
      <c r="AK29" s="73" t="e">
        <f t="shared" si="32"/>
        <v>#VALUE!</v>
      </c>
      <c r="AL29" s="62" t="e">
        <f>$AJ29/'EV Comparison Calculator'!$M$12</f>
        <v>#VALUE!</v>
      </c>
      <c r="AM29" s="30">
        <v>0</v>
      </c>
      <c r="AN29" s="64" t="str">
        <f>'EV Comparison Calculator'!$M$16</f>
        <v>PLEASE SELECT</v>
      </c>
      <c r="AO29" s="64" t="str">
        <f>'EV Comparison Calculator'!$M$14</f>
        <v>PLEASE SELECT</v>
      </c>
      <c r="AP29" s="30">
        <v>0</v>
      </c>
      <c r="AQ29" s="64" t="e">
        <f>AO29*'EV Comparison Calculator'!$M$10/LEFT(O29,2)</f>
        <v>#VALUE!</v>
      </c>
      <c r="AR29" s="64" t="e">
        <f t="shared" si="33"/>
        <v>#VALUE!</v>
      </c>
      <c r="AS29" s="65" t="e">
        <f>'EV Comparison Calculator'!$M$10/LEFT(O29,2)</f>
        <v>#VALUE!</v>
      </c>
      <c r="AT29" s="60">
        <v>0</v>
      </c>
      <c r="AU29" s="12">
        <v>0</v>
      </c>
      <c r="AV29" s="4">
        <v>20335</v>
      </c>
      <c r="AW29" t="s">
        <v>172</v>
      </c>
      <c r="AX29" s="1" t="s">
        <v>175</v>
      </c>
      <c r="AY29" s="6" t="s">
        <v>187</v>
      </c>
    </row>
    <row r="30" spans="1:54">
      <c r="A30" s="6" t="str">
        <f t="shared" si="1"/>
        <v>Chrysler Voyager LX (ICE)</v>
      </c>
      <c r="B30" s="1" t="s">
        <v>229</v>
      </c>
      <c r="D30" s="1" t="s">
        <v>230</v>
      </c>
      <c r="E30" s="1" t="s">
        <v>309</v>
      </c>
      <c r="F30" s="1" t="s">
        <v>296</v>
      </c>
      <c r="G30" s="1">
        <v>2021</v>
      </c>
      <c r="H30" s="1">
        <v>8</v>
      </c>
      <c r="I30" s="1" t="s">
        <v>160</v>
      </c>
      <c r="J30" s="1" t="s">
        <v>292</v>
      </c>
      <c r="K30" s="1" t="s">
        <v>293</v>
      </c>
      <c r="L30" s="1" t="s">
        <v>288</v>
      </c>
      <c r="M30" s="1" t="s">
        <v>310</v>
      </c>
      <c r="N30" s="1" t="str">
        <f t="shared" si="28"/>
        <v xml:space="preserve"> - /530 miles</v>
      </c>
      <c r="O30" s="1">
        <v>22</v>
      </c>
      <c r="P30" s="1" t="s">
        <v>156</v>
      </c>
      <c r="Q30" s="1" t="s">
        <v>156</v>
      </c>
      <c r="R30" s="1" t="s">
        <v>156</v>
      </c>
      <c r="S30" s="1" t="s">
        <v>156</v>
      </c>
      <c r="T30" s="1" t="s">
        <v>156</v>
      </c>
      <c r="U30" s="1" t="s">
        <v>156</v>
      </c>
      <c r="V30" s="1" t="s">
        <v>156</v>
      </c>
      <c r="W30" s="1" t="s">
        <v>156</v>
      </c>
      <c r="X30" s="4" t="s">
        <v>156</v>
      </c>
      <c r="Y30" s="12">
        <v>0</v>
      </c>
      <c r="Z30" s="12">
        <v>0</v>
      </c>
      <c r="AD30" s="13">
        <v>0.47</v>
      </c>
      <c r="AE30" s="74">
        <v>0</v>
      </c>
      <c r="AF30" s="75">
        <v>0.06</v>
      </c>
      <c r="AG30" s="60" t="e">
        <f>'EV Comparison Calculator'!$M$10*'EV Comparison Calculator'!$M$12</f>
        <v>#VALUE!</v>
      </c>
      <c r="AH30" s="4" t="e">
        <f>($AG30*'EV Comparison Calculator'!$M$18)*'VEHICLE source'!AE30</f>
        <v>#VALUE!</v>
      </c>
      <c r="AI30" s="63" t="e">
        <f>$AG30*'VEHICLE source'!$AF30</f>
        <v>#VALUE!</v>
      </c>
      <c r="AJ30" s="4" t="e">
        <f t="shared" ref="AJ30" si="36">AH30+AI30</f>
        <v>#VALUE!</v>
      </c>
      <c r="AK30" s="73" t="e">
        <f t="shared" ref="AK30" si="37">AJ30/AG30</f>
        <v>#VALUE!</v>
      </c>
      <c r="AL30" s="62" t="e">
        <f>$AJ30/'EV Comparison Calculator'!$M$12</f>
        <v>#VALUE!</v>
      </c>
      <c r="AM30" s="30">
        <v>0</v>
      </c>
      <c r="AN30" s="64" t="str">
        <f>'EV Comparison Calculator'!$M$16</f>
        <v>PLEASE SELECT</v>
      </c>
      <c r="AO30" s="64" t="str">
        <f>'EV Comparison Calculator'!$M$14</f>
        <v>PLEASE SELECT</v>
      </c>
      <c r="AP30" s="30">
        <v>0</v>
      </c>
      <c r="AQ30" s="64" t="e">
        <f>AO30*'EV Comparison Calculator'!$M$10/LEFT(O30,2)</f>
        <v>#VALUE!</v>
      </c>
      <c r="AR30" s="64" t="e">
        <f t="shared" ref="AR30" si="38">AP30+AQ30</f>
        <v>#VALUE!</v>
      </c>
      <c r="AS30" s="65" t="e">
        <f>'EV Comparison Calculator'!$M$10/LEFT(O30,2)</f>
        <v>#VALUE!</v>
      </c>
      <c r="AT30" s="60">
        <v>0</v>
      </c>
      <c r="AU30" s="12">
        <v>0</v>
      </c>
      <c r="AV30" s="4">
        <v>31540</v>
      </c>
      <c r="AW30" t="s">
        <v>172</v>
      </c>
      <c r="AX30" s="1" t="s">
        <v>229</v>
      </c>
      <c r="AY30" s="6" t="s">
        <v>229</v>
      </c>
    </row>
    <row r="32" spans="1:54">
      <c r="AK32" s="13"/>
    </row>
  </sheetData>
  <autoFilter ref="A1:AX30" xr:uid="{15F7959E-0E3B-A943-AC45-3DBABD102F68}"/>
  <phoneticPr fontId="14" type="noConversion"/>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09B40-F785-49C7-A10B-F42EA3B7C92D}">
  <dimension ref="A1:F35"/>
  <sheetViews>
    <sheetView workbookViewId="0">
      <selection activeCell="A27" sqref="A27"/>
    </sheetView>
  </sheetViews>
  <sheetFormatPr defaultColWidth="8.83203125" defaultRowHeight="15.5"/>
  <cols>
    <col min="1" max="1" width="31.83203125" bestFit="1" customWidth="1"/>
    <col min="4" max="4" width="52.5" bestFit="1" customWidth="1"/>
    <col min="5" max="5" width="7.33203125" customWidth="1"/>
    <col min="6" max="6" width="50" bestFit="1" customWidth="1"/>
  </cols>
  <sheetData>
    <row r="1" spans="1:6">
      <c r="D1" s="8" t="s">
        <v>311</v>
      </c>
      <c r="F1" s="8" t="s">
        <v>312</v>
      </c>
    </row>
    <row r="2" spans="1:6">
      <c r="A2" t="s">
        <v>313</v>
      </c>
    </row>
    <row r="3" spans="1:6">
      <c r="A3" t="s">
        <v>314</v>
      </c>
      <c r="D3" s="141" t="s">
        <v>315</v>
      </c>
      <c r="E3" s="141"/>
      <c r="F3" s="141" t="s">
        <v>315</v>
      </c>
    </row>
    <row r="4" spans="1:6">
      <c r="A4" t="s">
        <v>316</v>
      </c>
      <c r="D4" s="10" t="s">
        <v>317</v>
      </c>
      <c r="F4" s="10" t="s">
        <v>317</v>
      </c>
    </row>
    <row r="5" spans="1:6">
      <c r="A5" t="s">
        <v>318</v>
      </c>
      <c r="D5" t="s">
        <v>318</v>
      </c>
      <c r="F5" t="s">
        <v>316</v>
      </c>
    </row>
    <row r="6" spans="1:6">
      <c r="A6" t="s">
        <v>319</v>
      </c>
      <c r="D6" t="s">
        <v>319</v>
      </c>
      <c r="F6" t="s">
        <v>318</v>
      </c>
    </row>
    <row r="7" spans="1:6">
      <c r="A7" t="s">
        <v>320</v>
      </c>
      <c r="D7" t="s">
        <v>321</v>
      </c>
      <c r="F7" t="s">
        <v>319</v>
      </c>
    </row>
    <row r="8" spans="1:6">
      <c r="A8" t="s">
        <v>14</v>
      </c>
      <c r="D8" t="s">
        <v>322</v>
      </c>
      <c r="F8" t="s">
        <v>322</v>
      </c>
    </row>
    <row r="9" spans="1:6">
      <c r="A9" t="s">
        <v>322</v>
      </c>
      <c r="D9" t="s">
        <v>323</v>
      </c>
      <c r="F9" t="s">
        <v>321</v>
      </c>
    </row>
    <row r="10" spans="1:6">
      <c r="A10" t="s">
        <v>324</v>
      </c>
      <c r="F10" t="s">
        <v>323</v>
      </c>
    </row>
    <row r="11" spans="1:6">
      <c r="A11" t="s">
        <v>325</v>
      </c>
      <c r="D11" t="s">
        <v>326</v>
      </c>
      <c r="F11" t="s">
        <v>15</v>
      </c>
    </row>
    <row r="12" spans="1:6">
      <c r="A12" t="s">
        <v>327</v>
      </c>
      <c r="D12" s="10" t="s">
        <v>317</v>
      </c>
      <c r="F12" t="s">
        <v>328</v>
      </c>
    </row>
    <row r="13" spans="1:6">
      <c r="A13" t="s">
        <v>329</v>
      </c>
    </row>
    <row r="14" spans="1:6">
      <c r="A14" t="s">
        <v>323</v>
      </c>
      <c r="D14" t="s">
        <v>320</v>
      </c>
      <c r="F14" t="s">
        <v>326</v>
      </c>
    </row>
    <row r="15" spans="1:6">
      <c r="A15" t="s">
        <v>330</v>
      </c>
      <c r="D15" t="s">
        <v>14</v>
      </c>
      <c r="F15" s="10" t="s">
        <v>317</v>
      </c>
    </row>
    <row r="16" spans="1:6">
      <c r="A16" t="s">
        <v>321</v>
      </c>
      <c r="D16" t="s">
        <v>313</v>
      </c>
    </row>
    <row r="17" spans="1:6">
      <c r="A17" t="s">
        <v>331</v>
      </c>
      <c r="D17" t="s">
        <v>314</v>
      </c>
      <c r="F17" t="s">
        <v>320</v>
      </c>
    </row>
    <row r="18" spans="1:6">
      <c r="A18" t="s">
        <v>332</v>
      </c>
      <c r="D18" t="s">
        <v>331</v>
      </c>
      <c r="F18" t="s">
        <v>14</v>
      </c>
    </row>
    <row r="19" spans="1:6">
      <c r="A19" t="s">
        <v>328</v>
      </c>
      <c r="D19" t="s">
        <v>332</v>
      </c>
      <c r="F19" t="s">
        <v>313</v>
      </c>
    </row>
    <row r="20" spans="1:6">
      <c r="A20" t="s">
        <v>333</v>
      </c>
      <c r="D20" t="s">
        <v>324</v>
      </c>
      <c r="F20" t="s">
        <v>314</v>
      </c>
    </row>
    <row r="21" spans="1:6">
      <c r="A21" t="s">
        <v>334</v>
      </c>
      <c r="D21" t="s">
        <v>325</v>
      </c>
      <c r="F21" t="s">
        <v>331</v>
      </c>
    </row>
    <row r="22" spans="1:6">
      <c r="A22" t="s">
        <v>335</v>
      </c>
      <c r="D22" t="s">
        <v>330</v>
      </c>
      <c r="F22" t="s">
        <v>332</v>
      </c>
    </row>
    <row r="23" spans="1:6">
      <c r="A23" t="s">
        <v>336</v>
      </c>
      <c r="D23" t="s">
        <v>305</v>
      </c>
      <c r="F23" t="s">
        <v>324</v>
      </c>
    </row>
    <row r="24" spans="1:6">
      <c r="A24" t="s">
        <v>305</v>
      </c>
      <c r="F24" t="s">
        <v>325</v>
      </c>
    </row>
    <row r="25" spans="1:6">
      <c r="A25" t="s">
        <v>15</v>
      </c>
      <c r="D25" t="s">
        <v>337</v>
      </c>
      <c r="F25" t="s">
        <v>330</v>
      </c>
    </row>
    <row r="26" spans="1:6">
      <c r="A26" t="s">
        <v>338</v>
      </c>
      <c r="D26" s="10" t="s">
        <v>317</v>
      </c>
      <c r="F26" t="s">
        <v>336</v>
      </c>
    </row>
    <row r="27" spans="1:6">
      <c r="D27" t="s">
        <v>329</v>
      </c>
      <c r="F27" t="s">
        <v>305</v>
      </c>
    </row>
    <row r="28" spans="1:6">
      <c r="D28" t="s">
        <v>327</v>
      </c>
    </row>
    <row r="29" spans="1:6">
      <c r="F29" t="s">
        <v>337</v>
      </c>
    </row>
    <row r="30" spans="1:6">
      <c r="F30" s="10" t="s">
        <v>317</v>
      </c>
    </row>
    <row r="31" spans="1:6">
      <c r="F31" t="s">
        <v>327</v>
      </c>
    </row>
    <row r="32" spans="1:6">
      <c r="F32" t="s">
        <v>329</v>
      </c>
    </row>
    <row r="33" spans="6:6">
      <c r="F33" t="s">
        <v>333</v>
      </c>
    </row>
    <row r="34" spans="6:6">
      <c r="F34" t="s">
        <v>335</v>
      </c>
    </row>
    <row r="35" spans="6:6">
      <c r="F35" t="s">
        <v>334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4ABD9-808F-4B4A-93B6-106A89F83CE3}">
  <dimension ref="A1:T1"/>
  <sheetViews>
    <sheetView workbookViewId="0">
      <selection activeCell="D32" sqref="D32"/>
    </sheetView>
  </sheetViews>
  <sheetFormatPr defaultColWidth="11" defaultRowHeight="15.5"/>
  <sheetData>
    <row r="1" spans="1:20" s="3" customFormat="1">
      <c r="A1" s="2" t="s">
        <v>106</v>
      </c>
      <c r="B1" s="2" t="s">
        <v>108</v>
      </c>
      <c r="C1" s="2" t="s">
        <v>109</v>
      </c>
      <c r="D1" s="2" t="s">
        <v>111</v>
      </c>
      <c r="E1" s="2" t="s">
        <v>112</v>
      </c>
      <c r="F1" s="2" t="s">
        <v>115</v>
      </c>
      <c r="G1" s="2" t="s">
        <v>116</v>
      </c>
      <c r="H1" s="2" t="s">
        <v>339</v>
      </c>
      <c r="I1" s="2" t="s">
        <v>120</v>
      </c>
      <c r="J1" s="2" t="s">
        <v>121</v>
      </c>
      <c r="K1" s="2" t="s">
        <v>122</v>
      </c>
      <c r="L1" s="2" t="s">
        <v>123</v>
      </c>
      <c r="M1" s="2" t="s">
        <v>124</v>
      </c>
      <c r="N1" s="2" t="s">
        <v>125</v>
      </c>
      <c r="O1" s="2" t="s">
        <v>126</v>
      </c>
      <c r="P1" s="2" t="s">
        <v>127</v>
      </c>
      <c r="Q1" s="3" t="s">
        <v>340</v>
      </c>
      <c r="R1" s="3" t="s">
        <v>131</v>
      </c>
      <c r="S1" s="3" t="s">
        <v>132</v>
      </c>
      <c r="T1" s="3" t="s">
        <v>133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1E18-6EE9-1340-9644-81D19709106C}">
  <dimension ref="A1"/>
  <sheetViews>
    <sheetView workbookViewId="0">
      <selection activeCell="I30" sqref="I30"/>
    </sheetView>
  </sheetViews>
  <sheetFormatPr defaultColWidth="11" defaultRowHeight="15.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24E6F-C9B1-DB4F-838B-D7E96C472089}">
  <dimension ref="A1:X89"/>
  <sheetViews>
    <sheetView workbookViewId="0"/>
  </sheetViews>
  <sheetFormatPr defaultColWidth="11" defaultRowHeight="15.5"/>
  <cols>
    <col min="1" max="1" width="25.33203125" bestFit="1" customWidth="1"/>
    <col min="4" max="4" width="12.5" customWidth="1"/>
    <col min="6" max="7" width="27.08203125" hidden="1" customWidth="1"/>
    <col min="9" max="9" width="52.5" bestFit="1" customWidth="1"/>
    <col min="10" max="10" width="7.33203125" customWidth="1"/>
    <col min="11" max="11" width="50" bestFit="1" customWidth="1"/>
    <col min="14" max="14" width="26.83203125" bestFit="1" customWidth="1"/>
    <col min="18" max="18" width="13.5" bestFit="1" customWidth="1"/>
    <col min="20" max="20" width="15.33203125" customWidth="1"/>
    <col min="22" max="22" width="14.5" customWidth="1"/>
    <col min="24" max="24" width="16.08203125" customWidth="1"/>
  </cols>
  <sheetData>
    <row r="1" spans="1:24">
      <c r="A1" t="s">
        <v>106</v>
      </c>
      <c r="B1" t="s">
        <v>108</v>
      </c>
      <c r="C1" t="s">
        <v>109</v>
      </c>
      <c r="D1" t="s">
        <v>341</v>
      </c>
      <c r="E1" t="s">
        <v>110</v>
      </c>
      <c r="F1" s="8" t="s">
        <v>342</v>
      </c>
      <c r="G1" s="9" t="s">
        <v>342</v>
      </c>
      <c r="I1" s="8" t="s">
        <v>311</v>
      </c>
      <c r="K1" s="8" t="s">
        <v>312</v>
      </c>
      <c r="N1" s="8" t="s">
        <v>343</v>
      </c>
      <c r="P1" s="8" t="s">
        <v>343</v>
      </c>
      <c r="R1" s="8" t="s">
        <v>343</v>
      </c>
      <c r="T1" s="8" t="s">
        <v>343</v>
      </c>
      <c r="V1" s="8" t="s">
        <v>343</v>
      </c>
      <c r="X1" s="8" t="s">
        <v>343</v>
      </c>
    </row>
    <row r="2" spans="1:24">
      <c r="A2" t="s">
        <v>344</v>
      </c>
      <c r="B2" t="s">
        <v>345</v>
      </c>
      <c r="C2" t="s">
        <v>190</v>
      </c>
      <c r="D2">
        <v>2019</v>
      </c>
      <c r="R2" s="38">
        <v>6000</v>
      </c>
      <c r="T2">
        <v>3</v>
      </c>
      <c r="V2" s="4">
        <v>0.08</v>
      </c>
      <c r="X2" s="4">
        <v>2.25</v>
      </c>
    </row>
    <row r="3" spans="1:24">
      <c r="A3" t="s">
        <v>346</v>
      </c>
      <c r="B3" t="s">
        <v>157</v>
      </c>
      <c r="C3" t="s">
        <v>158</v>
      </c>
      <c r="D3">
        <v>2020</v>
      </c>
      <c r="F3" s="7" t="s">
        <v>347</v>
      </c>
      <c r="G3" s="7" t="s">
        <v>347</v>
      </c>
      <c r="I3" s="3" t="s">
        <v>315</v>
      </c>
      <c r="J3" s="141"/>
      <c r="K3" s="3" t="s">
        <v>315</v>
      </c>
      <c r="N3" t="s">
        <v>5</v>
      </c>
      <c r="P3" s="13">
        <v>1</v>
      </c>
      <c r="R3" s="38">
        <v>8000</v>
      </c>
      <c r="T3">
        <v>4</v>
      </c>
      <c r="V3" s="4">
        <v>0.09</v>
      </c>
      <c r="X3" s="4">
        <f>X2+0.05</f>
        <v>2.2999999999999998</v>
      </c>
    </row>
    <row r="4" spans="1:24">
      <c r="A4" t="s">
        <v>348</v>
      </c>
      <c r="B4" t="s">
        <v>177</v>
      </c>
      <c r="D4">
        <v>2021</v>
      </c>
      <c r="F4" s="7" t="s">
        <v>349</v>
      </c>
      <c r="G4" s="7" t="s">
        <v>349</v>
      </c>
      <c r="I4" s="10" t="s">
        <v>317</v>
      </c>
      <c r="K4" s="10" t="s">
        <v>317</v>
      </c>
      <c r="N4" t="s">
        <v>350</v>
      </c>
      <c r="P4" s="13">
        <v>0.9</v>
      </c>
      <c r="R4" s="38">
        <v>10000</v>
      </c>
      <c r="T4">
        <v>5</v>
      </c>
      <c r="V4" s="4">
        <v>0.1</v>
      </c>
      <c r="X4" s="4">
        <f>X3+0.05</f>
        <v>2.3499999999999996</v>
      </c>
    </row>
    <row r="5" spans="1:24">
      <c r="D5">
        <v>2022</v>
      </c>
      <c r="F5" s="7" t="s">
        <v>351</v>
      </c>
      <c r="G5" s="7" t="s">
        <v>351</v>
      </c>
      <c r="I5" t="s">
        <v>318</v>
      </c>
      <c r="K5" t="s">
        <v>316</v>
      </c>
      <c r="N5" t="s">
        <v>352</v>
      </c>
      <c r="P5" s="13">
        <v>0.8</v>
      </c>
      <c r="R5" s="38">
        <v>12000</v>
      </c>
      <c r="T5">
        <v>6</v>
      </c>
      <c r="V5" s="4">
        <v>0.11</v>
      </c>
      <c r="X5" s="4">
        <f t="shared" ref="X5:X68" si="0">X4+0.05</f>
        <v>2.3999999999999995</v>
      </c>
    </row>
    <row r="6" spans="1:24">
      <c r="F6" s="7" t="s">
        <v>353</v>
      </c>
      <c r="G6" s="7" t="s">
        <v>353</v>
      </c>
      <c r="I6" t="s">
        <v>319</v>
      </c>
      <c r="K6" t="s">
        <v>318</v>
      </c>
      <c r="P6" s="13">
        <v>0.7</v>
      </c>
      <c r="R6" s="38">
        <v>15000</v>
      </c>
      <c r="T6">
        <v>7</v>
      </c>
      <c r="V6" s="4">
        <v>0.12</v>
      </c>
      <c r="X6" s="4">
        <f t="shared" si="0"/>
        <v>2.4499999999999993</v>
      </c>
    </row>
    <row r="7" spans="1:24">
      <c r="F7" s="7" t="s">
        <v>354</v>
      </c>
      <c r="G7" s="7" t="s">
        <v>354</v>
      </c>
      <c r="I7" t="s">
        <v>321</v>
      </c>
      <c r="K7" t="s">
        <v>319</v>
      </c>
      <c r="P7" s="13">
        <v>0.6</v>
      </c>
      <c r="R7" s="38">
        <v>18000</v>
      </c>
      <c r="T7">
        <v>8</v>
      </c>
      <c r="V7" s="4">
        <v>0.13</v>
      </c>
      <c r="X7" s="4">
        <f t="shared" si="0"/>
        <v>2.4999999999999991</v>
      </c>
    </row>
    <row r="8" spans="1:24">
      <c r="F8" s="7" t="s">
        <v>355</v>
      </c>
      <c r="I8" t="s">
        <v>322</v>
      </c>
      <c r="K8" t="s">
        <v>322</v>
      </c>
      <c r="P8" s="13">
        <v>0.5</v>
      </c>
      <c r="T8">
        <v>9</v>
      </c>
      <c r="V8" s="4">
        <v>0.14000000000000001</v>
      </c>
      <c r="X8" s="4">
        <f t="shared" si="0"/>
        <v>2.5499999999999989</v>
      </c>
    </row>
    <row r="9" spans="1:24">
      <c r="F9" s="7" t="s">
        <v>355</v>
      </c>
      <c r="I9" t="s">
        <v>323</v>
      </c>
      <c r="K9" t="s">
        <v>321</v>
      </c>
      <c r="P9" s="13">
        <v>0.4</v>
      </c>
      <c r="T9">
        <v>10</v>
      </c>
      <c r="V9" s="4">
        <v>0.15</v>
      </c>
      <c r="X9" s="4">
        <f t="shared" si="0"/>
        <v>2.5999999999999988</v>
      </c>
    </row>
    <row r="10" spans="1:24">
      <c r="F10" s="7" t="s">
        <v>355</v>
      </c>
      <c r="K10" t="s">
        <v>323</v>
      </c>
      <c r="P10" s="13">
        <v>0.3</v>
      </c>
      <c r="T10">
        <v>11</v>
      </c>
      <c r="V10" s="4">
        <v>0.16</v>
      </c>
      <c r="X10" s="4">
        <f t="shared" si="0"/>
        <v>2.6499999999999986</v>
      </c>
    </row>
    <row r="11" spans="1:24">
      <c r="F11" s="7" t="s">
        <v>355</v>
      </c>
      <c r="I11" s="3" t="s">
        <v>326</v>
      </c>
      <c r="K11" t="s">
        <v>15</v>
      </c>
      <c r="P11" s="13">
        <v>0.2</v>
      </c>
      <c r="T11">
        <v>12</v>
      </c>
      <c r="V11" s="4">
        <v>0.17</v>
      </c>
      <c r="X11" s="4">
        <f t="shared" si="0"/>
        <v>2.6999999999999984</v>
      </c>
    </row>
    <row r="12" spans="1:24">
      <c r="F12" s="7" t="s">
        <v>355</v>
      </c>
      <c r="I12" s="10" t="s">
        <v>317</v>
      </c>
      <c r="K12" t="s">
        <v>328</v>
      </c>
      <c r="T12">
        <v>13</v>
      </c>
      <c r="V12" s="4">
        <v>0.18</v>
      </c>
      <c r="X12" s="4">
        <f t="shared" si="0"/>
        <v>2.7499999999999982</v>
      </c>
    </row>
    <row r="13" spans="1:24">
      <c r="F13" s="7" t="s">
        <v>355</v>
      </c>
      <c r="T13">
        <v>14</v>
      </c>
      <c r="V13" s="4">
        <v>0.19</v>
      </c>
      <c r="X13" s="4">
        <f t="shared" si="0"/>
        <v>2.799999999999998</v>
      </c>
    </row>
    <row r="14" spans="1:24">
      <c r="F14" s="7"/>
      <c r="I14" t="s">
        <v>320</v>
      </c>
      <c r="K14" s="3" t="s">
        <v>326</v>
      </c>
      <c r="T14">
        <v>15</v>
      </c>
      <c r="V14" s="4">
        <v>0.2</v>
      </c>
      <c r="X14" s="4">
        <f t="shared" si="0"/>
        <v>2.8499999999999979</v>
      </c>
    </row>
    <row r="15" spans="1:24">
      <c r="I15" t="s">
        <v>14</v>
      </c>
      <c r="K15" s="10" t="s">
        <v>317</v>
      </c>
      <c r="V15" s="4">
        <v>0.21</v>
      </c>
      <c r="X15" s="4">
        <f t="shared" si="0"/>
        <v>2.8999999999999977</v>
      </c>
    </row>
    <row r="16" spans="1:24">
      <c r="I16" t="s">
        <v>313</v>
      </c>
      <c r="V16" s="4">
        <v>0.22</v>
      </c>
      <c r="X16" s="4">
        <f t="shared" si="0"/>
        <v>2.9499999999999975</v>
      </c>
    </row>
    <row r="17" spans="9:24">
      <c r="I17" t="s">
        <v>314</v>
      </c>
      <c r="K17" t="s">
        <v>320</v>
      </c>
      <c r="V17" s="4">
        <v>0.23</v>
      </c>
      <c r="X17" s="4">
        <f t="shared" si="0"/>
        <v>2.9999999999999973</v>
      </c>
    </row>
    <row r="18" spans="9:24">
      <c r="I18" t="s">
        <v>331</v>
      </c>
      <c r="K18" t="s">
        <v>14</v>
      </c>
      <c r="V18" s="4">
        <v>0.24</v>
      </c>
      <c r="X18" s="4">
        <f t="shared" si="0"/>
        <v>3.0499999999999972</v>
      </c>
    </row>
    <row r="19" spans="9:24">
      <c r="I19" t="s">
        <v>332</v>
      </c>
      <c r="K19" t="s">
        <v>324</v>
      </c>
      <c r="V19" s="4">
        <v>0.25</v>
      </c>
      <c r="X19" s="4">
        <f t="shared" si="0"/>
        <v>3.099999999999997</v>
      </c>
    </row>
    <row r="20" spans="9:24">
      <c r="I20" t="s">
        <v>324</v>
      </c>
      <c r="K20" t="s">
        <v>325</v>
      </c>
      <c r="X20" s="4">
        <f t="shared" si="0"/>
        <v>3.1499999999999968</v>
      </c>
    </row>
    <row r="21" spans="9:24">
      <c r="I21" t="s">
        <v>325</v>
      </c>
      <c r="K21" t="s">
        <v>313</v>
      </c>
      <c r="X21" s="4">
        <f t="shared" si="0"/>
        <v>3.1999999999999966</v>
      </c>
    </row>
    <row r="22" spans="9:24">
      <c r="I22" t="s">
        <v>330</v>
      </c>
      <c r="K22" t="s">
        <v>314</v>
      </c>
      <c r="X22" s="4">
        <f t="shared" si="0"/>
        <v>3.2499999999999964</v>
      </c>
    </row>
    <row r="23" spans="9:24">
      <c r="I23" t="s">
        <v>356</v>
      </c>
      <c r="K23" t="s">
        <v>330</v>
      </c>
      <c r="X23" s="4">
        <f t="shared" si="0"/>
        <v>3.2999999999999963</v>
      </c>
    </row>
    <row r="24" spans="9:24">
      <c r="K24" t="s">
        <v>331</v>
      </c>
      <c r="X24" s="4">
        <f t="shared" si="0"/>
        <v>3.3499999999999961</v>
      </c>
    </row>
    <row r="25" spans="9:24">
      <c r="I25" s="3" t="s">
        <v>337</v>
      </c>
      <c r="K25" t="s">
        <v>332</v>
      </c>
      <c r="X25" s="4">
        <f t="shared" si="0"/>
        <v>3.3999999999999959</v>
      </c>
    </row>
    <row r="26" spans="9:24">
      <c r="I26" s="10" t="s">
        <v>317</v>
      </c>
      <c r="K26" t="s">
        <v>356</v>
      </c>
      <c r="X26" s="4">
        <f t="shared" si="0"/>
        <v>3.4499999999999957</v>
      </c>
    </row>
    <row r="27" spans="9:24">
      <c r="I27" t="s">
        <v>329</v>
      </c>
      <c r="K27" t="s">
        <v>357</v>
      </c>
      <c r="X27" s="4">
        <f t="shared" si="0"/>
        <v>3.4999999999999956</v>
      </c>
    </row>
    <row r="28" spans="9:24">
      <c r="I28" t="s">
        <v>327</v>
      </c>
      <c r="K28" t="s">
        <v>336</v>
      </c>
      <c r="X28" s="4">
        <f t="shared" si="0"/>
        <v>3.5499999999999954</v>
      </c>
    </row>
    <row r="29" spans="9:24">
      <c r="K29" t="s">
        <v>305</v>
      </c>
      <c r="X29" s="4">
        <f t="shared" si="0"/>
        <v>3.5999999999999952</v>
      </c>
    </row>
    <row r="30" spans="9:24">
      <c r="K30" t="s">
        <v>358</v>
      </c>
      <c r="X30" s="4">
        <f t="shared" si="0"/>
        <v>3.649999999999995</v>
      </c>
    </row>
    <row r="31" spans="9:24">
      <c r="X31" s="4">
        <f t="shared" si="0"/>
        <v>3.6999999999999948</v>
      </c>
    </row>
    <row r="32" spans="9:24">
      <c r="K32" s="3" t="s">
        <v>337</v>
      </c>
      <c r="X32" s="4">
        <f t="shared" si="0"/>
        <v>3.7499999999999947</v>
      </c>
    </row>
    <row r="33" spans="11:24">
      <c r="K33" s="10" t="s">
        <v>317</v>
      </c>
      <c r="X33" s="4">
        <f t="shared" si="0"/>
        <v>3.7999999999999945</v>
      </c>
    </row>
    <row r="34" spans="11:24">
      <c r="K34" t="s">
        <v>327</v>
      </c>
      <c r="X34" s="4">
        <f t="shared" si="0"/>
        <v>3.8499999999999943</v>
      </c>
    </row>
    <row r="35" spans="11:24">
      <c r="K35" t="s">
        <v>329</v>
      </c>
      <c r="X35" s="4">
        <f t="shared" si="0"/>
        <v>3.8999999999999941</v>
      </c>
    </row>
    <row r="36" spans="11:24">
      <c r="K36" t="s">
        <v>333</v>
      </c>
      <c r="X36" s="4">
        <f t="shared" si="0"/>
        <v>3.949999999999994</v>
      </c>
    </row>
    <row r="37" spans="11:24">
      <c r="K37" t="s">
        <v>335</v>
      </c>
      <c r="X37" s="4">
        <f t="shared" si="0"/>
        <v>3.9999999999999938</v>
      </c>
    </row>
    <row r="38" spans="11:24">
      <c r="K38" t="s">
        <v>334</v>
      </c>
      <c r="X38" s="4">
        <f t="shared" si="0"/>
        <v>4.0499999999999936</v>
      </c>
    </row>
    <row r="39" spans="11:24">
      <c r="X39" s="4">
        <f t="shared" si="0"/>
        <v>4.0999999999999934</v>
      </c>
    </row>
    <row r="40" spans="11:24">
      <c r="X40" s="4">
        <f t="shared" si="0"/>
        <v>4.1499999999999932</v>
      </c>
    </row>
    <row r="41" spans="11:24">
      <c r="X41" s="4">
        <f t="shared" si="0"/>
        <v>4.1999999999999931</v>
      </c>
    </row>
    <row r="42" spans="11:24">
      <c r="X42" s="4">
        <f t="shared" si="0"/>
        <v>4.2499999999999929</v>
      </c>
    </row>
    <row r="43" spans="11:24">
      <c r="X43" s="4">
        <f t="shared" si="0"/>
        <v>4.2999999999999927</v>
      </c>
    </row>
    <row r="44" spans="11:24">
      <c r="X44" s="4">
        <f t="shared" si="0"/>
        <v>4.3499999999999925</v>
      </c>
    </row>
    <row r="45" spans="11:24">
      <c r="X45" s="4">
        <f t="shared" si="0"/>
        <v>4.3999999999999924</v>
      </c>
    </row>
    <row r="46" spans="11:24">
      <c r="X46" s="4">
        <f t="shared" si="0"/>
        <v>4.4499999999999922</v>
      </c>
    </row>
    <row r="47" spans="11:24">
      <c r="X47" s="4">
        <f t="shared" si="0"/>
        <v>4.499999999999992</v>
      </c>
    </row>
    <row r="48" spans="11:24">
      <c r="X48" s="4">
        <f t="shared" si="0"/>
        <v>4.5499999999999918</v>
      </c>
    </row>
    <row r="49" spans="24:24">
      <c r="X49" s="4">
        <f t="shared" si="0"/>
        <v>4.5999999999999917</v>
      </c>
    </row>
    <row r="50" spans="24:24">
      <c r="X50" s="4">
        <f t="shared" si="0"/>
        <v>4.6499999999999915</v>
      </c>
    </row>
    <row r="51" spans="24:24">
      <c r="X51" s="4">
        <f t="shared" si="0"/>
        <v>4.6999999999999913</v>
      </c>
    </row>
    <row r="52" spans="24:24">
      <c r="X52" s="4">
        <f t="shared" si="0"/>
        <v>4.7499999999999911</v>
      </c>
    </row>
    <row r="53" spans="24:24">
      <c r="X53" s="4">
        <f t="shared" si="0"/>
        <v>4.7999999999999909</v>
      </c>
    </row>
    <row r="54" spans="24:24">
      <c r="X54" s="4">
        <f t="shared" si="0"/>
        <v>4.8499999999999908</v>
      </c>
    </row>
    <row r="55" spans="24:24">
      <c r="X55" s="4">
        <f t="shared" si="0"/>
        <v>4.8999999999999906</v>
      </c>
    </row>
    <row r="56" spans="24:24">
      <c r="X56" s="4">
        <f t="shared" si="0"/>
        <v>4.9499999999999904</v>
      </c>
    </row>
    <row r="57" spans="24:24">
      <c r="X57" s="4">
        <f t="shared" si="0"/>
        <v>4.9999999999999902</v>
      </c>
    </row>
    <row r="58" spans="24:24">
      <c r="X58" s="4">
        <f t="shared" si="0"/>
        <v>5.0499999999999901</v>
      </c>
    </row>
    <row r="59" spans="24:24">
      <c r="X59" s="4">
        <f t="shared" si="0"/>
        <v>5.0999999999999899</v>
      </c>
    </row>
    <row r="60" spans="24:24">
      <c r="X60" s="4">
        <f t="shared" si="0"/>
        <v>5.1499999999999897</v>
      </c>
    </row>
    <row r="61" spans="24:24">
      <c r="X61" s="4">
        <f t="shared" si="0"/>
        <v>5.1999999999999895</v>
      </c>
    </row>
    <row r="62" spans="24:24">
      <c r="X62" s="4">
        <f t="shared" si="0"/>
        <v>5.2499999999999893</v>
      </c>
    </row>
    <row r="63" spans="24:24">
      <c r="X63" s="4">
        <f t="shared" si="0"/>
        <v>5.2999999999999892</v>
      </c>
    </row>
    <row r="64" spans="24:24">
      <c r="X64" s="4">
        <f t="shared" si="0"/>
        <v>5.349999999999989</v>
      </c>
    </row>
    <row r="65" spans="24:24">
      <c r="X65" s="4">
        <f t="shared" si="0"/>
        <v>5.3999999999999888</v>
      </c>
    </row>
    <row r="66" spans="24:24">
      <c r="X66" s="4">
        <f t="shared" si="0"/>
        <v>5.4499999999999886</v>
      </c>
    </row>
    <row r="67" spans="24:24">
      <c r="X67" s="4">
        <f t="shared" si="0"/>
        <v>5.4999999999999885</v>
      </c>
    </row>
    <row r="68" spans="24:24">
      <c r="X68" s="4">
        <f t="shared" si="0"/>
        <v>5.5499999999999883</v>
      </c>
    </row>
    <row r="69" spans="24:24">
      <c r="X69" s="4">
        <f t="shared" ref="X69:X87" si="1">X68+0.05</f>
        <v>5.5999999999999881</v>
      </c>
    </row>
    <row r="70" spans="24:24">
      <c r="X70" s="4">
        <f t="shared" si="1"/>
        <v>5.6499999999999879</v>
      </c>
    </row>
    <row r="71" spans="24:24">
      <c r="X71" s="4">
        <f t="shared" si="1"/>
        <v>5.6999999999999877</v>
      </c>
    </row>
    <row r="72" spans="24:24">
      <c r="X72" s="4">
        <f t="shared" si="1"/>
        <v>5.7499999999999876</v>
      </c>
    </row>
    <row r="73" spans="24:24">
      <c r="X73" s="4">
        <f t="shared" si="1"/>
        <v>5.7999999999999874</v>
      </c>
    </row>
    <row r="74" spans="24:24">
      <c r="X74" s="4">
        <f t="shared" si="1"/>
        <v>5.8499999999999872</v>
      </c>
    </row>
    <row r="75" spans="24:24">
      <c r="X75" s="4">
        <f t="shared" si="1"/>
        <v>5.899999999999987</v>
      </c>
    </row>
    <row r="76" spans="24:24">
      <c r="X76" s="4">
        <f t="shared" si="1"/>
        <v>5.9499999999999869</v>
      </c>
    </row>
    <row r="77" spans="24:24">
      <c r="X77" s="4">
        <f t="shared" si="1"/>
        <v>5.9999999999999867</v>
      </c>
    </row>
    <row r="78" spans="24:24">
      <c r="X78" s="4">
        <f t="shared" si="1"/>
        <v>6.0499999999999865</v>
      </c>
    </row>
    <row r="79" spans="24:24">
      <c r="X79" s="4">
        <f t="shared" si="1"/>
        <v>6.0999999999999863</v>
      </c>
    </row>
    <row r="80" spans="24:24">
      <c r="X80" s="4">
        <f t="shared" si="1"/>
        <v>6.1499999999999861</v>
      </c>
    </row>
    <row r="81" spans="24:24">
      <c r="X81" s="4">
        <f t="shared" si="1"/>
        <v>6.199999999999986</v>
      </c>
    </row>
    <row r="82" spans="24:24">
      <c r="X82" s="4">
        <f t="shared" si="1"/>
        <v>6.2499999999999858</v>
      </c>
    </row>
    <row r="83" spans="24:24">
      <c r="X83" s="4">
        <f t="shared" si="1"/>
        <v>6.2999999999999856</v>
      </c>
    </row>
    <row r="84" spans="24:24">
      <c r="X84" s="4">
        <f t="shared" si="1"/>
        <v>6.3499999999999854</v>
      </c>
    </row>
    <row r="85" spans="24:24">
      <c r="X85" s="4">
        <f t="shared" si="1"/>
        <v>6.3999999999999853</v>
      </c>
    </row>
    <row r="86" spans="24:24">
      <c r="X86" s="4">
        <f t="shared" si="1"/>
        <v>6.4499999999999851</v>
      </c>
    </row>
    <row r="87" spans="24:24">
      <c r="X87" s="4">
        <f t="shared" si="1"/>
        <v>6.4999999999999849</v>
      </c>
    </row>
    <row r="88" spans="24:24">
      <c r="X88" s="4"/>
    </row>
    <row r="89" spans="24:24">
      <c r="X89" s="4"/>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ECC1B-6E0A-5E49-9205-3E77ED120D83}">
  <dimension ref="B1:B3"/>
  <sheetViews>
    <sheetView workbookViewId="0">
      <selection activeCell="B4" sqref="B4"/>
    </sheetView>
  </sheetViews>
  <sheetFormatPr defaultColWidth="24.08203125" defaultRowHeight="152.15" customHeight="1"/>
  <cols>
    <col min="1" max="1" width="66.83203125" customWidth="1"/>
  </cols>
  <sheetData>
    <row r="1" spans="2:2" ht="15.5"/>
    <row r="2" spans="2:2" ht="15.5"/>
    <row r="3" spans="2:2" ht="152.15" customHeight="1">
      <c r="B3" t="str">
        <f>_xlfn.CONCAT('VEHICLE source'!G15," ",'VEHICLE source'!D15," ",'VEHICLE source'!E15," ",'VEHICLE source'!F15)</f>
        <v>2021 Ford Escape SE</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4D01E-FF35-104F-8A6C-1FDD96D6A0B2}">
  <dimension ref="A1:C10"/>
  <sheetViews>
    <sheetView workbookViewId="0">
      <selection sqref="A1:C10"/>
    </sheetView>
  </sheetViews>
  <sheetFormatPr defaultColWidth="10.83203125" defaultRowHeight="15.5"/>
  <cols>
    <col min="1" max="1" width="32" style="11" bestFit="1" customWidth="1"/>
    <col min="2" max="2" width="31.08203125" style="11" bestFit="1" customWidth="1"/>
    <col min="3" max="3" width="97.83203125" style="11" bestFit="1" customWidth="1"/>
    <col min="4" max="16384" width="10.83203125" style="11"/>
  </cols>
  <sheetData>
    <row r="1" spans="1:3">
      <c r="A1" s="58" t="s">
        <v>78</v>
      </c>
      <c r="B1" s="69" t="s">
        <v>79</v>
      </c>
      <c r="C1" s="66" t="s">
        <v>80</v>
      </c>
    </row>
    <row r="2" spans="1:3">
      <c r="A2" s="67" t="s">
        <v>81</v>
      </c>
      <c r="B2" s="68" t="s">
        <v>82</v>
      </c>
      <c r="C2" s="77" t="s">
        <v>83</v>
      </c>
    </row>
    <row r="3" spans="1:3">
      <c r="A3" s="67" t="s">
        <v>84</v>
      </c>
      <c r="B3" s="68" t="s">
        <v>82</v>
      </c>
      <c r="C3" s="77" t="s">
        <v>85</v>
      </c>
    </row>
    <row r="4" spans="1:3">
      <c r="A4" s="67" t="s">
        <v>86</v>
      </c>
      <c r="B4" s="67" t="s">
        <v>87</v>
      </c>
      <c r="C4" s="77" t="s">
        <v>88</v>
      </c>
    </row>
    <row r="5" spans="1:3">
      <c r="A5" s="67" t="s">
        <v>89</v>
      </c>
      <c r="B5" s="67" t="s">
        <v>90</v>
      </c>
      <c r="C5" s="67" t="s">
        <v>91</v>
      </c>
    </row>
    <row r="6" spans="1:3">
      <c r="A6" s="67" t="s">
        <v>92</v>
      </c>
      <c r="B6" s="67" t="s">
        <v>82</v>
      </c>
      <c r="C6" s="67" t="s">
        <v>93</v>
      </c>
    </row>
    <row r="7" spans="1:3">
      <c r="A7" s="67" t="s">
        <v>94</v>
      </c>
      <c r="B7" s="76">
        <v>2.66</v>
      </c>
      <c r="C7" s="67" t="s">
        <v>95</v>
      </c>
    </row>
    <row r="8" spans="1:3">
      <c r="A8" s="67" t="s">
        <v>96</v>
      </c>
      <c r="B8" s="76">
        <v>17.88</v>
      </c>
      <c r="C8" s="67" t="s">
        <v>97</v>
      </c>
    </row>
    <row r="9" spans="1:3">
      <c r="A9" s="67" t="s">
        <v>98</v>
      </c>
      <c r="B9" s="78">
        <v>14263</v>
      </c>
      <c r="C9" s="67" t="s">
        <v>99</v>
      </c>
    </row>
    <row r="10" spans="1:3">
      <c r="A10" s="67"/>
      <c r="B10" s="67"/>
      <c r="C10" s="67"/>
    </row>
  </sheetData>
  <hyperlinks>
    <hyperlink ref="C3" r:id="rId1" xr:uid="{7FE37A7F-9053-0047-ACBD-5065C074A353}"/>
    <hyperlink ref="C2" r:id="rId2" xr:uid="{7A809759-90CD-214B-9397-0F7739E8C855}"/>
    <hyperlink ref="C4" r:id="rId3" display="MassDEP retail consumer emission factors" xr:uid="{11D4E1B3-F862-B640-ADE8-D0327E264C0B}"/>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BAC68-4CEC-2941-ACBC-A0222618D5EE}">
  <dimension ref="A1:K16"/>
  <sheetViews>
    <sheetView workbookViewId="0">
      <selection activeCell="E24" sqref="E24"/>
    </sheetView>
  </sheetViews>
  <sheetFormatPr defaultColWidth="11" defaultRowHeight="15.5"/>
  <cols>
    <col min="4" max="4" width="23.5" bestFit="1" customWidth="1"/>
    <col min="5" max="5" width="23" bestFit="1" customWidth="1"/>
    <col min="6" max="6" width="22.58203125" bestFit="1" customWidth="1"/>
    <col min="8" max="8" width="18" bestFit="1" customWidth="1"/>
  </cols>
  <sheetData>
    <row r="1" spans="1:11">
      <c r="A1" s="37" t="s">
        <v>69</v>
      </c>
      <c r="B1" s="33" t="s">
        <v>70</v>
      </c>
      <c r="C1" s="33" t="s">
        <v>71</v>
      </c>
      <c r="D1" s="40" t="s">
        <v>72</v>
      </c>
      <c r="E1" s="33" t="s">
        <v>73</v>
      </c>
      <c r="F1" s="40" t="s">
        <v>74</v>
      </c>
      <c r="G1" s="33" t="s">
        <v>75</v>
      </c>
      <c r="H1" s="33" t="s">
        <v>76</v>
      </c>
    </row>
    <row r="2" spans="1:11">
      <c r="A2" s="37">
        <v>1</v>
      </c>
      <c r="B2" s="34" t="e">
        <f>VLOOKUP('EV Comparison Calculator'!$D$22,'VEHICLE source'!A:AT,45,FALSE)</f>
        <v>#N/A</v>
      </c>
      <c r="C2" s="34" t="e">
        <f>VLOOKUP('EV Comparison Calculator'!$D$22,'VEHICLE source'!A:AT,46,FALSE)</f>
        <v>#N/A</v>
      </c>
      <c r="D2" s="40" t="e">
        <f>B2*E2</f>
        <v>#N/A</v>
      </c>
      <c r="E2" s="36">
        <v>19.643203583837458</v>
      </c>
      <c r="F2" s="41" t="e">
        <f t="shared" ref="F2" si="0">C2*G2</f>
        <v>#N/A</v>
      </c>
      <c r="G2" s="35">
        <v>0.70450000000000002</v>
      </c>
      <c r="H2" s="39" t="e">
        <f t="shared" ref="H2:H16" si="1">D2+F2</f>
        <v>#N/A</v>
      </c>
      <c r="K2" s="13">
        <v>1.01</v>
      </c>
    </row>
    <row r="3" spans="1:11">
      <c r="A3" s="37">
        <v>2</v>
      </c>
      <c r="B3" s="34" t="e">
        <f>VLOOKUP('EV Comparison Calculator'!$D$22,'VEHICLE source'!A:AT,45,FALSE)</f>
        <v>#N/A</v>
      </c>
      <c r="C3" s="34" t="e">
        <f>C2*$K$2</f>
        <v>#N/A</v>
      </c>
      <c r="D3" s="40" t="e">
        <f>(B3*E3)+D2</f>
        <v>#N/A</v>
      </c>
      <c r="E3" s="36">
        <v>19.643203583837458</v>
      </c>
      <c r="F3" s="41" t="e">
        <f>(C3*G3)+F2</f>
        <v>#N/A</v>
      </c>
      <c r="G3" s="35">
        <v>0.68947066666666668</v>
      </c>
      <c r="H3" s="39" t="e">
        <f t="shared" si="1"/>
        <v>#N/A</v>
      </c>
      <c r="K3" s="13"/>
    </row>
    <row r="4" spans="1:11">
      <c r="A4" s="37">
        <v>3</v>
      </c>
      <c r="B4" s="34" t="e">
        <f>VLOOKUP('EV Comparison Calculator'!$D$22,'VEHICLE source'!A:AT,45,FALSE)</f>
        <v>#N/A</v>
      </c>
      <c r="C4" s="34" t="e">
        <f t="shared" ref="C4:C16" si="2">C3*$K$2</f>
        <v>#N/A</v>
      </c>
      <c r="D4" s="40" t="e">
        <f t="shared" ref="D4:D16" si="3">(B4*E4)+D3</f>
        <v>#N/A</v>
      </c>
      <c r="E4" s="36">
        <v>19.643203583837458</v>
      </c>
      <c r="F4" s="41" t="e">
        <f t="shared" ref="F4:F16" si="4">(C4*G4)+F3</f>
        <v>#N/A</v>
      </c>
      <c r="G4" s="35">
        <v>0.67444133333333334</v>
      </c>
      <c r="H4" s="39" t="e">
        <f t="shared" si="1"/>
        <v>#N/A</v>
      </c>
      <c r="K4" s="13"/>
    </row>
    <row r="5" spans="1:11">
      <c r="A5" s="37">
        <v>4</v>
      </c>
      <c r="B5" s="34" t="e">
        <f>VLOOKUP('EV Comparison Calculator'!$D$22,'VEHICLE source'!A:AT,45,FALSE)</f>
        <v>#N/A</v>
      </c>
      <c r="C5" s="34" t="e">
        <f t="shared" si="2"/>
        <v>#N/A</v>
      </c>
      <c r="D5" s="40" t="e">
        <f t="shared" si="3"/>
        <v>#N/A</v>
      </c>
      <c r="E5" s="36">
        <v>19.643203583837458</v>
      </c>
      <c r="F5" s="41" t="e">
        <f t="shared" si="4"/>
        <v>#N/A</v>
      </c>
      <c r="G5" s="35">
        <v>0.659412</v>
      </c>
      <c r="H5" s="39" t="e">
        <f t="shared" si="1"/>
        <v>#N/A</v>
      </c>
      <c r="K5" s="13"/>
    </row>
    <row r="6" spans="1:11">
      <c r="A6" s="37">
        <v>5</v>
      </c>
      <c r="B6" s="34" t="e">
        <f>VLOOKUP('EV Comparison Calculator'!$D$22,'VEHICLE source'!A:AT,45,FALSE)</f>
        <v>#N/A</v>
      </c>
      <c r="C6" s="34" t="e">
        <f t="shared" si="2"/>
        <v>#N/A</v>
      </c>
      <c r="D6" s="40" t="e">
        <f t="shared" si="3"/>
        <v>#N/A</v>
      </c>
      <c r="E6" s="36">
        <v>19.643203583837458</v>
      </c>
      <c r="F6" s="41" t="e">
        <f t="shared" si="4"/>
        <v>#N/A</v>
      </c>
      <c r="G6" s="35">
        <v>0.64438266666666666</v>
      </c>
      <c r="H6" s="39" t="e">
        <f t="shared" si="1"/>
        <v>#N/A</v>
      </c>
      <c r="K6" s="13"/>
    </row>
    <row r="7" spans="1:11">
      <c r="A7" s="37">
        <v>6</v>
      </c>
      <c r="B7" s="34" t="e">
        <f>VLOOKUP('EV Comparison Calculator'!$D$22,'VEHICLE source'!A:AT,45,FALSE)</f>
        <v>#N/A</v>
      </c>
      <c r="C7" s="34" t="e">
        <f t="shared" si="2"/>
        <v>#N/A</v>
      </c>
      <c r="D7" s="40" t="e">
        <f t="shared" si="3"/>
        <v>#N/A</v>
      </c>
      <c r="E7" s="36">
        <v>19.643203583837458</v>
      </c>
      <c r="F7" s="41" t="e">
        <f t="shared" si="4"/>
        <v>#N/A</v>
      </c>
      <c r="G7" s="35">
        <v>0.62935333333333332</v>
      </c>
      <c r="H7" s="39" t="e">
        <f t="shared" si="1"/>
        <v>#N/A</v>
      </c>
      <c r="K7" s="13"/>
    </row>
    <row r="8" spans="1:11">
      <c r="A8" s="37">
        <v>7</v>
      </c>
      <c r="B8" s="34" t="e">
        <f>VLOOKUP('EV Comparison Calculator'!$D$22,'VEHICLE source'!A:AT,45,FALSE)</f>
        <v>#N/A</v>
      </c>
      <c r="C8" s="34" t="e">
        <f t="shared" si="2"/>
        <v>#N/A</v>
      </c>
      <c r="D8" s="40" t="e">
        <f t="shared" si="3"/>
        <v>#N/A</v>
      </c>
      <c r="E8" s="36">
        <v>19.643203583837458</v>
      </c>
      <c r="F8" s="41" t="e">
        <f t="shared" si="4"/>
        <v>#N/A</v>
      </c>
      <c r="G8" s="35">
        <v>0.61432399999999998</v>
      </c>
      <c r="H8" s="39" t="e">
        <f t="shared" si="1"/>
        <v>#N/A</v>
      </c>
      <c r="K8" s="13"/>
    </row>
    <row r="9" spans="1:11">
      <c r="A9" s="37">
        <v>8</v>
      </c>
      <c r="B9" s="34" t="e">
        <f>VLOOKUP('EV Comparison Calculator'!$D$22,'VEHICLE source'!A:AT,45,FALSE)</f>
        <v>#N/A</v>
      </c>
      <c r="C9" s="34" t="e">
        <f t="shared" si="2"/>
        <v>#N/A</v>
      </c>
      <c r="D9" s="40" t="e">
        <f t="shared" si="3"/>
        <v>#N/A</v>
      </c>
      <c r="E9" s="36">
        <v>19.643203583837458</v>
      </c>
      <c r="F9" s="41" t="e">
        <f t="shared" si="4"/>
        <v>#N/A</v>
      </c>
      <c r="G9" s="35">
        <v>0.59929466666666664</v>
      </c>
      <c r="H9" s="39" t="e">
        <f t="shared" si="1"/>
        <v>#N/A</v>
      </c>
      <c r="K9" s="13"/>
    </row>
    <row r="10" spans="1:11">
      <c r="A10" s="37">
        <v>9</v>
      </c>
      <c r="B10" s="34" t="e">
        <f>VLOOKUP('EV Comparison Calculator'!$D$22,'VEHICLE source'!A:AT,45,FALSE)</f>
        <v>#N/A</v>
      </c>
      <c r="C10" s="34" t="e">
        <f t="shared" si="2"/>
        <v>#N/A</v>
      </c>
      <c r="D10" s="40" t="e">
        <f t="shared" si="3"/>
        <v>#N/A</v>
      </c>
      <c r="E10" s="36">
        <v>19.643203583837458</v>
      </c>
      <c r="F10" s="41" t="e">
        <f t="shared" si="4"/>
        <v>#N/A</v>
      </c>
      <c r="G10" s="35">
        <v>0.5842653333333333</v>
      </c>
      <c r="H10" s="39" t="e">
        <f t="shared" si="1"/>
        <v>#N/A</v>
      </c>
      <c r="K10" s="13"/>
    </row>
    <row r="11" spans="1:11">
      <c r="A11" s="37">
        <v>10</v>
      </c>
      <c r="B11" s="34" t="e">
        <f>VLOOKUP('EV Comparison Calculator'!$D$22,'VEHICLE source'!A:AT,45,FALSE)</f>
        <v>#N/A</v>
      </c>
      <c r="C11" s="34" t="e">
        <f t="shared" si="2"/>
        <v>#N/A</v>
      </c>
      <c r="D11" s="40" t="e">
        <f t="shared" si="3"/>
        <v>#N/A</v>
      </c>
      <c r="E11" s="36">
        <v>19.643203583837458</v>
      </c>
      <c r="F11" s="41" t="e">
        <f t="shared" si="4"/>
        <v>#N/A</v>
      </c>
      <c r="G11" s="35">
        <v>0.56923599999999996</v>
      </c>
      <c r="H11" s="39" t="e">
        <f t="shared" si="1"/>
        <v>#N/A</v>
      </c>
      <c r="K11" s="13"/>
    </row>
    <row r="12" spans="1:11">
      <c r="A12" s="37">
        <v>11</v>
      </c>
      <c r="B12" s="34" t="e">
        <f>VLOOKUP('EV Comparison Calculator'!$D$22,'VEHICLE source'!A:AT,45,FALSE)</f>
        <v>#N/A</v>
      </c>
      <c r="C12" s="34" t="e">
        <f t="shared" si="2"/>
        <v>#N/A</v>
      </c>
      <c r="D12" s="40" t="e">
        <f t="shared" si="3"/>
        <v>#N/A</v>
      </c>
      <c r="E12" s="36">
        <v>19.643203583837458</v>
      </c>
      <c r="F12" s="41" t="e">
        <f t="shared" si="4"/>
        <v>#N/A</v>
      </c>
      <c r="G12" s="35">
        <v>0.55420666666666663</v>
      </c>
      <c r="H12" s="39" t="e">
        <f t="shared" si="1"/>
        <v>#N/A</v>
      </c>
      <c r="K12" s="13"/>
    </row>
    <row r="13" spans="1:11">
      <c r="A13" s="37">
        <v>12</v>
      </c>
      <c r="B13" s="34" t="e">
        <f>VLOOKUP('EV Comparison Calculator'!$D$22,'VEHICLE source'!A:AT,45,FALSE)</f>
        <v>#N/A</v>
      </c>
      <c r="C13" s="34" t="e">
        <f t="shared" si="2"/>
        <v>#N/A</v>
      </c>
      <c r="D13" s="40" t="e">
        <f t="shared" si="3"/>
        <v>#N/A</v>
      </c>
      <c r="E13" s="36">
        <v>19.643203583837458</v>
      </c>
      <c r="F13" s="41" t="e">
        <f t="shared" si="4"/>
        <v>#N/A</v>
      </c>
      <c r="G13" s="35">
        <v>0.53917733333333329</v>
      </c>
      <c r="H13" s="39" t="e">
        <f t="shared" si="1"/>
        <v>#N/A</v>
      </c>
      <c r="K13" s="13"/>
    </row>
    <row r="14" spans="1:11">
      <c r="A14" s="37">
        <v>13</v>
      </c>
      <c r="B14" s="34" t="e">
        <f>VLOOKUP('EV Comparison Calculator'!$D$22,'VEHICLE source'!A:AT,45,FALSE)</f>
        <v>#N/A</v>
      </c>
      <c r="C14" s="34" t="e">
        <f t="shared" si="2"/>
        <v>#N/A</v>
      </c>
      <c r="D14" s="40" t="e">
        <f t="shared" si="3"/>
        <v>#N/A</v>
      </c>
      <c r="E14" s="36">
        <v>19.643203583837458</v>
      </c>
      <c r="F14" s="41" t="e">
        <f t="shared" si="4"/>
        <v>#N/A</v>
      </c>
      <c r="G14" s="35">
        <v>0.52414799999999995</v>
      </c>
      <c r="H14" s="39" t="e">
        <f t="shared" si="1"/>
        <v>#N/A</v>
      </c>
      <c r="K14" s="13"/>
    </row>
    <row r="15" spans="1:11">
      <c r="A15" s="37">
        <v>14</v>
      </c>
      <c r="B15" s="34" t="e">
        <f>VLOOKUP('EV Comparison Calculator'!$D$22,'VEHICLE source'!A:AT,45,FALSE)</f>
        <v>#N/A</v>
      </c>
      <c r="C15" s="34" t="e">
        <f t="shared" si="2"/>
        <v>#N/A</v>
      </c>
      <c r="D15" s="40" t="e">
        <f t="shared" si="3"/>
        <v>#N/A</v>
      </c>
      <c r="E15" s="36">
        <v>19.643203583837458</v>
      </c>
      <c r="F15" s="41" t="e">
        <f t="shared" si="4"/>
        <v>#N/A</v>
      </c>
      <c r="G15" s="35">
        <v>0.50911866666666661</v>
      </c>
      <c r="H15" s="39" t="e">
        <f t="shared" si="1"/>
        <v>#N/A</v>
      </c>
      <c r="K15" s="13"/>
    </row>
    <row r="16" spans="1:11">
      <c r="A16" s="37">
        <v>15</v>
      </c>
      <c r="B16" s="34" t="e">
        <f>VLOOKUP('EV Comparison Calculator'!$D$22,'VEHICLE source'!A:AT,45,FALSE)</f>
        <v>#N/A</v>
      </c>
      <c r="C16" s="34" t="e">
        <f t="shared" si="2"/>
        <v>#N/A</v>
      </c>
      <c r="D16" s="40" t="e">
        <f t="shared" si="3"/>
        <v>#N/A</v>
      </c>
      <c r="E16" s="36">
        <v>19.643203583837458</v>
      </c>
      <c r="F16" s="41" t="e">
        <f t="shared" si="4"/>
        <v>#N/A</v>
      </c>
      <c r="G16" s="35">
        <v>0.49408933333333327</v>
      </c>
      <c r="H16" s="39" t="e">
        <f t="shared" si="1"/>
        <v>#N/A</v>
      </c>
      <c r="K16" s="1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8182E55F23B44BA2760F944DE1F463" ma:contentTypeVersion="4" ma:contentTypeDescription="Create a new document." ma:contentTypeScope="" ma:versionID="2cea6670cbd8825fd2dec334e1d57c42">
  <xsd:schema xmlns:xsd="http://www.w3.org/2001/XMLSchema" xmlns:xs="http://www.w3.org/2001/XMLSchema" xmlns:p="http://schemas.microsoft.com/office/2006/metadata/properties" xmlns:ns2="af3f551c-2d02-4759-aff4-6c3c0e9785a5" xmlns:ns3="0f58af1f-13b0-48c0-8254-855478aebda6" targetNamespace="http://schemas.microsoft.com/office/2006/metadata/properties" ma:root="true" ma:fieldsID="685ebf8a7cfdf6e4dbcaa7076834a3ba" ns2:_="" ns3:_="">
    <xsd:import namespace="af3f551c-2d02-4759-aff4-6c3c0e9785a5"/>
    <xsd:import namespace="0f58af1f-13b0-48c0-8254-855478aebda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3f551c-2d02-4759-aff4-6c3c0e9785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f58af1f-13b0-48c0-8254-855478aebd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632F73-EA03-4255-8711-2FF6255560A1}">
  <ds:schemaRefs>
    <ds:schemaRef ds:uri="http://schemas.microsoft.com/sharepoint/v3/contenttype/forms"/>
  </ds:schemaRefs>
</ds:datastoreItem>
</file>

<file path=customXml/itemProps2.xml><?xml version="1.0" encoding="utf-8"?>
<ds:datastoreItem xmlns:ds="http://schemas.openxmlformats.org/officeDocument/2006/customXml" ds:itemID="{F59D3EA9-2FB9-4CFF-BC41-E70C24331111}">
  <ds:schemaRefs>
    <ds:schemaRef ds:uri="http://schemas.microsoft.com/office/2006/metadata/properties"/>
    <ds:schemaRef ds:uri="http://schemas.microsoft.com/office/2006/documentManagement/types"/>
    <ds:schemaRef ds:uri="af3f551c-2d02-4759-aff4-6c3c0e9785a5"/>
    <ds:schemaRef ds:uri="http://purl.org/dc/terms/"/>
    <ds:schemaRef ds:uri="http://schemas.openxmlformats.org/package/2006/metadata/core-properties"/>
    <ds:schemaRef ds:uri="http://purl.org/dc/dcmitype/"/>
    <ds:schemaRef ds:uri="0f58af1f-13b0-48c0-8254-855478aebda6"/>
    <ds:schemaRef ds:uri="http://purl.org/dc/elements/1.1/"/>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EFCAB81A-1D43-4E0E-8FBB-A263F288C6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3f551c-2d02-4759-aff4-6c3c0e9785a5"/>
    <ds:schemaRef ds:uri="0f58af1f-13b0-48c0-8254-855478aeb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EV Comparison Calculator</vt:lpstr>
      <vt:lpstr>VEHICLE source</vt:lpstr>
      <vt:lpstr>Dependent Dropdown Source</vt:lpstr>
      <vt:lpstr>PHEV source</vt:lpstr>
      <vt:lpstr>ICE source</vt:lpstr>
      <vt:lpstr>PL</vt:lpstr>
      <vt:lpstr>Sheet1</vt:lpstr>
      <vt:lpstr>Assumptions</vt:lpstr>
      <vt:lpstr>Vehicle 1 GHG source</vt:lpstr>
      <vt:lpstr>Vehicle 2 GHG Source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Chelsea Kehne</dc:creator>
  <cp:keywords/>
  <dc:description/>
  <cp:lastModifiedBy>Kingston, Ryan (ENE)</cp:lastModifiedBy>
  <cp:revision/>
  <dcterms:created xsi:type="dcterms:W3CDTF">2020-03-30T21:25:07Z</dcterms:created>
  <dcterms:modified xsi:type="dcterms:W3CDTF">2022-08-17T17:49:26Z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0x010100968182E55F23B44BA2760F944DE1F463</vt:lpwstr>
  </property>
  <property fmtid="{D5CDD505-2E9C-101B-9397-08002B2CF9AE}" pid="3" name="MediaServiceImageTags">
    <vt:lpwstr/>
  </property>
</Properties>
</file>