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450" windowWidth="19440" windowHeight="10935" tabRatio="900"/>
  </bookViews>
  <sheets>
    <sheet name="Intro" sheetId="11" r:id="rId1"/>
    <sheet name="Contacts Source" sheetId="34" state="hidden" r:id="rId2"/>
    <sheet name="Instructions" sheetId="36" r:id="rId3"/>
    <sheet name="Contact Information" sheetId="30" r:id="rId4"/>
    <sheet name="Square Footage" sheetId="19" r:id="rId5"/>
    <sheet name="Electricity Consumption" sheetId="3" r:id="rId6"/>
    <sheet name="Building Fuel Consumption" sheetId="4" r:id="rId7"/>
    <sheet name="Vehicle&amp;Other Fuel Consumption" sheetId="5" r:id="rId8"/>
    <sheet name="Installed Clean Power" sheetId="15" r:id="rId9"/>
    <sheet name="Renewable &amp; Onsite Gen Sites" sheetId="16" state="hidden" r:id="rId10"/>
    <sheet name="Renewable Thermal Sites" sheetId="17" state="hidden" r:id="rId11"/>
    <sheet name="Vehicle Fleet" sheetId="32" r:id="rId12"/>
    <sheet name="EV Charging Stations" sheetId="23" r:id="rId13"/>
    <sheet name="EV Charging Stations source" sheetId="24" state="hidden" r:id="rId14"/>
    <sheet name="EE Projects" sheetId="10" r:id="rId15"/>
    <sheet name="Water Use" sheetId="26" r:id="rId16"/>
    <sheet name="Source Water" sheetId="31" state="hidden" r:id="rId17"/>
    <sheet name="Recycling" sheetId="33" r:id="rId18"/>
    <sheet name="Sustainability" sheetId="20" r:id="rId19"/>
    <sheet name="Landscaping" sheetId="37" r:id="rId20"/>
    <sheet name="Source" sheetId="8" state="hidden" r:id="rId21"/>
  </sheets>
  <externalReferences>
    <externalReference r:id="rId22"/>
  </externalReferences>
  <definedNames>
    <definedName name="_xlnm._FilterDatabase" localSheetId="13" hidden="1">'EV Charging Stations source'!$A$1:$AB$96</definedName>
    <definedName name="_xlnm._FilterDatabase" localSheetId="9" hidden="1">'Renewable &amp; Onsite Gen Sites'!$A$1:$AA$141</definedName>
    <definedName name="_xlnm._FilterDatabase" localSheetId="20" hidden="1">Source!#REF!</definedName>
    <definedName name="_xlnm._FilterDatabase" localSheetId="16" hidden="1">'Source Water'!$A$1:$H$139</definedName>
    <definedName name="AgencyCampus">Source!$F$2:$F$53</definedName>
    <definedName name="Independent_Verifier">'[1]Drop-Down Lists'!$H$2</definedName>
    <definedName name="Names">'EV Charging Stations source'!$F$2:$F$48</definedName>
    <definedName name="Official_Names">'[1]Drop-Down Lists'!$F$2:$F$352</definedName>
    <definedName name="State_Abbreviations">'[1]Drop-Down Lists'!$E$2:$E$51</definedName>
    <definedName name="Utility_Providers">'[1]Drop-Down Lists'!$G$2:$G$6</definedName>
  </definedNames>
  <calcPr calcId="145621"/>
</workbook>
</file>

<file path=xl/calcChain.xml><?xml version="1.0" encoding="utf-8"?>
<calcChain xmlns="http://schemas.openxmlformats.org/spreadsheetml/2006/main">
  <c r="Q23" i="17" l="1"/>
  <c r="A23" i="17"/>
  <c r="Q21" i="17"/>
  <c r="A21" i="17"/>
  <c r="Q17" i="17"/>
  <c r="A17" i="17"/>
  <c r="Q14" i="17"/>
  <c r="Q15" i="17"/>
  <c r="A14" i="17"/>
  <c r="A15" i="17"/>
  <c r="Q6" i="17"/>
  <c r="A6" i="17"/>
  <c r="Q4" i="17" l="1"/>
  <c r="A4" i="17"/>
  <c r="A3" i="17" l="1"/>
  <c r="A5" i="17"/>
  <c r="A7" i="17"/>
  <c r="A8" i="17"/>
  <c r="A9" i="17"/>
  <c r="A10" i="17"/>
  <c r="A11" i="17"/>
  <c r="A12" i="17"/>
  <c r="A13" i="17"/>
  <c r="A16" i="17"/>
  <c r="A18" i="17"/>
  <c r="A19" i="17"/>
  <c r="A20" i="17"/>
  <c r="A22" i="17"/>
  <c r="A2" i="17"/>
  <c r="Q3" i="17"/>
  <c r="Q5" i="17"/>
  <c r="Q7" i="17"/>
  <c r="Q8" i="17"/>
  <c r="Q9" i="17"/>
  <c r="Q10" i="17"/>
  <c r="Q11" i="17"/>
  <c r="Q12" i="17"/>
  <c r="Q13" i="17"/>
  <c r="Q16" i="17"/>
  <c r="Q18" i="17"/>
  <c r="Q19" i="17"/>
  <c r="Q20" i="17"/>
  <c r="Q22" i="17"/>
  <c r="Q2" i="17"/>
  <c r="A1" i="17"/>
  <c r="L15" i="30" l="1"/>
  <c r="L14" i="30"/>
  <c r="D15" i="30"/>
  <c r="D14" i="30"/>
  <c r="L12" i="30"/>
  <c r="L11" i="30"/>
  <c r="D12" i="30"/>
  <c r="D11" i="30"/>
  <c r="B31" i="26" l="1"/>
  <c r="B64" i="23"/>
  <c r="B68" i="23"/>
  <c r="C17" i="19"/>
  <c r="V141" i="16" l="1"/>
  <c r="V12" i="16"/>
  <c r="AA141" i="16"/>
  <c r="A141" i="16"/>
  <c r="A12" i="16"/>
  <c r="A140" i="16" l="1"/>
  <c r="A139" i="16"/>
  <c r="A138" i="16"/>
  <c r="A137" i="16"/>
  <c r="A136" i="16"/>
  <c r="A135" i="16"/>
  <c r="A134" i="16"/>
  <c r="AA140" i="16"/>
  <c r="AA139" i="16"/>
  <c r="AA138" i="16"/>
  <c r="AA137" i="16"/>
  <c r="AA136" i="16"/>
  <c r="AA135" i="16"/>
  <c r="AA134" i="16"/>
  <c r="V140" i="16"/>
  <c r="V139" i="16"/>
  <c r="V138" i="16"/>
  <c r="V137" i="16"/>
  <c r="V136" i="16"/>
  <c r="V135" i="16"/>
  <c r="V134" i="16"/>
  <c r="V106" i="16"/>
  <c r="G30" i="37" l="1"/>
  <c r="G29" i="37"/>
  <c r="G28" i="37"/>
  <c r="G27" i="37"/>
  <c r="B26" i="37"/>
  <c r="I20" i="37"/>
  <c r="I19" i="37"/>
  <c r="B18" i="37"/>
  <c r="B10" i="37"/>
  <c r="B34" i="37"/>
  <c r="G12" i="37"/>
  <c r="G13" i="37"/>
  <c r="G14" i="37"/>
  <c r="G11" i="37"/>
  <c r="B19" i="19"/>
  <c r="C28" i="19"/>
  <c r="J11" i="20"/>
  <c r="V133" i="16" l="1"/>
  <c r="V132" i="16"/>
  <c r="V131" i="16"/>
  <c r="AA133" i="16"/>
  <c r="AA132" i="16"/>
  <c r="AA131" i="16"/>
  <c r="A133" i="16"/>
  <c r="A132" i="16"/>
  <c r="A131" i="16"/>
  <c r="A130" i="16" l="1"/>
  <c r="A129" i="16"/>
  <c r="A128" i="16"/>
  <c r="A127" i="16"/>
  <c r="AA130" i="16"/>
  <c r="AA129" i="16"/>
  <c r="AA128" i="16"/>
  <c r="AA127" i="16"/>
  <c r="B84" i="3" l="1"/>
  <c r="B80" i="3"/>
  <c r="B76" i="3"/>
  <c r="J12" i="20"/>
  <c r="J13" i="20"/>
  <c r="J14" i="20"/>
  <c r="J15" i="20"/>
  <c r="J16" i="20"/>
  <c r="J17" i="20"/>
  <c r="J18" i="20"/>
  <c r="J19" i="20"/>
  <c r="I10" i="26" l="1"/>
  <c r="G7" i="23"/>
  <c r="G7" i="15" l="1"/>
  <c r="I12" i="19"/>
  <c r="L14" i="19" s="1"/>
  <c r="L17" i="33" l="1"/>
  <c r="AA56" i="16" l="1"/>
  <c r="A56" i="16"/>
  <c r="H17" i="26" l="1"/>
  <c r="F17" i="26"/>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E39" i="32" l="1"/>
  <c r="F39" i="32"/>
  <c r="G39" i="32"/>
  <c r="D39" i="32"/>
  <c r="D18" i="32" l="1"/>
  <c r="AB96" i="24"/>
  <c r="A96" i="24"/>
  <c r="AB95" i="24"/>
  <c r="A95" i="24"/>
  <c r="AB94" i="24"/>
  <c r="A94" i="24"/>
  <c r="AB93" i="24"/>
  <c r="A93" i="24"/>
  <c r="AB92" i="24"/>
  <c r="A92" i="24"/>
  <c r="AB91" i="24"/>
  <c r="A91" i="24"/>
  <c r="AB90" i="24"/>
  <c r="A90" i="24"/>
  <c r="AB89" i="24"/>
  <c r="A89" i="24"/>
  <c r="AB88" i="24"/>
  <c r="A88" i="24"/>
  <c r="AB87" i="24"/>
  <c r="A87" i="24"/>
  <c r="AB86" i="24"/>
  <c r="A86" i="24"/>
  <c r="AB85" i="24"/>
  <c r="A85" i="24"/>
  <c r="AB84" i="24"/>
  <c r="A84" i="24"/>
  <c r="AB83" i="24"/>
  <c r="A83" i="24"/>
  <c r="AB82" i="24"/>
  <c r="A82" i="24"/>
  <c r="AB81" i="24"/>
  <c r="A81" i="24"/>
  <c r="AB80" i="24"/>
  <c r="A80" i="24"/>
  <c r="AB79" i="24"/>
  <c r="A79" i="24"/>
  <c r="AB78" i="24"/>
  <c r="A78" i="24"/>
  <c r="AB77" i="24"/>
  <c r="A77" i="24"/>
  <c r="AB76" i="24"/>
  <c r="A76" i="24"/>
  <c r="AB75" i="24"/>
  <c r="A75" i="24"/>
  <c r="AB74" i="24"/>
  <c r="A74" i="24"/>
  <c r="AB73" i="24"/>
  <c r="A73" i="24"/>
  <c r="AB72" i="24"/>
  <c r="A72" i="24"/>
  <c r="AB71" i="24"/>
  <c r="A71" i="24"/>
  <c r="AB70" i="24"/>
  <c r="A70" i="24"/>
  <c r="AB69" i="24"/>
  <c r="A69" i="24"/>
  <c r="AB68" i="24"/>
  <c r="A68" i="24"/>
  <c r="AB67" i="24"/>
  <c r="A67" i="24"/>
  <c r="AB66" i="24"/>
  <c r="A66" i="24"/>
  <c r="AB65" i="24"/>
  <c r="A65" i="24"/>
  <c r="AB64" i="24"/>
  <c r="A64" i="24"/>
  <c r="AB63" i="24"/>
  <c r="A63" i="24"/>
  <c r="AB62" i="24"/>
  <c r="A62" i="24"/>
  <c r="AB61" i="24"/>
  <c r="A61" i="24"/>
  <c r="AB60" i="24"/>
  <c r="A60" i="24"/>
  <c r="AB59" i="24"/>
  <c r="A59" i="24"/>
  <c r="AB58" i="24"/>
  <c r="A58" i="24"/>
  <c r="AB57" i="24"/>
  <c r="A57" i="24"/>
  <c r="AB56" i="24"/>
  <c r="A56" i="24"/>
  <c r="AB55" i="24"/>
  <c r="A55" i="24"/>
  <c r="AB54" i="24"/>
  <c r="A54" i="24"/>
  <c r="AB53" i="24"/>
  <c r="A53" i="24"/>
  <c r="AB52" i="24"/>
  <c r="A52" i="24"/>
  <c r="AB51" i="24"/>
  <c r="A51" i="24"/>
  <c r="AB50" i="24"/>
  <c r="A50" i="24"/>
  <c r="AB49" i="24"/>
  <c r="A49" i="24"/>
  <c r="AB48" i="24"/>
  <c r="A48" i="24"/>
  <c r="AB47" i="24"/>
  <c r="A47" i="24"/>
  <c r="AB46" i="24"/>
  <c r="A46" i="24"/>
  <c r="AB45" i="24"/>
  <c r="A45" i="24"/>
  <c r="AB44" i="24"/>
  <c r="A44" i="24"/>
  <c r="AB43" i="24"/>
  <c r="A43" i="24"/>
  <c r="AB42" i="24"/>
  <c r="A42" i="24"/>
  <c r="AB41" i="24"/>
  <c r="A41" i="24"/>
  <c r="AB40" i="24"/>
  <c r="A40" i="24"/>
  <c r="AB39" i="24"/>
  <c r="A39" i="24"/>
  <c r="AB38" i="24"/>
  <c r="A38" i="24"/>
  <c r="AB37" i="24"/>
  <c r="A37" i="24"/>
  <c r="AB36" i="24"/>
  <c r="A36" i="24"/>
  <c r="AB35" i="24"/>
  <c r="A35" i="24"/>
  <c r="AB34" i="24"/>
  <c r="A34" i="24"/>
  <c r="AB33" i="24"/>
  <c r="A33" i="24"/>
  <c r="AB32" i="24"/>
  <c r="A32" i="24"/>
  <c r="AB31" i="24"/>
  <c r="A31" i="24"/>
  <c r="AB30" i="24"/>
  <c r="A30" i="24"/>
  <c r="AB29" i="24"/>
  <c r="A29" i="24"/>
  <c r="AB28" i="24"/>
  <c r="A28" i="24"/>
  <c r="AB27" i="24"/>
  <c r="A27" i="24"/>
  <c r="AB26" i="24"/>
  <c r="A26" i="24"/>
  <c r="AB25" i="24"/>
  <c r="A25" i="24"/>
  <c r="AB24" i="24"/>
  <c r="A24" i="24"/>
  <c r="AB23" i="24"/>
  <c r="A23" i="24"/>
  <c r="AB22" i="24"/>
  <c r="A22" i="24"/>
  <c r="AB21" i="24"/>
  <c r="A21" i="24"/>
  <c r="AB20" i="24"/>
  <c r="A20" i="24"/>
  <c r="AB19" i="24"/>
  <c r="A19" i="24"/>
  <c r="AB18" i="24"/>
  <c r="A18" i="24"/>
  <c r="AB17" i="24"/>
  <c r="A17" i="24"/>
  <c r="AB16" i="24"/>
  <c r="A16" i="24"/>
  <c r="AB15" i="24"/>
  <c r="A15" i="24"/>
  <c r="AB14" i="24"/>
  <c r="A14" i="24"/>
  <c r="AB13" i="24"/>
  <c r="A13" i="24"/>
  <c r="AB12" i="24"/>
  <c r="A12" i="24"/>
  <c r="AB11" i="24"/>
  <c r="A11" i="24"/>
  <c r="AB10" i="24"/>
  <c r="A10" i="24"/>
  <c r="AB9" i="24"/>
  <c r="A9" i="24"/>
  <c r="AB8" i="24"/>
  <c r="A8" i="24"/>
  <c r="AB7" i="24"/>
  <c r="A7" i="24"/>
  <c r="AB6" i="24"/>
  <c r="A6" i="24"/>
  <c r="AB5" i="24"/>
  <c r="A5" i="24"/>
  <c r="AB4" i="24"/>
  <c r="A4" i="24"/>
  <c r="AB3" i="24"/>
  <c r="A3" i="24"/>
  <c r="AB2" i="24"/>
  <c r="A2" i="24"/>
  <c r="H25" i="23" l="1"/>
  <c r="D38" i="23"/>
  <c r="D34" i="23"/>
  <c r="D30" i="23"/>
  <c r="D26" i="23"/>
  <c r="D21" i="23"/>
  <c r="E38" i="23"/>
  <c r="E34" i="23"/>
  <c r="E30" i="23"/>
  <c r="E26" i="23"/>
  <c r="E22" i="23"/>
  <c r="F38" i="23"/>
  <c r="F34" i="23"/>
  <c r="F30" i="23"/>
  <c r="F26" i="23"/>
  <c r="F22" i="23"/>
  <c r="G38" i="23"/>
  <c r="G34" i="23"/>
  <c r="G30" i="23"/>
  <c r="G26" i="23"/>
  <c r="G22" i="23"/>
  <c r="H38" i="23"/>
  <c r="H34" i="23"/>
  <c r="H30" i="23"/>
  <c r="H26" i="23"/>
  <c r="H21" i="23"/>
  <c r="I37" i="23"/>
  <c r="I33" i="23"/>
  <c r="I29" i="23"/>
  <c r="I25" i="23"/>
  <c r="I21" i="23"/>
  <c r="D37" i="23"/>
  <c r="D33" i="23"/>
  <c r="D29" i="23"/>
  <c r="D25" i="23"/>
  <c r="D20" i="23"/>
  <c r="E37" i="23"/>
  <c r="E33" i="23"/>
  <c r="E29" i="23"/>
  <c r="E25" i="23"/>
  <c r="E21" i="23"/>
  <c r="F37" i="23"/>
  <c r="F33" i="23"/>
  <c r="F29" i="23"/>
  <c r="F25" i="23"/>
  <c r="F21" i="23"/>
  <c r="G37" i="23"/>
  <c r="G33" i="23"/>
  <c r="G29" i="23"/>
  <c r="G25" i="23"/>
  <c r="G21" i="23"/>
  <c r="H37" i="23"/>
  <c r="H33" i="23"/>
  <c r="H29" i="23"/>
  <c r="H24" i="23"/>
  <c r="H20" i="23"/>
  <c r="I36" i="23"/>
  <c r="I32" i="23"/>
  <c r="I28" i="23"/>
  <c r="I24" i="23"/>
  <c r="I20" i="23"/>
  <c r="D36" i="23"/>
  <c r="D32" i="23"/>
  <c r="D28" i="23"/>
  <c r="D23" i="23"/>
  <c r="D24" i="23"/>
  <c r="E36" i="23"/>
  <c r="E32" i="23"/>
  <c r="E28" i="23"/>
  <c r="E24" i="23"/>
  <c r="E20" i="23"/>
  <c r="F36" i="23"/>
  <c r="F32" i="23"/>
  <c r="F28" i="23"/>
  <c r="F24" i="23"/>
  <c r="F20" i="23"/>
  <c r="G36" i="23"/>
  <c r="G32" i="23"/>
  <c r="G28" i="23"/>
  <c r="G24" i="23"/>
  <c r="G20" i="23"/>
  <c r="H36" i="23"/>
  <c r="H32" i="23"/>
  <c r="H28" i="23"/>
  <c r="H23" i="23"/>
  <c r="I19" i="23"/>
  <c r="I35" i="23"/>
  <c r="I31" i="23"/>
  <c r="I27" i="23"/>
  <c r="I23" i="23"/>
  <c r="E19" i="23"/>
  <c r="D35" i="23"/>
  <c r="D31" i="23"/>
  <c r="D27" i="23"/>
  <c r="D22" i="23"/>
  <c r="C19" i="23"/>
  <c r="E35" i="23"/>
  <c r="E31" i="23"/>
  <c r="E27" i="23"/>
  <c r="E23" i="23"/>
  <c r="F19" i="23"/>
  <c r="F35" i="23"/>
  <c r="F31" i="23"/>
  <c r="F27" i="23"/>
  <c r="F23" i="23"/>
  <c r="G19" i="23"/>
  <c r="G35" i="23"/>
  <c r="G31" i="23"/>
  <c r="G27" i="23"/>
  <c r="G23" i="23"/>
  <c r="H19" i="23"/>
  <c r="H35" i="23"/>
  <c r="H31" i="23"/>
  <c r="H27" i="23"/>
  <c r="H22" i="23"/>
  <c r="I38" i="23"/>
  <c r="I34" i="23"/>
  <c r="I30" i="23"/>
  <c r="I26" i="23"/>
  <c r="I22" i="23"/>
  <c r="AA106" i="16"/>
  <c r="A106" i="16"/>
  <c r="A3" i="31" l="1"/>
  <c r="A4" i="31"/>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2" i="31"/>
  <c r="H3" i="31"/>
  <c r="H4" i="31"/>
  <c r="H5" i="31"/>
  <c r="H6" i="31"/>
  <c r="H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2" i="31"/>
  <c r="F14" i="26" l="1"/>
  <c r="H13" i="26"/>
  <c r="H14" i="26"/>
  <c r="F13" i="26"/>
  <c r="F16" i="26"/>
  <c r="H16" i="26"/>
  <c r="F15" i="26"/>
  <c r="H15" i="26"/>
  <c r="AA126" i="16"/>
  <c r="V126" i="16"/>
  <c r="A126" i="16"/>
  <c r="AA125" i="16"/>
  <c r="V125" i="16"/>
  <c r="A125" i="16"/>
  <c r="AA124" i="16"/>
  <c r="A124" i="16"/>
  <c r="AA123" i="16"/>
  <c r="V123" i="16"/>
  <c r="A123" i="16"/>
  <c r="AA122" i="16"/>
  <c r="V122" i="16"/>
  <c r="A122" i="16"/>
  <c r="AA121" i="16"/>
  <c r="A121" i="16"/>
  <c r="AA120" i="16"/>
  <c r="A120" i="16"/>
  <c r="AA119" i="16"/>
  <c r="A119" i="16"/>
  <c r="AA118" i="16"/>
  <c r="V118" i="16"/>
  <c r="A118" i="16"/>
  <c r="AA117" i="16"/>
  <c r="V117" i="16"/>
  <c r="A117" i="16"/>
  <c r="AA116" i="16"/>
  <c r="V116" i="16"/>
  <c r="A116" i="16"/>
  <c r="AA115" i="16"/>
  <c r="V115" i="16"/>
  <c r="A115" i="16"/>
  <c r="AA114" i="16"/>
  <c r="A114" i="16"/>
  <c r="AA113" i="16"/>
  <c r="V113" i="16"/>
  <c r="A113" i="16"/>
  <c r="AA112" i="16"/>
  <c r="V112" i="16"/>
  <c r="A112" i="16"/>
  <c r="AA111" i="16"/>
  <c r="V111" i="16"/>
  <c r="A111" i="16"/>
  <c r="AA110" i="16"/>
  <c r="V110" i="16"/>
  <c r="A110" i="16"/>
  <c r="AA109" i="16"/>
  <c r="V109" i="16"/>
  <c r="A109" i="16"/>
  <c r="AA108" i="16"/>
  <c r="V108" i="16"/>
  <c r="A108" i="16"/>
  <c r="AA107" i="16"/>
  <c r="V107" i="16"/>
  <c r="A107" i="16"/>
  <c r="AA105" i="16"/>
  <c r="V105" i="16"/>
  <c r="A105" i="16"/>
  <c r="AA104" i="16"/>
  <c r="A104" i="16"/>
  <c r="AA103" i="16"/>
  <c r="V103" i="16"/>
  <c r="A103" i="16"/>
  <c r="AA102" i="16"/>
  <c r="V102" i="16"/>
  <c r="A102" i="16"/>
  <c r="AA101" i="16"/>
  <c r="V101" i="16"/>
  <c r="A101" i="16"/>
  <c r="AA100" i="16"/>
  <c r="A100" i="16"/>
  <c r="AA99" i="16"/>
  <c r="V99" i="16"/>
  <c r="A99" i="16"/>
  <c r="AA98" i="16"/>
  <c r="V98" i="16"/>
  <c r="A98" i="16"/>
  <c r="AA97" i="16"/>
  <c r="V97" i="16"/>
  <c r="A97" i="16"/>
  <c r="AA96" i="16"/>
  <c r="A96" i="16"/>
  <c r="AA95" i="16"/>
  <c r="V95" i="16"/>
  <c r="A95" i="16"/>
  <c r="AA94" i="16"/>
  <c r="V94" i="16"/>
  <c r="A94" i="16"/>
  <c r="AA93" i="16"/>
  <c r="V93" i="16"/>
  <c r="A93" i="16"/>
  <c r="AA92" i="16"/>
  <c r="V92" i="16"/>
  <c r="A92" i="16"/>
  <c r="AA91" i="16"/>
  <c r="V91" i="16"/>
  <c r="A91" i="16"/>
  <c r="AA90" i="16"/>
  <c r="V90" i="16"/>
  <c r="A90" i="16"/>
  <c r="AA89" i="16"/>
  <c r="V89" i="16"/>
  <c r="A89" i="16"/>
  <c r="AA88" i="16"/>
  <c r="V88" i="16"/>
  <c r="A88" i="16"/>
  <c r="AA87" i="16"/>
  <c r="V87" i="16"/>
  <c r="A87" i="16"/>
  <c r="AA86" i="16"/>
  <c r="V86" i="16"/>
  <c r="A86" i="16"/>
  <c r="AA85" i="16"/>
  <c r="V85" i="16"/>
  <c r="A85" i="16"/>
  <c r="AA84" i="16"/>
  <c r="V84" i="16"/>
  <c r="A84" i="16"/>
  <c r="AA83" i="16"/>
  <c r="V83" i="16"/>
  <c r="A83" i="16"/>
  <c r="AA82" i="16"/>
  <c r="V82" i="16"/>
  <c r="A82" i="16"/>
  <c r="AA81" i="16"/>
  <c r="V81" i="16"/>
  <c r="A81" i="16"/>
  <c r="AA80" i="16"/>
  <c r="V80" i="16"/>
  <c r="A80" i="16"/>
  <c r="AA79" i="16"/>
  <c r="V79" i="16"/>
  <c r="A79" i="16"/>
  <c r="AA78" i="16"/>
  <c r="V78" i="16"/>
  <c r="A78" i="16"/>
  <c r="AA77" i="16"/>
  <c r="V77" i="16"/>
  <c r="A77" i="16"/>
  <c r="AA76" i="16"/>
  <c r="V76" i="16"/>
  <c r="A76" i="16"/>
  <c r="AA75" i="16"/>
  <c r="V75" i="16"/>
  <c r="A75" i="16"/>
  <c r="AA74" i="16"/>
  <c r="V74" i="16"/>
  <c r="A74" i="16"/>
  <c r="AA73" i="16"/>
  <c r="V73" i="16"/>
  <c r="A73" i="16"/>
  <c r="AA69" i="16"/>
  <c r="V69" i="16"/>
  <c r="A69" i="16"/>
  <c r="AA68" i="16"/>
  <c r="V68" i="16"/>
  <c r="A68" i="16"/>
  <c r="AA66" i="16"/>
  <c r="A66" i="16"/>
  <c r="AA65" i="16"/>
  <c r="A65" i="16"/>
  <c r="AA70" i="16"/>
  <c r="V70" i="16"/>
  <c r="A70" i="16"/>
  <c r="AA64" i="16"/>
  <c r="A64" i="16"/>
  <c r="AA63" i="16"/>
  <c r="A63" i="16"/>
  <c r="AA62" i="16"/>
  <c r="A62" i="16"/>
  <c r="AA72" i="16"/>
  <c r="V72" i="16"/>
  <c r="A72" i="16"/>
  <c r="AA67" i="16"/>
  <c r="V67" i="16"/>
  <c r="A67" i="16"/>
  <c r="AA71" i="16"/>
  <c r="V71" i="16"/>
  <c r="A71" i="16"/>
  <c r="AA61" i="16"/>
  <c r="A61" i="16"/>
  <c r="AA60" i="16"/>
  <c r="V60" i="16"/>
  <c r="A60" i="16"/>
  <c r="AA59" i="16"/>
  <c r="V59" i="16"/>
  <c r="A59" i="16"/>
  <c r="AA58" i="16"/>
  <c r="V58" i="16"/>
  <c r="A58" i="16"/>
  <c r="AA57" i="16"/>
  <c r="V57" i="16"/>
  <c r="A57" i="16"/>
  <c r="AA55" i="16"/>
  <c r="A55" i="16"/>
  <c r="AA54" i="16"/>
  <c r="V54" i="16"/>
  <c r="A54" i="16"/>
  <c r="AA53" i="16"/>
  <c r="V53" i="16"/>
  <c r="A53" i="16"/>
  <c r="AA52" i="16"/>
  <c r="V52" i="16"/>
  <c r="A52" i="16"/>
  <c r="AA51" i="16"/>
  <c r="V51" i="16"/>
  <c r="A51" i="16"/>
  <c r="AA50" i="16"/>
  <c r="V50" i="16"/>
  <c r="A50" i="16"/>
  <c r="AA49" i="16"/>
  <c r="V49" i="16"/>
  <c r="A49" i="16"/>
  <c r="AA48" i="16"/>
  <c r="A48" i="16"/>
  <c r="AA47" i="16"/>
  <c r="V47" i="16"/>
  <c r="A47" i="16"/>
  <c r="AA46" i="16"/>
  <c r="V46" i="16"/>
  <c r="A46" i="16"/>
  <c r="AA45" i="16"/>
  <c r="V45" i="16"/>
  <c r="A45" i="16"/>
  <c r="AA44" i="16"/>
  <c r="V44" i="16"/>
  <c r="A44" i="16"/>
  <c r="AA43" i="16"/>
  <c r="A43" i="16"/>
  <c r="AA42" i="16"/>
  <c r="V42" i="16"/>
  <c r="A42" i="16"/>
  <c r="AA41" i="16"/>
  <c r="V41" i="16"/>
  <c r="A41" i="16"/>
  <c r="AA40" i="16"/>
  <c r="V40" i="16"/>
  <c r="A40" i="16"/>
  <c r="AA39" i="16"/>
  <c r="A39" i="16"/>
  <c r="AA38" i="16"/>
  <c r="V38" i="16"/>
  <c r="A38" i="16"/>
  <c r="AA37" i="16"/>
  <c r="V37" i="16"/>
  <c r="A37" i="16"/>
  <c r="AA36" i="16"/>
  <c r="V36" i="16"/>
  <c r="A36" i="16"/>
  <c r="AA35" i="16"/>
  <c r="V35" i="16"/>
  <c r="A35" i="16"/>
  <c r="AA34" i="16"/>
  <c r="V34" i="16"/>
  <c r="A34" i="16"/>
  <c r="AA33" i="16"/>
  <c r="V33" i="16"/>
  <c r="A33" i="16"/>
  <c r="AA32" i="16"/>
  <c r="V32" i="16"/>
  <c r="A32" i="16"/>
  <c r="AA31" i="16"/>
  <c r="A31" i="16"/>
  <c r="AA30" i="16"/>
  <c r="V30" i="16"/>
  <c r="A30" i="16"/>
  <c r="AA29" i="16"/>
  <c r="V29" i="16"/>
  <c r="A29" i="16"/>
  <c r="AA28" i="16"/>
  <c r="V28" i="16"/>
  <c r="A28" i="16"/>
  <c r="AA27" i="16"/>
  <c r="V27" i="16"/>
  <c r="A27" i="16"/>
  <c r="AA26" i="16"/>
  <c r="V26" i="16"/>
  <c r="A26" i="16"/>
  <c r="AA25" i="16"/>
  <c r="V25" i="16"/>
  <c r="A25" i="16"/>
  <c r="AA24" i="16"/>
  <c r="V24" i="16"/>
  <c r="A24" i="16"/>
  <c r="AA23" i="16"/>
  <c r="V23" i="16"/>
  <c r="A23" i="16"/>
  <c r="AA22" i="16"/>
  <c r="V22" i="16"/>
  <c r="A22" i="16"/>
  <c r="AA21" i="16"/>
  <c r="V21" i="16"/>
  <c r="A21" i="16"/>
  <c r="AA20" i="16"/>
  <c r="V20" i="16"/>
  <c r="A20" i="16"/>
  <c r="AA19" i="16"/>
  <c r="V19" i="16"/>
  <c r="A19" i="16"/>
  <c r="AA18" i="16"/>
  <c r="V18" i="16"/>
  <c r="A18" i="16"/>
  <c r="AA17" i="16"/>
  <c r="V17" i="16"/>
  <c r="A17" i="16"/>
  <c r="AA16" i="16"/>
  <c r="V16" i="16"/>
  <c r="A16" i="16"/>
  <c r="AA15" i="16"/>
  <c r="V15" i="16"/>
  <c r="A15" i="16"/>
  <c r="AA14" i="16"/>
  <c r="V14" i="16"/>
  <c r="A14" i="16"/>
  <c r="AA13" i="16"/>
  <c r="A13" i="16"/>
  <c r="AA12" i="16"/>
  <c r="AA11" i="16"/>
  <c r="V11" i="16"/>
  <c r="A11" i="16"/>
  <c r="AA10" i="16"/>
  <c r="V10" i="16"/>
  <c r="A10" i="16"/>
  <c r="AA9" i="16"/>
  <c r="V9" i="16"/>
  <c r="A9" i="16"/>
  <c r="AA8" i="16"/>
  <c r="A8" i="16"/>
  <c r="AA7" i="16"/>
  <c r="V7" i="16"/>
  <c r="A7" i="16"/>
  <c r="AA6" i="16"/>
  <c r="V6" i="16"/>
  <c r="A6" i="16"/>
  <c r="AA5" i="16"/>
  <c r="V5" i="16"/>
  <c r="A5" i="16"/>
  <c r="AA4" i="16"/>
  <c r="V4" i="16"/>
  <c r="A4" i="16"/>
  <c r="AA3" i="16"/>
  <c r="V3" i="16"/>
  <c r="A3" i="16"/>
  <c r="AA2" i="16"/>
  <c r="V2" i="16"/>
  <c r="A2" i="16"/>
  <c r="A1" i="16"/>
  <c r="I30" i="5"/>
  <c r="F30" i="5"/>
  <c r="I29" i="5"/>
  <c r="F29" i="5"/>
  <c r="I28" i="5"/>
  <c r="F28" i="5"/>
  <c r="F27" i="5"/>
  <c r="I26" i="5"/>
  <c r="F26" i="5"/>
  <c r="I25" i="5"/>
  <c r="F25" i="5"/>
  <c r="I19" i="5"/>
  <c r="F19" i="5"/>
  <c r="I18" i="5"/>
  <c r="F18" i="5"/>
  <c r="I17" i="5"/>
  <c r="F17" i="5"/>
  <c r="I16" i="5"/>
  <c r="F16" i="5"/>
  <c r="I15" i="5"/>
  <c r="F15" i="5"/>
  <c r="I14" i="5"/>
  <c r="F14" i="5"/>
  <c r="I13" i="5"/>
  <c r="F13" i="5"/>
  <c r="I12" i="5"/>
  <c r="F12" i="5"/>
  <c r="I11" i="5"/>
  <c r="F11" i="5"/>
  <c r="F24" i="4"/>
  <c r="F23" i="4"/>
  <c r="F22" i="4"/>
  <c r="F21" i="4"/>
  <c r="I19" i="4"/>
  <c r="F19" i="4"/>
  <c r="I18" i="4"/>
  <c r="F18" i="4"/>
  <c r="I17" i="4"/>
  <c r="F17" i="4"/>
  <c r="I16" i="4"/>
  <c r="F16" i="4"/>
  <c r="I15" i="4"/>
  <c r="F15" i="4"/>
  <c r="I14" i="4"/>
  <c r="F14" i="4"/>
  <c r="I12" i="4"/>
  <c r="F12" i="4"/>
  <c r="I11" i="4"/>
  <c r="F11" i="4"/>
  <c r="F96" i="3"/>
  <c r="F95" i="3"/>
  <c r="F94" i="3"/>
  <c r="F92" i="3"/>
  <c r="F83" i="3"/>
  <c r="F82" i="3"/>
  <c r="F79" i="3"/>
  <c r="F78" i="3"/>
  <c r="F75" i="3"/>
  <c r="F74" i="3"/>
  <c r="I73" i="3"/>
  <c r="I72" i="3"/>
  <c r="I66" i="3"/>
  <c r="I65" i="3"/>
  <c r="I64" i="3"/>
  <c r="I63" i="3"/>
  <c r="I62" i="3"/>
  <c r="I61" i="3"/>
  <c r="I60" i="3"/>
  <c r="I59" i="3"/>
  <c r="I41" i="3"/>
  <c r="I40" i="3"/>
  <c r="I38" i="3"/>
  <c r="I37" i="3"/>
  <c r="I35" i="3"/>
  <c r="I34" i="3"/>
  <c r="I32" i="3"/>
  <c r="I31" i="3"/>
  <c r="I29" i="3"/>
  <c r="I28" i="3"/>
  <c r="I27" i="3"/>
  <c r="I18" i="3"/>
  <c r="F18" i="3"/>
  <c r="H52" i="15" l="1"/>
  <c r="H48" i="15"/>
  <c r="F50" i="15"/>
  <c r="C52" i="15"/>
  <c r="F52" i="15"/>
  <c r="H50" i="15"/>
  <c r="C48" i="15"/>
  <c r="G49" i="15"/>
  <c r="E51" i="15"/>
  <c r="F48" i="15"/>
  <c r="C50" i="15"/>
  <c r="G51" i="15"/>
  <c r="E52" i="15"/>
  <c r="E49" i="15"/>
  <c r="F24" i="15"/>
  <c r="F28" i="15"/>
  <c r="F25" i="15"/>
  <c r="F29" i="15"/>
  <c r="F26" i="15"/>
  <c r="F27" i="15"/>
  <c r="G29" i="15"/>
  <c r="F30" i="15"/>
  <c r="C24" i="15"/>
  <c r="C30" i="15"/>
  <c r="C31" i="15"/>
  <c r="J34" i="15"/>
  <c r="J29" i="15"/>
  <c r="H21" i="15"/>
  <c r="C28" i="15"/>
  <c r="C27" i="15"/>
  <c r="C33" i="15"/>
  <c r="J22" i="15"/>
  <c r="J28" i="15"/>
  <c r="C32" i="15"/>
  <c r="C35" i="15"/>
  <c r="C26" i="15"/>
  <c r="J26" i="15"/>
  <c r="J35" i="15"/>
  <c r="J33" i="15"/>
  <c r="C36" i="15"/>
  <c r="C25" i="15"/>
  <c r="C34" i="15"/>
  <c r="J30" i="15"/>
  <c r="J32" i="15"/>
  <c r="J21" i="15"/>
  <c r="J31" i="15"/>
  <c r="J36" i="15"/>
  <c r="C29" i="15"/>
  <c r="J27" i="15"/>
  <c r="J25" i="15"/>
  <c r="J23" i="15"/>
  <c r="J24" i="15"/>
  <c r="C21" i="15"/>
  <c r="C22" i="15"/>
  <c r="G28" i="15"/>
  <c r="C23" i="15"/>
  <c r="H22" i="15"/>
  <c r="G22" i="15"/>
  <c r="F38" i="15"/>
  <c r="F34" i="15"/>
  <c r="E30" i="15"/>
  <c r="H27" i="15"/>
  <c r="G27" i="15"/>
  <c r="F23" i="15"/>
  <c r="E39" i="15"/>
  <c r="E35" i="15"/>
  <c r="H24" i="15"/>
  <c r="G24" i="15"/>
  <c r="F36" i="15"/>
  <c r="H41" i="15"/>
  <c r="G21" i="15"/>
  <c r="F33" i="15"/>
  <c r="E29" i="15"/>
  <c r="F32" i="15"/>
  <c r="E40" i="15"/>
  <c r="H26" i="15"/>
  <c r="G26" i="15"/>
  <c r="F22" i="15"/>
  <c r="E38" i="15"/>
  <c r="E34" i="15"/>
  <c r="H31" i="15"/>
  <c r="G31" i="15"/>
  <c r="E23" i="15"/>
  <c r="H28" i="15"/>
  <c r="E24" i="15"/>
  <c r="H40" i="15"/>
  <c r="H25" i="15"/>
  <c r="G25" i="15"/>
  <c r="F41" i="15"/>
  <c r="F21" i="15"/>
  <c r="E33" i="15"/>
  <c r="G32" i="15"/>
  <c r="H30" i="15"/>
  <c r="G30" i="15"/>
  <c r="E22" i="15"/>
  <c r="H39" i="15"/>
  <c r="H35" i="15"/>
  <c r="G35" i="15"/>
  <c r="F31" i="15"/>
  <c r="E27" i="15"/>
  <c r="H32" i="15"/>
  <c r="G36" i="15"/>
  <c r="E28" i="15"/>
  <c r="H29" i="15"/>
  <c r="E41" i="15"/>
  <c r="E21" i="15"/>
  <c r="E32" i="15"/>
  <c r="H38" i="15"/>
  <c r="H34" i="15"/>
  <c r="G34" i="15"/>
  <c r="E26" i="15"/>
  <c r="H23" i="15"/>
  <c r="G23" i="15"/>
  <c r="F39" i="15"/>
  <c r="F35" i="15"/>
  <c r="E31" i="15"/>
  <c r="H36" i="15"/>
  <c r="E36" i="15"/>
  <c r="H33" i="15"/>
  <c r="G33" i="15"/>
  <c r="E25" i="15"/>
  <c r="F40" i="15"/>
  <c r="G48" i="15"/>
  <c r="F49" i="15"/>
  <c r="E50" i="15"/>
  <c r="C51" i="15"/>
  <c r="H51" i="15"/>
  <c r="G52" i="15"/>
  <c r="E48" i="15"/>
  <c r="C49" i="15"/>
  <c r="H49" i="15"/>
  <c r="G50" i="15"/>
  <c r="F51" i="15"/>
</calcChain>
</file>

<file path=xl/comments1.xml><?xml version="1.0" encoding="utf-8"?>
<comments xmlns="http://schemas.openxmlformats.org/spreadsheetml/2006/main">
  <authors>
    <author>murrutia</author>
  </authors>
  <commentList>
    <comment ref="M104" authorId="0">
      <text>
        <r>
          <rPr>
            <b/>
            <sz val="9"/>
            <color indexed="81"/>
            <rFont val="Tahoma"/>
            <family val="2"/>
          </rPr>
          <t>murrutia:</t>
        </r>
        <r>
          <rPr>
            <sz val="9"/>
            <color indexed="81"/>
            <rFont val="Tahoma"/>
            <family val="2"/>
          </rPr>
          <t xml:space="preserve">
is it 16,000?</t>
        </r>
      </text>
    </comment>
  </commentList>
</comments>
</file>

<file path=xl/comments2.xml><?xml version="1.0" encoding="utf-8"?>
<comments xmlns="http://schemas.openxmlformats.org/spreadsheetml/2006/main">
  <authors>
    <author>aburnham</author>
    <author>Kehne, Chelsea (ENE)</author>
  </authors>
  <commentList>
    <comment ref="B29" authorId="0">
      <text>
        <r>
          <rPr>
            <sz val="9"/>
            <color indexed="81"/>
            <rFont val="Tahoma"/>
            <family val="2"/>
          </rPr>
          <t>PHEV example = Toyota Prius Plug-in
A PHEV is hybrid vehicle which uses rechargable batteries charged by an external power source (e.g. wall outlet).
There are many different types of PHEVs as the battery size and operation can vary significantly.
A Toyota Prius-style PHEV operates in blended mode, which is when the battery's energy is primarily used to drive the vehicle but the engine may turn on during hard accelerations, etc to assist the battery. Blended mode PHEVs typically have smaller batteries than an "EREV"-style PHEV
http://www.fueleconomy.gov/feg/phevtech.shtml</t>
        </r>
      </text>
    </comment>
    <comment ref="B30" authorId="0">
      <text>
        <r>
          <rPr>
            <sz val="9"/>
            <color indexed="81"/>
            <rFont val="Tahoma"/>
            <family val="2"/>
          </rPr>
          <t>EREV example = Chevrolet Volt 
EREV is a type of PHEV that operates all electrically until the battery is depleted and will typically have a large battery pack.
After battery depletion, a Volt-style EREV (series PHEV) uses the engine as a generator to produce electricity to operate the vehicle.
http://www.fueleconomy.gov/feg/phevtech.shtml</t>
        </r>
      </text>
    </comment>
    <comment ref="B32" authorId="1">
      <text>
        <r>
          <rPr>
            <sz val="9"/>
            <color indexed="81"/>
            <rFont val="Tahoma"/>
            <family val="2"/>
          </rPr>
          <t xml:space="preserve">Bi-fuel vehicles are vehicles with multifuel engines capable of running on two fuels. 
Bi-fuel systems, also called “switchable” systems, alternate between gasoline and other fuel sources (in this case, CNG), whereas Dual Fuel systems mix both fuels together.
</t>
        </r>
      </text>
    </comment>
    <comment ref="B33" authorId="1">
      <text>
        <r>
          <rPr>
            <sz val="9"/>
            <color indexed="81"/>
            <rFont val="Tahoma"/>
            <family val="2"/>
          </rPr>
          <t xml:space="preserve">Bi-fuel vehicles are vehicles with multifuel engines capable of running on two fuels. 
Bi-fuel systems, also called “switchable” systems, alternate between gasoline and other fuel sources (in this case, LPG), whereas Dual Fuel systems mix both fuels together.
</t>
        </r>
      </text>
    </comment>
    <comment ref="B34" authorId="1">
      <text>
        <r>
          <rPr>
            <sz val="9"/>
            <color indexed="81"/>
            <rFont val="Tahoma"/>
            <family val="2"/>
          </rPr>
          <t xml:space="preserve">Dual fuel vehicles are vehicles with multifuel engines capable of running on two fuels. 
A dual-fuel system is capable of using two types of fuel at the same time in a mixture (in this case Gasoline and E85), in contrast to Bi-Fuel systems that switch between fuels.
</t>
        </r>
      </text>
    </comment>
    <comment ref="B35" authorId="1">
      <text>
        <r>
          <rPr>
            <sz val="9"/>
            <color indexed="81"/>
            <rFont val="Tahoma"/>
            <family val="2"/>
          </rPr>
          <t xml:space="preserve">Dual fuel vehicles are vehicles with multifuel engines capable of running on two fuels. 
A dual-fuel system is capable of using two types of fuel at the same time in a mixture (in this case Gasoline and CNG), in contrast to Bi-Fuel systems that switch between fuels. 
</t>
        </r>
      </text>
    </comment>
  </commentList>
</comments>
</file>

<file path=xl/comments3.xml><?xml version="1.0" encoding="utf-8"?>
<comments xmlns="http://schemas.openxmlformats.org/spreadsheetml/2006/main">
  <authors>
    <author>Kehne, Chelsea (ENE)</author>
  </authors>
  <commentList>
    <comment ref="B22" authorId="0">
      <text>
        <r>
          <rPr>
            <sz val="9"/>
            <color indexed="81"/>
            <rFont val="Tahoma"/>
            <family val="2"/>
          </rPr>
          <t xml:space="preserve">
Asphalt pavement, brick and concrete from construction and demolition</t>
        </r>
      </text>
    </comment>
    <comment ref="B23" authorId="0">
      <text>
        <r>
          <rPr>
            <sz val="9"/>
            <color indexed="81"/>
            <rFont val="Tahoma"/>
            <family val="2"/>
          </rPr>
          <t xml:space="preserve">
Lead-acid batteries used in motor vehicles or stationary application</t>
        </r>
      </text>
    </comment>
    <comment ref="B24" authorId="0">
      <text>
        <r>
          <rPr>
            <sz val="9"/>
            <color indexed="81"/>
            <rFont val="Tahoma"/>
            <family val="2"/>
          </rPr>
          <t xml:space="preserve">
Glass tube used in visual displays in televisions, computer monitors, and scientific instruments</t>
        </r>
      </text>
    </comment>
    <comment ref="B25" authorId="0">
      <text>
        <r>
          <rPr>
            <sz val="9"/>
            <color indexed="81"/>
            <rFont val="Tahoma"/>
            <family val="2"/>
          </rPr>
          <t xml:space="preserve">
A panel (known as drywall) with a gypsum core and faced with a heavy paper or other material on both sides that is not contaminated </t>
        </r>
      </text>
    </comment>
    <comment ref="B26" authorId="0">
      <text>
        <r>
          <rPr>
            <sz val="9"/>
            <color indexed="81"/>
            <rFont val="Tahoma"/>
            <family val="2"/>
          </rPr>
          <t xml:space="preserve">
Glass bottles and jars. The ban does not cover light bulbs, Pyrex cookware, plate glass, drinking glasses, windows, etc</t>
        </r>
      </text>
    </comment>
    <comment ref="B27" authorId="0">
      <text>
        <r>
          <rPr>
            <sz val="9"/>
            <color indexed="81"/>
            <rFont val="Tahoma"/>
            <family val="2"/>
          </rPr>
          <t xml:space="preserve">
Leaves, grass clippings, weeds, garden materials, shrub trimmings, and brush one-inch or less in diameter (excluding diseased plants)</t>
        </r>
      </text>
    </comment>
    <comment ref="B28" authorId="0">
      <text>
        <r>
          <rPr>
            <sz val="9"/>
            <color indexed="81"/>
            <rFont val="Tahoma"/>
            <family val="2"/>
          </rPr>
          <t xml:space="preserve">
Ferrous and non-ferrous metals derived from used appliances, building materials, industrial equipment, vehicles, and manufacturing processes</t>
        </r>
      </text>
    </comment>
    <comment ref="B29" authorId="0">
      <text>
        <r>
          <rPr>
            <sz val="9"/>
            <color indexed="81"/>
            <rFont val="Tahoma"/>
            <family val="2"/>
          </rPr>
          <t xml:space="preserve">
Aluminum, steel or bi-metal beverage and food container</t>
        </r>
      </text>
    </comment>
    <comment ref="B30" authorId="0">
      <text>
        <r>
          <rPr>
            <sz val="9"/>
            <color indexed="81"/>
            <rFont val="Tahoma"/>
            <family val="2"/>
          </rPr>
          <t xml:space="preserve">
All paper, cardboard, and paperboard products (EXCEPT tissue paper, toweling, paper plates and cups, wax-coated cardboard, etc)</t>
        </r>
      </text>
    </comment>
    <comment ref="B31" authorId="0">
      <text>
        <r>
          <rPr>
            <sz val="9"/>
            <color indexed="81"/>
            <rFont val="Tahoma"/>
            <family val="2"/>
          </rPr>
          <t xml:space="preserve">
A soda bottle is narrow-necked but a yogurt container is not</t>
        </r>
      </text>
    </comment>
    <comment ref="B32" authorId="0">
      <text>
        <r>
          <rPr>
            <sz val="9"/>
            <color indexed="81"/>
            <rFont val="Tahoma"/>
            <family val="2"/>
          </rPr>
          <t xml:space="preserve">
Appliances employing electricity, oil, natural gas or liquefied petroleum gas</t>
        </r>
      </text>
    </comment>
    <comment ref="B33" authorId="0">
      <text>
        <r>
          <rPr>
            <sz val="9"/>
            <color indexed="81"/>
            <rFont val="Tahoma"/>
            <family val="2"/>
          </rPr>
          <t xml:space="preserve">
Motor vehicle tires of all types (Combustion facilities can accept whole tires for disposal.  Shredded tires are not restricted)</t>
        </r>
      </text>
    </comment>
    <comment ref="B34" authorId="0">
      <text>
        <r>
          <rPr>
            <sz val="9"/>
            <color indexed="81"/>
            <rFont val="Tahoma"/>
            <family val="2"/>
          </rPr>
          <t xml:space="preserve">
Treated and untreated wood, clean wood (trees, stumps, and brush, including but not limited to sawdust, chips, shavings and bark)</t>
        </r>
      </text>
    </comment>
    <comment ref="B35" authorId="0">
      <text>
        <r>
          <rPr>
            <sz val="9"/>
            <color indexed="81"/>
            <rFont val="Tahoma"/>
            <family val="2"/>
          </rPr>
          <t xml:space="preserve">
Food &amp; vegetative material from businesses &amp; institutions that dispose of 1 ton or more organic material per week                  </t>
        </r>
      </text>
    </comment>
  </commentList>
</comments>
</file>

<file path=xl/sharedStrings.xml><?xml version="1.0" encoding="utf-8"?>
<sst xmlns="http://schemas.openxmlformats.org/spreadsheetml/2006/main" count="4862" uniqueCount="1317">
  <si>
    <t>EXECUTIVE OFFICE OF ENERGY AND ENVIRONMENTAL AFFAIRS</t>
  </si>
  <si>
    <t>DEPARTMENT OF ENERGY RESOURCES</t>
  </si>
  <si>
    <t>Leading by Example Program</t>
  </si>
  <si>
    <t>Natural Gas</t>
  </si>
  <si>
    <t>Phone:</t>
  </si>
  <si>
    <t>Agency/Campus:</t>
  </si>
  <si>
    <t>CATEGORY</t>
  </si>
  <si>
    <t>UNIT*</t>
  </si>
  <si>
    <t>NOTES</t>
  </si>
  <si>
    <t>kWh</t>
  </si>
  <si>
    <t>therms</t>
  </si>
  <si>
    <t>gallons</t>
  </si>
  <si>
    <t>Fuel Oil #2 for buildings</t>
  </si>
  <si>
    <t>Bioheat #2 Heating oil</t>
  </si>
  <si>
    <t>List percentage, e.g. B5 or B20 here</t>
  </si>
  <si>
    <t>Fuel Oil #4</t>
  </si>
  <si>
    <t>Fuel Oil #6</t>
  </si>
  <si>
    <t>Purchased Steam</t>
  </si>
  <si>
    <t>Other (please list)</t>
  </si>
  <si>
    <t>TOTAL COST</t>
  </si>
  <si>
    <t>kBtu</t>
  </si>
  <si>
    <t>Capacity</t>
  </si>
  <si>
    <t>Technology</t>
  </si>
  <si>
    <t>Wind</t>
  </si>
  <si>
    <t>Hydro</t>
  </si>
  <si>
    <t>Ground source heat pump</t>
  </si>
  <si>
    <t>Biomass</t>
  </si>
  <si>
    <t>Anaerobic Digestion</t>
  </si>
  <si>
    <t>Solar Thermal</t>
  </si>
  <si>
    <t>Air source heat pump</t>
  </si>
  <si>
    <t>Other</t>
  </si>
  <si>
    <t>MW</t>
  </si>
  <si>
    <t>kW</t>
  </si>
  <si>
    <t>Liquid Natural Gas</t>
  </si>
  <si>
    <t>Diesel/ Fuel Oil #2 for Emergency Generators</t>
  </si>
  <si>
    <t>mlbs</t>
  </si>
  <si>
    <t>tons</t>
  </si>
  <si>
    <t>Gasoline</t>
  </si>
  <si>
    <t xml:space="preserve">Diesel </t>
  </si>
  <si>
    <t>Ethanol (E85)</t>
  </si>
  <si>
    <t>Propane</t>
  </si>
  <si>
    <t>Electric</t>
  </si>
  <si>
    <t>Vehicle Energy Use</t>
  </si>
  <si>
    <t>Other Fuel Energy Use</t>
  </si>
  <si>
    <t>Biodiesel blend</t>
  </si>
  <si>
    <t>Compressed Natural Gas (CNG)</t>
  </si>
  <si>
    <t>Is this kWh included in your overall grid electricity value?</t>
  </si>
  <si>
    <t>Jet Fuel</t>
  </si>
  <si>
    <t>Bridgewater State University</t>
  </si>
  <si>
    <t>Dept. of Correction</t>
  </si>
  <si>
    <t>Dept. of Developmental Services</t>
  </si>
  <si>
    <t>Dept. of Fire Services</t>
  </si>
  <si>
    <t>Dept. of Mental Health</t>
  </si>
  <si>
    <t>Dept. of Public Health</t>
  </si>
  <si>
    <t>Dept. of State Police</t>
  </si>
  <si>
    <t>Dept. of Youth Services</t>
  </si>
  <si>
    <t>Fitchburg State University</t>
  </si>
  <si>
    <t>Framingham State University</t>
  </si>
  <si>
    <t>Greenfield Community College</t>
  </si>
  <si>
    <t>Holyoke Comm. College</t>
  </si>
  <si>
    <t>Holyoke Soldier's Home</t>
  </si>
  <si>
    <t>Mass. Bay Comm. College</t>
  </si>
  <si>
    <t>Mass. College of Art &amp; Design</t>
  </si>
  <si>
    <t>Middlesex Comm. College</t>
  </si>
  <si>
    <t>Military Division</t>
  </si>
  <si>
    <t>Northern Essex Comm. College</t>
  </si>
  <si>
    <t>Quinsigamond Comm. College</t>
  </si>
  <si>
    <t>Roxbury Comm. College</t>
  </si>
  <si>
    <t>Salem State University</t>
  </si>
  <si>
    <t>Trial Court</t>
  </si>
  <si>
    <t>UMass Amherst</t>
  </si>
  <si>
    <t>UMass Boston</t>
  </si>
  <si>
    <t>UMass Dartmouth</t>
  </si>
  <si>
    <t>UMass Lowell</t>
  </si>
  <si>
    <t>UMass Medical</t>
  </si>
  <si>
    <t>Westfield State University</t>
  </si>
  <si>
    <t>Worcester State University</t>
  </si>
  <si>
    <t>Dept. of Fish and Game</t>
  </si>
  <si>
    <t>Environmental Police</t>
  </si>
  <si>
    <t>MassPort Authority</t>
  </si>
  <si>
    <t>Agency</t>
  </si>
  <si>
    <t>Square Footage</t>
  </si>
  <si>
    <t>Yes</t>
  </si>
  <si>
    <t>No</t>
  </si>
  <si>
    <t>Contact Information</t>
  </si>
  <si>
    <t>Building Energy Use (Fuels other than Electricity)</t>
  </si>
  <si>
    <t>Site/Facility Name</t>
  </si>
  <si>
    <t>City/Town</t>
  </si>
  <si>
    <t>On-site power generation owned and operated by Commonwealth</t>
  </si>
  <si>
    <t>AEC</t>
  </si>
  <si>
    <t>REC</t>
  </si>
  <si>
    <t>Pellets</t>
  </si>
  <si>
    <t>Wood Chips</t>
  </si>
  <si>
    <t xml:space="preserve">Other </t>
  </si>
  <si>
    <t>NG Units</t>
  </si>
  <si>
    <t>CCF</t>
  </si>
  <si>
    <t>Btu</t>
  </si>
  <si>
    <t>MMBtu</t>
  </si>
  <si>
    <t>Fuel Oil Units</t>
  </si>
  <si>
    <t>barrels</t>
  </si>
  <si>
    <t>other</t>
  </si>
  <si>
    <t>Woods</t>
  </si>
  <si>
    <t>Steam</t>
  </si>
  <si>
    <t>Clean Combined Heat and Power (CHP)/Co-Generation</t>
  </si>
  <si>
    <t>System Type</t>
  </si>
  <si>
    <t>Site</t>
  </si>
  <si>
    <t>Site Details</t>
  </si>
  <si>
    <t>Location</t>
  </si>
  <si>
    <t>Project Cost ($)</t>
  </si>
  <si>
    <t>Est. Reduced Annual Energy Costs ($)</t>
  </si>
  <si>
    <t>Status (Comp., Const., Award, Bid, Design, Study)</t>
  </si>
  <si>
    <t>FY Complete</t>
  </si>
  <si>
    <t>Details</t>
  </si>
  <si>
    <t>Solar PV</t>
  </si>
  <si>
    <t>complete</t>
  </si>
  <si>
    <t>Bridgewater</t>
  </si>
  <si>
    <t xml:space="preserve">Bristol Comm College </t>
  </si>
  <si>
    <t>Fall River</t>
  </si>
  <si>
    <t>State House</t>
  </si>
  <si>
    <t>Boston</t>
  </si>
  <si>
    <t>Cape Cod Community College</t>
  </si>
  <si>
    <t>Chelsea Soldiers Home - Solar PV Installation- Crebs 1</t>
  </si>
  <si>
    <t>Chelsea</t>
  </si>
  <si>
    <t>Lancaster</t>
  </si>
  <si>
    <t>Milton</t>
  </si>
  <si>
    <t>DCR George's Island</t>
  </si>
  <si>
    <t>Lawrence</t>
  </si>
  <si>
    <t>DCR Spectacle Island</t>
  </si>
  <si>
    <t xml:space="preserve">DCR Waquoit Bay Reserve </t>
  </si>
  <si>
    <t>Amherst</t>
  </si>
  <si>
    <t>Springfield</t>
  </si>
  <si>
    <t>DEP Wall Laboratory</t>
  </si>
  <si>
    <t>DEP Wall Laboratory - Solar PV Project</t>
  </si>
  <si>
    <t xml:space="preserve">DFS Stow </t>
  </si>
  <si>
    <t>Stow</t>
  </si>
  <si>
    <t>Canton Housing Authority</t>
  </si>
  <si>
    <t>Canton</t>
  </si>
  <si>
    <t>Norfolk</t>
  </si>
  <si>
    <t>Walpole</t>
  </si>
  <si>
    <t>Concord</t>
  </si>
  <si>
    <t>Shirley</t>
  </si>
  <si>
    <t>MCI Bridgewater PV Installation</t>
  </si>
  <si>
    <t>MCI Cedar Junction - Photovoltaic Installation</t>
  </si>
  <si>
    <t>MCI Concord - PV Installation</t>
  </si>
  <si>
    <t>MCI Framingham Solar PV</t>
  </si>
  <si>
    <t>Framingham</t>
  </si>
  <si>
    <t>MCI Norfolk - PV Installation</t>
  </si>
  <si>
    <t>MCI South Middlesex Correctional Center - PV Installation</t>
  </si>
  <si>
    <t>NCCI Gardner</t>
  </si>
  <si>
    <t>Gardner</t>
  </si>
  <si>
    <t>2-1.65 MW turbines</t>
  </si>
  <si>
    <t>Fitchburg</t>
  </si>
  <si>
    <t>Greenfield</t>
  </si>
  <si>
    <t xml:space="preserve">Boston </t>
  </si>
  <si>
    <t>MassPort Logan Airport  Terminal B Parking Garage</t>
  </si>
  <si>
    <t>MassPort Logan Airport - Terminal B Parking Garage</t>
  </si>
  <si>
    <t>North Adams</t>
  </si>
  <si>
    <t>Middlesex Community College Ground Source Heat Pump</t>
  </si>
  <si>
    <t>Bedford</t>
  </si>
  <si>
    <t>Mass Maritime Academy</t>
  </si>
  <si>
    <t>Mass Maritime Academy - Wind Turbine Project</t>
  </si>
  <si>
    <t>Bourne</t>
  </si>
  <si>
    <t>Mt. Wachusett Comm College</t>
  </si>
  <si>
    <t>Winthrop</t>
  </si>
  <si>
    <t>Clinton</t>
  </si>
  <si>
    <t>Deer Island WWTP 2 x 1000 kW Inline Hydro Turbines</t>
  </si>
  <si>
    <t>Deer Island WWTP 6000 kW Cogeneration Engine for AD</t>
  </si>
  <si>
    <t>J.C. Carroll DWTP 496 kW Solar PV</t>
  </si>
  <si>
    <t>Marlborough</t>
  </si>
  <si>
    <t>Loring Road 200 kW Inline Hydro Turbine</t>
  </si>
  <si>
    <t>Weston</t>
  </si>
  <si>
    <t>Wachusett Resevoir Cosgrove 3400 kW Inline Hydro Turbine</t>
  </si>
  <si>
    <t>Wachusett Resevoir Oakdale 3500 kW Inline Hydro Turbine</t>
  </si>
  <si>
    <t>West Boylston</t>
  </si>
  <si>
    <t>North Shore CC - Solar PV Project</t>
  </si>
  <si>
    <t>Danvers</t>
  </si>
  <si>
    <t>Salem</t>
  </si>
  <si>
    <t>Dartmouth</t>
  </si>
  <si>
    <t>Installation of 600 kW turbine on campus</t>
  </si>
  <si>
    <t>Lowell</t>
  </si>
  <si>
    <t>Westfield</t>
  </si>
  <si>
    <t>Worcester</t>
  </si>
  <si>
    <t>Wrentham</t>
  </si>
  <si>
    <t>Other Building Fuels</t>
  </si>
  <si>
    <t>EE Projects</t>
  </si>
  <si>
    <t>Site/Location</t>
  </si>
  <si>
    <t>Energy Efficiency Projects at State Facilities</t>
  </si>
  <si>
    <t>Total Cost of Project</t>
  </si>
  <si>
    <t xml:space="preserve">Total Cost Savings </t>
  </si>
  <si>
    <t xml:space="preserve">RECs Certified by: </t>
  </si>
  <si>
    <t xml:space="preserve">REC Technology: </t>
  </si>
  <si>
    <t>Location of RECs purchased:</t>
  </si>
  <si>
    <t xml:space="preserve">Energy Efficiency Project Description </t>
  </si>
  <si>
    <r>
      <t xml:space="preserve">Power generation through </t>
    </r>
    <r>
      <rPr>
        <b/>
        <sz val="12"/>
        <color rgb="FFFFFFFF"/>
        <rFont val="Calibri"/>
        <family val="2"/>
        <scheme val="minor"/>
      </rPr>
      <t>power purchase agreement</t>
    </r>
  </si>
  <si>
    <t>Vehicle &amp; Other Fuels</t>
  </si>
  <si>
    <t>Contact Info</t>
  </si>
  <si>
    <t>Northampton</t>
  </si>
  <si>
    <t>District 2 Highway Administration Building</t>
  </si>
  <si>
    <t>Vehicle Fleet</t>
  </si>
  <si>
    <t xml:space="preserve">Mount Wachusett Community College  </t>
  </si>
  <si>
    <t>Quinsigamond Community College</t>
  </si>
  <si>
    <t>Umass Amherst</t>
  </si>
  <si>
    <t>Umass Medical</t>
  </si>
  <si>
    <t>CHP</t>
  </si>
  <si>
    <t>WasteHeat to Power</t>
  </si>
  <si>
    <t>AD - Steam Turbine Generator</t>
  </si>
  <si>
    <t>Bridgewater State University CHP</t>
  </si>
  <si>
    <t>Holyoke CC Bartley Center</t>
  </si>
  <si>
    <t>Holyoke</t>
  </si>
  <si>
    <t>Mass Maritime Academy -  ABS</t>
  </si>
  <si>
    <t>Mass. Maritime Academy Dorm PV 81 kW Solar PV</t>
  </si>
  <si>
    <t>Off-grid Solar pathway lighting</t>
  </si>
  <si>
    <t xml:space="preserve">Biomass </t>
  </si>
  <si>
    <t>Part of ZNEB</t>
  </si>
  <si>
    <t>Umass center for agriculture (Deerfield Farm PV Array)</t>
  </si>
  <si>
    <t>Deerfield</t>
  </si>
  <si>
    <t>Bridgewater Correctional Complex Kawasaki Gas Turbines</t>
  </si>
  <si>
    <t xml:space="preserve">Grid Electricity </t>
  </si>
  <si>
    <t>List fuel used for equipment</t>
  </si>
  <si>
    <t>List renewable type</t>
  </si>
  <si>
    <t>Number of Vehicles</t>
  </si>
  <si>
    <t>Category</t>
  </si>
  <si>
    <t>Fleet Vehicles Total</t>
  </si>
  <si>
    <t>Heavy Duty Vehicles</t>
  </si>
  <si>
    <t>Notes</t>
  </si>
  <si>
    <t>Light Duty Vehicles (&lt;10,000 lbs)</t>
  </si>
  <si>
    <t>Diesel</t>
  </si>
  <si>
    <t>Gasoline Hybrid Electric Vehicle (HEV)</t>
  </si>
  <si>
    <t>Gasoline Plug-in Hybrid Electric Vehicle (PHEV)</t>
  </si>
  <si>
    <t>Gasoline Extended Range Electric Vehicle (EREV)</t>
  </si>
  <si>
    <t>kBtu/hr</t>
  </si>
  <si>
    <t>Battery Electric Vehicle (BEV)</t>
  </si>
  <si>
    <t>Dedicated Propane (LPG)</t>
  </si>
  <si>
    <t xml:space="preserve">Dedicated Compressed Natural Gas (CNG) </t>
  </si>
  <si>
    <t xml:space="preserve">Bi-Fuel Gasoline - Compressed Natural Gas (CNG) </t>
  </si>
  <si>
    <t xml:space="preserve">Dual Fuel Gasoline - Ethanol (E85) </t>
  </si>
  <si>
    <t>Dual Fuel Gasoline - Compressed Natural Gas (CNG)</t>
  </si>
  <si>
    <t>Bi-Fuel Gasoline - Propane (LPG)</t>
  </si>
  <si>
    <t>If a cell is highlighted in yellow, please make sure to check the values.  If the highlighted data is correct, please include explanation if possible for any discrepancies.</t>
  </si>
  <si>
    <t xml:space="preserve">CHP/ Co-Generation </t>
  </si>
  <si>
    <t>Onsite Electricity Generation</t>
  </si>
  <si>
    <t>Onsite Thermal Output</t>
  </si>
  <si>
    <t>Excess Generation to Grid</t>
  </si>
  <si>
    <t>Anaerobic Digestion (AD)</t>
  </si>
  <si>
    <t>Other Renewables</t>
  </si>
  <si>
    <t>Renewable Energy Certificates</t>
  </si>
  <si>
    <t>MA Class I Sold</t>
  </si>
  <si>
    <t>MA SRECs  Sold</t>
  </si>
  <si>
    <t>Other RECs Sold</t>
  </si>
  <si>
    <t>RECs Purchased</t>
  </si>
  <si>
    <t>Propane (cooking and/or heating)</t>
  </si>
  <si>
    <t>Installed Clean Power</t>
  </si>
  <si>
    <t>PTS ID/ APS ID/ NEPOOL GIS ID</t>
  </si>
  <si>
    <t>Site Name</t>
  </si>
  <si>
    <t>Capacity (kW DC)</t>
  </si>
  <si>
    <t>Address</t>
  </si>
  <si>
    <t>City</t>
  </si>
  <si>
    <t>State</t>
  </si>
  <si>
    <t>Zip</t>
  </si>
  <si>
    <t>COD</t>
  </si>
  <si>
    <t>EO</t>
  </si>
  <si>
    <t>Est. Electricity Rate</t>
  </si>
  <si>
    <t>Capacity Factor</t>
  </si>
  <si>
    <t>Potential Annual Generation (kWh)</t>
  </si>
  <si>
    <t>Monitoring System?</t>
  </si>
  <si>
    <t>Renewable</t>
  </si>
  <si>
    <t>NFG-NN1981-05161</t>
  </si>
  <si>
    <t>Berkshire Community College - Field /Library/Arts Building</t>
  </si>
  <si>
    <t>1350 West Street</t>
  </si>
  <si>
    <t>Pittsfield</t>
  </si>
  <si>
    <t>MA</t>
  </si>
  <si>
    <t>BHE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</si>
  <si>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</si>
  <si>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</si>
  <si>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</si>
  <si>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</si>
  <si>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</si>
  <si>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</si>
  <si>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</si>
  <si>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</si>
  <si>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</si>
  <si>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</si>
  <si>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On-site Generation</t>
  </si>
  <si>
    <t>NON39007</t>
  </si>
  <si>
    <t>777 Elsbree Street</t>
  </si>
  <si>
    <t>Elsbree Street Campus</t>
  </si>
  <si>
    <t>NON39415</t>
  </si>
  <si>
    <t>Bunker Hill Community College</t>
  </si>
  <si>
    <t>24 Beacon St</t>
  </si>
  <si>
    <t>Bureau of the State House</t>
  </si>
  <si>
    <t>EOANF</t>
  </si>
  <si>
    <t>CWS-CS1275-01507</t>
  </si>
  <si>
    <t>2240 Iyannough Road</t>
  </si>
  <si>
    <t>Barnstable</t>
  </si>
  <si>
    <t>NFG-NN1981-10136</t>
  </si>
  <si>
    <t>SRI-PV392-00357</t>
  </si>
  <si>
    <t>Cape Cod Community College1 - PV</t>
  </si>
  <si>
    <t>SRI-RS714-01206</t>
  </si>
  <si>
    <t>Cape Cod Community College2 - PV</t>
  </si>
  <si>
    <t>GBI-JL963-00846</t>
  </si>
  <si>
    <t>CCCC Loruso Applied Tech Bldg PV</t>
  </si>
  <si>
    <t>NON39009</t>
  </si>
  <si>
    <t>91 Crest Ave, Chelsea</t>
  </si>
  <si>
    <t>EOHHS</t>
  </si>
  <si>
    <t>Boston Harbor Islands</t>
  </si>
  <si>
    <t>EOEEA</t>
  </si>
  <si>
    <t>149 Waquoit Highway</t>
  </si>
  <si>
    <t>East Falmouth</t>
  </si>
  <si>
    <t>NFG-NN1981-05166</t>
  </si>
  <si>
    <t>Chickatawbut Hill - Mass Dept. of Conservation &amp; Recreation</t>
  </si>
  <si>
    <t>1904 Canton Avenue</t>
  </si>
  <si>
    <t xml:space="preserve">MCI Bridgewater </t>
  </si>
  <si>
    <t>Administration Road</t>
  </si>
  <si>
    <t>EOPS</t>
  </si>
  <si>
    <t>Bridgewater Correctional Complex</t>
  </si>
  <si>
    <t>NFG-NN1981-04430</t>
  </si>
  <si>
    <t>DOC Northeast Correctional - Barretts Mill</t>
  </si>
  <si>
    <t>1 Barretts Mill Road</t>
  </si>
  <si>
    <t xml:space="preserve">MCI Concord  </t>
  </si>
  <si>
    <t xml:space="preserve"> 965 Elm St</t>
  </si>
  <si>
    <t xml:space="preserve">MCI Framingham </t>
  </si>
  <si>
    <t>99 Loring Dr</t>
  </si>
  <si>
    <t>135 Western Ave</t>
  </si>
  <si>
    <t>NON38942</t>
  </si>
  <si>
    <t xml:space="preserve"> 500 Colony Rd</t>
  </si>
  <si>
    <t>NFG-NN1981-04429</t>
  </si>
  <si>
    <t>DOC Bay State Correctional</t>
  </si>
  <si>
    <t>28 Clark Street</t>
  </si>
  <si>
    <t>NFG-NN1981-04432</t>
  </si>
  <si>
    <t>DOC Norfolk #1 - Waste Water Treatment Plant</t>
  </si>
  <si>
    <t>10 Old Campbell Road</t>
  </si>
  <si>
    <t xml:space="preserve">MCI Norfolk  </t>
  </si>
  <si>
    <t>NFG-NN1981-04433</t>
  </si>
  <si>
    <t>DOC Shirley</t>
  </si>
  <si>
    <t>1486 Harvard Road</t>
  </si>
  <si>
    <t>NFG-NN1981-04431</t>
  </si>
  <si>
    <t>DOC Cedar Junction - Industries Building (2)</t>
  </si>
  <si>
    <t>Route 1A</t>
  </si>
  <si>
    <t>MCI Cedar Junction</t>
  </si>
  <si>
    <t>2405 Main St</t>
  </si>
  <si>
    <t>NON34523</t>
  </si>
  <si>
    <t>DDS Wrentham Developmental</t>
  </si>
  <si>
    <t>Emerald Street</t>
  </si>
  <si>
    <t>DDS Wrentham Developmental CHP</t>
  </si>
  <si>
    <t>NON32888</t>
  </si>
  <si>
    <t>1 State Road</t>
  </si>
  <si>
    <t>NON34592</t>
  </si>
  <si>
    <t>Worcester Recovery Center and Hospital</t>
  </si>
  <si>
    <t>309 Belmont Street</t>
  </si>
  <si>
    <t>NFG-NN1981-07378</t>
  </si>
  <si>
    <t>660 Washington St</t>
  </si>
  <si>
    <t>DHCD Canton Housing Authority</t>
  </si>
  <si>
    <t>NFG-NN1981-07348</t>
  </si>
  <si>
    <t>DCAMM Surplus Property Office</t>
  </si>
  <si>
    <t>NFG-NN1981-05168</t>
  </si>
  <si>
    <t>Fitchburg State College - Anthony Building</t>
  </si>
  <si>
    <t>160 Pearl Street</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</si>
  <si>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</si>
  <si>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</si>
  <si>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</si>
  <si>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</si>
  <si>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</si>
  <si>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</si>
  <si>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</si>
  <si>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</si>
  <si>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</si>
  <si>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</si>
  <si>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375 Church St</t>
  </si>
  <si>
    <t>Mass College of Liberal Arts</t>
  </si>
  <si>
    <t>MCLA/Venable Hall</t>
  </si>
  <si>
    <t>CPV-NN18-00276</t>
  </si>
  <si>
    <t>Mass College of Liberal Arts - Science Center</t>
  </si>
  <si>
    <t>MCLA/Campus Center</t>
  </si>
  <si>
    <t>NON32626</t>
  </si>
  <si>
    <t>101 Academy Dr</t>
  </si>
  <si>
    <t>NON32596</t>
  </si>
  <si>
    <t>NON33813</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</si>
  <si>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</si>
  <si>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</si>
  <si>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</si>
  <si>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</si>
  <si>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</si>
  <si>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</si>
  <si>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</si>
  <si>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</si>
  <si>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</si>
  <si>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</si>
  <si>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</si>
  <si>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</si>
  <si>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</si>
  <si>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37 Shattuck Street</t>
  </si>
  <si>
    <t>NFG-NN1981-07347</t>
  </si>
  <si>
    <t>Springfield Recycling Facility Complex</t>
  </si>
  <si>
    <t>84 Birnie Avenue</t>
  </si>
  <si>
    <t>MassDOT District 2 Highway Office</t>
  </si>
  <si>
    <t>811 North King St.</t>
  </si>
  <si>
    <t>MASSDOT</t>
  </si>
  <si>
    <t>MassPort Hanscom Civil Air Terminal</t>
  </si>
  <si>
    <t>200 Hanscom Drive</t>
  </si>
  <si>
    <t>AUTHORITY</t>
  </si>
  <si>
    <t>Hanscom Civil Air Terminal</t>
  </si>
  <si>
    <t>NFG-NN1981-07383</t>
  </si>
  <si>
    <t>Massport Logan - Terminal A</t>
  </si>
  <si>
    <t>1 Harborside Drive </t>
  </si>
  <si>
    <t>NFG-NN1981-07384</t>
  </si>
  <si>
    <t>Massport Logan - Terminal A Satellite</t>
  </si>
  <si>
    <t>MassPort Green Bus Depot</t>
  </si>
  <si>
    <t>Green Bus Depot - 50 kW system</t>
  </si>
  <si>
    <t>MassPort Logan Airport</t>
  </si>
  <si>
    <t>1 Harborside Drive</t>
  </si>
  <si>
    <t>Economy Parking Garage - 81 kW system</t>
  </si>
  <si>
    <t>MassPort Rental Car Center</t>
  </si>
  <si>
    <t>Rental Car Center (RCC) Garage</t>
  </si>
  <si>
    <t>OFG-JI1239-01150</t>
  </si>
  <si>
    <t>Mt. Wachusett CC</t>
  </si>
  <si>
    <t>444 Green Street</t>
  </si>
  <si>
    <t>NON39005</t>
  </si>
  <si>
    <t>NON38970</t>
  </si>
  <si>
    <t>MWRA Charlestown DeLauri</t>
  </si>
  <si>
    <t>172 Alford St</t>
  </si>
  <si>
    <t>MSS1062</t>
  </si>
  <si>
    <t>MWRA Wachusett Reservoir Cosgrove</t>
  </si>
  <si>
    <t>NON38938</t>
  </si>
  <si>
    <t>MWRA J.C. Carroll</t>
  </si>
  <si>
    <t>86 D’Angelo Drive</t>
  </si>
  <si>
    <t>MSS857</t>
  </si>
  <si>
    <t>MWRA Wachusett Reservoir Oakdale</t>
  </si>
  <si>
    <t>NON38939</t>
  </si>
  <si>
    <t>MWRA Loring Road</t>
  </si>
  <si>
    <t>NFG-NN1981-04840</t>
  </si>
  <si>
    <t>MWRA Deer Island 456 kW PV</t>
  </si>
  <si>
    <t>190 Tafts Ave.</t>
  </si>
  <si>
    <t>NFG-NN1981-04761</t>
  </si>
  <si>
    <t>MWRA Deer Island Solar 1</t>
  </si>
  <si>
    <t>NFG-NN1981-04762</t>
  </si>
  <si>
    <t>MWRA Deer Island Solar 2</t>
  </si>
  <si>
    <t>NON39006</t>
  </si>
  <si>
    <t>MWRA Deer Island</t>
  </si>
  <si>
    <t>NON39003</t>
  </si>
  <si>
    <t>NON39017</t>
  </si>
  <si>
    <t>North Shore Comm College - McGee Building</t>
  </si>
  <si>
    <t>1 Ferncroft Road</t>
  </si>
  <si>
    <t>NFG-NN1981-08282</t>
  </si>
  <si>
    <t>North Shore Community College - Allied Health Building</t>
  </si>
  <si>
    <t>NFG-NN1981-05176</t>
  </si>
  <si>
    <t>North Shore Community College - Berry Bldg</t>
  </si>
  <si>
    <t>NFG-NN1981-07346</t>
  </si>
  <si>
    <t>Salem State College - O'Keefe</t>
  </si>
  <si>
    <t>352 Lafayette Street</t>
  </si>
  <si>
    <t>OFG-PF1130-01052</t>
  </si>
  <si>
    <t xml:space="preserve">Salem State College Residence Hall Village </t>
  </si>
  <si>
    <t>71 Loring Avenue</t>
  </si>
  <si>
    <t>N/A</t>
  </si>
  <si>
    <t>OFGI-JI1237-01149</t>
  </si>
  <si>
    <t>Springfield Tech CC</t>
  </si>
  <si>
    <t>1 Armory Square, Building 20</t>
  </si>
  <si>
    <t>NON32845</t>
  </si>
  <si>
    <t>300 Massachusetts Ave</t>
  </si>
  <si>
    <t>UMASS</t>
  </si>
  <si>
    <t>UMass Research Farm</t>
  </si>
  <si>
    <t>http://www.powerdash.com/systems/1000367/</t>
  </si>
  <si>
    <t>NFG-NN1981-05616</t>
  </si>
  <si>
    <t>UMass Boston -Wheatley Hall</t>
  </si>
  <si>
    <t>100 Morrissey Blvd</t>
  </si>
  <si>
    <t>NFG-NN1981-05177</t>
  </si>
  <si>
    <t>UMass Dartmouth - Tripp Athletic Center</t>
  </si>
  <si>
    <t>285 Old Westport Road</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</si>
  <si>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</si>
  <si>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</si>
  <si>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</si>
  <si>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</si>
  <si>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</si>
  <si>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</si>
  <si>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</si>
  <si>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</si>
  <si>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NON38944</t>
  </si>
  <si>
    <t>NON36166</t>
  </si>
  <si>
    <t>NFG-NN1981-05617</t>
  </si>
  <si>
    <t>UMass Lowell - Bourgeois Hall</t>
  </si>
  <si>
    <t>One University Avenue</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</si>
  <si>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</si>
  <si>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</si>
  <si>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</si>
  <si>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</si>
  <si>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</si>
  <si>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</si>
  <si>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</si>
  <si>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</si>
  <si>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</si>
  <si>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</si>
  <si>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</si>
  <si>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NFG-NN1981-05183</t>
  </si>
  <si>
    <t>Westfield State College - Wilson Hall</t>
  </si>
  <si>
    <t>NON32922</t>
  </si>
  <si>
    <t>286 Chandler St</t>
  </si>
  <si>
    <t>NFG-NN1981-05482</t>
  </si>
  <si>
    <t>NON39013</t>
  </si>
  <si>
    <t>Renewable Thermal</t>
  </si>
  <si>
    <t>#</t>
  </si>
  <si>
    <t>Capacity (kW)</t>
  </si>
  <si>
    <t>Capacity Units</t>
  </si>
  <si>
    <t>BTU</t>
  </si>
  <si>
    <t>Clean Power</t>
  </si>
  <si>
    <t>EV Charging Stations</t>
  </si>
  <si>
    <t>1 station</t>
  </si>
  <si>
    <t>2-5 stations</t>
  </si>
  <si>
    <t>5-8 stations</t>
  </si>
  <si>
    <t>more than 5 stations</t>
  </si>
  <si>
    <t>Square Footage &amp; Space Optimization</t>
  </si>
  <si>
    <t>INSTRUCTIONS ON FILLING OUT TAB</t>
  </si>
  <si>
    <t xml:space="preserve">This tab includes energy data associated with all building fuels except for electricity and on-site generation at buildings.  Please enter consumption information all non-electric building energy use in this tab, including natural gas, oil, propane, etc. </t>
  </si>
  <si>
    <t xml:space="preserve">This tab includes vehicle energy data, as well as energy data associated with any facility operations not attributed to building or vehicle use (e.g. fuel for boats/aircraft, landscaping equipment, etc.). </t>
  </si>
  <si>
    <t>This tab includes a request for information on energy efficiency projects that have moved forward without DOER or DCAMM involvement.</t>
  </si>
  <si>
    <t xml:space="preserve">Do you use potable water for landscaping purposes? </t>
  </si>
  <si>
    <t>Recycling</t>
  </si>
  <si>
    <t>Fast Charge</t>
  </si>
  <si>
    <t>Level 1</t>
  </si>
  <si>
    <t>Level 2</t>
  </si>
  <si>
    <t>Plugs</t>
  </si>
  <si>
    <t>3 Heads</t>
  </si>
  <si>
    <t>Asphalt Pavement, Brick, and Concrete</t>
  </si>
  <si>
    <t>Batteries</t>
  </si>
  <si>
    <t>Cathode Ray Tubes</t>
  </si>
  <si>
    <t>Clean Gypsum Wallboard</t>
  </si>
  <si>
    <t>Glass Containers</t>
  </si>
  <si>
    <t>Leaves &amp; Yard Waste</t>
  </si>
  <si>
    <t>Metal</t>
  </si>
  <si>
    <t>Metal Containers</t>
  </si>
  <si>
    <t>Recyclable Paper</t>
  </si>
  <si>
    <t>Single Resin Narrow-Necked Plastics</t>
  </si>
  <si>
    <t>White Goods</t>
  </si>
  <si>
    <t>Whole Tires</t>
  </si>
  <si>
    <t>Wood</t>
  </si>
  <si>
    <t>Commercial Organic Material</t>
  </si>
  <si>
    <t xml:space="preserve">http://www.mass.gov/eea/docs/dep/recycle/wstban01.doc </t>
  </si>
  <si>
    <t xml:space="preserve">http://www.mass.gov/eea/agencies/massdep/recycle/solid/massachusetts-waste-disposal-bans.html </t>
  </si>
  <si>
    <t>n/a</t>
  </si>
  <si>
    <t>Water Use</t>
  </si>
  <si>
    <t>Fiscal Year</t>
  </si>
  <si>
    <t>Total Gallons</t>
  </si>
  <si>
    <t>Total Cost</t>
  </si>
  <si>
    <t>Sustainability</t>
  </si>
  <si>
    <t xml:space="preserve">Select your agency/campus from a dropdown list provided and provide square footage and space optimization information.  If you have added a new building or demolished an existing building, please provide an occupancy date.  </t>
  </si>
  <si>
    <t>Section II</t>
  </si>
  <si>
    <t>Section I</t>
  </si>
  <si>
    <t>For all agencies/campuses</t>
  </si>
  <si>
    <t xml:space="preserve">Formerly "Installed Capacity", on this tab you will find a list of renewable, onsite generation, and renewable thermal projects that have been reported to LBE for your agency/campus, along with their installed capacity. Please make any corrections where necessary and enter any additional renewable projects that you have installed. </t>
  </si>
  <si>
    <t>MCI South Middlesex Correctional Center</t>
  </si>
  <si>
    <t>INSTRUCTIONS</t>
  </si>
  <si>
    <t>Select Technology</t>
  </si>
  <si>
    <t>SECTION I</t>
  </si>
  <si>
    <t>Electricity Consumption</t>
  </si>
  <si>
    <t>Building Fuel Consumption</t>
  </si>
  <si>
    <t>Vehicle &amp; Other Fuel Consumption</t>
  </si>
  <si>
    <t xml:space="preserve">This tab requests information on sustainability efforts at your facilities.  </t>
  </si>
  <si>
    <t>This tab requests information about EV charging stations at your facilities.</t>
  </si>
  <si>
    <t xml:space="preserve">This tab requests information on recycling at your facilities. </t>
  </si>
  <si>
    <t xml:space="preserve">This tab requests information on water use at your facilities.  </t>
  </si>
  <si>
    <t>This tab requests information about vehicle fleets. All LBE partners should respond to Section I. Section II is applicable only to those entities that do not purchase/lease vehicles through the Office of Vehicle Management (OVM). Only include vehicles that are owned and operated by your agency or the Commonwealth.</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</si>
  <si>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</si>
  <si>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OnSite Generation - PPA</t>
  </si>
  <si>
    <t>OnSite Generation - State Owned</t>
  </si>
  <si>
    <t>Section III</t>
  </si>
  <si>
    <t>Section IV</t>
  </si>
  <si>
    <t>Section V</t>
  </si>
  <si>
    <t>Please answer all items in yellow if applicable.</t>
  </si>
  <si>
    <t>Section II: On-site power generation owned and operated by Commonwealth</t>
  </si>
  <si>
    <t>Section III: On-site power generation through power purchase agreement</t>
  </si>
  <si>
    <t>Section IV: Net metering credit purchase agreements</t>
  </si>
  <si>
    <t>Select Units</t>
  </si>
  <si>
    <t>Please review the pre-populated list, where applicable make corrections in Column H</t>
  </si>
  <si>
    <t>Overall Fleet Information</t>
  </si>
  <si>
    <t>Please answer all items in yellow where applicable.</t>
  </si>
  <si>
    <t>Not Sure</t>
  </si>
  <si>
    <t>Net Credits Purchased</t>
  </si>
  <si>
    <t>Net Credits Received</t>
  </si>
  <si>
    <t>Berkshire Comm. College</t>
  </si>
  <si>
    <t>Bristol Comm. College</t>
  </si>
  <si>
    <t>Bunker Hill Comm. College</t>
  </si>
  <si>
    <t>Cape Cod Comm. College</t>
  </si>
  <si>
    <t>Chelsea Soldier's Home</t>
  </si>
  <si>
    <t>Dept. of Conservation and Recreation</t>
  </si>
  <si>
    <t>Div. of Capital Asset Management</t>
  </si>
  <si>
    <t>MA Data Centers</t>
  </si>
  <si>
    <t>Mass. College of Liberal Arts</t>
  </si>
  <si>
    <t>Mass. Maritime Academy</t>
  </si>
  <si>
    <t>Mass. Water Resources Authority</t>
  </si>
  <si>
    <t>Massasoit Comm. College</t>
  </si>
  <si>
    <t>MassDEP - owned</t>
  </si>
  <si>
    <t>MassDOT - Highway &amp; Turnpike Divisions</t>
  </si>
  <si>
    <t>Mount Wachusett Comm. College</t>
  </si>
  <si>
    <t>North Shore Comm. College</t>
  </si>
  <si>
    <t>Springfield Technical Comm. College</t>
  </si>
  <si>
    <t>MassDEP - leased</t>
  </si>
  <si>
    <t>DCR Walden Pond Canopy</t>
  </si>
  <si>
    <t>MassDOT Framingham I-90 Interchange 13 North</t>
  </si>
  <si>
    <t>MassDOT Framingham I-90 Interchange 13 South</t>
  </si>
  <si>
    <t>MassDOT Framingham I-90 WB Service Plaza</t>
  </si>
  <si>
    <t>MassDOT Natick I-90 WB Embankment</t>
  </si>
  <si>
    <t>MassDOT Plymouth Route 3 Exit 5</t>
  </si>
  <si>
    <t>Natick</t>
  </si>
  <si>
    <t>Plymouth</t>
  </si>
  <si>
    <t>I-90 interchange</t>
  </si>
  <si>
    <t>I-90 plaza</t>
  </si>
  <si>
    <t>I-90 Embankment</t>
  </si>
  <si>
    <t>Route 3 exit 5</t>
  </si>
  <si>
    <t xml:space="preserve">Single Head </t>
  </si>
  <si>
    <t>Dual Head</t>
  </si>
  <si>
    <t>Size of Installation (MW)</t>
  </si>
  <si>
    <t>Renewable Technology Type</t>
  </si>
  <si>
    <t>DFW Headquarters</t>
  </si>
  <si>
    <t>1 Rabbit Hill Road</t>
  </si>
  <si>
    <t>Westborough</t>
  </si>
  <si>
    <t>915 Walden St</t>
  </si>
  <si>
    <t>436 Dwight Street</t>
  </si>
  <si>
    <t>One College Dr</t>
  </si>
  <si>
    <t>71 Blackinton St - FEIGENBAUM</t>
  </si>
  <si>
    <t>Campus Center Parking Garage Campus Center Way, 4th level</t>
  </si>
  <si>
    <t>220 Pawtucket Street</t>
  </si>
  <si>
    <t>288-298 Salem St University Crossing Admissions entrance</t>
  </si>
  <si>
    <t>486 Chandler St</t>
  </si>
  <si>
    <t xml:space="preserve">Calculated Recycling Rate </t>
  </si>
  <si>
    <t>120,000 BTU system</t>
  </si>
  <si>
    <t xml:space="preserve">Roxbury Community College - Parking Lot 1 </t>
  </si>
  <si>
    <t>UMass Lowell - South Garage</t>
  </si>
  <si>
    <t>250 Rutherford Ave</t>
  </si>
  <si>
    <t>1234 Columbus Ave</t>
  </si>
  <si>
    <t>EV Charging Stations at State Facilities</t>
  </si>
  <si>
    <t xml:space="preserve">On this tab you will find a list of EV chargin stations that have been reported to LBE for your agency/campus, along with charging station details. Please make any corrections where necessary and enter any additional renewable projects that you have installed. </t>
  </si>
  <si>
    <t xml:space="preserve"> Note: Dropdown lists will help to populate fields.  If you have additional information not included in the lists, please make a note of this in the "Notes" section. </t>
  </si>
  <si>
    <t>Single or Dual Head?</t>
  </si>
  <si>
    <t>Expected Installation Date</t>
  </si>
  <si>
    <t>ZIP</t>
  </si>
  <si>
    <t>Plus4</t>
  </si>
  <si>
    <t>Status Code</t>
  </si>
  <si>
    <t>Expected Date</t>
  </si>
  <si>
    <t># of Ports</t>
  </si>
  <si>
    <t>ID</t>
  </si>
  <si>
    <t>EV Connector Types</t>
  </si>
  <si>
    <t xml:space="preserve">Great Hill Drive: Parking Garage </t>
  </si>
  <si>
    <t>02324</t>
  </si>
  <si>
    <t>Active</t>
  </si>
  <si>
    <t>777 Elsbree Street; located at solar canopy, across from Sbrega building</t>
  </si>
  <si>
    <t>02720</t>
  </si>
  <si>
    <t>J1772</t>
  </si>
  <si>
    <t>01742</t>
  </si>
  <si>
    <t>01103</t>
  </si>
  <si>
    <t>Tewksbury</t>
  </si>
  <si>
    <t>01876</t>
  </si>
  <si>
    <t>E</t>
  </si>
  <si>
    <t>01301</t>
  </si>
  <si>
    <t>4040 Jarvis Avenue</t>
  </si>
  <si>
    <t>01040</t>
  </si>
  <si>
    <t>01247</t>
  </si>
  <si>
    <t>01606</t>
  </si>
  <si>
    <t>Lakeville</t>
  </si>
  <si>
    <t>02347</t>
  </si>
  <si>
    <t>Wilmington</t>
  </si>
  <si>
    <t>01887</t>
  </si>
  <si>
    <t>511-525 Appleton St</t>
  </si>
  <si>
    <t>Arlington</t>
  </si>
  <si>
    <t>02476</t>
  </si>
  <si>
    <t>185 Kneeland St</t>
  </si>
  <si>
    <t>02111</t>
  </si>
  <si>
    <t>10 Park Plaza</t>
  </si>
  <si>
    <t>02116</t>
  </si>
  <si>
    <t>02120</t>
  </si>
  <si>
    <t>Taunton</t>
  </si>
  <si>
    <t>02780</t>
  </si>
  <si>
    <t>01701</t>
  </si>
  <si>
    <t>888-758-4389</t>
  </si>
  <si>
    <t>02128</t>
  </si>
  <si>
    <t>Airport Road - Arrival Level CENTRAL SW #1; 6th Level of Central Garage, next to Terminal A walkway</t>
  </si>
  <si>
    <t>Airport Road - Arrival Level CENTRAL SW #3; 6th Level of Central Garage, next to Terminal A walkway</t>
  </si>
  <si>
    <t>Airport Road - Arrival Level CENTRAL SW #2; 6th Level of Central Garage, next to Terminal A walkway</t>
  </si>
  <si>
    <t xml:space="preserve">Surprenant Building </t>
  </si>
  <si>
    <t>East side of parking lot #2</t>
  </si>
  <si>
    <t>01607</t>
  </si>
  <si>
    <t>1234 Columbus Ave: at solar canopy</t>
  </si>
  <si>
    <t xml:space="preserve">73 Loring Avenue, Viking Hall </t>
  </si>
  <si>
    <t>01970</t>
  </si>
  <si>
    <t>1 College Drive: North Campus Parking Garage</t>
  </si>
  <si>
    <t>01003</t>
  </si>
  <si>
    <t>Holdsworth Way: Just inside Transportation Service yard</t>
  </si>
  <si>
    <t xml:space="preserve">Holdsworth Way &amp; Commonwealth Ave: Lot 41 </t>
  </si>
  <si>
    <t>Parking Lot 13</t>
  </si>
  <si>
    <t>01854</t>
  </si>
  <si>
    <t>West Garage</t>
  </si>
  <si>
    <t>01655</t>
  </si>
  <si>
    <t>01602</t>
  </si>
  <si>
    <t>Type of Charger</t>
  </si>
  <si>
    <t>Fast Charger</t>
  </si>
  <si>
    <t>CHAdeMO</t>
  </si>
  <si>
    <t xml:space="preserve">Single </t>
  </si>
  <si>
    <t>Installation Date</t>
  </si>
  <si>
    <t>Please select your answer from the dropdown</t>
  </si>
  <si>
    <t>EV Charging Station</t>
  </si>
  <si>
    <t>Net metering credit purchase agreement</t>
  </si>
  <si>
    <t xml:space="preserve">Does your campus/agency have an EV charging policy that provides information on rates, providers, charging time limits, etc.   </t>
  </si>
  <si>
    <t>Do you use an EV charging network? (e.g. Charge Point, EV Connect, EVGO) for any of your stations?</t>
  </si>
  <si>
    <t>Total Generation consumed on site</t>
  </si>
  <si>
    <t>Ownership Model</t>
  </si>
  <si>
    <t>Approximate Date of Change</t>
  </si>
  <si>
    <t>Over the next 2 years are there plans to add or remove building space to your agency/campus?</t>
  </si>
  <si>
    <t>Agency/State Owned</t>
  </si>
  <si>
    <t>Power Purchase Agreement</t>
  </si>
  <si>
    <t>Corrections/Notes</t>
  </si>
  <si>
    <t>Select Ownership Model</t>
  </si>
  <si>
    <t>Please review the pre-populated list, where applicable note corrections in Column H.</t>
  </si>
  <si>
    <t xml:space="preserve">Corrections/Notes </t>
  </si>
  <si>
    <t>Have you undertaken/plan to implement water conservations measures?</t>
  </si>
  <si>
    <t>Building Type</t>
  </si>
  <si>
    <t>Estimated Date of Change</t>
  </si>
  <si>
    <t>Gallons</t>
  </si>
  <si>
    <t>Please provide any additional notes regarding square footage changes below:</t>
  </si>
  <si>
    <t>Clean Combined Heat and Power (CHP)</t>
  </si>
  <si>
    <t>This sustainability tab is voluntary to complete. The Leading by Example Program appreciates any information and feedback related to your sustainability efforts as we work to advance the progress of sustainability initiatives across the Commonwealth.</t>
  </si>
  <si>
    <t>Do you have a Green Team(s) of staff, faculty, or facility occupants and/or promote the implementation of green office strategies?</t>
  </si>
  <si>
    <t>Do you provide any recognition for sustainability efforts among staff, faculty, or facility occupants?</t>
  </si>
  <si>
    <t>Do you have a sustainability or Greenhouse Gas Emission Reduction Plan for your agency?</t>
  </si>
  <si>
    <t>Do you promote/incorporate alternative transportation strategies at your agency/campus (e.g. preferred parking for carpooling/hybrids/EVs, rideshare/bikeshare programs, shuttle services, etc.)?</t>
  </si>
  <si>
    <t>Do you have any efforts underway to improve the fuel efficiency and/or reduce use of petroleum fuels in your fleet?</t>
  </si>
  <si>
    <t>Slowbody Lot 1</t>
  </si>
  <si>
    <t>DEP</t>
  </si>
  <si>
    <t>DCR</t>
  </si>
  <si>
    <t>DCAMM</t>
  </si>
  <si>
    <t>Outlet</t>
  </si>
  <si>
    <t>Tesla</t>
  </si>
  <si>
    <t>Please discuss any new or innovative programs in place to reduce waste/expand recycling programs</t>
  </si>
  <si>
    <t>Other Non-Road Vehicles</t>
  </si>
  <si>
    <t>Please specify how many vehicles in your fleet (if any) are after-market hybrid or alternative fuel conversions and provide details for each below</t>
  </si>
  <si>
    <t>Do you have other significant sustainability efforts not mentioned above or included in this tracking form?</t>
  </si>
  <si>
    <t>FiscalYear</t>
  </si>
  <si>
    <t>EOName</t>
  </si>
  <si>
    <t>Cost</t>
  </si>
  <si>
    <t>COURTS</t>
  </si>
  <si>
    <t>Agency#</t>
  </si>
  <si>
    <t>Please provide any additional notes regarding energy efficiency projects below:</t>
  </si>
  <si>
    <t>Solar PV (Building)</t>
  </si>
  <si>
    <t>Solar PV (Ground)</t>
  </si>
  <si>
    <t>Solar PV (Canopy)</t>
  </si>
  <si>
    <t>UMass Amherst Visitor Center</t>
  </si>
  <si>
    <t>220 Old Common Road</t>
  </si>
  <si>
    <t>Fiscal Year 2018 Energy Tracking and Reporting Form</t>
  </si>
  <si>
    <t>July 1, 2017 through June 30, 2018</t>
  </si>
  <si>
    <t>NEW ELEMENTS OF FY18 TRACKING FORM</t>
  </si>
  <si>
    <t xml:space="preserve">With the help of your agency, Leading by Example tracks energy consumption and cost data for a variety of fuel sources in the Commonwealth, as well as information on other sustainability efforts.  Please use this form to submit your agency/campus FY18 energy data to LBE.  The FY18 Tracking Form divides the fuels tracked into separate tabs for easier navigation.  The summary boxes below describe the information requested in each tab.  Reporting should include all owned facilities within your agency/campus and be consistent from year to year.  </t>
  </si>
  <si>
    <t xml:space="preserve">For many of you participating in the Commonwealth Building Energy Intelligence (CBEI) system (previously known as EEMS), we encourage you to check your CBEI data against your own usage data for FY18 to ensure accuracy of the meter data, which will allow streamlined reporting for FY18.  For others, we are getting close to a central tracking system for electricity and natural gas and will work with you to check the data we have against your own data, where available. </t>
  </si>
  <si>
    <t>FY18 CONSUMPTION</t>
  </si>
  <si>
    <t>FY18 Net Metering Credits</t>
  </si>
  <si>
    <t>FY18 PURCHASED/SOLD</t>
  </si>
  <si>
    <t>FY18
CONSUMPTION</t>
  </si>
  <si>
    <t>Leading by Example Program FY18 Energy Tracking and Reporting Form</t>
  </si>
  <si>
    <t>Entity</t>
  </si>
  <si>
    <t>Utility</t>
  </si>
  <si>
    <t>Status</t>
  </si>
  <si>
    <t>EV Level1 EVSE Num</t>
  </si>
  <si>
    <t># Level2 EV Stations</t>
  </si>
  <si>
    <t># EV DC Fast Stations</t>
  </si>
  <si>
    <t>SUM of EV Charging Stations</t>
  </si>
  <si>
    <t>Open Date</t>
  </si>
  <si>
    <t>Access</t>
  </si>
  <si>
    <t>Agency #</t>
  </si>
  <si>
    <t>BRIDGEWATER STATE UNIVERSITY</t>
  </si>
  <si>
    <t>National Grid</t>
  </si>
  <si>
    <t>Public</t>
  </si>
  <si>
    <t xml:space="preserve">BRISTOL COMMUNITY COLLEGE </t>
  </si>
  <si>
    <t xml:space="preserve">Dual </t>
  </si>
  <si>
    <t>DCR WALDEN POND</t>
  </si>
  <si>
    <t>915 Walden St (solar canopy and visitor center)</t>
  </si>
  <si>
    <t>MLP</t>
  </si>
  <si>
    <t>916 Walden St (solar canopy and visitor center)</t>
  </si>
  <si>
    <t>01743</t>
  </si>
  <si>
    <t>J1773</t>
  </si>
  <si>
    <t>DIVISION OF CAPITAL ASSET MANAGEMENT</t>
  </si>
  <si>
    <t>Eversource</t>
  </si>
  <si>
    <t xml:space="preserve">DPH TEWKSBURY HOSPITAL </t>
  </si>
  <si>
    <t>B Lot 365 East Street</t>
  </si>
  <si>
    <t>GREENFIELD COMMUNITY COLLEGE</t>
  </si>
  <si>
    <t>HOLYOKE COMMUNITY COLLEGE</t>
  </si>
  <si>
    <t>1 Ashburton Place</t>
  </si>
  <si>
    <t>02108</t>
  </si>
  <si>
    <t>?</t>
  </si>
  <si>
    <t>MCLA</t>
  </si>
  <si>
    <t>MASS. COLLEGE OF LIBERAL ARTS</t>
  </si>
  <si>
    <t>MASSDEP - CERO</t>
  </si>
  <si>
    <t>8 New Bond Street</t>
  </si>
  <si>
    <t>MASSDEP (Lakeville)</t>
  </si>
  <si>
    <t>20 Riverside Drive</t>
  </si>
  <si>
    <t>MASSDEP (Wilmington)</t>
  </si>
  <si>
    <t>205B Lowell Street</t>
  </si>
  <si>
    <t>Fleet Charging Only</t>
  </si>
  <si>
    <t>MASSDOT District Office #4</t>
  </si>
  <si>
    <t>MASSDOT District Office #6</t>
  </si>
  <si>
    <t>MASSDOT HQ</t>
  </si>
  <si>
    <t>MASSDOT District Office #5</t>
  </si>
  <si>
    <t>1000 County Street MA-140</t>
  </si>
  <si>
    <t>MASSDOT District Office #3</t>
  </si>
  <si>
    <t>403 Belmont Street</t>
  </si>
  <si>
    <t>01604</t>
  </si>
  <si>
    <t>MASSPORT</t>
  </si>
  <si>
    <t>Framingham Logan Express #1</t>
  </si>
  <si>
    <t>Framingham Logan Express #2</t>
  </si>
  <si>
    <t>Airport Road - Arrival Level CENTRAL NE #1; Central Garage, 6th floor northeast, located near the entrance to Terminal C walkway</t>
  </si>
  <si>
    <t>Airport Road - Arrival Level CENTRAL NE #2;  6th floor northeast, located near the entrance to Terminal C walkway</t>
  </si>
  <si>
    <t>Airport Road - Arrival Level CENTRAL SE #1; Central Garage, 6th level at the southeast corner nex to Terminal B and A walkway</t>
  </si>
  <si>
    <t>Airport Road - Arrival Level CENTRAL SE #2; Central garage, 6th floor in the southeast corner next to Terminal B and A walkway</t>
  </si>
  <si>
    <t>Airport Road - Arrival Level CENTRAL NW #1; Located on the 6th floor in the northwest section of the Central, next to the Terminal E walkway</t>
  </si>
  <si>
    <t>Airport Road - Arrival Level CENTRAL NW #2; Located on the 6th floor in the northwest section of the Central, next to the Terminal E walkway</t>
  </si>
  <si>
    <t>Airport Road - Arrival Level CENTRAL NW #3; Located on the 6th floor in the northwest section of the Central, next to the Terminal E walkway</t>
  </si>
  <si>
    <t>Airport Road - Arrival LevelCENTRAL NW #4; Located on the 6th floor in the northwest section of the Central, next to the Terminal E walkway</t>
  </si>
  <si>
    <t>Airport Road - Arrival Level TERM B GARAGE #1; The charging stations is located on level 3 of Terminal B garage</t>
  </si>
  <si>
    <t>Airport Road - Arrival Level TERM B GARAGE #2; The charging stations is located on level 3 of Terminal B garage</t>
  </si>
  <si>
    <t>02129</t>
  </si>
  <si>
    <t>QUINSIGAMOND COMMUNITY COLLEGE</t>
  </si>
  <si>
    <t>ROXBURY COMMUNITY COLLEGE</t>
  </si>
  <si>
    <t xml:space="preserve">SALEM STATE </t>
  </si>
  <si>
    <t>UMASS AMHERST</t>
  </si>
  <si>
    <t>300 Massachusetts Ave -- VISITOR CTR Robshawl3; Located behind the Robshaw VC, off Mass Ave/Swift Way</t>
  </si>
  <si>
    <t>300 Massachusetts Avenue 
VISITOR CTR L21-22; Located behind the RobshawVC, off Mass Ave/Swift Way</t>
  </si>
  <si>
    <t>300 Massachusetts Avenue 
VISITOR CTR L23-24; Located behind the Robshaw VC, off Mass Ave/Swift Way</t>
  </si>
  <si>
    <t>UMASS DARTMOUTH</t>
  </si>
  <si>
    <t>02747</t>
  </si>
  <si>
    <t>UMASS LOWELL</t>
  </si>
  <si>
    <t>910 Broadway (South Garage)</t>
  </si>
  <si>
    <t>293 Riverside Street (North Garage)</t>
  </si>
  <si>
    <t>SMAST East Campus</t>
  </si>
  <si>
    <t>New Bedford</t>
  </si>
  <si>
    <t>UMASS MEDICAL</t>
  </si>
  <si>
    <t>WORCESTER STATE UNIVERSITY</t>
  </si>
  <si>
    <t>MassPike Rest Areas Natick East</t>
  </si>
  <si>
    <t>01760</t>
  </si>
  <si>
    <t xml:space="preserve">Public </t>
  </si>
  <si>
    <t>MassPike Rest Areas Framingham West</t>
  </si>
  <si>
    <t xml:space="preserve">Macadam Road </t>
  </si>
  <si>
    <t>Hopkinton</t>
  </si>
  <si>
    <t>01748</t>
  </si>
  <si>
    <t xml:space="preserve">MassPike Rest Areas Lee East </t>
  </si>
  <si>
    <t>Lee</t>
  </si>
  <si>
    <t>01238</t>
  </si>
  <si>
    <t>MassPike Rest Areas Lee West</t>
  </si>
  <si>
    <t>01239</t>
  </si>
  <si>
    <t>Main Parking Lot</t>
  </si>
  <si>
    <t>02115</t>
  </si>
  <si>
    <t>MassPike Rest Areas Charleton East</t>
  </si>
  <si>
    <t>Charleton</t>
  </si>
  <si>
    <t>01507</t>
  </si>
  <si>
    <t>MassPike Rest Areas Charleton West</t>
  </si>
  <si>
    <t>01508</t>
  </si>
  <si>
    <t>LOGAN AIRPORT</t>
  </si>
  <si>
    <t>Weston Maintenance Facility , I-90, Weston (just west of I-95)</t>
  </si>
  <si>
    <t>MCCORMACK BUILDING</t>
  </si>
  <si>
    <t>MASS COLLEGE OF ART &amp; DESIGN</t>
  </si>
  <si>
    <t>MASSDOT WESTON</t>
  </si>
  <si>
    <t xml:space="preserve">MASSDOT FRAMINGHAM </t>
  </si>
  <si>
    <t>MASSDOT HOPKINTON</t>
  </si>
  <si>
    <t>MASSDOT LEE</t>
  </si>
  <si>
    <t>MASSDOT CHARLETON</t>
  </si>
  <si>
    <t>Please review the pre-populated list, where applicable enter details in Corrections/Notes column.</t>
  </si>
  <si>
    <t>Fuel Type</t>
  </si>
  <si>
    <t>Passenger Cars</t>
  </si>
  <si>
    <t>Cargo Vans</t>
  </si>
  <si>
    <t>Passenger Vans</t>
  </si>
  <si>
    <t>Pick-up Trucks/SUVs</t>
  </si>
  <si>
    <t>For agencies/campuses that do not purchase/lease through OVM please provide data, when available, for yellow sections below.</t>
  </si>
  <si>
    <t>TOTAL</t>
  </si>
  <si>
    <t xml:space="preserve">Note: A dropdown list will provide the various technologies that LBE is tracking.  If you have a technology not included in the list, please make a note of this in the "Notes" section. </t>
  </si>
  <si>
    <t>FY18 GENERATION</t>
  </si>
  <si>
    <t xml:space="preserve">Electricity </t>
  </si>
  <si>
    <t>Grid Electricity Purchases</t>
  </si>
  <si>
    <t>Section I: Grid electricity purchases</t>
  </si>
  <si>
    <t>Electricity Purchases, On-site Generation, Net-metering &amp; RECs/AECs</t>
  </si>
  <si>
    <t>NFG-SR25630-36377</t>
  </si>
  <si>
    <t>376 Church St</t>
  </si>
  <si>
    <t xml:space="preserve"> Are you aware of the Waste Bans put in place by MassDEP? </t>
  </si>
  <si>
    <t>Additional Resources</t>
  </si>
  <si>
    <t>Waste Ban Detailed document:</t>
  </si>
  <si>
    <t xml:space="preserve">Waste Ban General Info page: </t>
  </si>
  <si>
    <t>https://recyclingworksma.com/</t>
  </si>
  <si>
    <t>MassDEP Funded Techincal Assistance</t>
  </si>
  <si>
    <t>David Moran</t>
  </si>
  <si>
    <t>Jeff Marcotte</t>
  </si>
  <si>
    <t>Brian Butler</t>
  </si>
  <si>
    <t xml:space="preserve">Agency </t>
  </si>
  <si>
    <t>Contact</t>
  </si>
  <si>
    <t>-</t>
  </si>
  <si>
    <t xml:space="preserve">Email </t>
  </si>
  <si>
    <t>Contact Title</t>
  </si>
  <si>
    <t>Phone</t>
  </si>
  <si>
    <t>Director of Facilities</t>
  </si>
  <si>
    <t>dmoran@berkshirecc.edu</t>
  </si>
  <si>
    <t>(413) 236-3028</t>
  </si>
  <si>
    <t xml:space="preserve">Mark Carmody </t>
  </si>
  <si>
    <t>Asst. VP of Administration &amp; Finance</t>
  </si>
  <si>
    <t>508-678-2811 x3058</t>
  </si>
  <si>
    <t>mark.carmody@bristolcc.edu</t>
  </si>
  <si>
    <t>Gary Bigelow</t>
  </si>
  <si>
    <t>Executive Director of Facilities</t>
  </si>
  <si>
    <t>gbigelow@bhcc.mass.edu</t>
  </si>
  <si>
    <t>617-936-1985</t>
  </si>
  <si>
    <t>jmarcotte@capecod.edu</t>
  </si>
  <si>
    <t>774-330-4475</t>
  </si>
  <si>
    <t>Alternate Contact</t>
  </si>
  <si>
    <t>Alternate Contact Title</t>
  </si>
  <si>
    <t xml:space="preserve">Alternate Email </t>
  </si>
  <si>
    <t>Alternate Phone</t>
  </si>
  <si>
    <t>Mark Waldruff</t>
  </si>
  <si>
    <t>Facilities Associate</t>
  </si>
  <si>
    <t>mwaldruff@capecod.edu</t>
  </si>
  <si>
    <t>508-362-2131 x4324</t>
  </si>
  <si>
    <t>Andy Bakinowski</t>
  </si>
  <si>
    <t>Environmental Consultant</t>
  </si>
  <si>
    <t>Andrew.W.Bakinowski@doc.state.ma.us</t>
  </si>
  <si>
    <t>(508)422-3660</t>
  </si>
  <si>
    <t>Sean Foley</t>
  </si>
  <si>
    <t>508-422-3669</t>
  </si>
  <si>
    <t>Sean.Foley@doc.state.ma.us</t>
  </si>
  <si>
    <t>Construction Cooridnator</t>
  </si>
  <si>
    <t>Leah Fernandes</t>
  </si>
  <si>
    <t>EHS Officer</t>
  </si>
  <si>
    <t>Lfernan7@fitchburgstate.edu</t>
  </si>
  <si>
    <t>978-665-3756</t>
  </si>
  <si>
    <t>Scott Davidson</t>
  </si>
  <si>
    <t>Interim Director of Operations</t>
  </si>
  <si>
    <t>978-665-3115</t>
  </si>
  <si>
    <t>sdavids1@fitchburgstate.edu</t>
  </si>
  <si>
    <t>Patricia Delaney</t>
  </si>
  <si>
    <t>Asst. Director EH&amp;S Officer</t>
  </si>
  <si>
    <t>PDELANEY@bridgew.edu</t>
  </si>
  <si>
    <t>508-531-2751</t>
  </si>
  <si>
    <t>Robert Tatro</t>
  </si>
  <si>
    <t>Director, Boiler Plant &amp; Utilities Services</t>
  </si>
  <si>
    <t>rtatro@framingham.edu</t>
  </si>
  <si>
    <t>508-626-4086</t>
  </si>
  <si>
    <t>Patricia Whitney</t>
  </si>
  <si>
    <t>Asst. VP of Facilities</t>
  </si>
  <si>
    <t>(508) 626-4590</t>
  </si>
  <si>
    <t>pwhitney@framingham.edu</t>
  </si>
  <si>
    <t>Jeffrey Marques</t>
  </si>
  <si>
    <t>marquesj@gcc.mass.edu</t>
  </si>
  <si>
    <t>413-775-1700</t>
  </si>
  <si>
    <t>Rebecca Devino</t>
  </si>
  <si>
    <t>Administrative Asst.</t>
  </si>
  <si>
    <t>facilitiesmanagement@gcc.mass.edu</t>
  </si>
  <si>
    <t xml:space="preserve">John Crotty </t>
  </si>
  <si>
    <t>Deputy Superintendent</t>
  </si>
  <si>
    <t>John.Crotty@statemail.state.ma.us</t>
  </si>
  <si>
    <t>413 552 4701</t>
  </si>
  <si>
    <t>Bennett Walsh</t>
  </si>
  <si>
    <t>Superintendent</t>
  </si>
  <si>
    <t>Bennett.Walsh@MassMail.State.MA.US</t>
  </si>
  <si>
    <t>(413) 552-4700</t>
  </si>
  <si>
    <t>Daniel Campbell</t>
  </si>
  <si>
    <t>dcampbell@hcc.edu</t>
  </si>
  <si>
    <t>(413-552-2705)</t>
  </si>
  <si>
    <t>Claudine Ellyin</t>
  </si>
  <si>
    <t>cellyin@massart.edu</t>
  </si>
  <si>
    <t>617-879-7939</t>
  </si>
  <si>
    <t>Assistant Director of Sustainability/EH&amp;S</t>
  </si>
  <si>
    <t>Joe DeLisle</t>
  </si>
  <si>
    <t>jdelisle@massbay.edu</t>
  </si>
  <si>
    <t>781-239-2571</t>
  </si>
  <si>
    <t>Joe Santucci</t>
  </si>
  <si>
    <t>Energy Manager</t>
  </si>
  <si>
    <t>g.santucci@mcla.edu</t>
  </si>
  <si>
    <t>413-662-5559</t>
  </si>
  <si>
    <t>Bill Norcross</t>
  </si>
  <si>
    <t>Accounts Payable Manager</t>
  </si>
  <si>
    <t>b.norcross@mcla.edu</t>
  </si>
  <si>
    <t>413-662-5529</t>
  </si>
  <si>
    <t>Kathy Driscoll</t>
  </si>
  <si>
    <t>kdriscoll@maritime.edu</t>
  </si>
  <si>
    <t>508-830-5235</t>
  </si>
  <si>
    <t>Paul O'Keefe</t>
  </si>
  <si>
    <t>VP of Operations</t>
  </si>
  <si>
    <t>EH&amp;S / Sustainability</t>
  </si>
  <si>
    <t>pokeefe@maritime.edu</t>
  </si>
  <si>
    <t>508-830-5063</t>
  </si>
  <si>
    <t>Jonathan Sycamore</t>
  </si>
  <si>
    <t>Sr. Financial Analyst</t>
  </si>
  <si>
    <t>jonathan.sycamore@mwra.com</t>
  </si>
  <si>
    <t>617 788 2269</t>
  </si>
  <si>
    <t>Denise Breiteneicher</t>
  </si>
  <si>
    <t>Program Energy Management</t>
  </si>
  <si>
    <t>denise.breiteneicher@mwra.com</t>
  </si>
  <si>
    <t>617 305 5925</t>
  </si>
  <si>
    <t>Hollyce States</t>
  </si>
  <si>
    <t xml:space="preserve">Associate Dean of Grants &amp; Sustainability </t>
  </si>
  <si>
    <t>hstates@massasoit.mass.edu</t>
  </si>
  <si>
    <t>508-588-9100, ext. 1377-</t>
  </si>
  <si>
    <t>Jacob Glickel</t>
  </si>
  <si>
    <t>Sustainability Project Manager</t>
  </si>
  <si>
    <t>jglickel@massport.com</t>
  </si>
  <si>
    <t>617-568-3558</t>
  </si>
  <si>
    <t>Peter DeBruin</t>
  </si>
  <si>
    <t>Climate Mitgation &amp; Resiliency Manager</t>
  </si>
  <si>
    <t>pdebruin@massport.com</t>
  </si>
  <si>
    <t>617-568-9583</t>
  </si>
  <si>
    <t>Square Footage in LBE Database as of FY17:</t>
  </si>
  <si>
    <t xml:space="preserve">Is this the same square footage for FY18? </t>
  </si>
  <si>
    <t>Tonnage 
(if available)</t>
  </si>
  <si>
    <r>
      <t xml:space="preserve"> If available, please provide total tonnage of materials disposed of in the solid waste stream </t>
    </r>
    <r>
      <rPr>
        <i/>
        <sz val="11"/>
        <color theme="3"/>
        <rFont val="Calibri"/>
        <family val="2"/>
        <scheme val="minor"/>
      </rPr>
      <t>(not including diverted materials)</t>
    </r>
  </si>
  <si>
    <t>Robert LaBonte</t>
  </si>
  <si>
    <t>VP of Administration &amp; Finance</t>
  </si>
  <si>
    <t>r_labonte@mwcc.mass.edu</t>
  </si>
  <si>
    <t>978-630-9272</t>
  </si>
  <si>
    <t>Rick Reney</t>
  </si>
  <si>
    <t>Asst. VP of Facilities Operations &amp; Services</t>
  </si>
  <si>
    <t>rreney@northshore.edu</t>
  </si>
  <si>
    <t>978-762-4040</t>
  </si>
  <si>
    <t>Linda Buckley</t>
  </si>
  <si>
    <t>Staff Assistant, Office of the VP of A&amp;F</t>
  </si>
  <si>
    <t>(978) 556-3224</t>
  </si>
  <si>
    <t>lbuckley@necc.mass.edu</t>
  </si>
  <si>
    <t>Shami Qazi</t>
  </si>
  <si>
    <t>eqazi@northshore.edu</t>
  </si>
  <si>
    <t>978-762-4060</t>
  </si>
  <si>
    <t>Stephen Zisk</t>
  </si>
  <si>
    <t>szisk@qcc.mass.edu</t>
  </si>
  <si>
    <t>508.854.4424</t>
  </si>
  <si>
    <t>Director of Engineering, Energy &amp; Environment</t>
  </si>
  <si>
    <t>Kevin Hepner</t>
  </si>
  <si>
    <t>Khepner@rcc.mass.edu</t>
  </si>
  <si>
    <t>857-701-1258</t>
  </si>
  <si>
    <t>Michelle Barnes</t>
  </si>
  <si>
    <t>Asst. to VP of Administration &amp; Finance</t>
  </si>
  <si>
    <t>Mbarnes@rcc.mass.edu</t>
  </si>
  <si>
    <t>857-701-1259</t>
  </si>
  <si>
    <t>Ben Szalewicz</t>
  </si>
  <si>
    <t>Asst. VP, Campus Planning &amp; Facitilies Mgmt</t>
  </si>
  <si>
    <t>bszalewicz@salemstate.edu</t>
  </si>
  <si>
    <t>978-542-7115</t>
  </si>
  <si>
    <t>Tara Gallagher</t>
  </si>
  <si>
    <t>Sustainability &amp; EH&amp;S Coordinator</t>
  </si>
  <si>
    <t>tgallagher@salemstate.edu</t>
  </si>
  <si>
    <t>978-542-3073</t>
  </si>
  <si>
    <t>Maureen Socha</t>
  </si>
  <si>
    <t>Asst. VP, Administration &amp; Finance</t>
  </si>
  <si>
    <t>mesocha@stcc.edu</t>
  </si>
  <si>
    <t>413-755-4460</t>
  </si>
  <si>
    <t>Thomas Therrien</t>
  </si>
  <si>
    <t>Director of Operations</t>
  </si>
  <si>
    <t>twtherrien@stcc.edu</t>
  </si>
  <si>
    <t>413-755-4688</t>
  </si>
  <si>
    <t>Director, Facilites Mgmt &amp; Capital Planning</t>
  </si>
  <si>
    <t>john.bello@jud.state.ma.us</t>
  </si>
  <si>
    <t>617 725-8787</t>
  </si>
  <si>
    <t>Anthony Duros</t>
  </si>
  <si>
    <t>Deputy Director, Facilities Mgmt &amp; Capital Planning</t>
  </si>
  <si>
    <t>anthony.duros@jud.state.ma.us</t>
  </si>
  <si>
    <t>John Bello</t>
  </si>
  <si>
    <t>Ezra Small</t>
  </si>
  <si>
    <t>Campus Sustainability Manager</t>
  </si>
  <si>
    <t>esmall@umass.edu</t>
  </si>
  <si>
    <t>413-545-0799</t>
  </si>
  <si>
    <t>Aditi Pain</t>
  </si>
  <si>
    <t>Sustainability Manager</t>
  </si>
  <si>
    <t>UMBe.GREEN@umb.edu</t>
  </si>
  <si>
    <t>617-287-5083</t>
  </si>
  <si>
    <t>Diane D'Arrigo</t>
  </si>
  <si>
    <t>Asst. VC Campus Services</t>
  </si>
  <si>
    <t>diane.darrigo@umb.edu</t>
  </si>
  <si>
    <t>617-287-5052</t>
  </si>
  <si>
    <t>Michael Hayes</t>
  </si>
  <si>
    <t>Asst. Vice Chancellor</t>
  </si>
  <si>
    <t>Mhayes@umassd.edu</t>
  </si>
  <si>
    <t>508-999-8058</t>
  </si>
  <si>
    <t>Derek Costa</t>
  </si>
  <si>
    <t>dcosta1@umassd.edu</t>
  </si>
  <si>
    <t>508-999-8188</t>
  </si>
  <si>
    <t>Director of Strategic Initiatives</t>
  </si>
  <si>
    <t xml:space="preserve">Terrence McCarthy </t>
  </si>
  <si>
    <t>Director, Operations &amp; Services</t>
  </si>
  <si>
    <t>Terrence_McCarthy@uml.edu</t>
  </si>
  <si>
    <t>978-934-2629</t>
  </si>
  <si>
    <t xml:space="preserve">Suzanne Wood </t>
  </si>
  <si>
    <t>Sustainability &amp; Energy Manager</t>
  </si>
  <si>
    <t>suzanne.wood@umassmed.edu</t>
  </si>
  <si>
    <t>508-856-6324</t>
  </si>
  <si>
    <t>John Baker</t>
  </si>
  <si>
    <t>AVC Facilities Management</t>
  </si>
  <si>
    <t>john.baker@umassmed.edu</t>
  </si>
  <si>
    <t>Steven Banderra</t>
  </si>
  <si>
    <t>Sustainability Coordinator</t>
  </si>
  <si>
    <t>sbandarra@worcester.edu</t>
  </si>
  <si>
    <t>508-929-8332</t>
  </si>
  <si>
    <t>Robert Daniels</t>
  </si>
  <si>
    <t>Associate Director of Facilities</t>
  </si>
  <si>
    <t>rdaniels@worcester.edu</t>
  </si>
  <si>
    <t>508-929-8099</t>
  </si>
  <si>
    <t>Facilities &amp; Operations</t>
  </si>
  <si>
    <t>amontanaro@westfield.ma.edu</t>
  </si>
  <si>
    <t>413-572-8018</t>
  </si>
  <si>
    <t>Andrew Montanaro</t>
  </si>
  <si>
    <t>Enter the correct information and energy consumption data in the following tabs:</t>
  </si>
  <si>
    <t>Contact Name 1:</t>
  </si>
  <si>
    <t>Contact Name 2:</t>
  </si>
  <si>
    <t xml:space="preserve"> RATE</t>
  </si>
  <si>
    <r>
      <t xml:space="preserve">Renewable Thermal Installed at State Agencies </t>
    </r>
    <r>
      <rPr>
        <b/>
        <sz val="14"/>
        <color rgb="FFFFFF00"/>
        <rFont val="Calibri"/>
        <family val="2"/>
        <scheme val="minor"/>
      </rPr>
      <t>(note technologies)</t>
    </r>
  </si>
  <si>
    <t>Please enter additional installations</t>
  </si>
  <si>
    <t>On-site Renewable &amp; Clean Electricity Generation Installed at State Agencies</t>
  </si>
  <si>
    <t>If you have additional projects that are not in the pre-populated list, please add them in yellow fields below.</t>
  </si>
  <si>
    <t xml:space="preserve">Contact Name 3: </t>
  </si>
  <si>
    <t>Please answer all items in yellow, where appropriate.</t>
  </si>
  <si>
    <t xml:space="preserve">Contact Name 4: </t>
  </si>
  <si>
    <t>Name of Building</t>
  </si>
  <si>
    <t>The new tracking form for fiscal year 2018 has undergone some minor changes in an effort to make the tracking form more comprehensive and user-friendly.  
Below is a list of changes that have occurred to the form.</t>
  </si>
  <si>
    <t xml:space="preserve">Select your agency/campus from the dropdown list provided and contact information will autpopulate. Additional fields are available for contact information that is incorrect or not listed. </t>
  </si>
  <si>
    <t xml:space="preserve">Agency/campus square footage is pre-populated using your FY17 data.  If square footage has changed from last year or is incorrect, please provide new/corrected square footage in the space provided.  If you have added a new building or demolished an existing building, please provide as much information as possible in the fields provided.  </t>
  </si>
  <si>
    <t>On this tab you will find a pre-populated list of renewable, onsite generation, and renewable thermal projects that have been reported to LBE for your agency/campus, along with their installed capacity. Please make any corrections, where necessary, and enter any additional renewable projects that you have installed.</t>
  </si>
  <si>
    <t xml:space="preserve">Building Type </t>
  </si>
  <si>
    <t>Square Footage (if known)</t>
  </si>
  <si>
    <t>Date of Change</t>
  </si>
  <si>
    <t>Please answer items in yellow, where applicable.</t>
  </si>
  <si>
    <t>Please answer all items in yellow, where applicable.</t>
  </si>
  <si>
    <t xml:space="preserve">Email: </t>
  </si>
  <si>
    <t xml:space="preserve"> Title:</t>
  </si>
  <si>
    <t xml:space="preserve">Square footage that was submitted the previous reporting year will prepopulate once your agency/campus is selected from the contact tab. Detailed tables have been added to this tab for those agencies/campuses that made changes to their square footage in FY18 and/or plan to make changes to their square footage over the next 2 years. If either of these apply to your agency/campus, please provide as much information as possible in the provided tables. </t>
  </si>
  <si>
    <t xml:space="preserve">Installed Clean Power </t>
  </si>
  <si>
    <t xml:space="preserve">Section II </t>
  </si>
  <si>
    <t xml:space="preserve">Renewable Power and Onsite Generation Installed at State Agencies/Campuses: Installations on record with LBE are pre-populated, please verify and correct. If there are additional installations that should be included, please enter in the yellow fields below the pre-populated data. </t>
  </si>
  <si>
    <t xml:space="preserve">Renewable Thermal Installed at State Agencies/Campuses: Installations on record with LBE are pre-populated, please verify and correct. If there are additional  installations that should be included, please enter in the yellow fields below the pre-populated data. </t>
  </si>
  <si>
    <t>SECTION II</t>
  </si>
  <si>
    <t>Ownerhsip Model</t>
  </si>
  <si>
    <t>Agency/State-owned</t>
  </si>
  <si>
    <t>Renewable &amp; On-Site Generation</t>
  </si>
  <si>
    <r>
      <t xml:space="preserve">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t>
    </r>
    <r>
      <rPr>
        <b/>
        <sz val="14"/>
        <color rgb="FF00B050"/>
        <rFont val="Calibri"/>
        <family val="2"/>
        <scheme val="minor"/>
      </rPr>
      <t>Thank you for working with us to track your energy and sustainability data for your facilities - we appreciate your time and effort!</t>
    </r>
    <r>
      <rPr>
        <sz val="12"/>
        <color theme="1"/>
        <rFont val="Calibri"/>
        <family val="2"/>
        <scheme val="minor"/>
      </rPr>
      <t xml:space="preserve">
</t>
    </r>
  </si>
  <si>
    <t xml:space="preserve">Vehicle Fleet </t>
  </si>
  <si>
    <t>A set of voluntary questions regarding sustainable landscaping efforts at your agency/campus has been added. This information will help track interest in and progress towards LBE's broader sustainability intiatives. If any are applicable, please provide brief descriptions of your efforts.</t>
  </si>
  <si>
    <r>
      <t xml:space="preserve">Other </t>
    </r>
    <r>
      <rPr>
        <i/>
        <sz val="11"/>
        <color theme="3"/>
        <rFont val="Calibri"/>
        <family val="2"/>
        <scheme val="minor"/>
      </rPr>
      <t>(please explain in notes section)</t>
    </r>
  </si>
  <si>
    <t>Vehicle totals will now autopopulate as individual class and fuel types are entered into the Lighty Duty Vehicle section. These totals will then populate the overall light duty fleet total at the top of the page. If there is a discrepancy between these totals, please correct entried where appropriate or explain in the notes section.</t>
  </si>
  <si>
    <t xml:space="preserve">Similar to last year, please provide total tonnage of materials that were diverted or entered the waste stream, if available. Additionally, if can provide tonnage of specific materials diverted by your campus/agency, please note this in the table provided. If a particular material  is not included in the list, enter this information in the yellow rows labeled "other" and provide details in the notes section. </t>
  </si>
  <si>
    <r>
      <t xml:space="preserve">TOTAL </t>
    </r>
    <r>
      <rPr>
        <b/>
        <sz val="11"/>
        <color theme="0"/>
        <rFont val="Calibri"/>
        <family val="2"/>
        <scheme val="minor"/>
      </rPr>
      <t>EXPENDITURES</t>
    </r>
  </si>
  <si>
    <t>Please answer all items in yellow, if applicable.</t>
  </si>
  <si>
    <t>ADDITIONAL INFORMATION</t>
  </si>
  <si>
    <t>UNIT</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</si>
  <si>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</si>
  <si>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 xml:space="preserve">CALCULATED RATE </t>
  </si>
  <si>
    <t>CALCULATED RATE</t>
  </si>
  <si>
    <t xml:space="preserve">FUEL TYPE </t>
  </si>
  <si>
    <t>FUEL PURPOSE</t>
  </si>
  <si>
    <t>FUEL TYPE</t>
  </si>
  <si>
    <t xml:space="preserve">Select your agency/campus from a dropdown list provided and contact information will auto-populate.  If contact information is incorrect, please note changes where appropriate. If additional contacts should be included for your campus, please list them in the yellow boxes.
</t>
  </si>
  <si>
    <t>Contact information that LBE has on record will autopopulate once your agency/campus has been selected. Once this information is selected, all subsequent tabs with autopopulate function will prepopulate. If there are additional contacts or changes to existing contacts, please manually input them in the spaces provided and LBE will update our records.</t>
  </si>
  <si>
    <t xml:space="preserve">If you have additional EV charging stations that are not in the pre-populated list, please add them in yellow rows below. </t>
  </si>
  <si>
    <t>If you have addition projects that are not in the pre-populated list, please add them in yellow fields below.</t>
  </si>
  <si>
    <t xml:space="preserve"> Existing EV Charging Stations. This EV charging stations section is pre-populated, please verify and correct.</t>
  </si>
  <si>
    <t>Expected EV Charging Stations. Please add any EV charging stations that are planned or in progress.</t>
  </si>
  <si>
    <t>Please Select</t>
  </si>
  <si>
    <t xml:space="preserve">Access </t>
  </si>
  <si>
    <t>Add any EV charging stations that are currently installed but NOT listed in Section I. Please create a separate line for each station, even if multiple stations are at one location.</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</si>
  <si>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</si>
  <si>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Overall fleet information.  All agencies/ campuses should provide information.</t>
  </si>
  <si>
    <t>Fleet details, please provide information if do not purchase/ lease vehicles from OVM.</t>
  </si>
  <si>
    <t>Specify delivery method</t>
  </si>
  <si>
    <t>List % (e.g. B5 or B20)</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</si>
  <si>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</si>
  <si>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</si>
  <si>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r>
      <t>Please include only EE Projects that have occurred</t>
    </r>
    <r>
      <rPr>
        <b/>
        <sz val="12"/>
        <color theme="3"/>
        <rFont val="Calibri"/>
        <family val="2"/>
        <scheme val="minor"/>
      </rPr>
      <t xml:space="preserve"> during FY2018</t>
    </r>
    <r>
      <rPr>
        <sz val="12"/>
        <color theme="3"/>
        <rFont val="Calibri"/>
        <family val="2"/>
        <scheme val="minor"/>
      </rPr>
      <t>.</t>
    </r>
  </si>
  <si>
    <t>This tab includes a request for information on energy efficiency projects that have moved forward without DOER or DCAMM involvement during FY2018. Please as provide as much information as possible in the fields below.</t>
  </si>
  <si>
    <t>Electricity
Est. Energy Savings 
(kWh)</t>
  </si>
  <si>
    <t>Natural Gas
Est. Energy Savings
(kWh)</t>
  </si>
  <si>
    <t>Fuel Oil
Est. Energy Savings
(gallons)</t>
  </si>
  <si>
    <t>Not sure</t>
  </si>
  <si>
    <t xml:space="preserve">Yes </t>
  </si>
  <si>
    <t>Do Not Generate</t>
  </si>
  <si>
    <t>Do Not Know</t>
  </si>
  <si>
    <t>Do your facilities implement and/or promote plug load reduction strategies (e.g. utilize advanced power strips, conduct plug load equipment assessments, etc.)?</t>
  </si>
  <si>
    <t xml:space="preserve">If your campus/agency employs any of the folllowing sustainability strategies, please provide details in the spaces provided  below . </t>
  </si>
  <si>
    <t xml:space="preserve">Do all applicable computers and monitors have energy-saving Computer Power Management (CPM) settings enabled? </t>
  </si>
  <si>
    <t>Do your facilities have requirements for the procurement ENERGY STAR rated office equipment and the activation of energy-saving modes once installed on site?</t>
  </si>
  <si>
    <r>
      <t>Do you promote external or statewide energy and sustainability programs for stakeholders to implement their own sustainable practices at home or elsewhere? (e.g. DOER energyCENTS portal, MOR-EV, etc.)</t>
    </r>
    <r>
      <rPr>
        <sz val="11"/>
        <color theme="1"/>
        <rFont val="Calibri"/>
        <family val="2"/>
        <scheme val="minor"/>
      </rPr>
      <t xml:space="preserve"> </t>
    </r>
  </si>
  <si>
    <t>Landscaping</t>
  </si>
  <si>
    <t xml:space="preserve"> Landscaping</t>
  </si>
  <si>
    <t>Do you currently (or plan to) implement any landscpaing practices to support pollinator habitats and species (e.g. pollinator gardens, no-mow zones, etc.)?</t>
  </si>
  <si>
    <t xml:space="preserve">If your campus/agency employs any of the folllowing landscaping practices, please provide details in the spaces provided  below each question. </t>
  </si>
  <si>
    <t>LBE is tracking Energy Usage Intensity (EUI: kBtu/SF) for the various agencies.  We use your square footage to determine the EUI for your overall agency.  
If square footage has changed since last year, please use the space in Question 2 for updated square footage for FY18 and include occupancy dates/details for any new buildings.</t>
  </si>
  <si>
    <t>(Include Supply + T&amp;D)</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</si>
  <si>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
</t>
    </r>
    <r>
      <rPr>
        <b/>
        <sz val="11"/>
        <color rgb="FFFF0000"/>
        <rFont val="Calibri"/>
        <family val="2"/>
        <scheme val="minor"/>
      </rPr>
      <t>If "Calculated Rate" cell is highlighted, please verify the total consumption and cost.</t>
    </r>
  </si>
  <si>
    <r>
      <t xml:space="preserve">REQUESTED INFORMATION
</t>
    </r>
    <r>
      <rPr>
        <sz val="10"/>
        <color rgb="FFFFFFFF"/>
        <rFont val="Calibri"/>
        <family val="2"/>
        <scheme val="minor"/>
      </rPr>
      <t>(highlighted cells only)</t>
    </r>
  </si>
  <si>
    <t>Section V: Energy credits. Please include RECs/AECs sold or purchased through state contract vendors or others</t>
  </si>
  <si>
    <t xml:space="preserve">Do you maintain your own landscape? </t>
  </si>
  <si>
    <t xml:space="preserve">MassDEP Recycle Smart </t>
  </si>
  <si>
    <t xml:space="preserve">https://recyclesmartma.org/ </t>
  </si>
  <si>
    <t xml:space="preserve">Does your campus/agency recycle or divert any of the following materials?  </t>
  </si>
  <si>
    <r>
      <t xml:space="preserve">Material
</t>
    </r>
    <r>
      <rPr>
        <i/>
        <sz val="10"/>
        <color theme="0"/>
        <rFont val="Calibri"/>
        <family val="2"/>
        <scheme val="minor"/>
      </rPr>
      <t>Details for each material can be found by hovering over material name</t>
    </r>
  </si>
  <si>
    <r>
      <rPr>
        <b/>
        <sz val="11"/>
        <color theme="3"/>
        <rFont val="Calibri"/>
        <family val="2"/>
        <scheme val="minor"/>
      </rPr>
      <t>Below, please select which materials currently  included in your diversion rate above.</t>
    </r>
    <r>
      <rPr>
        <sz val="11"/>
        <color theme="3"/>
        <rFont val="Calibri"/>
        <family val="2"/>
        <scheme val="minor"/>
      </rPr>
      <t xml:space="preserve"> If available, please provide tonnage of material diverted.
</t>
    </r>
    <r>
      <rPr>
        <i/>
        <sz val="11"/>
        <color theme="3"/>
        <rFont val="Calibri"/>
        <family val="2"/>
        <scheme val="minor"/>
      </rPr>
      <t/>
    </r>
  </si>
  <si>
    <t>à</t>
  </si>
  <si>
    <t>Do  you currently/plan to implement any sustainable landscaping practices (e.g. reduction/elimination of pest management, use of environmentally preferrable products, battery-powered lanscape equipment)?</t>
  </si>
  <si>
    <t>Alternative &amp; Renweable Energy Credits</t>
  </si>
  <si>
    <t>AECs Sold</t>
  </si>
  <si>
    <t>Alternative Energy Credits</t>
  </si>
  <si>
    <t>RATE</t>
  </si>
  <si>
    <t>REQUESTED INFORMATION</t>
  </si>
  <si>
    <t>Mass College of Liberal Arts (Venable Hall)</t>
  </si>
  <si>
    <t>Mass College of Liberal Arts (Feigenbaum Center)</t>
  </si>
  <si>
    <t>MCLA/Feigenbaum</t>
  </si>
  <si>
    <t>PPA</t>
  </si>
  <si>
    <t>MassDOT West Stockbridge RoW</t>
  </si>
  <si>
    <t>West Stockbridge</t>
  </si>
  <si>
    <t>Ground (RoW)</t>
  </si>
  <si>
    <t>MassDOT Phase 1b</t>
  </si>
  <si>
    <t>MassDOT Salisbury RoW</t>
  </si>
  <si>
    <t>105 Rabbit Road, Depot</t>
  </si>
  <si>
    <t>Salisbury</t>
  </si>
  <si>
    <t>MassDOT Hopkinton Canopy</t>
  </si>
  <si>
    <t>Canopy</t>
  </si>
  <si>
    <t>MassDOT Phase II</t>
  </si>
  <si>
    <t>MassDOT Hopkinton Rooftop</t>
  </si>
  <si>
    <t>Roof</t>
  </si>
  <si>
    <t>MassDOT Phase 1a</t>
  </si>
  <si>
    <t>4 College Drive</t>
  </si>
  <si>
    <t>Salem State Marsh Hall (PPA)</t>
  </si>
  <si>
    <t>71B Loring Avenue</t>
  </si>
  <si>
    <t>Salem State Gassett Fitness Center (PPA)</t>
  </si>
  <si>
    <t>225 A Canal Street</t>
  </si>
  <si>
    <t xml:space="preserve">Salem State Berry Library </t>
  </si>
  <si>
    <t>In progress</t>
  </si>
  <si>
    <t>$0.081/kWh</t>
  </si>
  <si>
    <t>$0.076/kWh</t>
  </si>
  <si>
    <t>$0.084/kWh</t>
  </si>
  <si>
    <r>
      <t xml:space="preserve"> If available, please provide total tonnage diverted from waste stream </t>
    </r>
    <r>
      <rPr>
        <i/>
        <sz val="11"/>
        <color theme="3"/>
        <rFont val="Calibri"/>
        <family val="2"/>
        <scheme val="minor"/>
      </rPr>
      <t/>
    </r>
  </si>
  <si>
    <t>No Changes, Please Use Last Year's Data</t>
  </si>
  <si>
    <t>Never Reported, All New Data</t>
  </si>
  <si>
    <t>Some Changes, Please See Updates Below</t>
  </si>
  <si>
    <t>If your agency/campus has submitted answers to the below questions in past years and you would like LBE to use this data for your FY18 submission, please note this in the dropdown to the right.</t>
  </si>
  <si>
    <t>This tab requests information on landscaping activities and sustainable landscaping efforts at your facilities.</t>
  </si>
  <si>
    <t>This tab has been reformatted with the same content as last year. If "yes" is selected for any of the questions, you will be prompted to provide details in the space provided. In addition, if you have submitted data in past years and would like to use all or some historical information for your FY18 submission, there is now an area to select these options.</t>
  </si>
  <si>
    <r>
      <t xml:space="preserve">Fleet Details -- Light Duty </t>
    </r>
    <r>
      <rPr>
        <b/>
        <u/>
        <sz val="16"/>
        <color rgb="FFFFFFFF"/>
        <rFont val="Calibri"/>
        <family val="2"/>
        <scheme val="minor"/>
      </rPr>
      <t>ONLY</t>
    </r>
    <r>
      <rPr>
        <b/>
        <sz val="16"/>
        <color rgb="FFFFFFFF"/>
        <rFont val="Calibri"/>
        <family val="2"/>
        <scheme val="minor"/>
      </rPr>
      <t xml:space="preserve"> (&lt;10,000 lbs)</t>
    </r>
  </si>
  <si>
    <r>
      <t xml:space="preserve">This tab requests information about vehicle fleets. All LBE partners should respond to Section I. Section II is applicable only to those entities that </t>
    </r>
    <r>
      <rPr>
        <i/>
        <sz val="11"/>
        <color theme="3"/>
        <rFont val="Calibri"/>
        <family val="2"/>
        <scheme val="minor"/>
      </rPr>
      <t>do not</t>
    </r>
    <r>
      <rPr>
        <sz val="11"/>
        <color theme="3"/>
        <rFont val="Calibri"/>
        <family val="2"/>
        <scheme val="minor"/>
      </rPr>
      <t xml:space="preserve"> purchase/lease vehicles through the Office of Vehicle Management (OVM). Only include vehicles that are owned and operated by your agency or the Commonwealth.</t>
    </r>
    <r>
      <rPr>
        <b/>
        <u/>
        <sz val="11"/>
        <color theme="3"/>
        <rFont val="Calibri"/>
        <family val="2"/>
        <scheme val="minor"/>
      </rPr>
      <t xml:space="preserve"> 
</t>
    </r>
    <r>
      <rPr>
        <b/>
        <u/>
        <sz val="11"/>
        <color rgb="FFFF0000"/>
        <rFont val="Calibri"/>
        <family val="2"/>
        <scheme val="minor"/>
      </rPr>
      <t>If you submitted fleet information for FY2017 and  your fleet total and composition has not changed at all since that time, please note that in Section I and we will use last year's submission.</t>
    </r>
  </si>
  <si>
    <t>Reduction/elimination of pest management</t>
  </si>
  <si>
    <t>Use of environmentally preferable products</t>
  </si>
  <si>
    <t>Use of battery-powered landscape equipment</t>
  </si>
  <si>
    <t>No-mow zones</t>
  </si>
  <si>
    <t>Pollinator garden(s)</t>
  </si>
  <si>
    <t>UMass Amherst Lot 25</t>
  </si>
  <si>
    <t>UMass Amherst--Champion Center</t>
  </si>
  <si>
    <t>UMass Amherst--Computer Science</t>
  </si>
  <si>
    <t>UMass Amherst--Fine Arts Center</t>
  </si>
  <si>
    <t>UMass Amherst--Police Station</t>
  </si>
  <si>
    <t>UMass Amherst--Rec Center</t>
  </si>
  <si>
    <t>UMass Amherst Lot 44</t>
  </si>
  <si>
    <t>Installations that LBE has documented as "In Progress" will appear in green. Please correct in "Corrections/Notes" section if status has changed.</t>
  </si>
  <si>
    <t>Worcester State University -Wasylean Hall</t>
  </si>
  <si>
    <t>Worcester State University - LRC</t>
  </si>
  <si>
    <t>Worcester State University - Dowden Hall</t>
  </si>
  <si>
    <t>Solar pV (Roof)</t>
  </si>
  <si>
    <t>Bristol Community College - Canopy</t>
  </si>
  <si>
    <t>Bristol Community College - Sbrega Building</t>
  </si>
  <si>
    <t xml:space="preserve">Clean power installations that LBE has on record from the previous reporting year will prepopulate once your agency/campus is selected from the contact tab. If current installations are not included in the pre-populated list, please add them in the space provided. Similarly, if there are installations in progress, please add them and provide estimated date of completion. </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</si>
  <si>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</si>
  <si>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</si>
  <si>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General</t>
  </si>
  <si>
    <t xml:space="preserve">The FY18 Tracking Form has been reformatted and streamlined for ease of use. Where appropriate, we have automated individual tabs to pre-populate with previously submitted data. ALL pre-populated fields rely on the selection of your agency/campus from the "Contact Information" tab dropdown. If not selected, no data will pre-populate. Additionally, you will no longer be able to select your agency/campus on individual tabs. </t>
  </si>
  <si>
    <t xml:space="preserve">Note: If your agency/campus is not selected from the dropdown menu below, subsequent tabs will not display any pre-populated data. </t>
  </si>
  <si>
    <t>Additional questions?  
Contact Chelsea Kehne with questions or data concerns. 
chelsea.kehne@mass.gov    617-626-7338</t>
  </si>
  <si>
    <r>
      <t xml:space="preserve">For agencies/campuses that track water consumption </t>
    </r>
    <r>
      <rPr>
        <b/>
        <u/>
        <sz val="11"/>
        <color rgb="FF00A249"/>
        <rFont val="Calibri"/>
        <family val="2"/>
        <scheme val="minor"/>
      </rPr>
      <t>and have submitted</t>
    </r>
    <r>
      <rPr>
        <sz val="11"/>
        <color theme="3"/>
        <rFont val="Calibri"/>
        <family val="2"/>
        <scheme val="minor"/>
      </rPr>
      <t xml:space="preserve"> in past years, please enter your FY18 data in the space provided. 
Please make any corrections/additions to historical data in the "Notes" section.</t>
    </r>
  </si>
  <si>
    <r>
      <t>For agencies that track water consumption but</t>
    </r>
    <r>
      <rPr>
        <b/>
        <sz val="11"/>
        <color rgb="FF00A249"/>
        <rFont val="Calibri"/>
        <family val="2"/>
        <scheme val="minor"/>
      </rPr>
      <t xml:space="preserve"> </t>
    </r>
    <r>
      <rPr>
        <b/>
        <u/>
        <sz val="11"/>
        <color rgb="FF00A249"/>
        <rFont val="Calibri"/>
        <family val="2"/>
        <scheme val="minor"/>
      </rPr>
      <t>have not submitted</t>
    </r>
    <r>
      <rPr>
        <sz val="11"/>
        <color theme="3"/>
        <rFont val="Calibri"/>
        <family val="2"/>
        <scheme val="minor"/>
      </rPr>
      <t xml:space="preserve"> in past years, please provide FY18 consumption and cost data along with any available historical data below.</t>
    </r>
  </si>
  <si>
    <t>Type of Change (+/-)</t>
  </si>
  <si>
    <t>This tab requests information on water use at your facilities.  If you have more than one facility you would like to track separately, feel free to contact Chelsea Kehne (chelsea.kehne@mass.gov)</t>
  </si>
  <si>
    <t>This tab requests information on recycling at your facilities.  If you have more than one facility you would like to track separately, feel free to contact Chelsea Kehne (chelsea.kehne@mass.gov)</t>
  </si>
  <si>
    <r>
      <t xml:space="preserve"> Are you interested in any technical assistance regarding the establishment/expansion of composting and/or recycling efforts? 
 </t>
    </r>
    <r>
      <rPr>
        <i/>
        <sz val="11"/>
        <color theme="3"/>
        <rFont val="Calibri"/>
        <family val="2"/>
        <scheme val="minor"/>
      </rPr>
      <t>(please see link forMassDEP funded technical assistance at bottom of page)</t>
    </r>
  </si>
  <si>
    <t xml:space="preserve"> Does your campus/agency have a single-stream recycling program?</t>
  </si>
  <si>
    <t>Zero-Turn Riding Mowers</t>
  </si>
  <si>
    <t>Push Mowers</t>
  </si>
  <si>
    <t>Leaf Blowers</t>
  </si>
  <si>
    <t>This landscaping tab is voluntary to complete. The Leading by Example Program appreciates any information and feedback related to your landscaping practices as we work to advance the progress of sustainability initiatives across the Commonwealth.</t>
  </si>
  <si>
    <r>
      <rPr>
        <b/>
        <sz val="14"/>
        <color rgb="FF00B050"/>
        <rFont val="Calibri"/>
        <family val="2"/>
        <scheme val="minor"/>
      </rPr>
      <t xml:space="preserve">The deadline for submitting the FY18 Tracking Form is December 15, 2018. 
Please submit via email to Chelsea Kehne (chelsea.kehne@mass.gov). </t>
    </r>
    <r>
      <rPr>
        <b/>
        <sz val="14"/>
        <color theme="5" tint="-0.249977111117893"/>
        <rFont val="Calibri"/>
        <family val="2"/>
        <scheme val="minor"/>
      </rPr>
      <t xml:space="preserve">
</t>
    </r>
    <r>
      <rPr>
        <b/>
        <sz val="14"/>
        <color theme="3"/>
        <rFont val="Calibri"/>
        <family val="2"/>
        <scheme val="minor"/>
      </rPr>
      <t xml:space="preserve">Please contact Chelsea via email or by phone at 617-626-7338 if you need assistance in gathering your energy data. </t>
    </r>
  </si>
  <si>
    <t>EV Charging Stations in progress or planned</t>
  </si>
  <si>
    <t>Bridgewater State - Science and Mathematics Center</t>
  </si>
  <si>
    <t>Sbrega Health and Sciences Building</t>
  </si>
  <si>
    <t>Sbrega Health and Sciences Building (181 MMBtu)</t>
  </si>
  <si>
    <r>
      <t>Mass Maritime</t>
    </r>
    <r>
      <rPr>
        <sz val="11"/>
        <color theme="1"/>
        <rFont val="Calibri"/>
        <family val="2"/>
        <scheme val="minor"/>
      </rPr>
      <t xml:space="preserve">    Natatorium</t>
    </r>
  </si>
  <si>
    <t>Salem State Berry Library and Learning Commons</t>
  </si>
  <si>
    <t>UMass Amherst Research Admin Building</t>
  </si>
  <si>
    <t>UMass Amherst Police Station</t>
  </si>
  <si>
    <t>UMass Amherst Central Heating Plant Solar Thermal</t>
  </si>
  <si>
    <t>Hadley</t>
  </si>
  <si>
    <t>UMass Lowell Inn &amp; Conference Center</t>
  </si>
  <si>
    <t xml:space="preserve">Lowell </t>
  </si>
  <si>
    <t>On North Wing</t>
  </si>
  <si>
    <t xml:space="preserve">closed-loop geothermal system comprised of 48 6-inch diameter wells </t>
  </si>
  <si>
    <t>no information on the system provided (not available)</t>
  </si>
  <si>
    <t>There are 5 pump units, each ranging from 5 MBH (1.5 kW) to 25 MBH (7.4 kW.)</t>
  </si>
  <si>
    <t>capacity is estimated</t>
  </si>
  <si>
    <t>BSU</t>
  </si>
  <si>
    <t>Ground Source Heat Pump</t>
  </si>
  <si>
    <t>BCC</t>
  </si>
  <si>
    <t>Air Source Heat Pump</t>
  </si>
  <si>
    <t>HCC</t>
  </si>
  <si>
    <t>MMA</t>
  </si>
  <si>
    <t>MiCC</t>
  </si>
  <si>
    <t>MWCC</t>
  </si>
  <si>
    <t>NSCC</t>
  </si>
  <si>
    <t>QCC</t>
  </si>
  <si>
    <t>SSU</t>
  </si>
  <si>
    <t>UMass</t>
  </si>
  <si>
    <t>Ton</t>
  </si>
  <si>
    <t>Unknown</t>
  </si>
  <si>
    <t>Jamieson Wicks</t>
  </si>
  <si>
    <t>jwicks@northshore.edu</t>
  </si>
  <si>
    <t>(617) 879-7939</t>
  </si>
  <si>
    <t>Facilities Director</t>
  </si>
  <si>
    <t>Greenfield Comm. College</t>
  </si>
  <si>
    <t>Main Building/Library Addition</t>
  </si>
  <si>
    <t>125-150 tons cooling</t>
  </si>
  <si>
    <t>GCC</t>
  </si>
  <si>
    <t>RCC</t>
  </si>
  <si>
    <t>RCC Parking Lot</t>
  </si>
  <si>
    <t>RCC Building 3 Roof</t>
  </si>
  <si>
    <t>16 units</t>
  </si>
  <si>
    <t>115 wells</t>
  </si>
  <si>
    <t>STCC</t>
  </si>
  <si>
    <t>Building #1</t>
  </si>
  <si>
    <t>bhe</t>
  </si>
  <si>
    <t>Tripp Athletic Center</t>
  </si>
  <si>
    <t>Bellegrade Boathouse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</si>
</sst>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s>
  <fonts count="93" x14ac:knownFonts="1">
    <font>
      <sz val="11"/>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sz val="11"/>
      <color rgb="FFFFFFFF"/>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b/>
      <sz val="14"/>
      <color theme="5" tint="-0.249977111117893"/>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sz val="11"/>
      <color theme="1"/>
      <name val="Symbol"/>
      <family val="1"/>
      <charset val="2"/>
    </font>
    <font>
      <i/>
      <sz val="11"/>
      <color theme="3"/>
      <name val="Calibri"/>
      <family val="2"/>
      <scheme val="minor"/>
    </font>
    <font>
      <u/>
      <sz val="11"/>
      <color theme="10"/>
      <name val="Calibri"/>
      <family val="2"/>
    </font>
    <font>
      <b/>
      <sz val="16"/>
      <color theme="0"/>
      <name val="Calibri"/>
      <family val="2"/>
      <scheme val="minor"/>
    </font>
    <font>
      <sz val="14"/>
      <color theme="3"/>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1"/>
      <color indexed="8"/>
      <name val="Calibri"/>
      <family val="2"/>
    </font>
    <font>
      <sz val="10"/>
      <color indexed="8"/>
      <name val="Arial"/>
      <family val="2"/>
    </font>
    <font>
      <b/>
      <u/>
      <sz val="11"/>
      <color theme="3"/>
      <name val="Calibri"/>
      <family val="2"/>
      <scheme val="minor"/>
    </font>
    <font>
      <b/>
      <sz val="12"/>
      <color theme="0"/>
      <name val="Calibri"/>
      <family val="2"/>
      <scheme val="minor"/>
    </font>
    <font>
      <sz val="11"/>
      <color rgb="FFFF0000"/>
      <name val="Calibri"/>
      <family val="2"/>
      <scheme val="minor"/>
    </font>
    <font>
      <sz val="11"/>
      <color indexed="8"/>
      <name val="Calibri"/>
      <family val="2"/>
    </font>
    <font>
      <sz val="10"/>
      <color indexed="8"/>
      <name val="Arial"/>
      <family val="2"/>
    </font>
    <font>
      <b/>
      <u/>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indexed="8"/>
      <name val="Calibri"/>
      <family val="2"/>
    </font>
    <font>
      <b/>
      <sz val="11"/>
      <name val="Calibri"/>
      <family val="2"/>
      <scheme val="minor"/>
    </font>
    <font>
      <b/>
      <sz val="11"/>
      <color rgb="FFFF0000"/>
      <name val="Calibri"/>
      <family val="2"/>
      <scheme val="minor"/>
    </font>
    <font>
      <b/>
      <sz val="11"/>
      <color theme="4" tint="-0.499984740745262"/>
      <name val="Calibri"/>
      <family val="2"/>
      <scheme val="minor"/>
    </font>
    <font>
      <i/>
      <sz val="11"/>
      <color rgb="FFFF0000"/>
      <name val="Calibri"/>
      <family val="2"/>
      <scheme val="minor"/>
    </font>
    <font>
      <sz val="10"/>
      <name val="Arial"/>
      <family val="2"/>
    </font>
    <font>
      <u/>
      <sz val="10"/>
      <color indexed="12"/>
      <name val="Arial"/>
      <family val="2"/>
    </font>
    <font>
      <sz val="11"/>
      <color theme="9"/>
      <name val="Calibri"/>
      <family val="2"/>
      <scheme val="minor"/>
    </font>
    <font>
      <b/>
      <sz val="14"/>
      <color rgb="FFFFFF00"/>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sz val="14"/>
      <color rgb="FF00B050"/>
      <name val="Calibri"/>
      <family val="2"/>
      <scheme val="minor"/>
    </font>
    <font>
      <b/>
      <i/>
      <sz val="12"/>
      <color rgb="FF003366"/>
      <name val="Calibri"/>
      <family val="2"/>
      <scheme val="minor"/>
    </font>
    <font>
      <sz val="10"/>
      <color rgb="FFFFFFFF"/>
      <name val="Calibri"/>
      <family val="2"/>
      <scheme val="minor"/>
    </font>
    <font>
      <i/>
      <sz val="10"/>
      <color theme="0"/>
      <name val="Calibri"/>
      <family val="2"/>
      <scheme val="minor"/>
    </font>
    <font>
      <b/>
      <sz val="10"/>
      <color theme="3"/>
      <name val="Wingdings"/>
      <charset val="2"/>
    </font>
    <font>
      <b/>
      <sz val="11"/>
      <color rgb="FF00A249"/>
      <name val="Calibri"/>
      <family val="2"/>
      <scheme val="minor"/>
    </font>
    <font>
      <b/>
      <u/>
      <sz val="16"/>
      <color rgb="FFFFFFFF"/>
      <name val="Calibri"/>
      <family val="2"/>
      <scheme val="minor"/>
    </font>
    <font>
      <b/>
      <sz val="12"/>
      <color rgb="FF00B050"/>
      <name val="Calibri"/>
      <family val="2"/>
      <scheme val="minor"/>
    </font>
    <font>
      <b/>
      <u/>
      <sz val="12"/>
      <color theme="0"/>
      <name val="Calibri"/>
      <family val="2"/>
      <scheme val="minor"/>
    </font>
    <font>
      <b/>
      <u/>
      <sz val="12"/>
      <color rgb="FFFFFFFF"/>
      <name val="Calibri"/>
      <family val="2"/>
      <scheme val="minor"/>
    </font>
    <font>
      <b/>
      <u/>
      <sz val="11"/>
      <color rgb="FF00A249"/>
      <name val="Calibri"/>
      <family val="2"/>
      <scheme val="minor"/>
    </font>
  </fonts>
  <fills count="61">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bottom style="medium">
        <color theme="0"/>
      </bottom>
      <diagonal/>
    </border>
    <border>
      <left style="thin">
        <color indexed="64"/>
      </left>
      <right style="thin">
        <color indexed="64"/>
      </right>
      <top/>
      <bottom style="thin">
        <color indexed="64"/>
      </bottom>
      <diagonal/>
    </border>
  </borders>
  <cellStyleXfs count="66">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xf numFmtId="44"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35" fillId="0" borderId="0"/>
    <xf numFmtId="0" fontId="40" fillId="0" borderId="0" applyNumberFormat="0" applyFill="0" applyBorder="0" applyAlignment="0" applyProtection="0">
      <alignment vertical="top"/>
      <protection locked="0"/>
    </xf>
    <xf numFmtId="0" fontId="47" fillId="0" borderId="0"/>
    <xf numFmtId="0" fontId="52" fillId="0" borderId="0"/>
    <xf numFmtId="0" fontId="54" fillId="0" borderId="0" applyNumberFormat="0" applyFill="0" applyBorder="0" applyAlignment="0" applyProtection="0"/>
    <xf numFmtId="0" fontId="55" fillId="0" borderId="17" applyNumberFormat="0" applyFill="0" applyAlignment="0" applyProtection="0"/>
    <xf numFmtId="0" fontId="56" fillId="0" borderId="18" applyNumberFormat="0" applyFill="0" applyAlignment="0" applyProtection="0"/>
    <xf numFmtId="0" fontId="8" fillId="0" borderId="19" applyNumberFormat="0" applyFill="0" applyAlignment="0" applyProtection="0"/>
    <xf numFmtId="0" fontId="8" fillId="0" borderId="0" applyNumberFormat="0" applyFill="0" applyBorder="0" applyAlignment="0" applyProtection="0"/>
    <xf numFmtId="0" fontId="57" fillId="16" borderId="0" applyNumberFormat="0" applyBorder="0" applyAlignment="0" applyProtection="0"/>
    <xf numFmtId="0" fontId="58" fillId="17" borderId="0" applyNumberFormat="0" applyBorder="0" applyAlignment="0" applyProtection="0"/>
    <xf numFmtId="0" fontId="59" fillId="18" borderId="0" applyNumberFormat="0" applyBorder="0" applyAlignment="0" applyProtection="0"/>
    <xf numFmtId="0" fontId="60" fillId="19" borderId="20" applyNumberFormat="0" applyAlignment="0" applyProtection="0"/>
    <xf numFmtId="0" fontId="61" fillId="20" borderId="21" applyNumberFormat="0" applyAlignment="0" applyProtection="0"/>
    <xf numFmtId="0" fontId="62" fillId="20" borderId="20" applyNumberFormat="0" applyAlignment="0" applyProtection="0"/>
    <xf numFmtId="0" fontId="63" fillId="0" borderId="22" applyNumberFormat="0" applyFill="0" applyAlignment="0" applyProtection="0"/>
    <xf numFmtId="0" fontId="9" fillId="21" borderId="23" applyNumberFormat="0" applyAlignment="0" applyProtection="0"/>
    <xf numFmtId="0" fontId="50" fillId="0" borderId="0" applyNumberFormat="0" applyFill="0" applyBorder="0" applyAlignment="0" applyProtection="0"/>
    <xf numFmtId="0" fontId="1" fillId="22" borderId="24" applyNumberFormat="0" applyFont="0" applyAlignment="0" applyProtection="0"/>
    <xf numFmtId="0" fontId="64" fillId="0" borderId="0" applyNumberFormat="0" applyFill="0" applyBorder="0" applyAlignment="0" applyProtection="0"/>
    <xf numFmtId="0" fontId="29" fillId="0" borderId="25" applyNumberFormat="0" applyFill="0" applyAlignment="0" applyProtection="0"/>
    <xf numFmtId="0" fontId="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 fillId="46" borderId="0" applyNumberFormat="0" applyBorder="0" applyAlignment="0" applyProtection="0"/>
    <xf numFmtId="0" fontId="40" fillId="0" borderId="0" applyNumberFormat="0" applyFill="0" applyBorder="0" applyAlignment="0" applyProtection="0">
      <alignment vertical="top"/>
      <protection locked="0"/>
    </xf>
    <xf numFmtId="0" fontId="65" fillId="0" borderId="0" applyNumberFormat="0" applyFill="0" applyBorder="0" applyAlignment="0" applyProtection="0"/>
    <xf numFmtId="0" fontId="75" fillId="0" borderId="0"/>
    <xf numFmtId="43" fontId="75" fillId="0" borderId="0" applyFont="0" applyFill="0" applyBorder="0" applyAlignment="0" applyProtection="0"/>
    <xf numFmtId="43" fontId="7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6" fillId="0" borderId="0" applyNumberFormat="0" applyFill="0" applyBorder="0" applyAlignment="0" applyProtection="0">
      <alignment vertical="top"/>
      <protection locked="0"/>
    </xf>
    <xf numFmtId="0" fontId="75" fillId="0" borderId="0"/>
    <xf numFmtId="0" fontId="5" fillId="0" borderId="0"/>
    <xf numFmtId="0" fontId="1" fillId="0" borderId="0"/>
    <xf numFmtId="9" fontId="1" fillId="0" borderId="0" applyFont="0" applyFill="0" applyBorder="0" applyAlignment="0" applyProtection="0"/>
  </cellStyleXfs>
  <cellXfs count="1111">
    <xf numFmtId="0" fontId="0" fillId="0" borderId="0" xfId="0"/>
    <xf numFmtId="0" fontId="0" fillId="0" borderId="0" xfId="0" applyFont="1" applyAlignment="1"/>
    <xf numFmtId="0" fontId="0" fillId="0" borderId="1" xfId="0" applyBorder="1"/>
    <xf numFmtId="44" fontId="2" fillId="3" borderId="1" xfId="1" applyFont="1" applyFill="1" applyBorder="1" applyAlignment="1">
      <alignment horizontal="center" vertical="center"/>
    </xf>
    <xf numFmtId="44" fontId="2" fillId="3" borderId="7" xfId="1" applyFont="1" applyFill="1" applyBorder="1" applyAlignment="1">
      <alignment horizontal="center" vertical="center"/>
    </xf>
    <xf numFmtId="0" fontId="0" fillId="0" borderId="0" xfId="0" applyFont="1" applyProtection="1"/>
    <xf numFmtId="0" fontId="0" fillId="0" borderId="0" xfId="0" applyFont="1" applyAlignment="1" applyProtection="1"/>
    <xf numFmtId="0" fontId="6" fillId="6" borderId="1" xfId="3" applyFont="1" applyFill="1" applyBorder="1" applyAlignment="1">
      <alignment horizontal="center" vertical="center" wrapText="1"/>
    </xf>
    <xf numFmtId="165" fontId="6" fillId="6" borderId="1" xfId="4" applyNumberFormat="1" applyFont="1" applyFill="1" applyBorder="1" applyAlignment="1">
      <alignment horizontal="center" vertical="center" wrapText="1"/>
    </xf>
    <xf numFmtId="0" fontId="5" fillId="0" borderId="0" xfId="3"/>
    <xf numFmtId="0" fontId="5" fillId="0" borderId="1" xfId="3" applyFont="1" applyFill="1" applyBorder="1" applyAlignment="1">
      <alignment vertical="top"/>
    </xf>
    <xf numFmtId="0" fontId="0" fillId="0" borderId="0" xfId="0" applyFont="1" applyAlignment="1" applyProtection="1">
      <protection locked="0"/>
    </xf>
    <xf numFmtId="0" fontId="7" fillId="0" borderId="0" xfId="0" applyFont="1" applyAlignment="1"/>
    <xf numFmtId="0" fontId="11" fillId="0" borderId="0" xfId="0" applyFont="1" applyProtection="1"/>
    <xf numFmtId="0" fontId="11" fillId="0" borderId="0" xfId="0" applyFont="1" applyAlignment="1" applyProtection="1"/>
    <xf numFmtId="0" fontId="15" fillId="0" borderId="0" xfId="0" applyFont="1" applyProtection="1"/>
    <xf numFmtId="0" fontId="15" fillId="0" borderId="0" xfId="0" applyFont="1" applyAlignment="1"/>
    <xf numFmtId="0" fontId="18" fillId="0" borderId="0" xfId="0" applyFont="1" applyAlignment="1"/>
    <xf numFmtId="44" fontId="15" fillId="0" borderId="0" xfId="1" applyFont="1" applyAlignment="1"/>
    <xf numFmtId="0" fontId="15" fillId="0" borderId="0" xfId="0" applyFont="1" applyAlignment="1" applyProtection="1"/>
    <xf numFmtId="0" fontId="15" fillId="0" borderId="0" xfId="0" applyFont="1" applyAlignment="1" applyProtection="1">
      <protection locked="0"/>
    </xf>
    <xf numFmtId="44" fontId="15" fillId="0" borderId="0" xfId="1" applyFont="1" applyAlignment="1" applyProtection="1">
      <protection locked="0"/>
    </xf>
    <xf numFmtId="0" fontId="11" fillId="0" borderId="0" xfId="0" applyFont="1" applyAlignment="1"/>
    <xf numFmtId="0" fontId="32" fillId="0" borderId="0" xfId="0" applyFont="1" applyAlignment="1"/>
    <xf numFmtId="0" fontId="29" fillId="6" borderId="1" xfId="0" applyFont="1" applyFill="1" applyBorder="1" applyAlignment="1">
      <alignment horizontal="center" vertical="center" wrapText="1"/>
    </xf>
    <xf numFmtId="166" fontId="29" fillId="6" borderId="1" xfId="2" applyNumberFormat="1" applyFont="1" applyFill="1" applyBorder="1" applyAlignment="1">
      <alignment horizontal="center" vertical="center" wrapText="1"/>
    </xf>
    <xf numFmtId="1" fontId="6" fillId="6" borderId="1" xfId="2" applyNumberFormat="1" applyFont="1" applyFill="1" applyBorder="1" applyAlignment="1">
      <alignment horizontal="center" vertical="center" wrapText="1"/>
    </xf>
    <xf numFmtId="0" fontId="5" fillId="0" borderId="1" xfId="3" applyFill="1" applyBorder="1"/>
    <xf numFmtId="0" fontId="34" fillId="0" borderId="1" xfId="0" applyFont="1" applyFill="1" applyBorder="1" applyAlignment="1">
      <alignment horizontal="left"/>
    </xf>
    <xf numFmtId="166" fontId="31" fillId="0" borderId="1" xfId="2" applyNumberFormat="1" applyFont="1" applyFill="1" applyBorder="1" applyAlignment="1" applyProtection="1">
      <alignment horizontal="right"/>
      <protection locked="0"/>
    </xf>
    <xf numFmtId="49" fontId="34" fillId="0" borderId="1" xfId="0" applyNumberFormat="1" applyFont="1" applyFill="1" applyBorder="1" applyAlignment="1">
      <alignment horizontal="left"/>
    </xf>
    <xf numFmtId="0" fontId="31" fillId="0" borderId="1" xfId="0" applyNumberFormat="1" applyFont="1" applyFill="1" applyBorder="1" applyAlignment="1"/>
    <xf numFmtId="167" fontId="34" fillId="0" borderId="1" xfId="0" applyNumberFormat="1" applyFont="1" applyFill="1" applyBorder="1" applyAlignment="1">
      <alignment horizontal="right"/>
    </xf>
    <xf numFmtId="14" fontId="31"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8" applyFont="1" applyFill="1" applyBorder="1" applyAlignment="1"/>
    <xf numFmtId="0" fontId="31" fillId="0" borderId="1" xfId="0" applyFont="1" applyFill="1" applyBorder="1" applyAlignment="1">
      <alignment horizontal="left"/>
    </xf>
    <xf numFmtId="49" fontId="31" fillId="0" borderId="1" xfId="0" applyNumberFormat="1" applyFont="1" applyFill="1" applyBorder="1" applyAlignment="1">
      <alignment horizontal="left"/>
    </xf>
    <xf numFmtId="0" fontId="5" fillId="0" borderId="1" xfId="3" applyFill="1" applyBorder="1" applyAlignment="1">
      <alignment vertical="top"/>
    </xf>
    <xf numFmtId="0" fontId="33" fillId="0" borderId="1" xfId="0" applyFont="1" applyFill="1" applyBorder="1" applyAlignment="1"/>
    <xf numFmtId="10" fontId="0" fillId="0" borderId="1" xfId="6" applyNumberFormat="1" applyFont="1" applyFill="1" applyBorder="1" applyAlignment="1">
      <alignment vertical="top"/>
    </xf>
    <xf numFmtId="166" fontId="0" fillId="0" borderId="0" xfId="2" applyNumberFormat="1" applyFont="1"/>
    <xf numFmtId="1" fontId="0" fillId="0" borderId="0" xfId="2" applyNumberFormat="1" applyFont="1"/>
    <xf numFmtId="164" fontId="0" fillId="0" borderId="1" xfId="7" applyNumberFormat="1" applyFont="1" applyFill="1" applyBorder="1" applyAlignment="1">
      <alignment vertical="top"/>
    </xf>
    <xf numFmtId="0" fontId="0" fillId="0" borderId="0" xfId="0" applyFont="1" applyBorder="1" applyAlignment="1" applyProtection="1"/>
    <xf numFmtId="0" fontId="10" fillId="0" borderId="0" xfId="0" applyFont="1" applyBorder="1" applyAlignment="1">
      <alignment vertical="center" wrapText="1"/>
    </xf>
    <xf numFmtId="0" fontId="10" fillId="0" borderId="0" xfId="0" applyNumberFormat="1" applyFont="1" applyBorder="1" applyAlignment="1">
      <alignment vertical="center" wrapText="1"/>
    </xf>
    <xf numFmtId="0" fontId="0" fillId="0" borderId="1" xfId="0" applyFill="1" applyBorder="1"/>
    <xf numFmtId="164" fontId="0" fillId="0" borderId="1" xfId="2" applyNumberFormat="1" applyFont="1" applyFill="1" applyBorder="1"/>
    <xf numFmtId="0" fontId="15" fillId="0" borderId="1" xfId="3" applyFont="1" applyFill="1" applyBorder="1" applyAlignment="1" applyProtection="1">
      <protection locked="0"/>
    </xf>
    <xf numFmtId="1" fontId="0" fillId="0" borderId="1" xfId="2" applyNumberFormat="1" applyFont="1" applyFill="1" applyBorder="1"/>
    <xf numFmtId="167" fontId="31" fillId="0" borderId="1" xfId="0" applyNumberFormat="1" applyFont="1" applyFill="1" applyBorder="1" applyAlignment="1"/>
    <xf numFmtId="1" fontId="5" fillId="0" borderId="1" xfId="2" applyNumberFormat="1" applyFont="1" applyFill="1" applyBorder="1"/>
    <xf numFmtId="0" fontId="0" fillId="0" borderId="1" xfId="0" applyFont="1" applyFill="1" applyBorder="1" applyAlignment="1"/>
    <xf numFmtId="1" fontId="0" fillId="0" borderId="1" xfId="2" applyNumberFormat="1" applyFont="1" applyFill="1" applyBorder="1" applyAlignment="1">
      <alignment vertical="top"/>
    </xf>
    <xf numFmtId="0" fontId="15" fillId="0" borderId="0" xfId="0" applyFont="1" applyAlignment="1" applyProtection="1">
      <alignment horizontal="center" vertical="center"/>
    </xf>
    <xf numFmtId="0" fontId="26" fillId="0" borderId="0" xfId="0" applyFont="1" applyAlignment="1" applyProtection="1"/>
    <xf numFmtId="0" fontId="26" fillId="0" borderId="0" xfId="0" applyFont="1" applyAlignment="1"/>
    <xf numFmtId="0" fontId="46" fillId="0" borderId="15" xfId="10" applyFont="1" applyFill="1" applyBorder="1" applyAlignment="1">
      <alignment wrapText="1"/>
    </xf>
    <xf numFmtId="0" fontId="46" fillId="0" borderId="1" xfId="10" applyFont="1" applyFill="1" applyBorder="1" applyAlignment="1">
      <alignment wrapText="1"/>
    </xf>
    <xf numFmtId="44" fontId="2" fillId="3" borderId="1" xfId="1" applyFont="1" applyFill="1" applyBorder="1" applyAlignment="1">
      <alignment horizontal="left" vertical="center"/>
    </xf>
    <xf numFmtId="0" fontId="46" fillId="0" borderId="1" xfId="10" applyFont="1" applyFill="1" applyBorder="1" applyAlignment="1">
      <alignment horizontal="left" wrapText="1"/>
    </xf>
    <xf numFmtId="0" fontId="5" fillId="0" borderId="0" xfId="3" applyFill="1" applyBorder="1" applyAlignment="1">
      <alignment vertical="top"/>
    </xf>
    <xf numFmtId="0" fontId="5" fillId="0" borderId="0" xfId="3" applyFont="1" applyFill="1" applyBorder="1" applyAlignment="1">
      <alignment vertical="top"/>
    </xf>
    <xf numFmtId="0" fontId="0" fillId="0" borderId="0" xfId="0" applyFill="1" applyBorder="1"/>
    <xf numFmtId="0" fontId="5" fillId="0" borderId="0" xfId="3" applyFill="1" applyBorder="1"/>
    <xf numFmtId="164" fontId="0" fillId="0" borderId="0" xfId="2" applyNumberFormat="1" applyFont="1" applyFill="1" applyBorder="1"/>
    <xf numFmtId="0" fontId="0" fillId="0" borderId="0" xfId="0"/>
    <xf numFmtId="0" fontId="5" fillId="0" borderId="1" xfId="3" applyFill="1" applyBorder="1"/>
    <xf numFmtId="0" fontId="34" fillId="0" borderId="1" xfId="0" applyFont="1" applyFill="1" applyBorder="1" applyAlignment="1">
      <alignment horizontal="left"/>
    </xf>
    <xf numFmtId="166" fontId="31" fillId="0" borderId="1" xfId="2" applyNumberFormat="1" applyFont="1" applyFill="1" applyBorder="1" applyAlignment="1" applyProtection="1">
      <alignment horizontal="right"/>
      <protection locked="0"/>
    </xf>
    <xf numFmtId="0" fontId="31" fillId="0" borderId="1" xfId="0" applyNumberFormat="1" applyFont="1" applyFill="1" applyBorder="1" applyAlignment="1"/>
    <xf numFmtId="167" fontId="34" fillId="0" borderId="1" xfId="0" applyNumberFormat="1" applyFont="1" applyFill="1" applyBorder="1" applyAlignment="1">
      <alignment horizontal="right"/>
    </xf>
    <xf numFmtId="14" fontId="31"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Font="1" applyFill="1" applyBorder="1" applyAlignment="1">
      <alignment vertical="top"/>
    </xf>
    <xf numFmtId="0" fontId="5" fillId="0" borderId="1" xfId="3" applyFill="1" applyBorder="1"/>
    <xf numFmtId="0" fontId="34" fillId="0" borderId="1" xfId="0" applyFont="1" applyFill="1" applyBorder="1" applyAlignment="1">
      <alignment horizontal="left"/>
    </xf>
    <xf numFmtId="0" fontId="31" fillId="0" borderId="1" xfId="0" applyNumberFormat="1" applyFont="1" applyFill="1" applyBorder="1" applyAlignment="1"/>
    <xf numFmtId="0" fontId="36" fillId="0" borderId="15" xfId="0" applyFont="1" applyFill="1" applyBorder="1" applyAlignment="1">
      <alignment horizontal="left"/>
    </xf>
    <xf numFmtId="0" fontId="0" fillId="0" borderId="15" xfId="0" applyFill="1" applyBorder="1" applyAlignment="1">
      <alignment horizontal="left"/>
    </xf>
    <xf numFmtId="0" fontId="0" fillId="0" borderId="0" xfId="0"/>
    <xf numFmtId="0" fontId="0" fillId="0" borderId="1" xfId="0" applyFill="1" applyBorder="1"/>
    <xf numFmtId="0" fontId="0" fillId="0" borderId="0" xfId="0"/>
    <xf numFmtId="0" fontId="5" fillId="0" borderId="1" xfId="3" applyFill="1" applyBorder="1"/>
    <xf numFmtId="0" fontId="0" fillId="0" borderId="1" xfId="0" applyBorder="1"/>
    <xf numFmtId="0" fontId="33" fillId="0" borderId="1" xfId="0" applyFont="1" applyBorder="1" applyAlignment="1"/>
    <xf numFmtId="0" fontId="34" fillId="0" borderId="1" xfId="0" applyFont="1" applyFill="1" applyBorder="1" applyAlignment="1">
      <alignment horizontal="left"/>
    </xf>
    <xf numFmtId="166" fontId="31" fillId="0" borderId="1" xfId="2" applyNumberFormat="1" applyFont="1" applyFill="1" applyBorder="1" applyAlignment="1" applyProtection="1">
      <alignment horizontal="right"/>
      <protection locked="0"/>
    </xf>
    <xf numFmtId="49" fontId="34" fillId="0" borderId="1" xfId="0" applyNumberFormat="1" applyFont="1" applyFill="1" applyBorder="1" applyAlignment="1">
      <alignment horizontal="left"/>
    </xf>
    <xf numFmtId="0" fontId="31" fillId="0" borderId="1" xfId="0" applyNumberFormat="1" applyFont="1" applyFill="1" applyBorder="1" applyAlignment="1"/>
    <xf numFmtId="167" fontId="34" fillId="0" borderId="1" xfId="0" applyNumberFormat="1" applyFont="1" applyFill="1" applyBorder="1" applyAlignment="1">
      <alignment horizontal="right"/>
    </xf>
    <xf numFmtId="14" fontId="31"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Border="1" applyAlignment="1">
      <alignment vertical="top"/>
    </xf>
    <xf numFmtId="9" fontId="5" fillId="0" borderId="1" xfId="5" applyFont="1" applyBorder="1"/>
    <xf numFmtId="164" fontId="0" fillId="0" borderId="1" xfId="2" applyNumberFormat="1" applyFont="1" applyBorder="1"/>
    <xf numFmtId="0" fontId="5" fillId="0" borderId="1" xfId="3" applyFont="1" applyFill="1" applyBorder="1" applyAlignment="1">
      <alignment vertical="top"/>
    </xf>
    <xf numFmtId="0" fontId="5" fillId="0" borderId="1" xfId="3" applyFont="1" applyBorder="1" applyAlignment="1">
      <alignment vertical="top"/>
    </xf>
    <xf numFmtId="1" fontId="5" fillId="0" borderId="1" xfId="2" applyNumberFormat="1" applyFont="1" applyBorder="1" applyAlignment="1">
      <alignment vertical="top"/>
    </xf>
    <xf numFmtId="1" fontId="0" fillId="0" borderId="1" xfId="2" applyNumberFormat="1" applyFont="1" applyBorder="1"/>
    <xf numFmtId="0" fontId="5" fillId="0" borderId="1" xfId="8" applyFont="1" applyFill="1" applyBorder="1" applyAlignment="1"/>
    <xf numFmtId="0" fontId="31" fillId="0" borderId="1" xfId="0" applyFont="1" applyFill="1" applyBorder="1" applyAlignment="1">
      <alignment horizontal="left"/>
    </xf>
    <xf numFmtId="49" fontId="31" fillId="0" borderId="1" xfId="0" applyNumberFormat="1" applyFont="1" applyFill="1" applyBorder="1" applyAlignment="1">
      <alignment horizontal="left"/>
    </xf>
    <xf numFmtId="49" fontId="36" fillId="0" borderId="1" xfId="0" applyNumberFormat="1" applyFont="1" applyFill="1" applyBorder="1" applyAlignment="1">
      <alignment horizontal="left"/>
    </xf>
    <xf numFmtId="0" fontId="5" fillId="0" borderId="1" xfId="3" applyFill="1" applyBorder="1" applyAlignment="1">
      <alignment vertical="top"/>
    </xf>
    <xf numFmtId="49" fontId="33" fillId="0" borderId="1" xfId="0" applyNumberFormat="1" applyFont="1" applyFill="1" applyBorder="1" applyAlignment="1">
      <alignment horizontal="left" vertical="top"/>
    </xf>
    <xf numFmtId="0" fontId="33" fillId="0" borderId="1" xfId="0" applyFont="1" applyFill="1" applyBorder="1" applyAlignment="1"/>
    <xf numFmtId="0" fontId="36" fillId="0" borderId="1" xfId="0" applyFont="1" applyFill="1" applyBorder="1" applyAlignment="1">
      <alignment horizontal="left"/>
    </xf>
    <xf numFmtId="0" fontId="5" fillId="0" borderId="1" xfId="3" applyFill="1" applyBorder="1" applyAlignment="1">
      <alignment horizontal="left"/>
    </xf>
    <xf numFmtId="10" fontId="0" fillId="0" borderId="1" xfId="6" applyNumberFormat="1" applyFont="1" applyFill="1" applyBorder="1" applyAlignment="1">
      <alignment vertical="top"/>
    </xf>
    <xf numFmtId="164" fontId="0" fillId="0" borderId="1" xfId="7" applyNumberFormat="1" applyFont="1" applyFill="1" applyBorder="1" applyAlignment="1">
      <alignment vertical="top"/>
    </xf>
    <xf numFmtId="0" fontId="0" fillId="0" borderId="1" xfId="0" applyFill="1" applyBorder="1"/>
    <xf numFmtId="166" fontId="0" fillId="0" borderId="1" xfId="2" applyNumberFormat="1" applyFont="1" applyBorder="1"/>
    <xf numFmtId="164" fontId="0" fillId="0" borderId="1" xfId="2" applyNumberFormat="1" applyFont="1" applyFill="1" applyBorder="1"/>
    <xf numFmtId="0" fontId="34" fillId="0" borderId="15" xfId="0" applyFont="1" applyFill="1" applyBorder="1" applyAlignment="1">
      <alignment horizontal="left"/>
    </xf>
    <xf numFmtId="0" fontId="5" fillId="0" borderId="1" xfId="10" applyFont="1" applyFill="1" applyBorder="1" applyAlignment="1">
      <alignment wrapText="1"/>
    </xf>
    <xf numFmtId="0" fontId="0" fillId="7" borderId="1" xfId="0" applyFill="1" applyBorder="1"/>
    <xf numFmtId="0" fontId="37" fillId="0" borderId="2" xfId="0" applyFont="1" applyBorder="1" applyAlignment="1">
      <alignment horizontal="center" wrapText="1"/>
    </xf>
    <xf numFmtId="0" fontId="37" fillId="0" borderId="4" xfId="0" applyFont="1" applyBorder="1" applyAlignment="1">
      <alignment horizontal="center" wrapText="1"/>
    </xf>
    <xf numFmtId="0" fontId="8" fillId="0" borderId="0" xfId="0" applyFont="1" applyFill="1" applyBorder="1" applyAlignment="1">
      <alignment vertical="center"/>
    </xf>
    <xf numFmtId="0" fontId="7" fillId="0" borderId="0" xfId="0" applyFont="1" applyBorder="1" applyProtection="1"/>
    <xf numFmtId="0" fontId="0" fillId="0" borderId="0" xfId="0" applyFill="1"/>
    <xf numFmtId="0" fontId="8" fillId="0" borderId="0" xfId="0" applyFont="1" applyFill="1" applyBorder="1" applyAlignment="1">
      <alignment horizontal="center" vertical="center"/>
    </xf>
    <xf numFmtId="0" fontId="10" fillId="0" borderId="0" xfId="0" applyFont="1" applyFill="1" applyBorder="1" applyAlignment="1">
      <alignment horizontal="left"/>
    </xf>
    <xf numFmtId="0" fontId="0" fillId="9" borderId="0" xfId="0" applyFill="1"/>
    <xf numFmtId="0" fontId="0" fillId="9" borderId="0" xfId="0" applyFill="1" applyBorder="1"/>
    <xf numFmtId="0" fontId="15" fillId="9" borderId="0" xfId="0" applyFont="1" applyFill="1" applyBorder="1" applyAlignment="1"/>
    <xf numFmtId="0" fontId="0" fillId="9" borderId="0" xfId="0" applyFont="1" applyFill="1" applyProtection="1"/>
    <xf numFmtId="0" fontId="0" fillId="9" borderId="0" xfId="0" applyFont="1" applyFill="1" applyBorder="1" applyAlignment="1" applyProtection="1"/>
    <xf numFmtId="0" fontId="37" fillId="0" borderId="0" xfId="0" applyFont="1" applyBorder="1" applyAlignment="1">
      <alignment horizontal="center" wrapText="1"/>
    </xf>
    <xf numFmtId="0" fontId="10" fillId="9" borderId="0" xfId="0" applyFont="1" applyFill="1" applyBorder="1" applyAlignment="1">
      <alignment horizontal="left"/>
    </xf>
    <xf numFmtId="0" fontId="0" fillId="0" borderId="0" xfId="0"/>
    <xf numFmtId="0" fontId="51" fillId="15" borderId="1" xfId="11" applyFont="1" applyFill="1" applyBorder="1" applyAlignment="1">
      <alignment horizontal="center"/>
    </xf>
    <xf numFmtId="0" fontId="51" fillId="0" borderId="1" xfId="11" applyFont="1" applyFill="1" applyBorder="1" applyAlignment="1">
      <alignment horizontal="right" wrapText="1"/>
    </xf>
    <xf numFmtId="0" fontId="51" fillId="15" borderId="16" xfId="11" applyFont="1" applyFill="1" applyBorder="1" applyAlignment="1">
      <alignment horizontal="center"/>
    </xf>
    <xf numFmtId="0" fontId="51" fillId="0" borderId="1" xfId="11" applyFont="1" applyFill="1" applyBorder="1" applyAlignment="1">
      <alignment wrapText="1"/>
    </xf>
    <xf numFmtId="0" fontId="0" fillId="0" borderId="0" xfId="0" applyProtection="1">
      <protection locked="0"/>
    </xf>
    <xf numFmtId="0" fontId="0" fillId="0" borderId="0" xfId="0" applyFill="1" applyBorder="1" applyAlignment="1">
      <alignment vertical="center"/>
    </xf>
    <xf numFmtId="0" fontId="29" fillId="8" borderId="0"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14" fontId="0" fillId="0" borderId="0" xfId="0" applyNumberFormat="1" applyBorder="1" applyAlignment="1">
      <alignment vertical="center"/>
    </xf>
    <xf numFmtId="0" fontId="0" fillId="0" borderId="0" xfId="0" applyNumberFormat="1" applyFill="1" applyBorder="1" applyAlignment="1">
      <alignment horizontal="center" vertical="center"/>
    </xf>
    <xf numFmtId="0" fontId="70" fillId="0" borderId="1" xfId="10" applyFont="1" applyFill="1" applyBorder="1" applyAlignment="1">
      <alignment horizontal="left" wrapText="1"/>
    </xf>
    <xf numFmtId="0" fontId="0" fillId="0" borderId="0" xfId="0" applyBorder="1" applyAlignment="1"/>
    <xf numFmtId="0" fontId="0" fillId="0" borderId="0" xfId="0" applyNumberFormat="1" applyBorder="1" applyAlignment="1">
      <alignment horizontal="center"/>
    </xf>
    <xf numFmtId="0" fontId="0" fillId="7" borderId="0" xfId="0" applyFill="1" applyBorder="1"/>
    <xf numFmtId="0" fontId="0" fillId="0" borderId="0" xfId="0"/>
    <xf numFmtId="0" fontId="0" fillId="0" borderId="1" xfId="0" applyBorder="1"/>
    <xf numFmtId="0" fontId="0" fillId="0" borderId="0" xfId="0" applyBorder="1"/>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xf>
    <xf numFmtId="0" fontId="29" fillId="8" borderId="0" xfId="0" applyFont="1" applyFill="1" applyBorder="1" applyAlignment="1">
      <alignment horizontal="center" vertical="center" wrapText="1"/>
    </xf>
    <xf numFmtId="0" fontId="0" fillId="9" borderId="0" xfId="0" applyFill="1" applyBorder="1" applyAlignment="1">
      <alignment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NumberFormat="1" applyBorder="1"/>
    <xf numFmtId="0" fontId="66" fillId="8" borderId="1" xfId="0" applyFont="1" applyFill="1" applyBorder="1" applyAlignment="1">
      <alignment horizontal="center" vertical="center" wrapText="1"/>
    </xf>
    <xf numFmtId="0" fontId="67" fillId="0" borderId="1" xfId="0" applyFont="1" applyFill="1" applyBorder="1" applyAlignment="1">
      <alignment horizontal="left" vertical="center"/>
    </xf>
    <xf numFmtId="0" fontId="67" fillId="0" borderId="1" xfId="0" applyFont="1" applyFill="1" applyBorder="1" applyAlignment="1">
      <alignment horizontal="center" vertical="center"/>
    </xf>
    <xf numFmtId="49" fontId="67" fillId="0" borderId="1" xfId="0" applyNumberFormat="1" applyFont="1" applyFill="1" applyBorder="1" applyAlignment="1">
      <alignment horizontal="center" vertical="center"/>
    </xf>
    <xf numFmtId="0" fontId="68" fillId="0" borderId="1" xfId="0" applyFont="1" applyFill="1" applyBorder="1" applyAlignment="1">
      <alignment horizontal="left" vertical="center"/>
    </xf>
    <xf numFmtId="0" fontId="67" fillId="0" borderId="1" xfId="0" applyNumberFormat="1" applyFont="1" applyFill="1" applyBorder="1" applyAlignment="1">
      <alignment horizontal="left" vertical="center"/>
    </xf>
    <xf numFmtId="0" fontId="69" fillId="0" borderId="1" xfId="0" applyNumberFormat="1" applyFont="1" applyFill="1" applyBorder="1" applyAlignment="1">
      <alignment horizontal="left" vertical="center"/>
    </xf>
    <xf numFmtId="1" fontId="67" fillId="0" borderId="1" xfId="0" applyNumberFormat="1" applyFont="1" applyFill="1" applyBorder="1" applyAlignment="1">
      <alignment horizontal="center" vertical="center"/>
    </xf>
    <xf numFmtId="0" fontId="67" fillId="7" borderId="1" xfId="0" applyFont="1" applyFill="1" applyBorder="1" applyAlignment="1">
      <alignment horizontal="center" vertical="center"/>
    </xf>
    <xf numFmtId="0" fontId="67" fillId="0" borderId="10" xfId="0" applyFont="1" applyFill="1" applyBorder="1" applyAlignment="1">
      <alignment horizontal="left" vertical="center"/>
    </xf>
    <xf numFmtId="0" fontId="67" fillId="0" borderId="10" xfId="0" applyFont="1" applyFill="1" applyBorder="1" applyAlignment="1">
      <alignment horizontal="center" vertical="center"/>
    </xf>
    <xf numFmtId="49" fontId="67" fillId="0" borderId="10" xfId="0" applyNumberFormat="1" applyFont="1" applyFill="1" applyBorder="1" applyAlignment="1">
      <alignment horizontal="center" vertical="center"/>
    </xf>
    <xf numFmtId="0" fontId="66" fillId="8" borderId="1" xfId="0" applyFont="1" applyFill="1" applyBorder="1" applyAlignment="1">
      <alignment horizontal="center" vertical="center"/>
    </xf>
    <xf numFmtId="0" fontId="66" fillId="8" borderId="1" xfId="0" applyNumberFormat="1" applyFont="1" applyFill="1" applyBorder="1" applyAlignment="1">
      <alignment horizontal="center" vertical="center"/>
    </xf>
    <xf numFmtId="0" fontId="67" fillId="0" borderId="10" xfId="0" applyNumberFormat="1" applyFont="1" applyFill="1" applyBorder="1" applyAlignment="1">
      <alignment horizontal="left" vertical="center"/>
    </xf>
    <xf numFmtId="0" fontId="10" fillId="0" borderId="0" xfId="0" applyFont="1" applyFill="1" applyBorder="1" applyAlignment="1" applyProtection="1">
      <alignment horizontal="left" vertical="center" wrapText="1"/>
    </xf>
    <xf numFmtId="44" fontId="12" fillId="9" borderId="0" xfId="1" applyFont="1" applyFill="1" applyBorder="1" applyAlignment="1" applyProtection="1">
      <alignment vertical="center"/>
    </xf>
    <xf numFmtId="44" fontId="17" fillId="9" borderId="0" xfId="1" applyFont="1" applyFill="1" applyBorder="1" applyAlignment="1" applyProtection="1">
      <alignment vertical="center"/>
    </xf>
    <xf numFmtId="44" fontId="28" fillId="9" borderId="0" xfId="1" applyFont="1" applyFill="1" applyBorder="1" applyAlignment="1" applyProtection="1">
      <alignment vertical="center"/>
    </xf>
    <xf numFmtId="0" fontId="16" fillId="9" borderId="0" xfId="0" applyFont="1" applyFill="1" applyBorder="1" applyAlignment="1" applyProtection="1">
      <alignment vertical="center"/>
    </xf>
    <xf numFmtId="0" fontId="49" fillId="9" borderId="0" xfId="0" applyFont="1" applyFill="1" applyBorder="1" applyAlignment="1" applyProtection="1">
      <alignment vertical="top"/>
    </xf>
    <xf numFmtId="0" fontId="0" fillId="0" borderId="2" xfId="0" applyBorder="1" applyAlignment="1"/>
    <xf numFmtId="44" fontId="17" fillId="9" borderId="0" xfId="1" applyFont="1" applyFill="1" applyBorder="1" applyAlignment="1" applyProtection="1">
      <alignment horizontal="left" vertical="center"/>
    </xf>
    <xf numFmtId="44" fontId="12" fillId="9" borderId="0" xfId="1" applyFont="1" applyFill="1" applyBorder="1" applyAlignment="1" applyProtection="1">
      <alignment vertical="center" wrapText="1"/>
    </xf>
    <xf numFmtId="0" fontId="0" fillId="9" borderId="0" xfId="0" applyFill="1" applyProtection="1">
      <protection locked="0"/>
    </xf>
    <xf numFmtId="0" fontId="0" fillId="0" borderId="0" xfId="0" applyFont="1" applyAlignment="1" applyProtection="1">
      <alignment vertical="center"/>
    </xf>
    <xf numFmtId="0" fontId="18" fillId="9" borderId="0" xfId="0" applyFont="1" applyFill="1" applyBorder="1" applyAlignment="1"/>
    <xf numFmtId="0" fontId="0" fillId="0" borderId="0" xfId="0" applyFont="1" applyBorder="1" applyProtection="1"/>
    <xf numFmtId="168" fontId="51" fillId="0" borderId="1" xfId="11" applyNumberFormat="1" applyFont="1" applyFill="1" applyBorder="1" applyAlignment="1">
      <alignment horizontal="right" wrapText="1"/>
    </xf>
    <xf numFmtId="168" fontId="52" fillId="0" borderId="1" xfId="11" applyNumberFormat="1" applyBorder="1"/>
    <xf numFmtId="168" fontId="0" fillId="0" borderId="0" xfId="0" applyNumberFormat="1"/>
    <xf numFmtId="43" fontId="0" fillId="0" borderId="0" xfId="2" applyFont="1"/>
    <xf numFmtId="164" fontId="51" fillId="0" borderId="1" xfId="2" applyNumberFormat="1" applyFont="1" applyFill="1" applyBorder="1" applyAlignment="1">
      <alignment horizontal="center" wrapText="1"/>
    </xf>
    <xf numFmtId="164" fontId="52" fillId="0" borderId="1" xfId="2" applyNumberFormat="1" applyFont="1" applyBorder="1" applyAlignment="1">
      <alignment horizontal="center"/>
    </xf>
    <xf numFmtId="164" fontId="0" fillId="0" borderId="0" xfId="2" applyNumberFormat="1" applyFont="1" applyAlignment="1">
      <alignment horizontal="center"/>
    </xf>
    <xf numFmtId="0" fontId="0" fillId="0" borderId="2" xfId="0" applyBorder="1"/>
    <xf numFmtId="164" fontId="51" fillId="15" borderId="1" xfId="2" applyNumberFormat="1" applyFont="1" applyFill="1" applyBorder="1" applyAlignment="1">
      <alignment horizontal="center"/>
    </xf>
    <xf numFmtId="168" fontId="51" fillId="15" borderId="1" xfId="11" applyNumberFormat="1" applyFont="1" applyFill="1" applyBorder="1" applyAlignment="1">
      <alignment horizontal="center"/>
    </xf>
    <xf numFmtId="164" fontId="0" fillId="0" borderId="1" xfId="2" applyNumberFormat="1" applyFont="1" applyBorder="1" applyAlignment="1">
      <alignment horizontal="center"/>
    </xf>
    <xf numFmtId="168" fontId="0" fillId="0" borderId="1" xfId="0" applyNumberFormat="1" applyBorder="1"/>
    <xf numFmtId="0" fontId="46" fillId="0" borderId="26" xfId="10" applyFont="1" applyFill="1" applyBorder="1" applyAlignment="1">
      <alignment wrapText="1"/>
    </xf>
    <xf numFmtId="0" fontId="0" fillId="9" borderId="0" xfId="0" applyFill="1" applyAlignment="1">
      <alignment horizontal="center" vertical="center"/>
    </xf>
    <xf numFmtId="0" fontId="0" fillId="0" borderId="0" xfId="0" applyAlignment="1">
      <alignment horizontal="center" vertical="center"/>
    </xf>
    <xf numFmtId="0" fontId="29" fillId="0" borderId="1" xfId="0" applyFont="1" applyBorder="1"/>
    <xf numFmtId="0" fontId="0" fillId="0" borderId="8" xfId="0" applyFill="1" applyBorder="1"/>
    <xf numFmtId="0" fontId="15" fillId="0" borderId="0" xfId="0" applyFont="1" applyAlignment="1">
      <alignment vertical="center"/>
    </xf>
    <xf numFmtId="0" fontId="0" fillId="9" borderId="0" xfId="0" applyFont="1" applyFill="1" applyAlignment="1" applyProtection="1">
      <alignment horizontal="center" vertical="center"/>
    </xf>
    <xf numFmtId="0" fontId="13" fillId="9" borderId="0" xfId="0" applyFont="1" applyFill="1" applyBorder="1" applyAlignment="1" applyProtection="1">
      <alignment horizontal="center" vertical="center"/>
      <protection locked="0"/>
    </xf>
    <xf numFmtId="0" fontId="0" fillId="9" borderId="0" xfId="0" applyFont="1" applyFill="1" applyBorder="1" applyAlignment="1" applyProtection="1">
      <alignment horizontal="center" vertical="center"/>
    </xf>
    <xf numFmtId="0" fontId="13" fillId="9" borderId="0" xfId="0" applyFont="1" applyFill="1" applyBorder="1" applyAlignment="1" applyProtection="1">
      <alignment horizontal="center" vertical="center"/>
    </xf>
    <xf numFmtId="0" fontId="0" fillId="9" borderId="0" xfId="0" applyFill="1" applyBorder="1" applyAlignment="1">
      <alignment horizontal="center" vertical="center"/>
    </xf>
    <xf numFmtId="0" fontId="77" fillId="0" borderId="0" xfId="0" applyFont="1" applyFill="1" applyBorder="1" applyAlignment="1">
      <alignment horizontal="left"/>
    </xf>
    <xf numFmtId="0" fontId="37" fillId="0" borderId="4" xfId="0" applyFont="1" applyBorder="1" applyAlignment="1">
      <alignment wrapText="1"/>
    </xf>
    <xf numFmtId="0" fontId="0" fillId="0" borderId="0" xfId="0" applyFont="1" applyFill="1" applyAlignment="1" applyProtection="1"/>
    <xf numFmtId="0" fontId="10" fillId="9" borderId="0" xfId="0" applyFont="1" applyFill="1" applyBorder="1" applyAlignment="1" applyProtection="1">
      <alignment horizontal="left" vertical="center" wrapText="1"/>
    </xf>
    <xf numFmtId="0" fontId="9" fillId="9" borderId="0" xfId="0" applyFont="1" applyFill="1" applyBorder="1" applyAlignment="1" applyProtection="1">
      <alignment horizontal="center" vertical="top"/>
    </xf>
    <xf numFmtId="0" fontId="41" fillId="9" borderId="0" xfId="0" applyFont="1" applyFill="1" applyBorder="1" applyAlignment="1" applyProtection="1">
      <alignment horizontal="left" vertical="top"/>
    </xf>
    <xf numFmtId="44" fontId="0" fillId="9" borderId="0" xfId="0" applyNumberFormat="1" applyFill="1" applyBorder="1" applyAlignment="1">
      <alignment horizontal="center"/>
    </xf>
    <xf numFmtId="0" fontId="7" fillId="9" borderId="0" xfId="0" applyFont="1" applyFill="1" applyBorder="1" applyAlignment="1">
      <alignment horizontal="left"/>
    </xf>
    <xf numFmtId="44" fontId="9" fillId="9" borderId="0" xfId="1" applyFont="1" applyFill="1" applyBorder="1" applyAlignment="1" applyProtection="1">
      <alignment vertical="center"/>
    </xf>
    <xf numFmtId="0" fontId="0" fillId="9" borderId="0" xfId="0" applyFont="1" applyFill="1" applyBorder="1" applyProtection="1"/>
    <xf numFmtId="0" fontId="0" fillId="9" borderId="0" xfId="0" applyFont="1" applyFill="1" applyBorder="1" applyAlignment="1" applyProtection="1">
      <alignment vertical="center"/>
    </xf>
    <xf numFmtId="0" fontId="37" fillId="9" borderId="0" xfId="0" applyFont="1" applyFill="1" applyBorder="1" applyAlignment="1">
      <alignment wrapText="1"/>
    </xf>
    <xf numFmtId="0" fontId="37" fillId="9" borderId="0" xfId="0" applyFont="1" applyFill="1" applyBorder="1" applyAlignment="1">
      <alignment horizontal="center" wrapText="1"/>
    </xf>
    <xf numFmtId="44" fontId="9" fillId="9" borderId="0" xfId="1" applyFont="1" applyFill="1" applyBorder="1" applyAlignment="1" applyProtection="1">
      <alignment horizontal="center" vertical="center"/>
    </xf>
    <xf numFmtId="0" fontId="9" fillId="9" borderId="0" xfId="0" applyFont="1" applyFill="1" applyBorder="1" applyAlignment="1">
      <alignment horizontal="left"/>
    </xf>
    <xf numFmtId="0" fontId="37" fillId="9" borderId="0" xfId="0" applyFont="1" applyFill="1" applyBorder="1" applyAlignment="1">
      <alignment horizontal="center" vertical="top" wrapText="1"/>
    </xf>
    <xf numFmtId="0" fontId="8" fillId="6" borderId="55" xfId="0" applyFont="1" applyFill="1" applyBorder="1" applyAlignment="1" applyProtection="1">
      <alignment horizontal="center" vertical="center"/>
    </xf>
    <xf numFmtId="0" fontId="7" fillId="9" borderId="0" xfId="0" applyFont="1" applyFill="1" applyProtection="1"/>
    <xf numFmtId="0" fontId="16" fillId="9" borderId="0" xfId="0" applyFont="1" applyFill="1" applyBorder="1" applyAlignment="1" applyProtection="1">
      <alignment horizontal="left" wrapText="1"/>
    </xf>
    <xf numFmtId="164" fontId="0" fillId="9" borderId="0" xfId="2" applyNumberFormat="1" applyFont="1" applyFill="1" applyBorder="1" applyAlignment="1">
      <alignment horizontal="center" vertical="center"/>
    </xf>
    <xf numFmtId="3" fontId="2" fillId="3" borderId="1" xfId="2" applyNumberFormat="1" applyFont="1" applyFill="1" applyBorder="1" applyAlignment="1">
      <alignment horizontal="center" vertical="center"/>
    </xf>
    <xf numFmtId="3" fontId="0" fillId="0" borderId="1" xfId="2" applyNumberFormat="1" applyFont="1" applyBorder="1" applyAlignment="1">
      <alignment horizontal="center"/>
    </xf>
    <xf numFmtId="3" fontId="46" fillId="0" borderId="1" xfId="2" applyNumberFormat="1" applyFont="1" applyFill="1" applyBorder="1" applyAlignment="1">
      <alignment horizontal="center" wrapText="1"/>
    </xf>
    <xf numFmtId="3" fontId="0" fillId="0" borderId="0" xfId="2" applyNumberFormat="1" applyFont="1" applyAlignment="1">
      <alignment horizontal="center"/>
    </xf>
    <xf numFmtId="0" fontId="0" fillId="0" borderId="0" xfId="0" applyAlignment="1">
      <alignment vertical="center"/>
    </xf>
    <xf numFmtId="0" fontId="26" fillId="9" borderId="0" xfId="0" applyFont="1" applyFill="1" applyBorder="1" applyAlignment="1" applyProtection="1">
      <alignment horizontal="center" vertical="center"/>
    </xf>
    <xf numFmtId="0" fontId="4" fillId="9" borderId="0" xfId="0" applyFont="1" applyFill="1" applyBorder="1" applyAlignment="1" applyProtection="1">
      <alignment horizontal="center" vertical="center"/>
      <protection locked="0"/>
    </xf>
    <xf numFmtId="44" fontId="3" fillId="3" borderId="28" xfId="1" applyFont="1" applyFill="1" applyBorder="1" applyAlignment="1" applyProtection="1">
      <alignment horizontal="left" vertical="center"/>
    </xf>
    <xf numFmtId="0" fontId="15" fillId="0" borderId="52" xfId="0" applyFont="1" applyBorder="1" applyAlignment="1"/>
    <xf numFmtId="0" fontId="16" fillId="51" borderId="51" xfId="0" applyFont="1" applyFill="1" applyBorder="1" applyAlignment="1">
      <alignment horizontal="center"/>
    </xf>
    <xf numFmtId="0" fontId="15" fillId="0" borderId="28" xfId="0" applyFont="1" applyBorder="1" applyAlignment="1"/>
    <xf numFmtId="0" fontId="15" fillId="0" borderId="0" xfId="0" applyFont="1" applyBorder="1" applyAlignment="1"/>
    <xf numFmtId="0" fontId="44" fillId="54" borderId="27" xfId="0" applyFont="1" applyFill="1" applyBorder="1" applyAlignment="1" applyProtection="1">
      <alignment horizontal="center"/>
      <protection locked="0"/>
    </xf>
    <xf numFmtId="3" fontId="5" fillId="0" borderId="1" xfId="2" applyNumberFormat="1" applyFont="1" applyFill="1" applyBorder="1" applyAlignment="1">
      <alignment horizontal="center" wrapText="1"/>
    </xf>
    <xf numFmtId="0" fontId="19" fillId="4" borderId="52" xfId="0" applyFont="1" applyFill="1" applyBorder="1" applyAlignment="1" applyProtection="1">
      <alignment horizontal="center" vertical="top"/>
      <protection locked="0"/>
    </xf>
    <xf numFmtId="0" fontId="20" fillId="55" borderId="52" xfId="0" applyFont="1" applyFill="1" applyBorder="1" applyAlignment="1" applyProtection="1">
      <alignment vertical="top"/>
      <protection locked="0"/>
    </xf>
    <xf numFmtId="0" fontId="19" fillId="4" borderId="28" xfId="0" applyFont="1" applyFill="1" applyBorder="1" applyAlignment="1" applyProtection="1">
      <alignment horizontal="center" vertical="top"/>
      <protection locked="0"/>
    </xf>
    <xf numFmtId="44" fontId="26" fillId="6" borderId="52" xfId="1" applyFont="1" applyFill="1" applyBorder="1" applyAlignment="1" applyProtection="1">
      <alignment vertical="top"/>
    </xf>
    <xf numFmtId="44" fontId="26" fillId="6" borderId="28" xfId="1" applyFont="1" applyFill="1" applyBorder="1" applyAlignment="1" applyProtection="1">
      <alignment vertical="top"/>
    </xf>
    <xf numFmtId="0" fontId="19" fillId="6" borderId="28" xfId="0" applyFont="1" applyFill="1" applyBorder="1" applyAlignment="1" applyProtection="1">
      <alignment vertical="top"/>
      <protection locked="0"/>
    </xf>
    <xf numFmtId="0" fontId="15" fillId="0" borderId="0" xfId="0" applyFont="1" applyAlignment="1" applyProtection="1">
      <alignment vertical="center"/>
    </xf>
    <xf numFmtId="0" fontId="11" fillId="0" borderId="52" xfId="0" applyFont="1" applyBorder="1" applyAlignment="1" applyProtection="1"/>
    <xf numFmtId="0" fontId="18" fillId="0" borderId="0" xfId="0" applyFont="1" applyAlignment="1" applyProtection="1">
      <alignment vertical="center"/>
    </xf>
    <xf numFmtId="0" fontId="26" fillId="0" borderId="33" xfId="0" applyFont="1" applyBorder="1" applyAlignment="1" applyProtection="1">
      <alignment vertical="center"/>
    </xf>
    <xf numFmtId="0" fontId="15" fillId="0" borderId="33" xfId="0" applyFont="1" applyBorder="1" applyAlignment="1" applyProtection="1">
      <alignment vertical="center"/>
    </xf>
    <xf numFmtId="0" fontId="15" fillId="0" borderId="52" xfId="0" applyFont="1" applyBorder="1" applyAlignment="1" applyProtection="1">
      <alignment vertical="center"/>
    </xf>
    <xf numFmtId="0" fontId="18" fillId="0" borderId="52" xfId="0" applyFont="1" applyBorder="1" applyAlignment="1" applyProtection="1">
      <alignment vertical="center"/>
    </xf>
    <xf numFmtId="0" fontId="15" fillId="0" borderId="28" xfId="0" applyFont="1" applyBorder="1" applyAlignment="1" applyProtection="1">
      <alignment vertical="center"/>
    </xf>
    <xf numFmtId="0" fontId="18" fillId="0" borderId="28" xfId="0" applyFont="1" applyBorder="1" applyAlignment="1" applyProtection="1">
      <alignment vertical="center"/>
    </xf>
    <xf numFmtId="0" fontId="11" fillId="0" borderId="0" xfId="0" applyFont="1" applyBorder="1" applyAlignment="1" applyProtection="1"/>
    <xf numFmtId="0" fontId="0" fillId="0" borderId="52" xfId="0" applyFont="1" applyBorder="1" applyAlignment="1"/>
    <xf numFmtId="0" fontId="7" fillId="0" borderId="52" xfId="0" applyFont="1" applyBorder="1" applyAlignment="1"/>
    <xf numFmtId="0" fontId="0" fillId="0" borderId="28" xfId="0" applyFont="1" applyBorder="1" applyAlignment="1"/>
    <xf numFmtId="0" fontId="7" fillId="0" borderId="28" xfId="0" applyFont="1" applyBorder="1" applyAlignment="1"/>
    <xf numFmtId="44" fontId="16" fillId="6" borderId="28" xfId="1" applyFont="1" applyFill="1" applyBorder="1" applyAlignment="1" applyProtection="1">
      <alignment vertical="top"/>
    </xf>
    <xf numFmtId="0" fontId="11" fillId="0" borderId="52" xfId="0" applyFont="1" applyBorder="1" applyAlignment="1"/>
    <xf numFmtId="0" fontId="0" fillId="0" borderId="0" xfId="0" applyFont="1" applyAlignment="1">
      <alignment horizontal="center" vertical="center"/>
    </xf>
    <xf numFmtId="0" fontId="49" fillId="11" borderId="28" xfId="0" applyFont="1" applyFill="1" applyBorder="1" applyAlignment="1">
      <alignment horizontal="center" vertical="center"/>
    </xf>
    <xf numFmtId="164" fontId="26" fillId="55" borderId="28" xfId="2" applyNumberFormat="1" applyFont="1" applyFill="1" applyBorder="1" applyAlignment="1" applyProtection="1">
      <protection locked="0"/>
    </xf>
    <xf numFmtId="44" fontId="26" fillId="55" borderId="28" xfId="1" applyFont="1" applyFill="1" applyBorder="1" applyAlignment="1" applyProtection="1">
      <alignment vertical="top"/>
      <protection locked="0"/>
    </xf>
    <xf numFmtId="0" fontId="20" fillId="55" borderId="28" xfId="0" applyFont="1" applyFill="1" applyBorder="1" applyAlignment="1" applyProtection="1">
      <alignment vertical="top"/>
      <protection locked="0"/>
    </xf>
    <xf numFmtId="0" fontId="15" fillId="55" borderId="28" xfId="0" applyFont="1" applyFill="1" applyBorder="1" applyAlignment="1" applyProtection="1">
      <protection locked="0"/>
    </xf>
    <xf numFmtId="164" fontId="26" fillId="55" borderId="52" xfId="2" applyNumberFormat="1" applyFont="1" applyFill="1" applyBorder="1" applyAlignment="1" applyProtection="1">
      <protection locked="0"/>
    </xf>
    <xf numFmtId="44" fontId="26" fillId="55" borderId="52" xfId="1" applyFont="1" applyFill="1" applyBorder="1" applyAlignment="1" applyProtection="1">
      <alignment vertical="top"/>
      <protection locked="0"/>
    </xf>
    <xf numFmtId="0" fontId="15" fillId="6" borderId="28" xfId="0" applyFont="1" applyFill="1" applyBorder="1" applyAlignment="1" applyProtection="1">
      <protection locked="0"/>
    </xf>
    <xf numFmtId="0" fontId="15" fillId="6" borderId="52" xfId="0" applyFont="1" applyFill="1" applyBorder="1" applyAlignment="1" applyProtection="1">
      <protection locked="0"/>
    </xf>
    <xf numFmtId="0" fontId="19" fillId="55" borderId="28" xfId="0" applyFont="1" applyFill="1" applyBorder="1" applyAlignment="1" applyProtection="1">
      <alignment vertical="top"/>
      <protection locked="0"/>
    </xf>
    <xf numFmtId="164" fontId="26" fillId="55" borderId="28" xfId="2" applyNumberFormat="1" applyFont="1" applyFill="1" applyBorder="1" applyAlignment="1" applyProtection="1">
      <alignment vertical="top"/>
      <protection locked="0"/>
    </xf>
    <xf numFmtId="0" fontId="26" fillId="6" borderId="28" xfId="0" applyFont="1" applyFill="1" applyBorder="1" applyAlignment="1" applyProtection="1">
      <alignment horizontal="center" vertical="top"/>
      <protection locked="0"/>
    </xf>
    <xf numFmtId="0" fontId="19" fillId="6" borderId="28" xfId="0" applyFont="1" applyFill="1" applyBorder="1" applyAlignment="1">
      <alignment vertical="top"/>
    </xf>
    <xf numFmtId="0" fontId="19" fillId="6" borderId="52" xfId="0" applyFont="1" applyFill="1" applyBorder="1" applyAlignment="1">
      <alignment vertical="top"/>
    </xf>
    <xf numFmtId="0" fontId="49" fillId="11" borderId="28" xfId="0" applyFont="1" applyFill="1" applyBorder="1" applyAlignment="1">
      <alignment horizontal="center" vertical="center" wrapText="1"/>
    </xf>
    <xf numFmtId="0" fontId="44" fillId="55" borderId="28" xfId="0" applyFont="1" applyFill="1" applyBorder="1" applyAlignment="1" applyProtection="1">
      <alignment vertical="top"/>
      <protection locked="0"/>
    </xf>
    <xf numFmtId="44" fontId="3" fillId="3" borderId="0" xfId="1" applyFont="1" applyFill="1" applyBorder="1" applyAlignment="1" applyProtection="1">
      <alignment horizontal="left" vertical="center"/>
    </xf>
    <xf numFmtId="44" fontId="3" fillId="3" borderId="0" xfId="1" applyFont="1" applyFill="1" applyBorder="1" applyAlignment="1" applyProtection="1">
      <alignment horizontal="center" vertical="center" wrapText="1"/>
    </xf>
    <xf numFmtId="0" fontId="3" fillId="3" borderId="0" xfId="1" applyNumberFormat="1" applyFont="1" applyFill="1" applyBorder="1" applyAlignment="1" applyProtection="1">
      <alignment horizontal="center" vertical="center" wrapText="1"/>
    </xf>
    <xf numFmtId="44" fontId="3" fillId="3" borderId="52" xfId="1" applyFont="1" applyFill="1" applyBorder="1" applyAlignment="1" applyProtection="1">
      <alignment horizontal="center" vertical="center"/>
    </xf>
    <xf numFmtId="44" fontId="3" fillId="3" borderId="52" xfId="1" applyFont="1" applyFill="1" applyBorder="1" applyAlignment="1" applyProtection="1">
      <alignment horizontal="center" vertical="center" wrapText="1"/>
    </xf>
    <xf numFmtId="44" fontId="3" fillId="3" borderId="28" xfId="1" applyFont="1" applyFill="1" applyBorder="1" applyAlignment="1" applyProtection="1">
      <alignment horizontal="center" vertical="center"/>
    </xf>
    <xf numFmtId="44" fontId="3" fillId="3" borderId="28" xfId="1" applyFont="1" applyFill="1" applyBorder="1" applyAlignment="1">
      <alignment horizontal="center" vertical="center"/>
    </xf>
    <xf numFmtId="44" fontId="3" fillId="3" borderId="52" xfId="1" applyFont="1" applyFill="1" applyBorder="1" applyAlignment="1">
      <alignment horizontal="center" vertical="center"/>
    </xf>
    <xf numFmtId="0" fontId="13" fillId="6" borderId="54" xfId="0" applyFont="1" applyFill="1" applyBorder="1" applyAlignment="1" applyProtection="1">
      <alignment vertical="center"/>
    </xf>
    <xf numFmtId="0" fontId="27" fillId="9" borderId="0" xfId="0" applyFont="1" applyFill="1" applyBorder="1" applyAlignment="1" applyProtection="1">
      <alignment horizontal="center" vertical="center"/>
    </xf>
    <xf numFmtId="0" fontId="49" fillId="13" borderId="52" xfId="0" applyFont="1" applyFill="1" applyBorder="1" applyAlignment="1" applyProtection="1">
      <alignment horizontal="center" vertical="center"/>
    </xf>
    <xf numFmtId="0" fontId="71" fillId="6" borderId="33" xfId="2" applyNumberFormat="1" applyFont="1" applyFill="1" applyBorder="1" applyAlignment="1" applyProtection="1">
      <alignment horizontal="center"/>
    </xf>
    <xf numFmtId="0" fontId="71" fillId="6" borderId="46" xfId="2" applyNumberFormat="1" applyFont="1" applyFill="1" applyBorder="1" applyAlignment="1" applyProtection="1">
      <alignment horizontal="center"/>
    </xf>
    <xf numFmtId="0" fontId="20" fillId="54" borderId="27" xfId="0" applyFont="1" applyFill="1" applyBorder="1" applyAlignment="1" applyProtection="1">
      <alignment horizontal="right" vertical="top"/>
      <protection locked="0"/>
    </xf>
    <xf numFmtId="0" fontId="20" fillId="54" borderId="33" xfId="0" applyFont="1" applyFill="1" applyBorder="1" applyAlignment="1" applyProtection="1">
      <alignment horizontal="right" vertical="top"/>
      <protection locked="0"/>
    </xf>
    <xf numFmtId="0" fontId="20" fillId="54" borderId="51" xfId="0" applyFont="1" applyFill="1" applyBorder="1" applyAlignment="1" applyProtection="1">
      <alignment horizontal="right" vertical="top"/>
      <protection locked="0"/>
    </xf>
    <xf numFmtId="0" fontId="31" fillId="54" borderId="55" xfId="0" applyFont="1" applyFill="1" applyBorder="1" applyProtection="1">
      <protection locked="0"/>
    </xf>
    <xf numFmtId="0" fontId="31" fillId="54" borderId="27" xfId="0" applyFont="1" applyFill="1" applyBorder="1" applyProtection="1">
      <protection locked="0"/>
    </xf>
    <xf numFmtId="0" fontId="31" fillId="54" borderId="47" xfId="0" applyFont="1" applyFill="1" applyBorder="1" applyProtection="1">
      <protection locked="0"/>
    </xf>
    <xf numFmtId="0" fontId="31" fillId="54" borderId="51" xfId="0" applyFont="1" applyFill="1" applyBorder="1" applyProtection="1">
      <protection locked="0"/>
    </xf>
    <xf numFmtId="0" fontId="71" fillId="54" borderId="55" xfId="0" applyFont="1" applyFill="1" applyBorder="1" applyAlignment="1" applyProtection="1">
      <alignment horizontal="center"/>
    </xf>
    <xf numFmtId="0" fontId="31" fillId="51" borderId="55" xfId="0" applyFont="1" applyFill="1" applyBorder="1" applyProtection="1">
      <protection locked="0"/>
    </xf>
    <xf numFmtId="0" fontId="31" fillId="51" borderId="45" xfId="0" applyFont="1" applyFill="1" applyBorder="1" applyProtection="1">
      <protection locked="0"/>
    </xf>
    <xf numFmtId="0" fontId="15" fillId="9" borderId="0" xfId="0" applyNumberFormat="1" applyFont="1" applyFill="1" applyBorder="1" applyAlignment="1" applyProtection="1">
      <alignment horizontal="center" vertical="center" wrapText="1"/>
    </xf>
    <xf numFmtId="0" fontId="16" fillId="9" borderId="0" xfId="0" applyNumberFormat="1" applyFont="1" applyFill="1" applyBorder="1" applyAlignment="1" applyProtection="1">
      <alignment horizontal="left" vertical="center" wrapText="1"/>
    </xf>
    <xf numFmtId="44" fontId="8" fillId="6" borderId="52" xfId="1" applyFont="1" applyFill="1" applyBorder="1" applyAlignment="1" applyProtection="1">
      <alignment horizontal="center" vertical="center"/>
    </xf>
    <xf numFmtId="0" fontId="16" fillId="6" borderId="49" xfId="0" applyFont="1" applyFill="1" applyBorder="1" applyAlignment="1" applyProtection="1">
      <alignment vertical="center" wrapText="1"/>
    </xf>
    <xf numFmtId="0" fontId="16" fillId="6" borderId="49" xfId="0" applyFont="1" applyFill="1" applyBorder="1" applyAlignment="1" applyProtection="1">
      <alignment vertical="center"/>
    </xf>
    <xf numFmtId="0" fontId="16" fillId="12" borderId="0" xfId="0" applyFont="1" applyFill="1" applyBorder="1" applyAlignment="1" applyProtection="1">
      <alignment vertical="center"/>
    </xf>
    <xf numFmtId="0" fontId="16" fillId="6" borderId="0" xfId="0" applyFont="1" applyFill="1" applyBorder="1" applyAlignment="1" applyProtection="1">
      <alignment vertical="center"/>
    </xf>
    <xf numFmtId="0" fontId="19" fillId="4" borderId="49" xfId="0" applyFont="1" applyFill="1" applyBorder="1" applyAlignment="1">
      <alignment horizontal="left" vertical="center"/>
    </xf>
    <xf numFmtId="43" fontId="26" fillId="10" borderId="49" xfId="2"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44" fontId="26" fillId="10" borderId="49" xfId="1" applyFont="1" applyFill="1" applyBorder="1" applyAlignment="1" applyProtection="1">
      <alignment horizontal="center" vertical="center"/>
      <protection locked="0"/>
    </xf>
    <xf numFmtId="44" fontId="26" fillId="6" borderId="49" xfId="1" applyFont="1" applyFill="1" applyBorder="1" applyAlignment="1" applyProtection="1">
      <alignment horizontal="center" vertical="center"/>
    </xf>
    <xf numFmtId="43" fontId="26" fillId="54" borderId="0" xfId="2" applyFont="1" applyFill="1" applyBorder="1" applyAlignment="1" applyProtection="1">
      <alignment vertical="center"/>
      <protection locked="0"/>
    </xf>
    <xf numFmtId="0" fontId="19" fillId="4" borderId="0" xfId="0" applyFont="1" applyFill="1" applyBorder="1" applyAlignment="1" applyProtection="1">
      <alignment horizontal="center" vertical="center"/>
      <protection locked="0"/>
    </xf>
    <xf numFmtId="44" fontId="26" fillId="54" borderId="0" xfId="1" applyFont="1" applyFill="1" applyBorder="1" applyAlignment="1" applyProtection="1">
      <alignment vertical="center"/>
      <protection locked="0"/>
    </xf>
    <xf numFmtId="44" fontId="26" fillId="6" borderId="0" xfId="1" applyFont="1" applyFill="1" applyBorder="1" applyAlignment="1" applyProtection="1">
      <alignment vertical="center"/>
    </xf>
    <xf numFmtId="0" fontId="19" fillId="6" borderId="0" xfId="0" applyFont="1" applyFill="1" applyBorder="1" applyAlignment="1" applyProtection="1">
      <alignment vertical="center"/>
      <protection locked="0"/>
    </xf>
    <xf numFmtId="0" fontId="20" fillId="6" borderId="0" xfId="0" applyFont="1" applyFill="1" applyBorder="1" applyAlignment="1" applyProtection="1">
      <alignment vertical="center"/>
      <protection locked="0"/>
    </xf>
    <xf numFmtId="0" fontId="20" fillId="54" borderId="0" xfId="0" applyFont="1" applyFill="1" applyBorder="1" applyAlignment="1" applyProtection="1">
      <alignment horizontal="center" vertical="center"/>
      <protection locked="0"/>
    </xf>
    <xf numFmtId="0" fontId="15" fillId="10" borderId="0" xfId="0" applyFont="1" applyFill="1" applyBorder="1" applyAlignment="1" applyProtection="1">
      <alignment horizontal="center" vertical="center"/>
      <protection locked="0"/>
    </xf>
    <xf numFmtId="43" fontId="26" fillId="54" borderId="56" xfId="2" applyFont="1" applyFill="1" applyBorder="1" applyAlignment="1" applyProtection="1">
      <alignment vertical="center"/>
      <protection locked="0"/>
    </xf>
    <xf numFmtId="0" fontId="19" fillId="4" borderId="56" xfId="0" applyFont="1" applyFill="1" applyBorder="1" applyAlignment="1" applyProtection="1">
      <alignment horizontal="center" vertical="center"/>
      <protection locked="0"/>
    </xf>
    <xf numFmtId="44" fontId="26" fillId="54" borderId="56" xfId="1" applyFont="1" applyFill="1" applyBorder="1" applyAlignment="1" applyProtection="1">
      <alignment vertical="center"/>
      <protection locked="0"/>
    </xf>
    <xf numFmtId="44" fontId="26" fillId="6" borderId="56" xfId="1" applyFont="1" applyFill="1" applyBorder="1" applyAlignment="1" applyProtection="1">
      <alignment vertical="center"/>
    </xf>
    <xf numFmtId="0" fontId="20" fillId="6" borderId="56" xfId="0" applyFont="1" applyFill="1" applyBorder="1" applyAlignment="1" applyProtection="1">
      <alignment vertical="center"/>
      <protection locked="0"/>
    </xf>
    <xf numFmtId="43" fontId="26" fillId="54" borderId="57" xfId="2" applyFont="1" applyFill="1" applyBorder="1" applyAlignment="1" applyProtection="1">
      <alignment vertical="center"/>
      <protection locked="0"/>
    </xf>
    <xf numFmtId="0" fontId="19" fillId="4" borderId="57" xfId="0" applyFont="1" applyFill="1" applyBorder="1" applyAlignment="1" applyProtection="1">
      <alignment horizontal="center" vertical="center"/>
      <protection locked="0"/>
    </xf>
    <xf numFmtId="44" fontId="26" fillId="54" borderId="57" xfId="1" applyFont="1" applyFill="1" applyBorder="1" applyAlignment="1" applyProtection="1">
      <alignment vertical="center"/>
      <protection locked="0"/>
    </xf>
    <xf numFmtId="44" fontId="26" fillId="6" borderId="57" xfId="1" applyFont="1" applyFill="1" applyBorder="1" applyAlignment="1" applyProtection="1">
      <alignment vertical="center"/>
    </xf>
    <xf numFmtId="0" fontId="20" fillId="6" borderId="57" xfId="0"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0" fontId="19" fillId="6" borderId="56" xfId="0" applyFont="1" applyFill="1" applyBorder="1" applyAlignment="1" applyProtection="1">
      <alignment horizontal="center" vertical="center"/>
      <protection locked="0"/>
    </xf>
    <xf numFmtId="0" fontId="19" fillId="6" borderId="56" xfId="0" applyFont="1" applyFill="1" applyBorder="1" applyAlignment="1" applyProtection="1">
      <alignment vertical="center"/>
      <protection locked="0"/>
    </xf>
    <xf numFmtId="0" fontId="20" fillId="54" borderId="57" xfId="0" applyFont="1" applyFill="1" applyBorder="1" applyAlignment="1" applyProtection="1">
      <alignment horizontal="center" vertical="center"/>
      <protection locked="0"/>
    </xf>
    <xf numFmtId="0" fontId="19" fillId="6" borderId="57" xfId="0" applyFont="1" applyFill="1" applyBorder="1" applyAlignment="1" applyProtection="1">
      <alignment vertical="center"/>
      <protection locked="0"/>
    </xf>
    <xf numFmtId="44" fontId="23" fillId="3" borderId="0" xfId="1" applyFont="1" applyFill="1" applyBorder="1" applyAlignment="1">
      <alignment horizontal="center" vertical="top" wrapText="1"/>
    </xf>
    <xf numFmtId="0" fontId="2" fillId="3" borderId="0" xfId="0" applyFont="1" applyFill="1" applyBorder="1" applyAlignment="1">
      <alignment horizontal="center" wrapText="1"/>
    </xf>
    <xf numFmtId="43" fontId="26" fillId="10" borderId="0" xfId="2" applyFont="1" applyFill="1" applyBorder="1" applyAlignment="1" applyProtection="1">
      <alignment vertical="top"/>
      <protection locked="0"/>
    </xf>
    <xf numFmtId="0" fontId="19" fillId="51" borderId="0" xfId="0" applyFont="1" applyFill="1" applyBorder="1" applyAlignment="1">
      <alignment vertical="top"/>
    </xf>
    <xf numFmtId="0" fontId="19" fillId="51" borderId="0" xfId="0" applyFont="1" applyFill="1" applyBorder="1" applyAlignment="1">
      <alignment horizontal="center" vertical="top"/>
    </xf>
    <xf numFmtId="0" fontId="19" fillId="51" borderId="52" xfId="0" applyFont="1" applyFill="1" applyBorder="1" applyAlignment="1">
      <alignment vertical="top"/>
    </xf>
    <xf numFmtId="43" fontId="26" fillId="10" borderId="52" xfId="2" applyFont="1" applyFill="1" applyBorder="1" applyAlignment="1" applyProtection="1">
      <alignment vertical="top"/>
      <protection locked="0"/>
    </xf>
    <xf numFmtId="0" fontId="19" fillId="51" borderId="52" xfId="0" applyFont="1" applyFill="1" applyBorder="1" applyAlignment="1">
      <alignment horizontal="center" vertical="top"/>
    </xf>
    <xf numFmtId="0" fontId="16" fillId="51" borderId="52" xfId="0" applyFont="1" applyFill="1" applyBorder="1" applyAlignment="1">
      <alignment vertical="top"/>
    </xf>
    <xf numFmtId="43" fontId="16" fillId="10" borderId="52" xfId="2" applyFont="1" applyFill="1" applyBorder="1" applyAlignment="1" applyProtection="1">
      <alignment vertical="top"/>
      <protection locked="0"/>
    </xf>
    <xf numFmtId="0" fontId="16" fillId="51" borderId="52" xfId="0" applyFont="1" applyFill="1" applyBorder="1" applyAlignment="1">
      <alignment horizontal="center" vertical="top"/>
    </xf>
    <xf numFmtId="0" fontId="16" fillId="51" borderId="0" xfId="0" applyFont="1" applyFill="1" applyBorder="1" applyAlignment="1">
      <alignment vertical="top"/>
    </xf>
    <xf numFmtId="43" fontId="16" fillId="10" borderId="0" xfId="2" applyFont="1" applyFill="1" applyBorder="1" applyAlignment="1" applyProtection="1">
      <alignment vertical="top"/>
      <protection locked="0"/>
    </xf>
    <xf numFmtId="0" fontId="16" fillId="51" borderId="0" xfId="0" applyFont="1" applyFill="1" applyBorder="1" applyAlignment="1">
      <alignment horizontal="center" vertical="top"/>
    </xf>
    <xf numFmtId="44" fontId="26" fillId="10" borderId="0" xfId="1" applyFont="1" applyFill="1" applyBorder="1" applyAlignment="1" applyProtection="1">
      <alignment vertical="top"/>
      <protection locked="0"/>
    </xf>
    <xf numFmtId="0" fontId="20" fillId="10" borderId="0" xfId="0" applyFont="1" applyFill="1" applyBorder="1" applyAlignment="1" applyProtection="1">
      <alignment vertical="top"/>
      <protection locked="0"/>
    </xf>
    <xf numFmtId="0" fontId="20" fillId="51" borderId="0" xfId="0" applyFont="1" applyFill="1" applyBorder="1" applyAlignment="1" applyProtection="1">
      <alignment vertical="top"/>
      <protection locked="0"/>
    </xf>
    <xf numFmtId="44" fontId="19" fillId="51" borderId="0" xfId="1" applyFont="1" applyFill="1" applyBorder="1" applyAlignment="1" applyProtection="1">
      <alignment vertical="top"/>
      <protection locked="0"/>
    </xf>
    <xf numFmtId="0" fontId="19" fillId="51" borderId="0" xfId="0" applyFont="1" applyFill="1" applyBorder="1" applyAlignment="1" applyProtection="1">
      <alignment vertical="top"/>
      <protection locked="0"/>
    </xf>
    <xf numFmtId="44" fontId="26" fillId="10" borderId="52" xfId="1" applyFont="1" applyFill="1" applyBorder="1" applyAlignment="1" applyProtection="1">
      <alignment vertical="top"/>
      <protection locked="0"/>
    </xf>
    <xf numFmtId="0" fontId="20" fillId="10" borderId="52" xfId="0" applyFont="1" applyFill="1" applyBorder="1" applyAlignment="1" applyProtection="1">
      <alignment vertical="top"/>
      <protection locked="0"/>
    </xf>
    <xf numFmtId="0" fontId="20" fillId="51" borderId="52" xfId="0" applyFont="1" applyFill="1" applyBorder="1" applyAlignment="1" applyProtection="1">
      <alignment vertical="top"/>
      <protection locked="0"/>
    </xf>
    <xf numFmtId="44" fontId="19" fillId="51" borderId="52" xfId="1" applyFont="1" applyFill="1" applyBorder="1" applyAlignment="1" applyProtection="1">
      <alignment vertical="top"/>
      <protection locked="0"/>
    </xf>
    <xf numFmtId="0" fontId="19" fillId="51" borderId="52" xfId="0" applyFont="1" applyFill="1" applyBorder="1" applyAlignment="1" applyProtection="1">
      <alignment vertical="top"/>
      <protection locked="0"/>
    </xf>
    <xf numFmtId="43" fontId="26" fillId="10" borderId="28" xfId="2" applyFont="1" applyFill="1" applyBorder="1" applyAlignment="1" applyProtection="1">
      <alignment vertical="top"/>
      <protection locked="0"/>
    </xf>
    <xf numFmtId="44" fontId="26" fillId="10" borderId="28" xfId="1" applyFont="1" applyFill="1" applyBorder="1" applyAlignment="1" applyProtection="1">
      <alignment vertical="top"/>
      <protection locked="0"/>
    </xf>
    <xf numFmtId="43" fontId="26" fillId="10" borderId="49" xfId="2" applyFont="1" applyFill="1" applyBorder="1" applyAlignment="1" applyProtection="1">
      <alignment vertical="top"/>
      <protection locked="0"/>
    </xf>
    <xf numFmtId="44" fontId="26" fillId="10" borderId="49" xfId="1" applyFont="1" applyFill="1" applyBorder="1" applyAlignment="1" applyProtection="1">
      <alignment vertical="top"/>
      <protection locked="0"/>
    </xf>
    <xf numFmtId="0" fontId="28" fillId="2" borderId="0" xfId="0" applyFont="1" applyFill="1" applyBorder="1" applyAlignment="1">
      <alignment horizontal="left" vertical="top"/>
    </xf>
    <xf numFmtId="0" fontId="7" fillId="9" borderId="0" xfId="0" applyFont="1" applyFill="1" applyBorder="1" applyAlignment="1" applyProtection="1">
      <alignment horizontal="center"/>
      <protection locked="0"/>
    </xf>
    <xf numFmtId="0" fontId="20" fillId="10" borderId="0" xfId="0" applyFont="1" applyFill="1" applyBorder="1" applyAlignment="1" applyProtection="1">
      <alignment horizontal="right" vertical="top"/>
      <protection locked="0"/>
    </xf>
    <xf numFmtId="0" fontId="19" fillId="51" borderId="28" xfId="0" applyFont="1" applyFill="1" applyBorder="1" applyAlignment="1">
      <alignment vertical="top"/>
    </xf>
    <xf numFmtId="44" fontId="26" fillId="51" borderId="0" xfId="1" applyFont="1" applyFill="1" applyBorder="1" applyAlignment="1" applyProtection="1">
      <alignment vertical="top"/>
    </xf>
    <xf numFmtId="44" fontId="14" fillId="51" borderId="0" xfId="1" applyFont="1" applyFill="1" applyBorder="1" applyAlignment="1" applyProtection="1">
      <alignment vertical="top"/>
      <protection locked="0"/>
    </xf>
    <xf numFmtId="0" fontId="83" fillId="51" borderId="0" xfId="0" applyFont="1" applyFill="1" applyBorder="1" applyAlignment="1" applyProtection="1">
      <alignment vertical="top"/>
      <protection locked="0"/>
    </xf>
    <xf numFmtId="0" fontId="19" fillId="51" borderId="0" xfId="0" applyFont="1" applyFill="1" applyBorder="1" applyAlignment="1">
      <alignment horizontal="left" vertical="top"/>
    </xf>
    <xf numFmtId="0" fontId="19" fillId="51" borderId="49" xfId="0" applyFont="1" applyFill="1" applyBorder="1" applyAlignment="1">
      <alignment horizontal="center" vertical="top"/>
    </xf>
    <xf numFmtId="0" fontId="19" fillId="51" borderId="28" xfId="0" applyFont="1" applyFill="1" applyBorder="1" applyAlignment="1">
      <alignment horizontal="center" vertical="top"/>
    </xf>
    <xf numFmtId="44" fontId="26" fillId="51" borderId="49" xfId="1" applyFont="1" applyFill="1" applyBorder="1" applyAlignment="1" applyProtection="1">
      <alignment vertical="top"/>
    </xf>
    <xf numFmtId="44" fontId="26" fillId="51" borderId="28" xfId="1" applyFont="1" applyFill="1" applyBorder="1" applyAlignment="1" applyProtection="1">
      <alignment vertical="top"/>
    </xf>
    <xf numFmtId="44" fontId="3" fillId="3" borderId="28" xfId="1" applyFont="1" applyFill="1" applyBorder="1" applyAlignment="1" applyProtection="1">
      <alignment vertical="center"/>
    </xf>
    <xf numFmtId="44" fontId="3" fillId="3" borderId="0" xfId="1" applyFont="1" applyFill="1" applyBorder="1" applyAlignment="1" applyProtection="1">
      <alignment vertical="center"/>
    </xf>
    <xf numFmtId="169" fontId="44" fillId="54" borderId="51" xfId="2" applyNumberFormat="1" applyFont="1" applyFill="1" applyBorder="1" applyAlignment="1">
      <alignment horizontal="center"/>
    </xf>
    <xf numFmtId="0" fontId="44" fillId="54" borderId="51" xfId="0" applyFont="1" applyFill="1" applyBorder="1" applyAlignment="1" applyProtection="1">
      <alignment horizontal="center"/>
    </xf>
    <xf numFmtId="0" fontId="44" fillId="54" borderId="51" xfId="0" applyFont="1" applyFill="1" applyBorder="1" applyAlignment="1" applyProtection="1">
      <alignment horizontal="center"/>
      <protection locked="0"/>
    </xf>
    <xf numFmtId="0" fontId="16" fillId="54" borderId="51" xfId="0" applyFont="1" applyFill="1" applyBorder="1" applyAlignment="1">
      <alignment horizontal="left"/>
    </xf>
    <xf numFmtId="0" fontId="16" fillId="50" borderId="51" xfId="0" applyFont="1" applyFill="1" applyBorder="1" applyAlignment="1">
      <alignment horizontal="center"/>
    </xf>
    <xf numFmtId="169" fontId="16" fillId="50" borderId="51" xfId="2" applyNumberFormat="1" applyFont="1" applyFill="1" applyBorder="1" applyAlignment="1">
      <alignment horizontal="center"/>
    </xf>
    <xf numFmtId="0" fontId="16" fillId="50" borderId="51" xfId="0" applyFont="1" applyFill="1" applyBorder="1" applyAlignment="1" applyProtection="1">
      <alignment horizontal="center"/>
    </xf>
    <xf numFmtId="0" fontId="16" fillId="50" borderId="27" xfId="0" applyFont="1" applyFill="1" applyBorder="1" applyAlignment="1">
      <alignment horizontal="center"/>
    </xf>
    <xf numFmtId="169" fontId="16" fillId="50" borderId="27" xfId="2" applyNumberFormat="1" applyFont="1" applyFill="1" applyBorder="1" applyAlignment="1">
      <alignment horizontal="center"/>
    </xf>
    <xf numFmtId="0" fontId="16" fillId="50" borderId="27" xfId="0" applyFont="1" applyFill="1" applyBorder="1" applyAlignment="1" applyProtection="1">
      <alignment horizontal="center"/>
    </xf>
    <xf numFmtId="0" fontId="16" fillId="50" borderId="28" xfId="0" applyFont="1" applyFill="1" applyBorder="1" applyAlignment="1">
      <alignment horizontal="center"/>
    </xf>
    <xf numFmtId="0" fontId="16" fillId="50" borderId="52" xfId="0" applyFont="1" applyFill="1" applyBorder="1" applyAlignment="1">
      <alignment horizontal="center"/>
    </xf>
    <xf numFmtId="0" fontId="26" fillId="54" borderId="55" xfId="0" applyFont="1" applyFill="1" applyBorder="1" applyAlignment="1" applyProtection="1">
      <protection locked="0"/>
    </xf>
    <xf numFmtId="0" fontId="44" fillId="54" borderId="55" xfId="0" applyFont="1" applyFill="1" applyBorder="1" applyAlignment="1" applyProtection="1">
      <alignment horizontal="center"/>
      <protection locked="0"/>
    </xf>
    <xf numFmtId="0" fontId="16" fillId="50" borderId="28" xfId="0" applyFont="1" applyFill="1" applyBorder="1" applyAlignment="1">
      <alignment horizontal="center"/>
    </xf>
    <xf numFmtId="0" fontId="16" fillId="50" borderId="27" xfId="0" applyFont="1" applyFill="1" applyBorder="1" applyAlignment="1">
      <alignment horizontal="center"/>
    </xf>
    <xf numFmtId="0" fontId="16" fillId="50" borderId="0" xfId="0" applyFont="1" applyFill="1" applyBorder="1" applyAlignment="1">
      <alignment horizontal="center"/>
    </xf>
    <xf numFmtId="9" fontId="0" fillId="0" borderId="1" xfId="6" applyNumberFormat="1" applyFont="1" applyFill="1" applyBorder="1" applyAlignment="1">
      <alignment vertical="top"/>
    </xf>
    <xf numFmtId="9" fontId="6" fillId="6" borderId="1" xfId="6" applyNumberFormat="1" applyFont="1" applyFill="1" applyBorder="1" applyAlignment="1">
      <alignment horizontal="center" vertical="center" wrapText="1"/>
    </xf>
    <xf numFmtId="9" fontId="0" fillId="0" borderId="1" xfId="0" applyNumberFormat="1" applyFill="1" applyBorder="1"/>
    <xf numFmtId="9" fontId="0" fillId="0" borderId="0" xfId="0" applyNumberFormat="1"/>
    <xf numFmtId="4" fontId="15" fillId="0" borderId="0" xfId="2" applyNumberFormat="1" applyFont="1" applyAlignment="1">
      <alignment horizontal="center"/>
    </xf>
    <xf numFmtId="4" fontId="3" fillId="3" borderId="28" xfId="2" applyNumberFormat="1" applyFont="1" applyFill="1" applyBorder="1" applyAlignment="1" applyProtection="1">
      <alignment horizontal="center" vertical="center"/>
    </xf>
    <xf numFmtId="4" fontId="16" fillId="50" borderId="51" xfId="2" applyNumberFormat="1" applyFont="1" applyFill="1" applyBorder="1" applyAlignment="1">
      <alignment horizontal="center"/>
    </xf>
    <xf numFmtId="4" fontId="16" fillId="50" borderId="27" xfId="2" applyNumberFormat="1" applyFont="1" applyFill="1" applyBorder="1" applyAlignment="1">
      <alignment horizontal="center"/>
    </xf>
    <xf numFmtId="4" fontId="15" fillId="0" borderId="0" xfId="2" applyNumberFormat="1" applyFont="1" applyAlignment="1" applyProtection="1">
      <alignment horizontal="center"/>
      <protection locked="0"/>
    </xf>
    <xf numFmtId="4" fontId="3" fillId="3" borderId="52" xfId="2" applyNumberFormat="1" applyFont="1" applyFill="1" applyBorder="1" applyAlignment="1" applyProtection="1">
      <alignment horizontal="center" vertical="center"/>
    </xf>
    <xf numFmtId="4" fontId="44" fillId="54" borderId="51" xfId="2" applyNumberFormat="1" applyFont="1" applyFill="1" applyBorder="1" applyAlignment="1">
      <alignment horizontal="center"/>
    </xf>
    <xf numFmtId="0" fontId="0" fillId="0" borderId="10" xfId="0" applyFill="1" applyBorder="1"/>
    <xf numFmtId="0" fontId="5" fillId="0" borderId="10" xfId="3" applyFill="1" applyBorder="1"/>
    <xf numFmtId="0" fontId="33" fillId="0" borderId="10" xfId="0" applyFont="1" applyFill="1" applyBorder="1" applyAlignment="1"/>
    <xf numFmtId="0" fontId="5" fillId="0" borderId="10" xfId="3" applyFill="1" applyBorder="1" applyAlignment="1">
      <alignment vertical="top"/>
    </xf>
    <xf numFmtId="166" fontId="31" fillId="0" borderId="10" xfId="2" applyNumberFormat="1" applyFont="1" applyFill="1" applyBorder="1" applyAlignment="1" applyProtection="1">
      <alignment horizontal="right"/>
      <protection locked="0"/>
    </xf>
    <xf numFmtId="0" fontId="5" fillId="0" borderId="10" xfId="3" applyFont="1" applyFill="1" applyBorder="1" applyAlignment="1">
      <alignment vertical="top"/>
    </xf>
    <xf numFmtId="167" fontId="34" fillId="0" borderId="10" xfId="0" applyNumberFormat="1" applyFont="1" applyFill="1" applyBorder="1" applyAlignment="1">
      <alignment horizontal="right"/>
    </xf>
    <xf numFmtId="14" fontId="31" fillId="0" borderId="10" xfId="0" applyNumberFormat="1" applyFont="1" applyFill="1" applyBorder="1" applyAlignment="1">
      <alignment horizontal="right"/>
    </xf>
    <xf numFmtId="1" fontId="5" fillId="0" borderId="10" xfId="2" applyNumberFormat="1" applyFont="1" applyFill="1" applyBorder="1" applyAlignment="1">
      <alignment vertical="top"/>
    </xf>
    <xf numFmtId="0" fontId="34" fillId="0" borderId="10" xfId="0" applyFont="1" applyFill="1" applyBorder="1" applyAlignment="1">
      <alignment horizontal="left"/>
    </xf>
    <xf numFmtId="3" fontId="0" fillId="0" borderId="1" xfId="0" applyNumberFormat="1" applyBorder="1"/>
    <xf numFmtId="10" fontId="5" fillId="0" borderId="1" xfId="5" applyNumberFormat="1" applyFont="1" applyFill="1" applyBorder="1"/>
    <xf numFmtId="0" fontId="8" fillId="6" borderId="54" xfId="0" applyFont="1" applyFill="1" applyBorder="1" applyAlignment="1" applyProtection="1">
      <alignment horizontal="center" vertical="center"/>
    </xf>
    <xf numFmtId="44" fontId="8" fillId="6" borderId="52" xfId="1" applyFont="1" applyFill="1" applyBorder="1" applyAlignment="1" applyProtection="1">
      <alignment horizontal="center" vertical="center"/>
    </xf>
    <xf numFmtId="0" fontId="16" fillId="54" borderId="27" xfId="0" applyFont="1" applyFill="1" applyBorder="1" applyAlignment="1" applyProtection="1">
      <alignment horizontal="center"/>
      <protection locked="0"/>
    </xf>
    <xf numFmtId="44" fontId="3" fillId="3" borderId="0" xfId="1" applyFont="1" applyFill="1" applyBorder="1" applyAlignment="1" applyProtection="1">
      <alignment horizontal="center" vertical="center"/>
    </xf>
    <xf numFmtId="0" fontId="10" fillId="6" borderId="0" xfId="0" applyFont="1" applyFill="1" applyBorder="1" applyAlignment="1" applyProtection="1">
      <alignment horizontal="left" vertical="center"/>
    </xf>
    <xf numFmtId="0" fontId="10" fillId="6" borderId="52" xfId="0" applyFont="1" applyFill="1" applyBorder="1" applyAlignment="1" applyProtection="1">
      <alignment horizontal="left" vertical="center"/>
    </xf>
    <xf numFmtId="0" fontId="10" fillId="6" borderId="49" xfId="0" applyFont="1" applyFill="1" applyBorder="1" applyAlignment="1" applyProtection="1">
      <alignment horizontal="left" vertical="center"/>
    </xf>
    <xf numFmtId="0" fontId="10" fillId="6" borderId="49"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168" fontId="0" fillId="10" borderId="48" xfId="1" applyNumberFormat="1" applyFont="1" applyFill="1" applyBorder="1" applyAlignment="1" applyProtection="1">
      <protection locked="0"/>
    </xf>
    <xf numFmtId="168" fontId="0" fillId="10" borderId="50" xfId="1" applyNumberFormat="1" applyFont="1" applyFill="1" applyBorder="1" applyAlignment="1" applyProtection="1">
      <protection locked="0"/>
    </xf>
    <xf numFmtId="44" fontId="2" fillId="3" borderId="0" xfId="1" applyFont="1" applyFill="1" applyBorder="1" applyAlignment="1">
      <alignment horizontal="left" vertical="center"/>
    </xf>
    <xf numFmtId="0" fontId="8" fillId="6" borderId="0" xfId="0" applyFont="1" applyFill="1" applyBorder="1" applyAlignment="1" applyProtection="1">
      <alignment horizontal="center" vertical="center"/>
    </xf>
    <xf numFmtId="0" fontId="10" fillId="0" borderId="49" xfId="0" applyFont="1" applyFill="1" applyBorder="1" applyAlignment="1" applyProtection="1">
      <alignment vertical="center"/>
    </xf>
    <xf numFmtId="44" fontId="0" fillId="9" borderId="0" xfId="0" applyNumberFormat="1" applyFill="1" applyBorder="1" applyAlignment="1">
      <alignment horizontal="center" vertical="center"/>
    </xf>
    <xf numFmtId="0" fontId="0" fillId="9" borderId="0" xfId="0" applyFont="1" applyFill="1" applyAlignment="1" applyProtection="1">
      <alignment vertical="center"/>
    </xf>
    <xf numFmtId="0" fontId="15" fillId="0" borderId="0" xfId="0" applyFont="1" applyBorder="1" applyAlignment="1" applyProtection="1">
      <alignment horizontal="center" vertical="center"/>
    </xf>
    <xf numFmtId="0" fontId="15" fillId="0" borderId="0" xfId="0" applyFont="1" applyBorder="1" applyProtection="1"/>
    <xf numFmtId="0" fontId="16" fillId="6" borderId="56" xfId="0" applyFont="1" applyFill="1" applyBorder="1" applyAlignment="1" applyProtection="1">
      <alignment vertical="center"/>
    </xf>
    <xf numFmtId="0" fontId="15" fillId="0" borderId="0" xfId="0" applyFont="1" applyBorder="1" applyAlignment="1" applyProtection="1">
      <alignment vertical="center"/>
    </xf>
    <xf numFmtId="0" fontId="19" fillId="4" borderId="56" xfId="0" applyFont="1" applyFill="1" applyBorder="1" applyAlignment="1" applyProtection="1">
      <alignment vertical="center"/>
    </xf>
    <xf numFmtId="0" fontId="19" fillId="4" borderId="57" xfId="0" applyFont="1" applyFill="1" applyBorder="1" applyAlignment="1" applyProtection="1">
      <alignment vertical="center"/>
    </xf>
    <xf numFmtId="0" fontId="19" fillId="4" borderId="57" xfId="0" applyFont="1" applyFill="1" applyBorder="1" applyAlignment="1" applyProtection="1">
      <alignment vertical="center" wrapText="1"/>
    </xf>
    <xf numFmtId="0" fontId="19" fillId="4" borderId="0" xfId="0" applyFont="1" applyFill="1" applyBorder="1" applyAlignment="1" applyProtection="1">
      <alignment vertical="center" wrapText="1"/>
    </xf>
    <xf numFmtId="0" fontId="19" fillId="4" borderId="0" xfId="0" applyFont="1" applyFill="1" applyBorder="1" applyAlignment="1" applyProtection="1">
      <alignment vertical="center"/>
    </xf>
    <xf numFmtId="0" fontId="19" fillId="4" borderId="28" xfId="0" applyFont="1" applyFill="1" applyBorder="1" applyAlignment="1">
      <alignment vertical="top"/>
    </xf>
    <xf numFmtId="0" fontId="10" fillId="54" borderId="0" xfId="0" applyFont="1" applyFill="1" applyBorder="1" applyAlignment="1" applyProtection="1">
      <alignment horizontal="center" vertical="center"/>
      <protection locked="0"/>
    </xf>
    <xf numFmtId="0" fontId="18" fillId="9" borderId="0" xfId="0" applyFont="1" applyFill="1" applyAlignment="1"/>
    <xf numFmtId="0" fontId="18" fillId="9" borderId="52" xfId="0" applyFont="1" applyFill="1" applyBorder="1" applyAlignment="1"/>
    <xf numFmtId="0" fontId="26" fillId="54" borderId="47" xfId="0" applyFont="1" applyFill="1" applyBorder="1" applyAlignment="1" applyProtection="1">
      <protection locked="0"/>
    </xf>
    <xf numFmtId="0" fontId="16" fillId="50" borderId="48" xfId="0" applyFont="1" applyFill="1" applyBorder="1" applyAlignment="1">
      <alignment horizontal="center"/>
    </xf>
    <xf numFmtId="4" fontId="16" fillId="50" borderId="48" xfId="2" applyNumberFormat="1" applyFont="1" applyFill="1" applyBorder="1" applyAlignment="1">
      <alignment horizontal="center"/>
    </xf>
    <xf numFmtId="0" fontId="16" fillId="50" borderId="48" xfId="0" applyFont="1" applyFill="1" applyBorder="1" applyAlignment="1" applyProtection="1">
      <alignment horizontal="center"/>
    </xf>
    <xf numFmtId="0" fontId="18" fillId="9" borderId="0" xfId="0" applyFont="1" applyFill="1" applyAlignment="1" applyProtection="1">
      <protection hidden="1"/>
    </xf>
    <xf numFmtId="0" fontId="18" fillId="0" borderId="52" xfId="0" applyFont="1" applyBorder="1" applyAlignment="1"/>
    <xf numFmtId="10" fontId="5" fillId="0" borderId="10" xfId="5" applyNumberFormat="1" applyFont="1" applyFill="1" applyBorder="1"/>
    <xf numFmtId="164" fontId="0" fillId="0" borderId="10" xfId="2" applyNumberFormat="1" applyFont="1" applyFill="1" applyBorder="1"/>
    <xf numFmtId="0" fontId="36" fillId="0" borderId="10" xfId="0" applyFont="1" applyFill="1" applyBorder="1" applyAlignment="1">
      <alignment horizontal="left"/>
    </xf>
    <xf numFmtId="49" fontId="34" fillId="0" borderId="10" xfId="0" applyNumberFormat="1" applyFont="1" applyFill="1" applyBorder="1" applyAlignment="1">
      <alignment horizontal="left"/>
    </xf>
    <xf numFmtId="1" fontId="5" fillId="0" borderId="10" xfId="2" applyNumberFormat="1" applyFont="1" applyFill="1" applyBorder="1"/>
    <xf numFmtId="0" fontId="5" fillId="0" borderId="10" xfId="8" applyFont="1" applyFill="1" applyBorder="1" applyAlignment="1"/>
    <xf numFmtId="0" fontId="0" fillId="0" borderId="61" xfId="0" applyFill="1" applyBorder="1"/>
    <xf numFmtId="0" fontId="5" fillId="0" borderId="61" xfId="3" applyFill="1" applyBorder="1"/>
    <xf numFmtId="0" fontId="33" fillId="0" borderId="61" xfId="0" applyFont="1" applyFill="1" applyBorder="1" applyAlignment="1"/>
    <xf numFmtId="0" fontId="34" fillId="0" borderId="61" xfId="0" applyFont="1" applyFill="1" applyBorder="1" applyAlignment="1">
      <alignment horizontal="left"/>
    </xf>
    <xf numFmtId="166" fontId="31" fillId="0" borderId="61" xfId="2" applyNumberFormat="1" applyFont="1" applyFill="1" applyBorder="1" applyAlignment="1" applyProtection="1">
      <alignment horizontal="right"/>
      <protection locked="0"/>
    </xf>
    <xf numFmtId="49" fontId="34" fillId="0" borderId="61" xfId="0" applyNumberFormat="1" applyFont="1" applyFill="1" applyBorder="1" applyAlignment="1">
      <alignment horizontal="left"/>
    </xf>
    <xf numFmtId="167" fontId="34" fillId="0" borderId="61" xfId="0" applyNumberFormat="1" applyFont="1" applyFill="1" applyBorder="1" applyAlignment="1">
      <alignment horizontal="right"/>
    </xf>
    <xf numFmtId="14" fontId="31" fillId="0" borderId="61" xfId="0" applyNumberFormat="1" applyFont="1" applyFill="1" applyBorder="1" applyAlignment="1">
      <alignment horizontal="right"/>
    </xf>
    <xf numFmtId="1" fontId="5" fillId="0" borderId="61" xfId="2" applyNumberFormat="1" applyFont="1" applyFill="1" applyBorder="1" applyAlignment="1">
      <alignment vertical="top"/>
    </xf>
    <xf numFmtId="0" fontId="5" fillId="0" borderId="61" xfId="8" applyFont="1" applyFill="1" applyBorder="1" applyAlignment="1"/>
    <xf numFmtId="10" fontId="5" fillId="0" borderId="61" xfId="5" applyNumberFormat="1" applyFont="1" applyFill="1" applyBorder="1"/>
    <xf numFmtId="164" fontId="0" fillId="0" borderId="61" xfId="2" applyNumberFormat="1" applyFont="1" applyFill="1" applyBorder="1"/>
    <xf numFmtId="14" fontId="0" fillId="0" borderId="1" xfId="0" applyNumberFormat="1" applyBorder="1"/>
    <xf numFmtId="10" fontId="0" fillId="0" borderId="1" xfId="0" applyNumberFormat="1" applyFill="1" applyBorder="1"/>
    <xf numFmtId="0" fontId="0" fillId="51" borderId="51" xfId="0" applyFont="1" applyFill="1" applyBorder="1" applyAlignment="1" applyProtection="1">
      <alignment horizontal="center"/>
      <protection locked="0"/>
    </xf>
    <xf numFmtId="0" fontId="0" fillId="51" borderId="27" xfId="0" applyFont="1" applyFill="1" applyBorder="1" applyAlignment="1" applyProtection="1">
      <protection locked="0"/>
    </xf>
    <xf numFmtId="0" fontId="0" fillId="51" borderId="28" xfId="0" applyFont="1" applyFill="1" applyBorder="1" applyAlignment="1" applyProtection="1">
      <protection locked="0"/>
    </xf>
    <xf numFmtId="0" fontId="0" fillId="51" borderId="27" xfId="0" applyFont="1" applyFill="1" applyBorder="1" applyAlignment="1" applyProtection="1">
      <alignment horizontal="center"/>
      <protection locked="0"/>
    </xf>
    <xf numFmtId="0" fontId="0" fillId="51" borderId="48" xfId="0" applyFont="1" applyFill="1" applyBorder="1" applyAlignment="1" applyProtection="1">
      <alignment horizontal="center"/>
      <protection locked="0"/>
    </xf>
    <xf numFmtId="0" fontId="15" fillId="0" borderId="0" xfId="0" applyFont="1" applyFill="1" applyAlignment="1"/>
    <xf numFmtId="0" fontId="15" fillId="9" borderId="0" xfId="0" applyFont="1" applyFill="1" applyBorder="1" applyProtection="1"/>
    <xf numFmtId="0" fontId="15" fillId="9" borderId="0" xfId="0" applyFont="1" applyFill="1" applyProtection="1"/>
    <xf numFmtId="0" fontId="15" fillId="51" borderId="0" xfId="0" applyFont="1" applyFill="1" applyProtection="1"/>
    <xf numFmtId="0" fontId="13" fillId="9" borderId="33" xfId="0" applyFont="1" applyFill="1" applyBorder="1" applyAlignment="1" applyProtection="1">
      <alignment horizontal="center" vertical="center" wrapText="1"/>
    </xf>
    <xf numFmtId="0" fontId="13" fillId="9" borderId="0" xfId="0" applyFont="1" applyFill="1" applyBorder="1" applyAlignment="1" applyProtection="1">
      <alignment horizontal="center" vertical="center" wrapText="1"/>
    </xf>
    <xf numFmtId="0" fontId="0" fillId="0" borderId="0" xfId="0" applyProtection="1"/>
    <xf numFmtId="0" fontId="7" fillId="9" borderId="0" xfId="0" applyFont="1" applyFill="1" applyProtection="1">
      <protection locked="0"/>
    </xf>
    <xf numFmtId="0" fontId="43" fillId="9" borderId="0" xfId="0" applyFont="1" applyFill="1" applyAlignment="1" applyProtection="1">
      <alignment vertical="center"/>
      <protection locked="0"/>
    </xf>
    <xf numFmtId="0" fontId="0" fillId="9" borderId="0" xfId="0" applyFill="1" applyProtection="1"/>
    <xf numFmtId="0" fontId="7" fillId="9" borderId="0" xfId="0" applyFont="1" applyFill="1" applyBorder="1" applyProtection="1"/>
    <xf numFmtId="0" fontId="10" fillId="9" borderId="0" xfId="0" applyFont="1" applyFill="1" applyBorder="1" applyAlignment="1" applyProtection="1">
      <alignment horizontal="left" wrapText="1"/>
    </xf>
    <xf numFmtId="0" fontId="19" fillId="50" borderId="52" xfId="0" applyFont="1" applyFill="1" applyBorder="1" applyAlignment="1">
      <alignment horizontal="center" vertical="top"/>
    </xf>
    <xf numFmtId="0" fontId="19" fillId="50" borderId="28" xfId="0" applyFont="1" applyFill="1" applyBorder="1" applyAlignment="1">
      <alignment horizontal="center" vertical="top"/>
    </xf>
    <xf numFmtId="44" fontId="26" fillId="50" borderId="52" xfId="1" applyFont="1" applyFill="1" applyBorder="1" applyAlignment="1" applyProtection="1">
      <alignment vertical="top"/>
    </xf>
    <xf numFmtId="44" fontId="26" fillId="50" borderId="28" xfId="1" applyFont="1" applyFill="1" applyBorder="1" applyAlignment="1" applyProtection="1">
      <alignment vertical="top"/>
    </xf>
    <xf numFmtId="44" fontId="19" fillId="50" borderId="52" xfId="1" applyFont="1" applyFill="1" applyBorder="1" applyAlignment="1" applyProtection="1">
      <alignment vertical="top"/>
      <protection locked="0"/>
    </xf>
    <xf numFmtId="44" fontId="19" fillId="50" borderId="28" xfId="1" applyFont="1" applyFill="1" applyBorder="1" applyAlignment="1" applyProtection="1">
      <alignment vertical="top"/>
      <protection locked="0"/>
    </xf>
    <xf numFmtId="0" fontId="20" fillId="50" borderId="52" xfId="0" applyFont="1" applyFill="1" applyBorder="1" applyAlignment="1" applyProtection="1">
      <alignment vertical="top"/>
      <protection locked="0"/>
    </xf>
    <xf numFmtId="0" fontId="20" fillId="50" borderId="28" xfId="0" applyFont="1" applyFill="1" applyBorder="1" applyAlignment="1" applyProtection="1">
      <alignment vertical="top"/>
      <protection locked="0"/>
    </xf>
    <xf numFmtId="0" fontId="20" fillId="50" borderId="0" xfId="0" applyFont="1" applyFill="1" applyBorder="1" applyAlignment="1" applyProtection="1">
      <alignment vertical="top"/>
      <protection locked="0"/>
    </xf>
    <xf numFmtId="0" fontId="77" fillId="0" borderId="0" xfId="0" applyFont="1" applyAlignment="1" applyProtection="1"/>
    <xf numFmtId="0" fontId="19" fillId="4" borderId="28" xfId="0" applyFont="1" applyFill="1" applyBorder="1" applyAlignment="1" applyProtection="1">
      <alignment horizontal="center" vertical="top"/>
    </xf>
    <xf numFmtId="0" fontId="26" fillId="56" borderId="47" xfId="0" quotePrefix="1" applyNumberFormat="1" applyFont="1" applyFill="1" applyBorder="1" applyAlignment="1" applyProtection="1">
      <alignment horizontal="center"/>
      <protection locked="0"/>
    </xf>
    <xf numFmtId="0" fontId="16" fillId="54" borderId="47" xfId="0" applyFont="1" applyFill="1" applyBorder="1" applyAlignment="1" applyProtection="1">
      <alignment horizontal="center"/>
      <protection locked="0"/>
    </xf>
    <xf numFmtId="4" fontId="16" fillId="54" borderId="47" xfId="2" applyNumberFormat="1" applyFont="1" applyFill="1" applyBorder="1" applyAlignment="1" applyProtection="1">
      <alignment horizontal="center"/>
      <protection locked="0"/>
    </xf>
    <xf numFmtId="0" fontId="44" fillId="54" borderId="47" xfId="0" applyFont="1" applyFill="1" applyBorder="1" applyAlignment="1" applyProtection="1">
      <alignment horizontal="center"/>
      <protection locked="0"/>
    </xf>
    <xf numFmtId="0" fontId="26" fillId="56" borderId="55" xfId="0" applyFont="1" applyFill="1" applyBorder="1" applyAlignment="1" applyProtection="1">
      <alignment horizontal="center"/>
      <protection locked="0"/>
    </xf>
    <xf numFmtId="0" fontId="16" fillId="54" borderId="55" xfId="0" applyFont="1" applyFill="1" applyBorder="1" applyAlignment="1" applyProtection="1">
      <alignment horizontal="center"/>
      <protection locked="0"/>
    </xf>
    <xf numFmtId="4" fontId="16" fillId="54" borderId="55" xfId="2" applyNumberFormat="1" applyFont="1" applyFill="1" applyBorder="1" applyAlignment="1" applyProtection="1">
      <alignment horizontal="center"/>
      <protection locked="0"/>
    </xf>
    <xf numFmtId="0" fontId="16" fillId="56" borderId="55" xfId="0" applyFont="1" applyFill="1" applyBorder="1" applyAlignment="1" applyProtection="1">
      <alignment horizontal="center"/>
      <protection locked="0"/>
    </xf>
    <xf numFmtId="169" fontId="44" fillId="54" borderId="55" xfId="2" applyNumberFormat="1" applyFont="1" applyFill="1" applyBorder="1" applyAlignment="1" applyProtection="1">
      <alignment horizontal="center"/>
      <protection locked="0"/>
    </xf>
    <xf numFmtId="4" fontId="44" fillId="54" borderId="55" xfId="2" applyNumberFormat="1" applyFont="1" applyFill="1" applyBorder="1" applyAlignment="1" applyProtection="1">
      <alignment horizontal="center"/>
      <protection locked="0"/>
    </xf>
    <xf numFmtId="0" fontId="16" fillId="54" borderId="55" xfId="0" applyFont="1" applyFill="1" applyBorder="1" applyAlignment="1" applyProtection="1">
      <alignment horizontal="left"/>
      <protection locked="0"/>
    </xf>
    <xf numFmtId="0" fontId="10" fillId="0" borderId="0" xfId="0" applyFont="1" applyFill="1" applyBorder="1" applyAlignment="1" applyProtection="1">
      <alignment vertical="center" wrapText="1"/>
    </xf>
    <xf numFmtId="0" fontId="10" fillId="9" borderId="0" xfId="0" applyFont="1" applyFill="1" applyBorder="1" applyAlignment="1" applyProtection="1">
      <alignment vertical="center" wrapText="1"/>
    </xf>
    <xf numFmtId="44" fontId="28" fillId="5" borderId="3" xfId="1" applyFont="1" applyFill="1" applyBorder="1" applyAlignment="1" applyProtection="1">
      <alignment vertical="center"/>
    </xf>
    <xf numFmtId="44" fontId="28" fillId="5" borderId="4" xfId="1" applyFont="1" applyFill="1" applyBorder="1" applyAlignment="1" applyProtection="1">
      <alignment vertical="center"/>
    </xf>
    <xf numFmtId="0" fontId="13" fillId="6" borderId="0" xfId="0" applyFont="1" applyFill="1" applyBorder="1" applyAlignment="1" applyProtection="1">
      <alignment vertical="center" wrapText="1"/>
    </xf>
    <xf numFmtId="0" fontId="16" fillId="6" borderId="7" xfId="0" applyFont="1" applyFill="1" applyBorder="1" applyAlignment="1" applyProtection="1">
      <alignment vertical="center"/>
    </xf>
    <xf numFmtId="0" fontId="13" fillId="6" borderId="49" xfId="0" applyFont="1" applyFill="1" applyBorder="1" applyAlignment="1" applyProtection="1">
      <alignment vertical="center"/>
    </xf>
    <xf numFmtId="0" fontId="16" fillId="12" borderId="7" xfId="0" applyFont="1" applyFill="1" applyBorder="1" applyAlignment="1" applyProtection="1">
      <alignment vertical="center"/>
    </xf>
    <xf numFmtId="0" fontId="11" fillId="9" borderId="0" xfId="0" applyFont="1" applyFill="1" applyProtection="1"/>
    <xf numFmtId="0" fontId="42" fillId="0" borderId="0" xfId="0" applyFont="1" applyFill="1" applyBorder="1" applyAlignment="1" applyProtection="1">
      <alignment vertical="center" wrapText="1"/>
    </xf>
    <xf numFmtId="0" fontId="0" fillId="9" borderId="52" xfId="0" applyFill="1" applyBorder="1" applyProtection="1"/>
    <xf numFmtId="0" fontId="0" fillId="0" borderId="52" xfId="0" applyBorder="1" applyProtection="1"/>
    <xf numFmtId="0" fontId="0" fillId="9" borderId="28" xfId="0" applyFill="1" applyBorder="1" applyProtection="1"/>
    <xf numFmtId="0" fontId="0" fillId="0" borderId="28" xfId="0" applyBorder="1" applyProtection="1"/>
    <xf numFmtId="0" fontId="0" fillId="9" borderId="49" xfId="0" applyFill="1" applyBorder="1" applyProtection="1"/>
    <xf numFmtId="0" fontId="0" fillId="0" borderId="49" xfId="0" applyBorder="1" applyProtection="1"/>
    <xf numFmtId="0" fontId="0" fillId="9" borderId="0" xfId="0" applyFill="1" applyBorder="1" applyProtection="1"/>
    <xf numFmtId="0" fontId="19" fillId="9" borderId="0" xfId="0" applyFont="1" applyFill="1" applyBorder="1" applyAlignment="1" applyProtection="1">
      <alignment vertical="top"/>
    </xf>
    <xf numFmtId="0" fontId="31" fillId="9" borderId="0" xfId="0" applyFont="1" applyFill="1" applyBorder="1" applyAlignment="1" applyProtection="1">
      <alignment horizontal="center"/>
    </xf>
    <xf numFmtId="0" fontId="0" fillId="9" borderId="0" xfId="0" applyFill="1" applyBorder="1" applyAlignment="1" applyProtection="1">
      <alignment horizontal="center"/>
    </xf>
    <xf numFmtId="0" fontId="0" fillId="6" borderId="0" xfId="0" applyFill="1" applyProtection="1"/>
    <xf numFmtId="0" fontId="14" fillId="6" borderId="33" xfId="0" applyFont="1" applyFill="1" applyBorder="1" applyAlignment="1" applyProtection="1">
      <alignment horizontal="right" vertical="top"/>
    </xf>
    <xf numFmtId="0" fontId="31" fillId="9" borderId="0" xfId="0" applyFont="1" applyFill="1" applyProtection="1"/>
    <xf numFmtId="0" fontId="15" fillId="9" borderId="0" xfId="0" applyFont="1" applyFill="1" applyAlignment="1" applyProtection="1"/>
    <xf numFmtId="0" fontId="10" fillId="9" borderId="0" xfId="0" applyNumberFormat="1" applyFont="1" applyFill="1" applyBorder="1" applyAlignment="1" applyProtection="1">
      <alignment vertical="center" wrapText="1"/>
    </xf>
    <xf numFmtId="0" fontId="39" fillId="9" borderId="0" xfId="0" applyNumberFormat="1" applyFont="1" applyFill="1" applyBorder="1" applyAlignment="1" applyProtection="1">
      <alignment vertical="center" wrapText="1"/>
    </xf>
    <xf numFmtId="44" fontId="15" fillId="9" borderId="0" xfId="1" applyFont="1" applyFill="1" applyAlignment="1" applyProtection="1"/>
    <xf numFmtId="0" fontId="15" fillId="9" borderId="0" xfId="0" applyNumberFormat="1" applyFont="1" applyFill="1" applyAlignment="1" applyProtection="1"/>
    <xf numFmtId="0" fontId="15" fillId="9" borderId="0" xfId="0" applyFont="1" applyFill="1" applyBorder="1" applyAlignment="1" applyProtection="1"/>
    <xf numFmtId="0" fontId="15" fillId="9" borderId="0" xfId="0" applyFont="1" applyFill="1" applyAlignment="1" applyProtection="1">
      <alignment vertical="center"/>
    </xf>
    <xf numFmtId="0" fontId="13" fillId="9" borderId="0" xfId="0" applyFont="1" applyFill="1" applyBorder="1" applyAlignment="1" applyProtection="1">
      <alignment vertical="center"/>
    </xf>
    <xf numFmtId="0" fontId="15" fillId="9" borderId="0" xfId="0" applyFont="1" applyFill="1" applyBorder="1" applyAlignment="1" applyProtection="1">
      <alignment vertical="center"/>
    </xf>
    <xf numFmtId="0" fontId="16" fillId="9" borderId="0" xfId="0" applyFont="1" applyFill="1" applyBorder="1" applyAlignment="1" applyProtection="1">
      <alignment horizontal="center"/>
    </xf>
    <xf numFmtId="0" fontId="16" fillId="9" borderId="0" xfId="0" applyNumberFormat="1" applyFont="1" applyFill="1" applyBorder="1" applyAlignment="1" applyProtection="1">
      <alignment horizontal="center"/>
    </xf>
    <xf numFmtId="0" fontId="15" fillId="51" borderId="55" xfId="0" applyFont="1" applyFill="1" applyBorder="1" applyAlignment="1" applyProtection="1">
      <alignment horizontal="center"/>
    </xf>
    <xf numFmtId="0" fontId="26" fillId="51" borderId="55" xfId="0" applyFont="1" applyFill="1" applyBorder="1" applyAlignment="1" applyProtection="1"/>
    <xf numFmtId="0" fontId="26" fillId="51" borderId="55" xfId="0" applyFont="1" applyFill="1" applyBorder="1" applyAlignment="1" applyProtection="1">
      <alignment horizontal="center"/>
    </xf>
    <xf numFmtId="0" fontId="26" fillId="51" borderId="55" xfId="0" applyNumberFormat="1" applyFont="1" applyFill="1" applyBorder="1" applyAlignment="1" applyProtection="1">
      <alignment horizontal="center"/>
    </xf>
    <xf numFmtId="0" fontId="15" fillId="9" borderId="0" xfId="0" applyFont="1" applyFill="1" applyBorder="1" applyAlignment="1" applyProtection="1">
      <alignment horizontal="center"/>
    </xf>
    <xf numFmtId="0" fontId="26" fillId="9" borderId="0" xfId="0" applyFont="1" applyFill="1" applyBorder="1" applyAlignment="1" applyProtection="1"/>
    <xf numFmtId="0" fontId="15" fillId="9" borderId="0" xfId="0" applyNumberFormat="1" applyFont="1" applyFill="1" applyBorder="1" applyAlignment="1" applyProtection="1"/>
    <xf numFmtId="0" fontId="26" fillId="51" borderId="29" xfId="0" applyFont="1" applyFill="1" applyBorder="1" applyProtection="1">
      <protection locked="0"/>
    </xf>
    <xf numFmtId="0" fontId="26" fillId="51" borderId="55" xfId="0" applyFont="1" applyFill="1" applyBorder="1" applyProtection="1">
      <protection locked="0"/>
    </xf>
    <xf numFmtId="44" fontId="26" fillId="51" borderId="55" xfId="1" applyFont="1" applyFill="1" applyBorder="1" applyProtection="1">
      <protection locked="0"/>
    </xf>
    <xf numFmtId="164" fontId="26" fillId="51" borderId="55" xfId="2" applyNumberFormat="1" applyFont="1" applyFill="1" applyBorder="1" applyProtection="1">
      <protection locked="0"/>
    </xf>
    <xf numFmtId="44" fontId="26" fillId="51" borderId="27" xfId="1" applyFont="1" applyFill="1" applyBorder="1" applyProtection="1">
      <protection locked="0"/>
    </xf>
    <xf numFmtId="0" fontId="10" fillId="0" borderId="0" xfId="0" applyFont="1" applyBorder="1" applyAlignment="1" applyProtection="1">
      <alignment vertical="center" wrapText="1"/>
    </xf>
    <xf numFmtId="0" fontId="26" fillId="0" borderId="0" xfId="0" applyFont="1" applyBorder="1" applyProtection="1"/>
    <xf numFmtId="0" fontId="26" fillId="0" borderId="0" xfId="0" applyFont="1" applyProtection="1"/>
    <xf numFmtId="0" fontId="26" fillId="9" borderId="0" xfId="0" applyFont="1" applyFill="1" applyBorder="1" applyProtection="1"/>
    <xf numFmtId="44" fontId="26" fillId="9" borderId="0" xfId="1" applyFont="1" applyFill="1" applyBorder="1" applyProtection="1"/>
    <xf numFmtId="164" fontId="26" fillId="9" borderId="0" xfId="2" applyNumberFormat="1" applyFont="1" applyFill="1" applyBorder="1" applyProtection="1"/>
    <xf numFmtId="0" fontId="26" fillId="9" borderId="0" xfId="0" applyFont="1" applyFill="1" applyProtection="1"/>
    <xf numFmtId="0" fontId="9" fillId="9" borderId="0" xfId="0" applyFont="1" applyFill="1" applyBorder="1" applyAlignment="1" applyProtection="1"/>
    <xf numFmtId="0" fontId="9" fillId="14" borderId="3" xfId="0" applyFont="1" applyFill="1" applyBorder="1" applyAlignment="1" applyProtection="1"/>
    <xf numFmtId="0" fontId="9" fillId="14" borderId="4" xfId="0" applyFont="1" applyFill="1" applyBorder="1" applyAlignment="1" applyProtection="1"/>
    <xf numFmtId="0" fontId="37" fillId="9" borderId="0" xfId="0" applyFont="1" applyFill="1" applyBorder="1" applyAlignment="1" applyProtection="1">
      <alignment vertical="top" wrapText="1"/>
    </xf>
    <xf numFmtId="0" fontId="37" fillId="0" borderId="9" xfId="0" applyFont="1" applyBorder="1" applyAlignment="1" applyProtection="1">
      <alignment vertical="top" wrapText="1"/>
    </xf>
    <xf numFmtId="0" fontId="37" fillId="0" borderId="12" xfId="0" applyFont="1" applyBorder="1" applyAlignment="1" applyProtection="1">
      <alignment vertical="top" wrapText="1"/>
    </xf>
    <xf numFmtId="0" fontId="37" fillId="0" borderId="0" xfId="0" applyFont="1" applyBorder="1" applyAlignment="1" applyProtection="1">
      <alignment vertical="top" wrapText="1"/>
    </xf>
    <xf numFmtId="0" fontId="37" fillId="0" borderId="7" xfId="0" applyFont="1" applyBorder="1" applyAlignment="1" applyProtection="1">
      <alignment vertical="top" wrapText="1"/>
    </xf>
    <xf numFmtId="0" fontId="10" fillId="10" borderId="33" xfId="0" applyFont="1" applyFill="1" applyBorder="1" applyAlignment="1" applyProtection="1">
      <alignment vertical="center"/>
    </xf>
    <xf numFmtId="0" fontId="10" fillId="10" borderId="0" xfId="0" applyFont="1" applyFill="1" applyBorder="1" applyAlignment="1" applyProtection="1">
      <alignment vertical="center"/>
    </xf>
    <xf numFmtId="0" fontId="0" fillId="0" borderId="0" xfId="0" applyBorder="1" applyProtection="1"/>
    <xf numFmtId="0" fontId="10" fillId="9" borderId="0" xfId="0" applyFont="1" applyFill="1" applyBorder="1" applyAlignment="1" applyProtection="1">
      <alignment horizontal="left" vertical="center"/>
    </xf>
    <xf numFmtId="0" fontId="0" fillId="9" borderId="0" xfId="0" applyFill="1" applyBorder="1" applyAlignment="1" applyProtection="1">
      <alignment vertical="center"/>
    </xf>
    <xf numFmtId="0" fontId="0" fillId="0" borderId="0" xfId="0" applyBorder="1" applyAlignment="1" applyProtection="1">
      <alignment vertical="center"/>
    </xf>
    <xf numFmtId="0" fontId="8" fillId="9" borderId="0" xfId="0" applyFont="1" applyFill="1" applyBorder="1" applyAlignment="1" applyProtection="1">
      <alignment horizontal="center" vertical="center"/>
    </xf>
    <xf numFmtId="0" fontId="10" fillId="9" borderId="0" xfId="0" applyFont="1" applyFill="1" applyBorder="1" applyAlignment="1" applyProtection="1">
      <alignment horizontal="left"/>
    </xf>
    <xf numFmtId="0" fontId="0" fillId="9" borderId="0" xfId="0" applyFill="1" applyBorder="1" applyAlignment="1" applyProtection="1"/>
    <xf numFmtId="164" fontId="0" fillId="9" borderId="0" xfId="2" applyNumberFormat="1" applyFont="1" applyFill="1" applyBorder="1" applyAlignment="1" applyProtection="1">
      <alignment horizontal="left" vertical="center"/>
    </xf>
    <xf numFmtId="44" fontId="0" fillId="9" borderId="0" xfId="1" applyFont="1" applyFill="1" applyBorder="1" applyAlignment="1" applyProtection="1">
      <alignment horizontal="center"/>
    </xf>
    <xf numFmtId="0" fontId="0" fillId="9" borderId="0" xfId="0" applyFill="1" applyBorder="1" applyAlignment="1" applyProtection="1">
      <alignment horizontal="left"/>
    </xf>
    <xf numFmtId="0" fontId="0" fillId="9" borderId="0" xfId="0" applyFont="1" applyFill="1" applyBorder="1" applyAlignment="1" applyProtection="1">
      <alignment horizontal="center"/>
    </xf>
    <xf numFmtId="0" fontId="0" fillId="9" borderId="0" xfId="0" applyFill="1" applyAlignment="1" applyProtection="1">
      <alignment vertical="center"/>
    </xf>
    <xf numFmtId="0" fontId="0" fillId="0" borderId="0" xfId="0" applyAlignment="1" applyProtection="1">
      <alignment vertical="center"/>
    </xf>
    <xf numFmtId="0" fontId="0" fillId="0" borderId="0" xfId="0" applyFill="1" applyProtection="1"/>
    <xf numFmtId="0" fontId="37" fillId="0" borderId="11" xfId="0" applyFont="1" applyBorder="1" applyAlignment="1" applyProtection="1"/>
    <xf numFmtId="0" fontId="37" fillId="0" borderId="9" xfId="0" applyFont="1" applyBorder="1" applyAlignment="1" applyProtection="1"/>
    <xf numFmtId="0" fontId="37" fillId="0" borderId="12" xfId="0" applyFont="1" applyBorder="1" applyAlignment="1" applyProtection="1"/>
    <xf numFmtId="0" fontId="37" fillId="0" borderId="6" xfId="0" applyFont="1" applyBorder="1" applyAlignment="1" applyProtection="1"/>
    <xf numFmtId="0" fontId="37" fillId="0" borderId="0" xfId="0" applyFont="1" applyBorder="1" applyAlignment="1" applyProtection="1"/>
    <xf numFmtId="0" fontId="37" fillId="0" borderId="7" xfId="0" applyFont="1" applyBorder="1" applyAlignment="1" applyProtection="1"/>
    <xf numFmtId="0" fontId="37" fillId="0" borderId="13" xfId="0" applyFont="1" applyBorder="1" applyAlignment="1" applyProtection="1"/>
    <xf numFmtId="0" fontId="37" fillId="0" borderId="5" xfId="0" applyFont="1" applyBorder="1" applyAlignment="1" applyProtection="1"/>
    <xf numFmtId="0" fontId="37" fillId="0" borderId="14" xfId="0" applyFont="1" applyBorder="1" applyAlignment="1" applyProtection="1"/>
    <xf numFmtId="0" fontId="0" fillId="6" borderId="0" xfId="0" applyFill="1" applyBorder="1" applyAlignment="1" applyProtection="1">
      <alignment horizontal="center"/>
    </xf>
    <xf numFmtId="0" fontId="50" fillId="9" borderId="0" xfId="0" applyFont="1" applyFill="1" applyProtection="1"/>
    <xf numFmtId="0" fontId="50" fillId="9" borderId="0" xfId="0" applyFont="1" applyFill="1" applyBorder="1" applyProtection="1"/>
    <xf numFmtId="44" fontId="28" fillId="9" borderId="0" xfId="1" applyFont="1" applyFill="1" applyBorder="1" applyAlignment="1" applyProtection="1">
      <alignment horizontal="center" vertical="center"/>
    </xf>
    <xf numFmtId="0" fontId="50" fillId="9" borderId="0" xfId="0" applyFont="1" applyFill="1" applyAlignment="1" applyProtection="1">
      <alignment horizontal="center" vertical="center"/>
    </xf>
    <xf numFmtId="0" fontId="0" fillId="9" borderId="0" xfId="0" applyFill="1" applyAlignment="1" applyProtection="1">
      <alignment horizontal="center" vertical="center"/>
    </xf>
    <xf numFmtId="0" fontId="0" fillId="0" borderId="0" xfId="0" applyAlignment="1" applyProtection="1">
      <alignment horizontal="center" vertical="center"/>
    </xf>
    <xf numFmtId="44" fontId="0" fillId="9" borderId="0" xfId="0" applyNumberFormat="1" applyFont="1" applyFill="1" applyBorder="1" applyAlignment="1" applyProtection="1">
      <alignment horizontal="left"/>
    </xf>
    <xf numFmtId="44" fontId="10" fillId="9" borderId="0" xfId="0" applyNumberFormat="1" applyFont="1" applyFill="1" applyBorder="1" applyAlignment="1" applyProtection="1">
      <alignment horizontal="left"/>
    </xf>
    <xf numFmtId="0" fontId="50" fillId="9" borderId="0" xfId="0" applyFont="1" applyFill="1" applyBorder="1" applyAlignment="1" applyProtection="1"/>
    <xf numFmtId="0" fontId="50" fillId="9" borderId="0" xfId="0" applyFont="1" applyFill="1" applyBorder="1" applyAlignment="1" applyProtection="1">
      <alignment horizontal="center"/>
    </xf>
    <xf numFmtId="0" fontId="50" fillId="9" borderId="0" xfId="0" applyFont="1" applyFill="1" applyAlignment="1" applyProtection="1">
      <alignment vertical="center"/>
    </xf>
    <xf numFmtId="0" fontId="74" fillId="9" borderId="0" xfId="0" applyFont="1" applyFill="1" applyProtection="1"/>
    <xf numFmtId="164" fontId="0" fillId="0" borderId="0" xfId="2" applyNumberFormat="1" applyFont="1" applyProtection="1"/>
    <xf numFmtId="1" fontId="0" fillId="0" borderId="0" xfId="0" applyNumberFormat="1" applyProtection="1"/>
    <xf numFmtId="0" fontId="38" fillId="0" borderId="0" xfId="0" applyFont="1" applyAlignment="1" applyProtection="1">
      <alignment horizontal="left" indent="5"/>
    </xf>
    <xf numFmtId="0" fontId="10" fillId="6" borderId="52" xfId="0" applyFont="1" applyFill="1" applyBorder="1" applyAlignment="1" applyProtection="1">
      <alignment horizontal="center" vertical="center"/>
    </xf>
    <xf numFmtId="164" fontId="39" fillId="9" borderId="0" xfId="2" applyNumberFormat="1" applyFont="1" applyFill="1" applyBorder="1" applyAlignment="1" applyProtection="1"/>
    <xf numFmtId="0" fontId="0" fillId="9" borderId="0" xfId="0" applyFill="1" applyAlignment="1" applyProtection="1">
      <alignment horizontal="center"/>
    </xf>
    <xf numFmtId="0" fontId="37" fillId="9" borderId="0" xfId="0" applyFont="1" applyFill="1" applyBorder="1" applyAlignment="1" applyProtection="1">
      <alignment horizontal="left" wrapText="1"/>
    </xf>
    <xf numFmtId="0" fontId="38" fillId="9" borderId="0" xfId="0" applyFont="1" applyFill="1" applyAlignment="1" applyProtection="1">
      <alignment horizontal="left" indent="5"/>
    </xf>
    <xf numFmtId="0" fontId="10" fillId="0" borderId="0" xfId="0" applyFont="1" applyBorder="1" applyAlignment="1" applyProtection="1">
      <alignment horizontal="left" vertical="center" wrapText="1"/>
    </xf>
    <xf numFmtId="0" fontId="0" fillId="0" borderId="0" xfId="0" applyAlignment="1" applyProtection="1">
      <alignment horizontal="left" vertical="center"/>
    </xf>
    <xf numFmtId="0" fontId="10" fillId="9" borderId="0" xfId="0" applyFont="1" applyFill="1" applyBorder="1" applyAlignment="1" applyProtection="1">
      <alignment horizontal="center" vertical="top" wrapText="1"/>
    </xf>
    <xf numFmtId="0" fontId="10" fillId="9" borderId="2" xfId="0" applyFont="1" applyFill="1" applyBorder="1" applyAlignment="1" applyProtection="1">
      <alignment horizontal="center" vertical="top" wrapText="1"/>
    </xf>
    <xf numFmtId="0" fontId="10" fillId="9" borderId="0" xfId="0" applyFont="1" applyFill="1" applyBorder="1" applyAlignment="1" applyProtection="1">
      <alignment horizontal="center" vertical="center" wrapText="1"/>
    </xf>
    <xf numFmtId="0" fontId="10" fillId="9" borderId="0" xfId="0" applyFont="1" applyFill="1" applyBorder="1" applyAlignment="1" applyProtection="1">
      <alignment horizontal="left" vertical="top" wrapText="1"/>
    </xf>
    <xf numFmtId="0" fontId="10" fillId="9" borderId="11" xfId="0" applyFont="1" applyFill="1" applyBorder="1" applyAlignment="1" applyProtection="1">
      <alignment horizontal="center" vertical="top" wrapText="1"/>
    </xf>
    <xf numFmtId="0" fontId="10" fillId="9" borderId="13" xfId="0" applyFont="1" applyFill="1" applyBorder="1" applyAlignment="1" applyProtection="1">
      <alignment horizontal="center" vertical="top" wrapText="1"/>
    </xf>
    <xf numFmtId="0" fontId="86" fillId="6" borderId="0" xfId="0" applyFont="1" applyFill="1" applyBorder="1" applyAlignment="1" applyProtection="1">
      <alignment horizontal="center" vertical="center"/>
      <protection locked="0"/>
    </xf>
    <xf numFmtId="0" fontId="7" fillId="9" borderId="0" xfId="0" applyNumberFormat="1" applyFont="1" applyFill="1" applyBorder="1" applyAlignment="1" applyProtection="1">
      <alignment vertical="center" wrapText="1"/>
      <protection hidden="1"/>
    </xf>
    <xf numFmtId="0" fontId="18" fillId="9" borderId="0" xfId="0" applyFont="1" applyFill="1" applyAlignment="1" applyProtection="1">
      <alignment vertical="center"/>
      <protection hidden="1"/>
    </xf>
    <xf numFmtId="44" fontId="49" fillId="9" borderId="28" xfId="1" applyFont="1" applyFill="1" applyBorder="1" applyAlignment="1" applyProtection="1">
      <alignment vertical="center"/>
      <protection hidden="1"/>
    </xf>
    <xf numFmtId="0" fontId="18" fillId="9" borderId="52" xfId="0" applyFont="1" applyFill="1" applyBorder="1" applyAlignment="1" applyProtection="1">
      <protection hidden="1"/>
    </xf>
    <xf numFmtId="0" fontId="18" fillId="9" borderId="0" xfId="0" applyFont="1" applyFill="1" applyBorder="1" applyAlignment="1" applyProtection="1">
      <protection hidden="1"/>
    </xf>
    <xf numFmtId="44" fontId="49" fillId="9" borderId="0" xfId="1" applyFont="1" applyFill="1" applyBorder="1" applyAlignment="1" applyProtection="1">
      <alignment vertical="center"/>
      <protection hidden="1"/>
    </xf>
    <xf numFmtId="0" fontId="13" fillId="6" borderId="29" xfId="0" applyFont="1" applyFill="1" applyBorder="1" applyAlignment="1" applyProtection="1">
      <alignment vertical="center"/>
    </xf>
    <xf numFmtId="164" fontId="0" fillId="0" borderId="1" xfId="7" applyNumberFormat="1" applyFont="1" applyBorder="1" applyAlignment="1">
      <alignment horizontal="center" vertical="top"/>
    </xf>
    <xf numFmtId="0" fontId="6" fillId="6" borderId="1" xfId="3" applyFont="1" applyFill="1" applyBorder="1" applyAlignment="1">
      <alignment horizontal="center" vertical="center" wrapText="1"/>
    </xf>
    <xf numFmtId="165" fontId="6" fillId="6" borderId="1" xfId="4" applyNumberFormat="1" applyFont="1" applyFill="1" applyBorder="1" applyAlignment="1">
      <alignment horizontal="center" vertical="center" wrapText="1"/>
    </xf>
    <xf numFmtId="0" fontId="5" fillId="0" borderId="1" xfId="3" applyFill="1" applyBorder="1"/>
    <xf numFmtId="0" fontId="5" fillId="0" borderId="1" xfId="3" applyBorder="1" applyAlignment="1">
      <alignment vertical="top"/>
    </xf>
    <xf numFmtId="0" fontId="5" fillId="0" borderId="1" xfId="3" applyFont="1" applyBorder="1" applyAlignment="1">
      <alignment vertical="top"/>
    </xf>
    <xf numFmtId="0" fontId="5" fillId="0" borderId="1" xfId="3" applyBorder="1"/>
    <xf numFmtId="0" fontId="5" fillId="0" borderId="1" xfId="8" applyFont="1" applyFill="1" applyBorder="1" applyAlignment="1"/>
    <xf numFmtId="0" fontId="5" fillId="0" borderId="0" xfId="3"/>
    <xf numFmtId="164" fontId="6" fillId="6" borderId="1" xfId="7" applyNumberFormat="1" applyFont="1" applyFill="1" applyBorder="1" applyAlignment="1">
      <alignment horizontal="center" vertical="center" wrapText="1"/>
    </xf>
    <xf numFmtId="165" fontId="0" fillId="0" borderId="1" xfId="4" applyNumberFormat="1" applyFont="1" applyBorder="1" applyAlignment="1">
      <alignment vertical="top"/>
    </xf>
    <xf numFmtId="0" fontId="5" fillId="0" borderId="1" xfId="3" applyBorder="1" applyAlignment="1">
      <alignment horizontal="center" vertical="center"/>
    </xf>
    <xf numFmtId="44" fontId="0" fillId="0" borderId="1" xfId="4" applyFont="1" applyFill="1" applyBorder="1" applyAlignment="1">
      <alignment horizontal="left" vertical="center"/>
    </xf>
    <xf numFmtId="0" fontId="36" fillId="0" borderId="1" xfId="3" applyFont="1" applyBorder="1" applyAlignment="1">
      <alignment vertical="top"/>
    </xf>
    <xf numFmtId="0" fontId="34" fillId="0" borderId="1" xfId="3" applyFont="1" applyFill="1" applyBorder="1"/>
    <xf numFmtId="0" fontId="34" fillId="0" borderId="1" xfId="3" applyFont="1" applyBorder="1"/>
    <xf numFmtId="0" fontId="34" fillId="0" borderId="1" xfId="3" applyFont="1" applyBorder="1" applyAlignment="1">
      <alignment vertical="top"/>
    </xf>
    <xf numFmtId="165" fontId="31" fillId="0" borderId="1" xfId="4" applyNumberFormat="1" applyFont="1" applyBorder="1" applyAlignment="1">
      <alignment vertical="top"/>
    </xf>
    <xf numFmtId="0" fontId="34" fillId="0" borderId="1" xfId="3" applyFont="1" applyBorder="1" applyAlignment="1">
      <alignment horizontal="center" vertical="center"/>
    </xf>
    <xf numFmtId="0" fontId="34" fillId="0" borderId="1" xfId="3" applyFont="1" applyFill="1" applyBorder="1" applyAlignment="1">
      <alignment horizontal="center" vertical="center"/>
    </xf>
    <xf numFmtId="164" fontId="31" fillId="0" borderId="1" xfId="7" applyNumberFormat="1" applyFont="1" applyBorder="1" applyAlignment="1">
      <alignment horizontal="center" vertical="top"/>
    </xf>
    <xf numFmtId="0" fontId="34" fillId="0" borderId="1" xfId="3" applyFont="1" applyBorder="1" applyAlignment="1">
      <alignment horizontal="center" vertical="top"/>
    </xf>
    <xf numFmtId="0" fontId="5" fillId="0" borderId="0" xfId="3" applyAlignment="1">
      <alignment horizontal="center"/>
    </xf>
    <xf numFmtId="0" fontId="34" fillId="0" borderId="1" xfId="3" applyFont="1" applyBorder="1" applyAlignment="1">
      <alignment horizontal="center"/>
    </xf>
    <xf numFmtId="0" fontId="5" fillId="0" borderId="1" xfId="3" applyBorder="1" applyAlignment="1">
      <alignment horizontal="center"/>
    </xf>
    <xf numFmtId="3" fontId="6" fillId="6" borderId="1" xfId="7" applyNumberFormat="1" applyFont="1" applyFill="1" applyBorder="1" applyAlignment="1">
      <alignment horizontal="center" vertical="center" wrapText="1"/>
    </xf>
    <xf numFmtId="3" fontId="5" fillId="0" borderId="1" xfId="3" applyNumberFormat="1" applyFont="1" applyBorder="1" applyAlignment="1">
      <alignment horizontal="center" vertical="top"/>
    </xf>
    <xf numFmtId="3" fontId="34" fillId="0" borderId="1" xfId="3" applyNumberFormat="1" applyFont="1" applyBorder="1" applyAlignment="1">
      <alignment horizontal="center" vertical="top"/>
    </xf>
    <xf numFmtId="3" fontId="34" fillId="0" borderId="1" xfId="2" applyNumberFormat="1" applyFont="1" applyBorder="1" applyAlignment="1">
      <alignment horizontal="center"/>
    </xf>
    <xf numFmtId="3" fontId="5" fillId="0" borderId="1" xfId="3" applyNumberFormat="1" applyBorder="1" applyAlignment="1">
      <alignment horizontal="center" vertical="top"/>
    </xf>
    <xf numFmtId="3" fontId="31" fillId="0" borderId="1" xfId="7" applyNumberFormat="1" applyFont="1" applyBorder="1" applyAlignment="1">
      <alignment horizontal="center" vertical="top"/>
    </xf>
    <xf numFmtId="3" fontId="34" fillId="0" borderId="1" xfId="3" applyNumberFormat="1" applyFont="1" applyBorder="1" applyAlignment="1">
      <alignment horizontal="center"/>
    </xf>
    <xf numFmtId="3" fontId="5" fillId="0" borderId="1" xfId="3" applyNumberFormat="1" applyBorder="1" applyAlignment="1">
      <alignment horizontal="center"/>
    </xf>
    <xf numFmtId="3" fontId="5" fillId="0" borderId="0" xfId="2" applyNumberFormat="1" applyFont="1" applyAlignment="1">
      <alignment horizontal="center"/>
    </xf>
    <xf numFmtId="0" fontId="13" fillId="6" borderId="49"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0" fillId="51" borderId="49" xfId="0" applyFont="1" applyFill="1" applyBorder="1" applyAlignment="1" applyProtection="1">
      <alignment horizontal="left" vertical="center" wrapText="1"/>
    </xf>
    <xf numFmtId="0" fontId="10" fillId="51" borderId="52" xfId="0" applyFont="1" applyFill="1" applyBorder="1" applyAlignment="1" applyProtection="1">
      <alignment horizontal="left" vertical="center" wrapText="1"/>
    </xf>
    <xf numFmtId="0" fontId="21" fillId="0" borderId="0" xfId="0" applyFont="1" applyAlignment="1" applyProtection="1">
      <alignment horizontal="left"/>
    </xf>
    <xf numFmtId="0" fontId="22" fillId="0" borderId="0" xfId="0" applyFont="1" applyAlignment="1" applyProtection="1">
      <alignment horizontal="left" vertical="top"/>
    </xf>
    <xf numFmtId="0" fontId="14" fillId="0" borderId="0" xfId="0" applyFont="1" applyAlignment="1" applyProtection="1">
      <alignment horizontal="left" vertical="top"/>
    </xf>
    <xf numFmtId="0" fontId="13" fillId="6" borderId="0" xfId="0" applyFont="1" applyFill="1" applyBorder="1" applyAlignment="1" applyProtection="1">
      <alignment horizontal="center" vertical="center" wrapText="1"/>
    </xf>
    <xf numFmtId="0" fontId="16" fillId="51" borderId="49" xfId="0" applyFont="1" applyFill="1" applyBorder="1" applyAlignment="1" applyProtection="1">
      <alignment horizontal="left" vertical="center" wrapText="1"/>
    </xf>
    <xf numFmtId="0" fontId="16" fillId="51" borderId="52" xfId="0" applyFont="1" applyFill="1" applyBorder="1" applyAlignment="1" applyProtection="1">
      <alignment horizontal="left" vertical="center" wrapText="1"/>
    </xf>
    <xf numFmtId="0" fontId="82" fillId="0" borderId="37" xfId="0" applyFont="1" applyBorder="1" applyAlignment="1" applyProtection="1">
      <alignment horizontal="center" vertical="center" wrapText="1"/>
    </xf>
    <xf numFmtId="0" fontId="27" fillId="0" borderId="38" xfId="0" applyFont="1" applyBorder="1" applyAlignment="1" applyProtection="1">
      <alignment horizontal="center" vertical="center" wrapText="1"/>
    </xf>
    <xf numFmtId="0" fontId="27" fillId="0" borderId="39" xfId="0" applyFont="1" applyBorder="1" applyAlignment="1" applyProtection="1">
      <alignment horizontal="center" vertical="center" wrapText="1"/>
    </xf>
    <xf numFmtId="0" fontId="27" fillId="0" borderId="40" xfId="0"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41" xfId="0" applyFont="1" applyBorder="1" applyAlignment="1" applyProtection="1">
      <alignment horizontal="center" vertical="center" wrapText="1"/>
    </xf>
    <xf numFmtId="0" fontId="27" fillId="0" borderId="42" xfId="0" applyFont="1" applyBorder="1" applyAlignment="1" applyProtection="1">
      <alignment horizontal="center" vertical="center" wrapText="1"/>
    </xf>
    <xf numFmtId="0" fontId="27" fillId="0" borderId="43" xfId="0" applyFont="1" applyBorder="1" applyAlignment="1" applyProtection="1">
      <alignment horizontal="center" vertical="center" wrapText="1"/>
    </xf>
    <xf numFmtId="0" fontId="27" fillId="0" borderId="44" xfId="0" applyFont="1" applyBorder="1" applyAlignment="1" applyProtection="1">
      <alignment horizontal="center" vertical="center" wrapText="1"/>
    </xf>
    <xf numFmtId="0" fontId="16" fillId="51" borderId="50" xfId="0" applyFont="1" applyFill="1" applyBorder="1" applyAlignment="1" applyProtection="1">
      <alignment horizontal="left" vertical="center" wrapText="1"/>
    </xf>
    <xf numFmtId="0" fontId="16" fillId="51" borderId="53" xfId="0" applyFont="1" applyFill="1" applyBorder="1" applyAlignment="1" applyProtection="1">
      <alignment horizontal="left" vertical="center" wrapText="1"/>
    </xf>
    <xf numFmtId="0" fontId="81" fillId="11" borderId="30" xfId="0" applyFont="1" applyFill="1" applyBorder="1" applyAlignment="1" applyProtection="1">
      <alignment horizontal="center" vertical="center"/>
    </xf>
    <xf numFmtId="0" fontId="81" fillId="11" borderId="31" xfId="0" applyFont="1" applyFill="1" applyBorder="1" applyAlignment="1" applyProtection="1">
      <alignment horizontal="center" vertical="center"/>
    </xf>
    <xf numFmtId="0" fontId="81" fillId="11" borderId="32" xfId="0" applyFont="1" applyFill="1" applyBorder="1" applyAlignment="1" applyProtection="1">
      <alignment horizontal="center" vertical="center"/>
    </xf>
    <xf numFmtId="0" fontId="18" fillId="11" borderId="0" xfId="0" applyFont="1" applyFill="1" applyBorder="1" applyAlignment="1" applyProtection="1">
      <alignment horizontal="center" vertical="center" wrapText="1"/>
    </xf>
    <xf numFmtId="0" fontId="18" fillId="11" borderId="52" xfId="0" applyFont="1" applyFill="1" applyBorder="1" applyAlignment="1" applyProtection="1">
      <alignment horizontal="center" vertical="center" wrapText="1"/>
    </xf>
    <xf numFmtId="0" fontId="15" fillId="6" borderId="55" xfId="0" applyNumberFormat="1" applyFont="1" applyFill="1" applyBorder="1" applyAlignment="1" applyProtection="1">
      <alignment horizontal="center" vertical="center" wrapText="1"/>
    </xf>
    <xf numFmtId="0" fontId="15" fillId="6" borderId="45" xfId="0" applyNumberFormat="1" applyFont="1" applyFill="1" applyBorder="1" applyAlignment="1" applyProtection="1">
      <alignment horizontal="center" vertical="center" wrapText="1"/>
    </xf>
    <xf numFmtId="0" fontId="13" fillId="6" borderId="33" xfId="0" applyFont="1" applyFill="1" applyBorder="1" applyAlignment="1" applyProtection="1">
      <alignment horizontal="center" vertical="center" wrapText="1"/>
    </xf>
    <xf numFmtId="0" fontId="13" fillId="6" borderId="51"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6" fillId="51" borderId="0" xfId="0" applyFont="1" applyFill="1" applyBorder="1" applyAlignment="1" applyProtection="1">
      <alignment horizontal="left" vertical="center" wrapText="1"/>
    </xf>
    <xf numFmtId="0" fontId="79" fillId="11" borderId="0" xfId="0" applyFont="1" applyFill="1" applyBorder="1" applyAlignment="1" applyProtection="1">
      <alignment horizontal="center" vertical="center" wrapText="1"/>
    </xf>
    <xf numFmtId="0" fontId="16" fillId="51" borderId="0" xfId="0" applyNumberFormat="1" applyFont="1" applyFill="1" applyBorder="1" applyAlignment="1" applyProtection="1">
      <alignment horizontal="left" vertical="center" wrapText="1"/>
    </xf>
    <xf numFmtId="0" fontId="16" fillId="51" borderId="52" xfId="0" applyNumberFormat="1" applyFont="1" applyFill="1" applyBorder="1" applyAlignment="1" applyProtection="1">
      <alignment horizontal="left" vertical="center" wrapText="1"/>
    </xf>
    <xf numFmtId="0" fontId="10" fillId="6" borderId="55" xfId="0" applyFont="1" applyFill="1" applyBorder="1" applyAlignment="1" applyProtection="1">
      <alignment horizontal="left" wrapText="1"/>
    </xf>
    <xf numFmtId="0" fontId="27" fillId="0" borderId="49"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40" fillId="6" borderId="48" xfId="9" applyFill="1" applyBorder="1" applyAlignment="1" applyProtection="1">
      <alignment horizontal="center" vertical="center" wrapText="1"/>
      <protection locked="0"/>
    </xf>
    <xf numFmtId="0" fontId="40" fillId="6" borderId="51" xfId="9" applyFill="1" applyBorder="1" applyAlignment="1" applyProtection="1">
      <alignment horizontal="center" vertical="center" wrapText="1"/>
      <protection locked="0"/>
    </xf>
    <xf numFmtId="0" fontId="16" fillId="51" borderId="49" xfId="0" applyNumberFormat="1" applyFont="1" applyFill="1" applyBorder="1" applyAlignment="1" applyProtection="1">
      <alignment horizontal="left" vertical="center" wrapText="1"/>
      <protection locked="0"/>
    </xf>
    <xf numFmtId="0" fontId="16" fillId="51" borderId="52" xfId="0" applyNumberFormat="1" applyFont="1" applyFill="1" applyBorder="1" applyAlignment="1" applyProtection="1">
      <alignment horizontal="left" vertical="center" wrapText="1"/>
      <protection locked="0"/>
    </xf>
    <xf numFmtId="0" fontId="10" fillId="54" borderId="55" xfId="0" applyFont="1" applyFill="1" applyBorder="1" applyAlignment="1" applyProtection="1">
      <alignment horizontal="center" wrapText="1"/>
    </xf>
    <xf numFmtId="0" fontId="40" fillId="6" borderId="49" xfId="9" applyFill="1" applyBorder="1" applyAlignment="1" applyProtection="1">
      <alignment horizontal="center" vertical="center" wrapText="1"/>
      <protection locked="0"/>
    </xf>
    <xf numFmtId="0" fontId="40" fillId="6" borderId="0" xfId="9" applyFill="1" applyBorder="1" applyAlignment="1" applyProtection="1">
      <alignment horizontal="center" vertical="center" wrapText="1"/>
      <protection locked="0"/>
    </xf>
    <xf numFmtId="0" fontId="16" fillId="51" borderId="0" xfId="0" applyNumberFormat="1" applyFont="1" applyFill="1" applyBorder="1" applyAlignment="1" applyProtection="1">
      <alignment horizontal="left" vertical="center" wrapText="1"/>
      <protection locked="0"/>
    </xf>
    <xf numFmtId="0" fontId="40" fillId="6" borderId="33" xfId="9" applyFill="1" applyBorder="1" applyAlignment="1" applyProtection="1">
      <alignment horizontal="center" vertical="center" wrapText="1"/>
      <protection locked="0"/>
    </xf>
    <xf numFmtId="0" fontId="16" fillId="51" borderId="49" xfId="0" applyFont="1" applyFill="1" applyBorder="1" applyAlignment="1" applyProtection="1">
      <alignment horizontal="left" vertical="center" wrapText="1"/>
      <protection locked="0"/>
    </xf>
    <xf numFmtId="0" fontId="16" fillId="51" borderId="0" xfId="0" applyFont="1" applyFill="1" applyBorder="1" applyAlignment="1" applyProtection="1">
      <alignment horizontal="left" vertical="center" wrapText="1"/>
      <protection locked="0"/>
    </xf>
    <xf numFmtId="0" fontId="16" fillId="51" borderId="52" xfId="0" applyFont="1" applyFill="1" applyBorder="1" applyAlignment="1" applyProtection="1">
      <alignment horizontal="left" vertical="center" wrapText="1"/>
      <protection locked="0"/>
    </xf>
    <xf numFmtId="0" fontId="9" fillId="2" borderId="55" xfId="0" applyFont="1" applyFill="1" applyBorder="1" applyAlignment="1" applyProtection="1">
      <alignment horizontal="center" vertical="top"/>
    </xf>
    <xf numFmtId="0" fontId="10" fillId="6" borderId="55" xfId="0" applyFont="1" applyFill="1" applyBorder="1" applyAlignment="1" applyProtection="1">
      <alignment horizontal="left" vertical="center" wrapText="1"/>
    </xf>
    <xf numFmtId="0" fontId="80" fillId="2" borderId="27" xfId="0" applyFont="1" applyFill="1" applyBorder="1" applyAlignment="1" applyProtection="1">
      <alignment horizontal="center" vertical="center"/>
      <protection locked="0"/>
    </xf>
    <xf numFmtId="0" fontId="80" fillId="2" borderId="49" xfId="0" applyFont="1" applyFill="1" applyBorder="1" applyAlignment="1" applyProtection="1">
      <alignment horizontal="center" vertical="center"/>
      <protection locked="0"/>
    </xf>
    <xf numFmtId="0" fontId="80" fillId="2" borderId="50" xfId="0" applyFont="1" applyFill="1" applyBorder="1" applyAlignment="1" applyProtection="1">
      <alignment horizontal="center" vertical="center"/>
      <protection locked="0"/>
    </xf>
    <xf numFmtId="0" fontId="10" fillId="54" borderId="52"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xf>
    <xf numFmtId="0" fontId="10" fillId="54" borderId="49"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xf>
    <xf numFmtId="0" fontId="13" fillId="51" borderId="0" xfId="0" applyFont="1" applyFill="1" applyBorder="1" applyAlignment="1" applyProtection="1">
      <alignment horizontal="center" vertical="center"/>
    </xf>
    <xf numFmtId="0" fontId="13" fillId="51" borderId="49" xfId="0" applyFont="1" applyFill="1" applyBorder="1" applyAlignment="1" applyProtection="1">
      <alignment horizontal="center" vertical="center"/>
    </xf>
    <xf numFmtId="0" fontId="10" fillId="54" borderId="30" xfId="0" applyFont="1" applyFill="1" applyBorder="1" applyAlignment="1" applyProtection="1">
      <alignment horizontal="left" vertical="center" wrapText="1"/>
    </xf>
    <xf numFmtId="0" fontId="10" fillId="54" borderId="31" xfId="0" applyFont="1" applyFill="1" applyBorder="1" applyAlignment="1" applyProtection="1">
      <alignment horizontal="left" vertical="center" wrapText="1"/>
    </xf>
    <xf numFmtId="0" fontId="10" fillId="54" borderId="32" xfId="0" applyFont="1" applyFill="1" applyBorder="1" applyAlignment="1" applyProtection="1">
      <alignment horizontal="left" vertical="center" wrapText="1"/>
    </xf>
    <xf numFmtId="0" fontId="28" fillId="2" borderId="27" xfId="0" applyFont="1" applyFill="1" applyBorder="1" applyAlignment="1" applyProtection="1">
      <alignment horizontal="center" vertical="top"/>
    </xf>
    <xf numFmtId="0" fontId="28" fillId="2" borderId="28" xfId="0" applyFont="1" applyFill="1" applyBorder="1" applyAlignment="1" applyProtection="1">
      <alignment horizontal="center" vertical="top"/>
    </xf>
    <xf numFmtId="0" fontId="28" fillId="2" borderId="29" xfId="0" applyFont="1" applyFill="1" applyBorder="1" applyAlignment="1" applyProtection="1">
      <alignment horizontal="center" vertical="top"/>
    </xf>
    <xf numFmtId="0" fontId="27" fillId="51" borderId="33" xfId="0" applyFont="1" applyFill="1" applyBorder="1" applyAlignment="1" applyProtection="1">
      <alignment horizontal="center" vertical="center"/>
      <protection locked="0"/>
    </xf>
    <xf numFmtId="0" fontId="27" fillId="51" borderId="0" xfId="0" applyFont="1" applyFill="1" applyBorder="1" applyAlignment="1" applyProtection="1">
      <alignment horizontal="center" vertical="center"/>
      <protection locked="0"/>
    </xf>
    <xf numFmtId="0" fontId="27" fillId="6" borderId="0" xfId="0" applyFont="1" applyFill="1" applyBorder="1" applyAlignment="1" applyProtection="1">
      <alignment horizontal="center" vertical="center"/>
    </xf>
    <xf numFmtId="0" fontId="27" fillId="6" borderId="54" xfId="0" applyFont="1" applyFill="1" applyBorder="1" applyAlignment="1" applyProtection="1">
      <alignment horizontal="center" vertical="center"/>
    </xf>
    <xf numFmtId="0" fontId="10" fillId="0" borderId="48" xfId="0" applyFont="1" applyBorder="1" applyAlignment="1" applyProtection="1">
      <alignment horizontal="left" vertical="top" wrapText="1"/>
    </xf>
    <xf numFmtId="0" fontId="10" fillId="0" borderId="49" xfId="0" applyFont="1" applyBorder="1" applyAlignment="1" applyProtection="1">
      <alignment horizontal="left" vertical="top" wrapText="1"/>
    </xf>
    <xf numFmtId="0" fontId="10" fillId="0" borderId="5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54" xfId="0" applyFont="1" applyBorder="1" applyAlignment="1" applyProtection="1">
      <alignment horizontal="left" vertical="top" wrapText="1"/>
    </xf>
    <xf numFmtId="0" fontId="72" fillId="9" borderId="51" xfId="0" applyFont="1" applyFill="1" applyBorder="1" applyAlignment="1" applyProtection="1">
      <alignment horizontal="left" vertical="center" wrapText="1"/>
    </xf>
    <xf numFmtId="0" fontId="72" fillId="9" borderId="52" xfId="0" applyFont="1" applyFill="1" applyBorder="1" applyAlignment="1" applyProtection="1">
      <alignment horizontal="left" vertical="center" wrapText="1"/>
    </xf>
    <xf numFmtId="0" fontId="72" fillId="9" borderId="53" xfId="0" applyFont="1" applyFill="1" applyBorder="1" applyAlignment="1" applyProtection="1">
      <alignment horizontal="left" vertical="center" wrapText="1"/>
    </xf>
    <xf numFmtId="0" fontId="9" fillId="2" borderId="27" xfId="0" applyFont="1" applyFill="1" applyBorder="1" applyAlignment="1" applyProtection="1">
      <alignment horizontal="center" vertical="top"/>
    </xf>
    <xf numFmtId="0" fontId="9" fillId="2" borderId="28" xfId="0" applyFont="1" applyFill="1" applyBorder="1" applyAlignment="1" applyProtection="1">
      <alignment horizontal="center" vertical="top"/>
    </xf>
    <xf numFmtId="0" fontId="9" fillId="2" borderId="29" xfId="0" applyFont="1" applyFill="1" applyBorder="1" applyAlignment="1" applyProtection="1">
      <alignment horizontal="center" vertical="top"/>
    </xf>
    <xf numFmtId="0" fontId="8" fillId="6" borderId="34" xfId="0" applyFont="1" applyFill="1" applyBorder="1" applyAlignment="1" applyProtection="1">
      <alignment horizontal="center" vertical="center" wrapText="1"/>
    </xf>
    <xf numFmtId="0" fontId="8" fillId="6" borderId="35" xfId="0" applyFont="1" applyFill="1" applyBorder="1" applyAlignment="1" applyProtection="1">
      <alignment horizontal="center" vertical="center" wrapText="1"/>
    </xf>
    <xf numFmtId="0" fontId="8" fillId="6" borderId="36" xfId="0" applyFont="1" applyFill="1" applyBorder="1" applyAlignment="1" applyProtection="1">
      <alignment horizontal="center" vertical="center" wrapText="1"/>
    </xf>
    <xf numFmtId="0" fontId="8" fillId="6" borderId="52" xfId="0" applyFont="1" applyFill="1" applyBorder="1" applyAlignment="1">
      <alignment horizontal="left"/>
    </xf>
    <xf numFmtId="0" fontId="37" fillId="51" borderId="0" xfId="0" applyFont="1" applyFill="1" applyBorder="1" applyAlignment="1" applyProtection="1">
      <alignment horizontal="left" vertical="top" wrapText="1"/>
      <protection locked="0"/>
    </xf>
    <xf numFmtId="0" fontId="0" fillId="51" borderId="28" xfId="0" applyFont="1" applyFill="1" applyBorder="1" applyAlignment="1" applyProtection="1">
      <alignment horizontal="center"/>
      <protection locked="0"/>
    </xf>
    <xf numFmtId="0" fontId="0" fillId="51" borderId="29" xfId="0" applyFont="1" applyFill="1" applyBorder="1" applyAlignment="1" applyProtection="1">
      <alignment horizontal="center"/>
      <protection locked="0"/>
    </xf>
    <xf numFmtId="0" fontId="0" fillId="51" borderId="27" xfId="0" applyFont="1" applyFill="1" applyBorder="1" applyAlignment="1" applyProtection="1">
      <alignment horizontal="center"/>
      <protection locked="0"/>
    </xf>
    <xf numFmtId="0" fontId="37" fillId="0" borderId="2" xfId="0" applyFont="1" applyBorder="1" applyAlignment="1">
      <alignment horizontal="center" wrapText="1"/>
    </xf>
    <xf numFmtId="0" fontId="37" fillId="0" borderId="4" xfId="0" applyFont="1" applyBorder="1" applyAlignment="1">
      <alignment horizontal="center" wrapText="1"/>
    </xf>
    <xf numFmtId="44" fontId="8" fillId="6" borderId="52" xfId="1" applyFont="1" applyFill="1" applyBorder="1" applyAlignment="1" applyProtection="1">
      <alignment horizontal="center" vertical="center"/>
    </xf>
    <xf numFmtId="0" fontId="0" fillId="51" borderId="51" xfId="0" applyFont="1" applyFill="1" applyBorder="1" applyAlignment="1" applyProtection="1">
      <alignment horizontal="center"/>
      <protection locked="0"/>
    </xf>
    <xf numFmtId="0" fontId="0" fillId="51" borderId="52" xfId="0" applyFont="1" applyFill="1" applyBorder="1" applyAlignment="1" applyProtection="1">
      <alignment horizontal="center"/>
      <protection locked="0"/>
    </xf>
    <xf numFmtId="0" fontId="16" fillId="50" borderId="33" xfId="0" applyFont="1" applyFill="1" applyBorder="1" applyAlignment="1" applyProtection="1">
      <alignment horizontal="left" vertical="center"/>
    </xf>
    <xf numFmtId="0" fontId="16" fillId="50" borderId="0" xfId="0" applyFont="1" applyFill="1" applyBorder="1" applyAlignment="1" applyProtection="1">
      <alignment horizontal="left" vertical="center"/>
    </xf>
    <xf numFmtId="0" fontId="16" fillId="50" borderId="54" xfId="0" applyFont="1" applyFill="1" applyBorder="1" applyAlignment="1" applyProtection="1">
      <alignment horizontal="left" vertical="center"/>
    </xf>
    <xf numFmtId="0" fontId="10" fillId="52" borderId="33" xfId="0" applyFont="1" applyFill="1" applyBorder="1" applyAlignment="1" applyProtection="1">
      <alignment horizontal="center" vertical="center"/>
      <protection locked="0"/>
    </xf>
    <xf numFmtId="0" fontId="10" fillId="52" borderId="0" xfId="0" applyFont="1" applyFill="1" applyBorder="1" applyAlignment="1" applyProtection="1">
      <alignment horizontal="center" vertical="center"/>
      <protection locked="0"/>
    </xf>
    <xf numFmtId="0" fontId="0" fillId="51" borderId="48" xfId="0" applyFont="1" applyFill="1" applyBorder="1" applyAlignment="1" applyProtection="1">
      <alignment horizontal="center"/>
      <protection locked="0"/>
    </xf>
    <xf numFmtId="0" fontId="0" fillId="51" borderId="49" xfId="0" applyFont="1" applyFill="1" applyBorder="1" applyAlignment="1" applyProtection="1">
      <alignment horizontal="center"/>
      <protection locked="0"/>
    </xf>
    <xf numFmtId="0" fontId="0" fillId="51" borderId="53" xfId="0" applyFont="1" applyFill="1" applyBorder="1" applyAlignment="1" applyProtection="1">
      <alignment horizontal="center"/>
      <protection locked="0"/>
    </xf>
    <xf numFmtId="44" fontId="9" fillId="5" borderId="13" xfId="1" applyFont="1" applyFill="1" applyBorder="1" applyAlignment="1" applyProtection="1">
      <alignment horizontal="center" vertical="center"/>
    </xf>
    <xf numFmtId="44" fontId="9" fillId="5" borderId="14" xfId="1" applyFont="1" applyFill="1" applyBorder="1" applyAlignment="1" applyProtection="1">
      <alignment horizontal="center" vertical="center"/>
    </xf>
    <xf numFmtId="0" fontId="37" fillId="0" borderId="1" xfId="0" applyFont="1" applyBorder="1" applyAlignment="1">
      <alignment horizontal="center" wrapText="1"/>
    </xf>
    <xf numFmtId="0" fontId="9" fillId="2" borderId="10" xfId="0" applyFont="1" applyFill="1" applyBorder="1" applyAlignment="1" applyProtection="1">
      <alignment horizontal="center" vertical="top"/>
    </xf>
    <xf numFmtId="0" fontId="41" fillId="2" borderId="55" xfId="0" applyFont="1" applyFill="1" applyBorder="1" applyAlignment="1" applyProtection="1">
      <alignment horizontal="center" vertical="top"/>
    </xf>
    <xf numFmtId="0" fontId="10" fillId="47" borderId="55" xfId="0" applyFont="1" applyFill="1" applyBorder="1" applyAlignment="1" applyProtection="1">
      <alignment horizontal="left" vertical="center" wrapText="1"/>
    </xf>
    <xf numFmtId="0" fontId="10" fillId="52" borderId="55" xfId="0" applyFont="1" applyFill="1" applyBorder="1" applyAlignment="1" applyProtection="1">
      <alignment horizontal="left" vertical="center" wrapText="1"/>
    </xf>
    <xf numFmtId="0" fontId="8" fillId="6" borderId="55" xfId="0" applyFont="1" applyFill="1" applyBorder="1" applyAlignment="1" applyProtection="1">
      <alignment horizontal="center" vertical="center" wrapText="1"/>
    </xf>
    <xf numFmtId="0" fontId="10" fillId="6" borderId="48" xfId="0" applyFont="1" applyFill="1" applyBorder="1" applyAlignment="1" applyProtection="1">
      <alignment horizontal="center" vertical="center" wrapText="1"/>
    </xf>
    <xf numFmtId="0" fontId="10" fillId="6" borderId="49" xfId="0" applyFont="1" applyFill="1" applyBorder="1" applyAlignment="1" applyProtection="1">
      <alignment horizontal="center" vertical="center" wrapText="1"/>
    </xf>
    <xf numFmtId="0" fontId="10" fillId="6" borderId="50" xfId="0" applyFont="1" applyFill="1" applyBorder="1" applyAlignment="1" applyProtection="1">
      <alignment horizontal="center" vertical="center" wrapText="1"/>
    </xf>
    <xf numFmtId="0" fontId="10" fillId="6" borderId="33"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54" xfId="0" applyFont="1" applyFill="1" applyBorder="1" applyAlignment="1" applyProtection="1">
      <alignment horizontal="center" vertical="center" wrapText="1"/>
    </xf>
    <xf numFmtId="0" fontId="10" fillId="6" borderId="51" xfId="0" applyFont="1" applyFill="1" applyBorder="1" applyAlignment="1" applyProtection="1">
      <alignment horizontal="center" vertical="center" wrapText="1"/>
    </xf>
    <xf numFmtId="0" fontId="10" fillId="6" borderId="52" xfId="0" applyFont="1" applyFill="1" applyBorder="1" applyAlignment="1" applyProtection="1">
      <alignment horizontal="center" vertical="center" wrapText="1"/>
    </xf>
    <xf numFmtId="0" fontId="10" fillId="6" borderId="53" xfId="0" applyFont="1" applyFill="1" applyBorder="1" applyAlignment="1" applyProtection="1">
      <alignment horizontal="center" vertical="center" wrapText="1"/>
    </xf>
    <xf numFmtId="3" fontId="13" fillId="10" borderId="27" xfId="2" applyNumberFormat="1" applyFont="1" applyFill="1" applyBorder="1" applyAlignment="1" applyProtection="1">
      <alignment horizontal="center" vertical="center"/>
    </xf>
    <xf numFmtId="3" fontId="13" fillId="10" borderId="28" xfId="2" applyNumberFormat="1" applyFont="1" applyFill="1" applyBorder="1" applyAlignment="1" applyProtection="1">
      <alignment horizontal="center" vertical="center"/>
    </xf>
    <xf numFmtId="3" fontId="13" fillId="10" borderId="29" xfId="2" applyNumberFormat="1" applyFont="1" applyFill="1" applyBorder="1" applyAlignment="1" applyProtection="1">
      <alignment horizontal="center" vertical="center"/>
    </xf>
    <xf numFmtId="0" fontId="13" fillId="51" borderId="27" xfId="0" applyFont="1" applyFill="1" applyBorder="1" applyAlignment="1" applyProtection="1">
      <alignment horizontal="center" vertical="center"/>
    </xf>
    <xf numFmtId="0" fontId="13" fillId="51" borderId="28" xfId="0" applyFont="1" applyFill="1" applyBorder="1" applyAlignment="1" applyProtection="1">
      <alignment horizontal="center" vertical="center"/>
    </xf>
    <xf numFmtId="0" fontId="13" fillId="51" borderId="29" xfId="0" applyFont="1" applyFill="1" applyBorder="1" applyAlignment="1" applyProtection="1">
      <alignment horizontal="center" vertical="center"/>
    </xf>
    <xf numFmtId="0" fontId="13" fillId="6" borderId="55" xfId="0" applyFont="1" applyFill="1" applyBorder="1" applyAlignment="1" applyProtection="1">
      <alignment horizontal="center" vertical="center"/>
    </xf>
    <xf numFmtId="0" fontId="13" fillId="10" borderId="55" xfId="0" applyFont="1" applyFill="1" applyBorder="1" applyAlignment="1" applyProtection="1">
      <alignment horizontal="center" vertical="center"/>
    </xf>
    <xf numFmtId="44" fontId="10" fillId="52" borderId="33" xfId="0" applyNumberFormat="1" applyFont="1" applyFill="1" applyBorder="1" applyAlignment="1" applyProtection="1">
      <alignment horizontal="center" vertical="center"/>
      <protection locked="0"/>
    </xf>
    <xf numFmtId="44" fontId="10" fillId="52" borderId="0" xfId="0" applyNumberFormat="1" applyFont="1" applyFill="1" applyBorder="1" applyAlignment="1" applyProtection="1">
      <alignment horizontal="center" vertical="center"/>
      <protection locked="0"/>
    </xf>
    <xf numFmtId="0" fontId="16" fillId="51" borderId="33" xfId="0" applyFont="1" applyFill="1" applyBorder="1" applyAlignment="1" applyProtection="1">
      <alignment horizontal="left" vertical="center"/>
    </xf>
    <xf numFmtId="0" fontId="16" fillId="51" borderId="0" xfId="0" applyFont="1" applyFill="1" applyBorder="1" applyAlignment="1" applyProtection="1">
      <alignment horizontal="left" vertical="center"/>
    </xf>
    <xf numFmtId="0" fontId="16" fillId="51" borderId="0" xfId="0" applyFont="1" applyFill="1" applyBorder="1" applyAlignment="1" applyProtection="1">
      <alignment horizontal="center" vertical="center"/>
      <protection locked="0"/>
    </xf>
    <xf numFmtId="0" fontId="0" fillId="51" borderId="0" xfId="0" applyFont="1" applyFill="1" applyBorder="1" applyAlignment="1" applyProtection="1">
      <alignment horizontal="center"/>
      <protection locked="0"/>
    </xf>
    <xf numFmtId="0" fontId="0" fillId="51" borderId="54" xfId="0" applyFont="1" applyFill="1" applyBorder="1" applyAlignment="1" applyProtection="1">
      <alignment horizontal="center"/>
      <protection locked="0"/>
    </xf>
    <xf numFmtId="0" fontId="0" fillId="51" borderId="50" xfId="0" applyFont="1" applyFill="1" applyBorder="1" applyAlignment="1" applyProtection="1">
      <alignment horizontal="center"/>
      <protection locked="0"/>
    </xf>
    <xf numFmtId="0" fontId="8" fillId="6" borderId="54" xfId="0" applyFont="1" applyFill="1" applyBorder="1" applyAlignment="1" applyProtection="1">
      <alignment horizontal="center" vertical="center"/>
    </xf>
    <xf numFmtId="0" fontId="16" fillId="51" borderId="33" xfId="0" applyFont="1" applyFill="1" applyBorder="1" applyAlignment="1" applyProtection="1">
      <alignment horizontal="center" vertical="center"/>
    </xf>
    <xf numFmtId="0" fontId="16" fillId="51" borderId="0"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16" fillId="50" borderId="33" xfId="0" applyFont="1" applyFill="1" applyBorder="1" applyAlignment="1" applyProtection="1">
      <alignment horizontal="left"/>
      <protection hidden="1"/>
    </xf>
    <xf numFmtId="0" fontId="16" fillId="50" borderId="0" xfId="0" applyFont="1" applyFill="1" applyBorder="1" applyAlignment="1" applyProtection="1">
      <alignment horizontal="left"/>
      <protection hidden="1"/>
    </xf>
    <xf numFmtId="0" fontId="20" fillId="10" borderId="0" xfId="0" applyFont="1" applyFill="1" applyBorder="1" applyAlignment="1" applyProtection="1">
      <alignment horizontal="center" vertical="center"/>
      <protection locked="0"/>
    </xf>
    <xf numFmtId="0" fontId="20" fillId="10" borderId="52" xfId="0" applyFont="1" applyFill="1" applyBorder="1" applyAlignment="1" applyProtection="1">
      <alignment horizontal="center" vertical="center"/>
      <protection locked="0"/>
    </xf>
    <xf numFmtId="44" fontId="16" fillId="51" borderId="0" xfId="1" applyFont="1" applyFill="1" applyBorder="1" applyAlignment="1" applyProtection="1">
      <alignment horizontal="center" vertical="top"/>
      <protection locked="0"/>
    </xf>
    <xf numFmtId="44" fontId="16" fillId="51" borderId="52" xfId="1" applyFont="1" applyFill="1" applyBorder="1" applyAlignment="1" applyProtection="1">
      <alignment horizontal="center" vertical="top"/>
      <protection locked="0"/>
    </xf>
    <xf numFmtId="0" fontId="9" fillId="3" borderId="0" xfId="0" applyFont="1" applyFill="1" applyBorder="1" applyAlignment="1">
      <alignment horizontal="center" vertical="center" wrapText="1"/>
    </xf>
    <xf numFmtId="44" fontId="13" fillId="6" borderId="0" xfId="1" applyFont="1" applyFill="1" applyBorder="1" applyAlignment="1">
      <alignment horizontal="left" vertical="center"/>
    </xf>
    <xf numFmtId="0" fontId="20" fillId="9" borderId="0" xfId="0" applyFont="1" applyFill="1" applyBorder="1" applyAlignment="1" applyProtection="1">
      <alignment horizontal="center" vertical="top"/>
      <protection locked="0"/>
    </xf>
    <xf numFmtId="0" fontId="2" fillId="3" borderId="0" xfId="0" applyFont="1" applyFill="1" applyBorder="1" applyAlignment="1">
      <alignment horizontal="center" vertical="center"/>
    </xf>
    <xf numFmtId="0" fontId="2" fillId="3" borderId="52" xfId="0" applyFont="1" applyFill="1" applyBorder="1" applyAlignment="1">
      <alignment horizontal="center" vertical="center"/>
    </xf>
    <xf numFmtId="44" fontId="16" fillId="51" borderId="52" xfId="1" applyFont="1" applyFill="1" applyBorder="1" applyAlignment="1" applyProtection="1">
      <alignment horizontal="left" vertical="top"/>
      <protection locked="0"/>
    </xf>
    <xf numFmtId="44" fontId="16" fillId="51" borderId="0" xfId="1" applyFont="1" applyFill="1" applyBorder="1" applyAlignment="1" applyProtection="1">
      <alignment horizontal="left" vertical="top"/>
      <protection locked="0"/>
    </xf>
    <xf numFmtId="0" fontId="28" fillId="2" borderId="0" xfId="0" applyFont="1" applyFill="1" applyBorder="1" applyAlignment="1">
      <alignment horizontal="left" vertical="top"/>
    </xf>
    <xf numFmtId="0" fontId="2" fillId="3" borderId="0"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19" fillId="51" borderId="0" xfId="0" applyFont="1" applyFill="1" applyBorder="1" applyAlignment="1">
      <alignment horizontal="left" vertical="center"/>
    </xf>
    <xf numFmtId="43" fontId="26" fillId="10" borderId="0" xfId="2" applyFont="1" applyFill="1" applyBorder="1" applyAlignment="1" applyProtection="1">
      <protection locked="0"/>
    </xf>
    <xf numFmtId="0" fontId="19" fillId="50" borderId="0" xfId="0" applyFont="1" applyFill="1" applyBorder="1" applyAlignment="1">
      <alignment horizontal="center" vertical="center"/>
    </xf>
    <xf numFmtId="44" fontId="26" fillId="10" borderId="0" xfId="1" applyFont="1" applyFill="1" applyBorder="1" applyAlignment="1" applyProtection="1">
      <protection locked="0"/>
    </xf>
    <xf numFmtId="44" fontId="26" fillId="50" borderId="0" xfId="1" applyFont="1" applyFill="1" applyBorder="1" applyAlignment="1" applyProtection="1">
      <alignment horizontal="center"/>
      <protection locked="0"/>
    </xf>
    <xf numFmtId="44" fontId="13" fillId="6" borderId="49" xfId="1" applyFont="1" applyFill="1" applyBorder="1" applyAlignment="1">
      <alignment horizontal="left" vertical="center"/>
    </xf>
    <xf numFmtId="0" fontId="44" fillId="10" borderId="52" xfId="0" applyFont="1" applyFill="1" applyBorder="1" applyAlignment="1" applyProtection="1">
      <alignment horizontal="left" vertical="top"/>
      <protection locked="0"/>
    </xf>
    <xf numFmtId="0" fontId="19" fillId="9" borderId="0" xfId="0" applyFont="1" applyFill="1" applyBorder="1" applyAlignment="1">
      <alignment horizontal="left" vertical="top"/>
    </xf>
    <xf numFmtId="0" fontId="13" fillId="6" borderId="0" xfId="1" applyNumberFormat="1" applyFont="1" applyFill="1" applyBorder="1" applyAlignment="1">
      <alignment horizontal="left" vertical="center"/>
    </xf>
    <xf numFmtId="0" fontId="14" fillId="6" borderId="49" xfId="0" applyFont="1" applyFill="1" applyBorder="1" applyAlignment="1">
      <alignment horizontal="left" vertical="center"/>
    </xf>
    <xf numFmtId="0" fontId="19" fillId="9" borderId="49" xfId="0" applyFont="1" applyFill="1" applyBorder="1" applyAlignment="1">
      <alignment horizontal="left" vertical="top"/>
    </xf>
    <xf numFmtId="0" fontId="20" fillId="9" borderId="0" xfId="0" applyFont="1" applyFill="1" applyBorder="1" applyAlignment="1" applyProtection="1">
      <alignment horizontal="center" vertical="top"/>
    </xf>
    <xf numFmtId="0" fontId="20" fillId="10" borderId="49"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top"/>
    </xf>
    <xf numFmtId="44" fontId="41" fillId="5" borderId="52" xfId="1" applyFont="1" applyFill="1" applyBorder="1" applyAlignment="1" applyProtection="1">
      <alignment horizontal="center" vertic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33" xfId="0" applyFont="1" applyBorder="1" applyAlignment="1">
      <alignment horizontal="left" vertical="center" wrapText="1"/>
    </xf>
    <xf numFmtId="0" fontId="10" fillId="0" borderId="0" xfId="0" applyFont="1" applyBorder="1" applyAlignment="1">
      <alignment horizontal="left" vertical="center" wrapText="1"/>
    </xf>
    <xf numFmtId="0" fontId="10" fillId="10" borderId="33"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73" fillId="6" borderId="0" xfId="0" applyFont="1" applyFill="1" applyBorder="1" applyAlignment="1">
      <alignment horizontal="center" vertical="center" wrapText="1"/>
    </xf>
    <xf numFmtId="0" fontId="72" fillId="6" borderId="0" xfId="0" applyFont="1" applyFill="1" applyBorder="1" applyAlignment="1">
      <alignment horizontal="center" vertical="center" wrapText="1"/>
    </xf>
    <xf numFmtId="44" fontId="19" fillId="6" borderId="49" xfId="1" applyFont="1" applyFill="1" applyBorder="1" applyAlignment="1" applyProtection="1">
      <alignment horizontal="center" vertical="top"/>
      <protection locked="0"/>
    </xf>
    <xf numFmtId="0" fontId="20" fillId="51" borderId="49" xfId="0" applyFont="1" applyFill="1" applyBorder="1" applyAlignment="1" applyProtection="1">
      <alignment horizontal="center" vertical="top"/>
      <protection locked="0"/>
    </xf>
    <xf numFmtId="0" fontId="20" fillId="51" borderId="52" xfId="0" applyFont="1" applyFill="1" applyBorder="1" applyAlignment="1" applyProtection="1">
      <alignment horizontal="center" vertical="top"/>
      <protection locked="0"/>
    </xf>
    <xf numFmtId="0" fontId="20" fillId="51" borderId="0" xfId="0" applyFont="1" applyFill="1" applyBorder="1" applyAlignment="1" applyProtection="1">
      <alignment horizontal="center" vertical="top"/>
      <protection locked="0"/>
    </xf>
    <xf numFmtId="44" fontId="17" fillId="5" borderId="0" xfId="1" applyFont="1" applyFill="1" applyBorder="1" applyAlignment="1">
      <alignment horizontal="left" vertical="center"/>
    </xf>
    <xf numFmtId="0" fontId="8" fillId="6" borderId="0" xfId="0" applyFont="1" applyFill="1" applyBorder="1" applyAlignment="1">
      <alignment horizontal="center" vertical="center" wrapText="1"/>
    </xf>
    <xf numFmtId="0" fontId="10" fillId="51" borderId="48" xfId="0" applyFont="1" applyFill="1" applyBorder="1" applyAlignment="1">
      <alignment horizontal="left" vertical="top" wrapText="1"/>
    </xf>
    <xf numFmtId="0" fontId="10" fillId="51" borderId="49" xfId="0" applyFont="1" applyFill="1" applyBorder="1" applyAlignment="1">
      <alignment horizontal="left" vertical="top" wrapText="1"/>
    </xf>
    <xf numFmtId="0" fontId="10" fillId="51" borderId="33" xfId="0" applyFont="1" applyFill="1" applyBorder="1" applyAlignment="1">
      <alignment horizontal="left" vertical="top" wrapText="1"/>
    </xf>
    <xf numFmtId="0" fontId="10" fillId="51" borderId="0" xfId="0" applyFont="1" applyFill="1" applyBorder="1" applyAlignment="1">
      <alignment horizontal="left" vertical="top" wrapText="1"/>
    </xf>
    <xf numFmtId="0" fontId="28" fillId="2"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10" fillId="54" borderId="51" xfId="0" applyFont="1" applyFill="1" applyBorder="1" applyAlignment="1">
      <alignment horizontal="left" vertical="center"/>
    </xf>
    <xf numFmtId="0" fontId="10" fillId="54" borderId="52" xfId="0" applyFont="1" applyFill="1" applyBorder="1" applyAlignment="1">
      <alignment horizontal="left" vertical="center"/>
    </xf>
    <xf numFmtId="0" fontId="3" fillId="11" borderId="49" xfId="0" applyFont="1" applyFill="1" applyBorder="1" applyAlignment="1" applyProtection="1">
      <alignment horizontal="center" vertical="center" wrapText="1"/>
    </xf>
    <xf numFmtId="0" fontId="3" fillId="11" borderId="0" xfId="0" applyFont="1" applyFill="1" applyBorder="1" applyAlignment="1" applyProtection="1">
      <alignment horizontal="center" vertical="center" wrapText="1"/>
    </xf>
    <xf numFmtId="0" fontId="3" fillId="11" borderId="52" xfId="0" applyFont="1" applyFill="1" applyBorder="1" applyAlignment="1" applyProtection="1">
      <alignment horizontal="center" vertical="center" wrapText="1"/>
    </xf>
    <xf numFmtId="0" fontId="17" fillId="2" borderId="0" xfId="0" applyFont="1" applyFill="1" applyBorder="1" applyAlignment="1">
      <alignment horizontal="center" vertical="top" wrapText="1"/>
    </xf>
    <xf numFmtId="0" fontId="17" fillId="2" borderId="52" xfId="0" applyFont="1" applyFill="1" applyBorder="1" applyAlignment="1">
      <alignment horizontal="center" vertical="top" wrapText="1"/>
    </xf>
    <xf numFmtId="0" fontId="28" fillId="2" borderId="0" xfId="0" applyFont="1" applyFill="1" applyBorder="1" applyAlignment="1">
      <alignment horizontal="center" vertical="center"/>
    </xf>
    <xf numFmtId="0" fontId="3" fillId="11" borderId="49" xfId="0" applyFont="1" applyFill="1" applyBorder="1" applyAlignment="1">
      <alignment horizontal="center" vertical="center"/>
    </xf>
    <xf numFmtId="0" fontId="3" fillId="11" borderId="0" xfId="0" applyFont="1" applyFill="1" applyBorder="1" applyAlignment="1">
      <alignment horizontal="center" vertical="center"/>
    </xf>
    <xf numFmtId="0" fontId="3" fillId="11" borderId="52" xfId="0" applyFont="1" applyFill="1" applyBorder="1" applyAlignment="1">
      <alignment horizontal="center" vertical="center"/>
    </xf>
    <xf numFmtId="0" fontId="3" fillId="11" borderId="49"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52" xfId="0" applyFont="1" applyFill="1" applyBorder="1" applyAlignment="1">
      <alignment horizontal="center" vertical="center" wrapText="1"/>
    </xf>
    <xf numFmtId="0" fontId="28" fillId="2" borderId="52" xfId="0" applyFont="1" applyFill="1" applyBorder="1" applyAlignment="1">
      <alignment horizontal="center" vertical="center"/>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44" fillId="54" borderId="55" xfId="0" applyFont="1" applyFill="1" applyBorder="1" applyAlignment="1" applyProtection="1">
      <alignment horizontal="center"/>
      <protection locked="0"/>
    </xf>
    <xf numFmtId="0" fontId="44" fillId="54" borderId="52" xfId="0" applyFont="1" applyFill="1" applyBorder="1" applyAlignment="1">
      <alignment horizontal="center"/>
    </xf>
    <xf numFmtId="0" fontId="44" fillId="54" borderId="53" xfId="0" applyFont="1" applyFill="1" applyBorder="1" applyAlignment="1">
      <alignment horizontal="center"/>
    </xf>
    <xf numFmtId="0" fontId="16" fillId="50" borderId="52" xfId="0" applyFont="1" applyFill="1" applyBorder="1" applyAlignment="1">
      <alignment horizontal="center"/>
    </xf>
    <xf numFmtId="0" fontId="16" fillId="50" borderId="53" xfId="0" applyFont="1" applyFill="1" applyBorder="1" applyAlignment="1">
      <alignment horizontal="center"/>
    </xf>
    <xf numFmtId="0" fontId="16" fillId="50" borderId="28" xfId="0" applyFont="1" applyFill="1" applyBorder="1" applyAlignment="1">
      <alignment horizontal="center"/>
    </xf>
    <xf numFmtId="0" fontId="16" fillId="50" borderId="29" xfId="0" applyFont="1" applyFill="1" applyBorder="1" applyAlignment="1">
      <alignment horizontal="center"/>
    </xf>
    <xf numFmtId="0" fontId="3" fillId="3" borderId="28" xfId="1" applyNumberFormat="1" applyFont="1" applyFill="1" applyBorder="1" applyAlignment="1" applyProtection="1">
      <alignment horizontal="center" vertical="center"/>
    </xf>
    <xf numFmtId="0" fontId="16" fillId="50" borderId="27" xfId="0" applyFont="1" applyFill="1" applyBorder="1" applyAlignment="1">
      <alignment horizontal="left"/>
    </xf>
    <xf numFmtId="0" fontId="16" fillId="50" borderId="29" xfId="0" applyFont="1" applyFill="1" applyBorder="1" applyAlignment="1">
      <alignment horizontal="left"/>
    </xf>
    <xf numFmtId="0" fontId="3" fillId="3" borderId="49" xfId="1" applyNumberFormat="1" applyFont="1" applyFill="1" applyBorder="1" applyAlignment="1" applyProtection="1">
      <alignment horizontal="center" vertical="center"/>
      <protection locked="0"/>
    </xf>
    <xf numFmtId="0" fontId="44" fillId="54" borderId="47" xfId="0" applyFont="1" applyFill="1" applyBorder="1" applyAlignment="1" applyProtection="1">
      <alignment horizontal="center"/>
      <protection locked="0"/>
    </xf>
    <xf numFmtId="44" fontId="3" fillId="3" borderId="52" xfId="1" applyFont="1" applyFill="1" applyBorder="1" applyAlignment="1" applyProtection="1">
      <alignment horizontal="center" vertical="center"/>
    </xf>
    <xf numFmtId="44" fontId="16" fillId="53" borderId="28" xfId="1" applyFont="1" applyFill="1" applyBorder="1" applyAlignment="1" applyProtection="1">
      <alignment horizontal="left" vertical="center"/>
    </xf>
    <xf numFmtId="44" fontId="12" fillId="5" borderId="0" xfId="1" applyFont="1" applyFill="1" applyBorder="1" applyAlignment="1" applyProtection="1">
      <alignment horizontal="left" vertical="center" wrapText="1"/>
    </xf>
    <xf numFmtId="44" fontId="12" fillId="5" borderId="0" xfId="1" applyFont="1" applyFill="1" applyBorder="1" applyAlignment="1" applyProtection="1">
      <alignment horizontal="left" vertical="center"/>
    </xf>
    <xf numFmtId="44" fontId="17" fillId="5" borderId="52" xfId="1" applyFont="1" applyFill="1" applyBorder="1" applyAlignment="1" applyProtection="1">
      <alignment horizontal="left" vertical="center"/>
    </xf>
    <xf numFmtId="44" fontId="17" fillId="60" borderId="0" xfId="1" applyFont="1" applyFill="1" applyBorder="1" applyAlignment="1" applyProtection="1">
      <alignment horizontal="left" vertical="center"/>
    </xf>
    <xf numFmtId="0" fontId="16" fillId="6" borderId="49" xfId="0" applyFont="1" applyFill="1" applyBorder="1" applyAlignment="1" applyProtection="1">
      <alignment horizontal="left" vertical="center" wrapText="1"/>
    </xf>
    <xf numFmtId="0" fontId="16" fillId="6" borderId="0" xfId="0" applyFont="1" applyFill="1" applyBorder="1" applyAlignment="1" applyProtection="1">
      <alignment horizontal="left" vertical="center" wrapText="1"/>
    </xf>
    <xf numFmtId="0" fontId="13" fillId="12" borderId="49" xfId="0" applyFont="1" applyFill="1" applyBorder="1" applyAlignment="1" applyProtection="1">
      <alignment horizontal="center" vertical="center" wrapText="1"/>
    </xf>
    <xf numFmtId="0" fontId="13" fillId="12" borderId="0" xfId="0" applyFont="1" applyFill="1" applyBorder="1" applyAlignment="1" applyProtection="1">
      <alignment horizontal="center" vertical="center" wrapText="1"/>
    </xf>
    <xf numFmtId="0" fontId="16" fillId="50" borderId="51" xfId="0" applyFont="1" applyFill="1" applyBorder="1" applyAlignment="1">
      <alignment horizontal="left"/>
    </xf>
    <xf numFmtId="0" fontId="16" fillId="50" borderId="53" xfId="0" applyFont="1" applyFill="1" applyBorder="1" applyAlignment="1">
      <alignment horizontal="left"/>
    </xf>
    <xf numFmtId="44" fontId="16" fillId="54" borderId="0" xfId="1" applyFont="1" applyFill="1" applyBorder="1" applyAlignment="1" applyProtection="1">
      <alignment horizontal="left" vertical="center"/>
    </xf>
    <xf numFmtId="44" fontId="17" fillId="5" borderId="0" xfId="1" applyFont="1" applyFill="1" applyBorder="1" applyAlignment="1" applyProtection="1">
      <alignment horizontal="left" vertical="center"/>
    </xf>
    <xf numFmtId="0" fontId="10" fillId="10" borderId="33" xfId="0" applyNumberFormat="1" applyFont="1" applyFill="1" applyBorder="1" applyAlignment="1">
      <alignment horizontal="left" vertical="center" wrapText="1"/>
    </xf>
    <xf numFmtId="0" fontId="10" fillId="10" borderId="0" xfId="0" applyNumberFormat="1" applyFont="1" applyFill="1" applyBorder="1" applyAlignment="1">
      <alignment horizontal="left" vertical="center" wrapText="1"/>
    </xf>
    <xf numFmtId="44" fontId="28" fillId="5" borderId="52" xfId="1" applyFont="1" applyFill="1" applyBorder="1" applyAlignment="1" applyProtection="1">
      <alignment horizontal="center" vertical="center"/>
    </xf>
    <xf numFmtId="0" fontId="10" fillId="48" borderId="33" xfId="0" applyNumberFormat="1" applyFont="1" applyFill="1" applyBorder="1" applyAlignment="1">
      <alignment horizontal="left" vertical="center" wrapText="1"/>
    </xf>
    <xf numFmtId="0" fontId="10" fillId="48" borderId="0" xfId="0" applyNumberFormat="1" applyFont="1" applyFill="1" applyBorder="1" applyAlignment="1">
      <alignment horizontal="left" vertical="center" wrapText="1"/>
    </xf>
    <xf numFmtId="0" fontId="39" fillId="48" borderId="51" xfId="0" applyNumberFormat="1" applyFont="1" applyFill="1" applyBorder="1" applyAlignment="1">
      <alignment horizontal="left" vertical="center" wrapText="1"/>
    </xf>
    <xf numFmtId="0" fontId="39" fillId="48" borderId="52" xfId="0" applyNumberFormat="1" applyFont="1" applyFill="1" applyBorder="1" applyAlignment="1">
      <alignment horizontal="left" vertical="center" wrapText="1"/>
    </xf>
    <xf numFmtId="0" fontId="13" fillId="10" borderId="33" xfId="0" applyFont="1" applyFill="1" applyBorder="1" applyAlignment="1" applyProtection="1">
      <alignment horizontal="center" vertical="center"/>
    </xf>
    <xf numFmtId="0" fontId="13" fillId="10" borderId="0" xfId="0" applyFont="1" applyFill="1" applyBorder="1" applyAlignment="1" applyProtection="1">
      <alignment horizontal="center" vertical="center"/>
    </xf>
    <xf numFmtId="0" fontId="13" fillId="6" borderId="54" xfId="0" applyFont="1" applyFill="1" applyBorder="1" applyAlignment="1" applyProtection="1">
      <alignment horizontal="center" vertical="center"/>
    </xf>
    <xf numFmtId="0" fontId="16" fillId="6" borderId="52" xfId="0" applyFont="1" applyFill="1" applyBorder="1" applyAlignment="1" applyProtection="1">
      <alignment horizontal="left" vertical="center" wrapText="1"/>
    </xf>
    <xf numFmtId="0" fontId="10" fillId="51" borderId="48" xfId="0" applyFont="1" applyFill="1" applyBorder="1" applyAlignment="1" applyProtection="1">
      <alignment horizontal="left" vertical="top" wrapText="1"/>
    </xf>
    <xf numFmtId="0" fontId="10" fillId="51" borderId="49" xfId="0" applyFont="1" applyFill="1" applyBorder="1" applyAlignment="1" applyProtection="1">
      <alignment horizontal="left" vertical="top" wrapText="1"/>
    </xf>
    <xf numFmtId="0" fontId="10" fillId="51" borderId="33" xfId="0" applyFont="1" applyFill="1" applyBorder="1" applyAlignment="1" applyProtection="1">
      <alignment horizontal="left" vertical="top" wrapText="1"/>
    </xf>
    <xf numFmtId="0" fontId="10" fillId="51" borderId="0" xfId="0" applyFont="1" applyFill="1" applyBorder="1" applyAlignment="1" applyProtection="1">
      <alignment horizontal="left" vertical="top" wrapText="1"/>
    </xf>
    <xf numFmtId="0" fontId="10" fillId="10" borderId="48" xfId="0" applyFont="1" applyFill="1" applyBorder="1" applyAlignment="1" applyProtection="1">
      <alignment horizontal="left" vertical="center" wrapText="1"/>
    </xf>
    <xf numFmtId="0" fontId="10" fillId="10" borderId="49" xfId="0" applyFont="1" applyFill="1" applyBorder="1" applyAlignment="1" applyProtection="1">
      <alignment horizontal="left" vertical="center" wrapText="1"/>
    </xf>
    <xf numFmtId="0" fontId="8" fillId="6" borderId="50" xfId="0" applyFont="1" applyFill="1" applyBorder="1" applyAlignment="1" applyProtection="1">
      <alignment horizontal="center" vertical="center" wrapText="1"/>
    </xf>
    <xf numFmtId="0" fontId="8" fillId="6" borderId="54" xfId="0" applyFont="1" applyFill="1" applyBorder="1" applyAlignment="1" applyProtection="1">
      <alignment horizontal="center" vertical="center" wrapText="1"/>
    </xf>
    <xf numFmtId="0" fontId="19" fillId="51" borderId="52" xfId="0" applyFont="1" applyFill="1" applyBorder="1" applyAlignment="1" applyProtection="1">
      <alignment horizontal="left" vertical="top"/>
    </xf>
    <xf numFmtId="0" fontId="16" fillId="51" borderId="49" xfId="0" applyFont="1" applyFill="1" applyBorder="1" applyAlignment="1" applyProtection="1">
      <alignment horizontal="left" vertical="center"/>
    </xf>
    <xf numFmtId="0" fontId="3" fillId="3" borderId="49" xfId="0" applyFont="1" applyFill="1" applyBorder="1" applyAlignment="1" applyProtection="1">
      <alignment horizontal="center" vertical="center" wrapText="1"/>
    </xf>
    <xf numFmtId="0" fontId="3" fillId="3" borderId="52" xfId="0" applyFont="1" applyFill="1" applyBorder="1" applyAlignment="1" applyProtection="1">
      <alignment horizontal="center" vertical="center" wrapText="1"/>
    </xf>
    <xf numFmtId="0" fontId="31" fillId="51" borderId="27" xfId="0" applyFont="1" applyFill="1" applyBorder="1" applyAlignment="1" applyProtection="1">
      <alignment horizontal="center"/>
      <protection locked="0"/>
    </xf>
    <xf numFmtId="0" fontId="31" fillId="51" borderId="28" xfId="0" applyFont="1" applyFill="1" applyBorder="1" applyAlignment="1" applyProtection="1">
      <alignment horizontal="center"/>
      <protection locked="0"/>
    </xf>
    <xf numFmtId="0" fontId="45" fillId="2" borderId="52" xfId="0" applyFont="1" applyFill="1" applyBorder="1" applyAlignment="1" applyProtection="1">
      <alignment horizontal="left" vertical="center"/>
    </xf>
    <xf numFmtId="0" fontId="28" fillId="2" borderId="6" xfId="0" applyFont="1" applyFill="1" applyBorder="1" applyAlignment="1" applyProtection="1">
      <alignment horizontal="left" vertical="top"/>
    </xf>
    <xf numFmtId="0" fontId="28" fillId="2" borderId="0" xfId="0" applyFont="1" applyFill="1" applyBorder="1" applyAlignment="1" applyProtection="1">
      <alignment horizontal="left" vertical="top"/>
    </xf>
    <xf numFmtId="0" fontId="28" fillId="2" borderId="7" xfId="0" applyFont="1" applyFill="1" applyBorder="1" applyAlignment="1" applyProtection="1">
      <alignment horizontal="left" vertical="top"/>
    </xf>
    <xf numFmtId="0" fontId="19" fillId="51" borderId="28" xfId="0" applyFont="1" applyFill="1" applyBorder="1" applyAlignment="1" applyProtection="1">
      <alignment horizontal="left" vertical="top"/>
    </xf>
    <xf numFmtId="0" fontId="19" fillId="51" borderId="49" xfId="0" applyFont="1" applyFill="1" applyBorder="1" applyAlignment="1" applyProtection="1">
      <alignment horizontal="left" vertical="top"/>
    </xf>
    <xf numFmtId="0" fontId="31" fillId="51" borderId="48" xfId="0" applyFont="1" applyFill="1" applyBorder="1" applyAlignment="1" applyProtection="1">
      <alignment horizontal="center"/>
      <protection locked="0"/>
    </xf>
    <xf numFmtId="0" fontId="31" fillId="51" borderId="49" xfId="0" applyFont="1" applyFill="1" applyBorder="1" applyAlignment="1" applyProtection="1">
      <alignment horizontal="center"/>
      <protection locked="0"/>
    </xf>
    <xf numFmtId="0" fontId="28" fillId="2" borderId="0" xfId="0" applyFont="1" applyFill="1" applyBorder="1" applyAlignment="1" applyProtection="1">
      <alignment vertical="center"/>
    </xf>
    <xf numFmtId="0" fontId="28" fillId="2" borderId="0" xfId="0" applyFont="1" applyFill="1" applyBorder="1" applyAlignment="1" applyProtection="1">
      <alignment horizontal="left" vertical="center"/>
    </xf>
    <xf numFmtId="0" fontId="49" fillId="13" borderId="52" xfId="0" applyFont="1" applyFill="1" applyBorder="1" applyAlignment="1" applyProtection="1">
      <alignment horizontal="center" vertical="center"/>
    </xf>
    <xf numFmtId="0" fontId="20" fillId="51" borderId="28" xfId="0" applyFont="1" applyFill="1" applyBorder="1" applyAlignment="1" applyProtection="1">
      <alignment horizontal="left" vertical="top"/>
    </xf>
    <xf numFmtId="0" fontId="19" fillId="6" borderId="0" xfId="0" applyFont="1" applyFill="1" applyBorder="1" applyAlignment="1" applyProtection="1">
      <alignment horizontal="left" vertical="top" wrapText="1"/>
    </xf>
    <xf numFmtId="0" fontId="19" fillId="51" borderId="0" xfId="0" applyFont="1" applyFill="1" applyBorder="1" applyAlignment="1" applyProtection="1">
      <alignment horizontal="left" vertical="top" wrapText="1"/>
      <protection locked="0"/>
    </xf>
    <xf numFmtId="0" fontId="19" fillId="4" borderId="0" xfId="0" applyFont="1" applyFill="1" applyBorder="1" applyAlignment="1" applyProtection="1">
      <alignment horizontal="left" vertical="top"/>
    </xf>
    <xf numFmtId="0" fontId="37" fillId="51" borderId="0" xfId="0" applyFont="1" applyFill="1" applyBorder="1" applyAlignment="1" applyProtection="1">
      <alignment horizontal="left"/>
      <protection locked="0"/>
    </xf>
    <xf numFmtId="0" fontId="20" fillId="51" borderId="0" xfId="0" applyFont="1" applyFill="1" applyBorder="1" applyAlignment="1" applyProtection="1">
      <alignment horizontal="left" vertical="top"/>
    </xf>
    <xf numFmtId="0" fontId="20" fillId="51" borderId="52" xfId="0" applyFont="1" applyFill="1" applyBorder="1" applyAlignment="1" applyProtection="1">
      <alignment horizontal="left" vertical="top"/>
    </xf>
    <xf numFmtId="0" fontId="83" fillId="4" borderId="49" xfId="0" applyFont="1" applyFill="1" applyBorder="1" applyAlignment="1" applyProtection="1">
      <alignment horizontal="left" vertical="top"/>
    </xf>
    <xf numFmtId="0" fontId="83" fillId="4" borderId="50" xfId="0" applyFont="1" applyFill="1" applyBorder="1" applyAlignment="1" applyProtection="1">
      <alignment horizontal="left" vertical="top"/>
    </xf>
    <xf numFmtId="0" fontId="49" fillId="2" borderId="52" xfId="0" applyFont="1" applyFill="1" applyBorder="1" applyAlignment="1" applyProtection="1">
      <alignment horizontal="center" vertical="top"/>
    </xf>
    <xf numFmtId="0" fontId="10" fillId="9" borderId="33" xfId="0" applyNumberFormat="1" applyFont="1" applyFill="1" applyBorder="1" applyAlignment="1" applyProtection="1">
      <alignment horizontal="left" vertical="center" wrapText="1"/>
    </xf>
    <xf numFmtId="0" fontId="10" fillId="9" borderId="0" xfId="0" applyNumberFormat="1" applyFont="1" applyFill="1" applyBorder="1" applyAlignment="1" applyProtection="1">
      <alignment horizontal="left" vertical="center" wrapText="1"/>
    </xf>
    <xf numFmtId="0" fontId="39" fillId="9" borderId="51" xfId="0" applyNumberFormat="1" applyFont="1" applyFill="1" applyBorder="1" applyAlignment="1" applyProtection="1">
      <alignment horizontal="left" vertical="center" wrapText="1"/>
    </xf>
    <xf numFmtId="0" fontId="39" fillId="9" borderId="52" xfId="0" applyNumberFormat="1" applyFont="1" applyFill="1" applyBorder="1" applyAlignment="1" applyProtection="1">
      <alignment horizontal="left" vertical="center" wrapText="1"/>
    </xf>
    <xf numFmtId="0" fontId="10" fillId="10" borderId="33" xfId="0" applyNumberFormat="1" applyFont="1" applyFill="1" applyBorder="1" applyAlignment="1" applyProtection="1">
      <alignment horizontal="left" vertical="center" wrapText="1"/>
    </xf>
    <xf numFmtId="0" fontId="10" fillId="10" borderId="0" xfId="0" applyNumberFormat="1" applyFont="1" applyFill="1" applyBorder="1" applyAlignment="1" applyProtection="1">
      <alignment horizontal="left" vertical="center" wrapText="1"/>
    </xf>
    <xf numFmtId="44" fontId="16" fillId="54" borderId="52" xfId="1" applyFont="1" applyFill="1" applyBorder="1" applyAlignment="1" applyProtection="1">
      <alignment horizontal="left" vertical="center"/>
    </xf>
    <xf numFmtId="0" fontId="27" fillId="6" borderId="1" xfId="0" applyFont="1" applyFill="1" applyBorder="1" applyAlignment="1" applyProtection="1">
      <alignment horizontal="center" vertical="center"/>
    </xf>
    <xf numFmtId="44" fontId="28" fillId="5" borderId="0" xfId="1" applyFont="1" applyFill="1" applyBorder="1" applyAlignment="1" applyProtection="1">
      <alignment horizontal="left" vertical="center"/>
    </xf>
    <xf numFmtId="0" fontId="27" fillId="10" borderId="1" xfId="0" applyFont="1" applyFill="1" applyBorder="1" applyAlignment="1" applyProtection="1">
      <alignment horizontal="center" vertical="center"/>
    </xf>
    <xf numFmtId="0" fontId="16" fillId="51" borderId="28" xfId="0" applyFont="1" applyFill="1" applyBorder="1" applyAlignment="1" applyProtection="1">
      <alignment horizontal="left" vertical="center" wrapText="1"/>
    </xf>
    <xf numFmtId="44" fontId="3" fillId="3" borderId="0" xfId="1" applyFont="1" applyFill="1" applyBorder="1" applyAlignment="1" applyProtection="1">
      <alignment horizontal="center" vertical="center"/>
    </xf>
    <xf numFmtId="44" fontId="28" fillId="5" borderId="0" xfId="1" applyFont="1" applyFill="1" applyBorder="1" applyAlignment="1" applyProtection="1">
      <alignment horizontal="left" vertical="center" wrapText="1"/>
    </xf>
    <xf numFmtId="0" fontId="16" fillId="54" borderId="27" xfId="0" applyFont="1" applyFill="1" applyBorder="1" applyAlignment="1" applyProtection="1">
      <alignment horizontal="center"/>
      <protection locked="0"/>
    </xf>
    <xf numFmtId="0" fontId="16" fillId="54" borderId="29" xfId="0" applyFont="1" applyFill="1" applyBorder="1" applyAlignment="1" applyProtection="1">
      <alignment horizontal="center"/>
      <protection locked="0"/>
    </xf>
    <xf numFmtId="0" fontId="26" fillId="54" borderId="27" xfId="0" applyFont="1" applyFill="1" applyBorder="1" applyAlignment="1" applyProtection="1">
      <alignment horizontal="center"/>
      <protection locked="0"/>
    </xf>
    <xf numFmtId="0" fontId="26" fillId="54" borderId="29" xfId="0" applyFont="1" applyFill="1" applyBorder="1" applyAlignment="1" applyProtection="1">
      <alignment horizontal="center"/>
      <protection locked="0"/>
    </xf>
    <xf numFmtId="0" fontId="26" fillId="51" borderId="55" xfId="0" applyFont="1" applyFill="1" applyBorder="1" applyAlignment="1" applyProtection="1">
      <alignment horizontal="center"/>
    </xf>
    <xf numFmtId="44" fontId="3" fillId="3" borderId="28" xfId="1" applyFont="1" applyFill="1" applyBorder="1" applyAlignment="1" applyProtection="1">
      <alignment horizontal="center" vertical="center" wrapText="1"/>
    </xf>
    <xf numFmtId="0" fontId="13" fillId="10" borderId="51" xfId="0" applyFont="1" applyFill="1" applyBorder="1" applyAlignment="1" applyProtection="1">
      <alignment horizontal="center" vertical="center"/>
      <protection locked="0"/>
    </xf>
    <xf numFmtId="0" fontId="13" fillId="10" borderId="52" xfId="0" applyFont="1" applyFill="1" applyBorder="1" applyAlignment="1" applyProtection="1">
      <alignment horizontal="center" vertical="center"/>
      <protection locked="0"/>
    </xf>
    <xf numFmtId="0" fontId="13" fillId="6" borderId="52" xfId="0" applyFont="1" applyFill="1" applyBorder="1" applyAlignment="1" applyProtection="1">
      <alignment horizontal="left" vertical="center" wrapText="1"/>
    </xf>
    <xf numFmtId="0" fontId="13" fillId="6" borderId="53" xfId="0" applyFont="1" applyFill="1" applyBorder="1" applyAlignment="1" applyProtection="1">
      <alignment horizontal="left" vertical="center" wrapText="1"/>
    </xf>
    <xf numFmtId="44" fontId="3" fillId="3" borderId="49" xfId="1" applyFont="1" applyFill="1" applyBorder="1" applyAlignment="1" applyProtection="1">
      <alignment horizontal="center" vertical="center"/>
    </xf>
    <xf numFmtId="0" fontId="44" fillId="51" borderId="0" xfId="0" applyFont="1" applyFill="1" applyBorder="1" applyAlignment="1" applyProtection="1">
      <alignment horizontal="left" vertical="center"/>
    </xf>
    <xf numFmtId="0" fontId="44" fillId="51" borderId="0" xfId="0" applyFont="1" applyFill="1" applyBorder="1" applyAlignment="1" applyProtection="1">
      <alignment horizontal="left" vertical="center"/>
      <protection locked="0"/>
    </xf>
    <xf numFmtId="44" fontId="18" fillId="5" borderId="52" xfId="1" applyFont="1" applyFill="1" applyBorder="1" applyAlignment="1" applyProtection="1">
      <alignment horizontal="left" vertical="center"/>
    </xf>
    <xf numFmtId="0" fontId="15" fillId="51" borderId="0" xfId="0" applyFont="1" applyFill="1" applyBorder="1" applyAlignment="1" applyProtection="1">
      <alignment horizontal="left"/>
      <protection locked="0"/>
    </xf>
    <xf numFmtId="0" fontId="44" fillId="51" borderId="49" xfId="0" applyFont="1" applyFill="1" applyBorder="1" applyAlignment="1" applyProtection="1">
      <alignment horizontal="left" vertical="center"/>
    </xf>
    <xf numFmtId="0" fontId="10" fillId="6" borderId="52" xfId="0" applyFont="1" applyFill="1" applyBorder="1" applyAlignment="1" applyProtection="1">
      <alignment horizontal="left" vertical="center"/>
    </xf>
    <xf numFmtId="0" fontId="16" fillId="54" borderId="0" xfId="0" applyFont="1" applyFill="1" applyBorder="1" applyAlignment="1" applyProtection="1">
      <alignment horizontal="left" vertical="top"/>
    </xf>
    <xf numFmtId="0" fontId="3" fillId="3" borderId="52" xfId="0" applyFont="1" applyFill="1" applyBorder="1" applyAlignment="1" applyProtection="1">
      <alignment horizontal="center" vertical="center"/>
    </xf>
    <xf numFmtId="0" fontId="10" fillId="51" borderId="48" xfId="0" applyFont="1" applyFill="1" applyBorder="1" applyAlignment="1" applyProtection="1">
      <alignment horizontal="left" vertical="center" wrapText="1"/>
    </xf>
    <xf numFmtId="0" fontId="10" fillId="51" borderId="33" xfId="0" applyFont="1" applyFill="1" applyBorder="1" applyAlignment="1" applyProtection="1">
      <alignment horizontal="left" vertical="center" wrapText="1"/>
    </xf>
    <xf numFmtId="0" fontId="10" fillId="51" borderId="0" xfId="0" applyFont="1" applyFill="1" applyBorder="1" applyAlignment="1" applyProtection="1">
      <alignment horizontal="left" vertical="center" wrapText="1"/>
    </xf>
    <xf numFmtId="168" fontId="0" fillId="10" borderId="48" xfId="1" applyNumberFormat="1" applyFont="1" applyFill="1" applyBorder="1" applyAlignment="1" applyProtection="1">
      <alignment horizontal="center"/>
      <protection locked="0"/>
    </xf>
    <xf numFmtId="168" fontId="0" fillId="10" borderId="50" xfId="1" applyNumberFormat="1" applyFont="1" applyFill="1" applyBorder="1" applyAlignment="1" applyProtection="1">
      <alignment horizontal="center"/>
      <protection locked="0"/>
    </xf>
    <xf numFmtId="3" fontId="0" fillId="57" borderId="48" xfId="2" applyNumberFormat="1" applyFont="1" applyFill="1" applyBorder="1" applyAlignment="1" applyProtection="1">
      <alignment horizontal="center" vertical="center"/>
    </xf>
    <xf numFmtId="3" fontId="0" fillId="57" borderId="50" xfId="2" applyNumberFormat="1" applyFont="1" applyFill="1" applyBorder="1" applyAlignment="1" applyProtection="1">
      <alignment horizontal="center" vertical="center"/>
    </xf>
    <xf numFmtId="0" fontId="0" fillId="10" borderId="49" xfId="0" applyFill="1" applyBorder="1" applyAlignment="1" applyProtection="1">
      <alignment horizontal="center"/>
      <protection locked="0"/>
    </xf>
    <xf numFmtId="168" fontId="0" fillId="57" borderId="48" xfId="1" applyNumberFormat="1" applyFont="1" applyFill="1" applyBorder="1" applyAlignment="1" applyProtection="1">
      <alignment horizontal="center"/>
    </xf>
    <xf numFmtId="168" fontId="0" fillId="57" borderId="50" xfId="1" applyNumberFormat="1" applyFont="1" applyFill="1" applyBorder="1" applyAlignment="1" applyProtection="1">
      <alignment horizontal="center"/>
    </xf>
    <xf numFmtId="3" fontId="0" fillId="10" borderId="33" xfId="2" applyNumberFormat="1" applyFont="1" applyFill="1" applyBorder="1" applyAlignment="1" applyProtection="1">
      <alignment horizontal="center" vertical="center"/>
      <protection locked="0"/>
    </xf>
    <xf numFmtId="3" fontId="0" fillId="10" borderId="54" xfId="2" applyNumberFormat="1" applyFont="1" applyFill="1" applyBorder="1" applyAlignment="1" applyProtection="1">
      <alignment horizontal="center" vertical="center"/>
      <protection locked="0"/>
    </xf>
    <xf numFmtId="168" fontId="0" fillId="10" borderId="33" xfId="1" applyNumberFormat="1" applyFont="1" applyFill="1" applyBorder="1" applyAlignment="1" applyProtection="1">
      <alignment horizontal="center"/>
      <protection locked="0"/>
    </xf>
    <xf numFmtId="168" fontId="0" fillId="10" borderId="54" xfId="1" applyNumberFormat="1" applyFont="1" applyFill="1" applyBorder="1" applyAlignment="1" applyProtection="1">
      <alignment horizontal="center"/>
      <protection locked="0"/>
    </xf>
    <xf numFmtId="44" fontId="28" fillId="5" borderId="0" xfId="1" applyFont="1" applyFill="1" applyBorder="1" applyAlignment="1" applyProtection="1">
      <alignment horizontal="center" vertical="center"/>
    </xf>
    <xf numFmtId="0" fontId="10" fillId="0" borderId="48" xfId="0" applyFont="1" applyFill="1" applyBorder="1" applyAlignment="1" applyProtection="1">
      <alignment horizontal="left" vertical="center" wrapText="1"/>
    </xf>
    <xf numFmtId="0" fontId="10" fillId="0" borderId="49" xfId="0" applyFont="1" applyFill="1" applyBorder="1" applyAlignment="1" applyProtection="1">
      <alignment horizontal="left" vertical="center" wrapText="1"/>
    </xf>
    <xf numFmtId="0" fontId="10" fillId="0" borderId="33"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xf numFmtId="0" fontId="10" fillId="0" borderId="52" xfId="0" applyFont="1" applyFill="1" applyBorder="1" applyAlignment="1" applyProtection="1">
      <alignment horizontal="left" vertical="center" wrapText="1"/>
    </xf>
    <xf numFmtId="0" fontId="29" fillId="8" borderId="0" xfId="0" applyFont="1" applyFill="1" applyBorder="1" applyAlignment="1" applyProtection="1">
      <alignment horizontal="center"/>
    </xf>
    <xf numFmtId="0" fontId="0" fillId="10" borderId="0" xfId="0" applyFill="1" applyBorder="1" applyAlignment="1" applyProtection="1">
      <alignment horizontal="center"/>
      <protection locked="0"/>
    </xf>
    <xf numFmtId="0" fontId="0" fillId="57" borderId="49" xfId="0" applyFill="1" applyBorder="1" applyAlignment="1" applyProtection="1">
      <alignment horizontal="center"/>
    </xf>
    <xf numFmtId="0" fontId="0" fillId="57" borderId="50" xfId="0" applyFill="1" applyBorder="1" applyAlignment="1" applyProtection="1">
      <alignment horizontal="center"/>
    </xf>
    <xf numFmtId="0" fontId="0" fillId="57" borderId="0" xfId="0" applyFill="1" applyBorder="1" applyAlignment="1" applyProtection="1">
      <alignment horizontal="center"/>
    </xf>
    <xf numFmtId="0" fontId="0" fillId="57" borderId="54" xfId="0" applyFill="1" applyBorder="1" applyAlignment="1" applyProtection="1">
      <alignment horizontal="center"/>
    </xf>
    <xf numFmtId="3" fontId="0" fillId="57" borderId="33" xfId="2" applyNumberFormat="1" applyFont="1" applyFill="1" applyBorder="1" applyAlignment="1" applyProtection="1">
      <alignment horizontal="center" vertical="center"/>
    </xf>
    <xf numFmtId="3" fontId="0" fillId="57" borderId="54" xfId="2" applyNumberFormat="1" applyFont="1" applyFill="1" applyBorder="1" applyAlignment="1" applyProtection="1">
      <alignment horizontal="center" vertical="center"/>
    </xf>
    <xf numFmtId="168" fontId="0" fillId="57" borderId="33" xfId="1" applyNumberFormat="1" applyFont="1" applyFill="1" applyBorder="1" applyAlignment="1" applyProtection="1">
      <alignment horizontal="center"/>
    </xf>
    <xf numFmtId="168" fontId="0" fillId="57" borderId="54" xfId="1" applyNumberFormat="1" applyFont="1" applyFill="1" applyBorder="1" applyAlignment="1" applyProtection="1">
      <alignment horizontal="center"/>
    </xf>
    <xf numFmtId="0" fontId="10" fillId="6" borderId="49" xfId="0" applyFont="1" applyFill="1" applyBorder="1" applyAlignment="1" applyProtection="1">
      <alignment horizontal="center" wrapText="1"/>
    </xf>
    <xf numFmtId="0" fontId="8" fillId="6" borderId="49" xfId="0" applyFont="1" applyFill="1" applyBorder="1" applyAlignment="1" applyProtection="1">
      <alignment horizontal="center" wrapText="1"/>
    </xf>
    <xf numFmtId="3" fontId="0" fillId="10" borderId="49" xfId="2" applyNumberFormat="1" applyFont="1" applyFill="1" applyBorder="1" applyAlignment="1" applyProtection="1">
      <alignment horizontal="center" vertical="center"/>
      <protection locked="0"/>
    </xf>
    <xf numFmtId="3" fontId="0" fillId="10" borderId="0" xfId="2"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10" borderId="2" xfId="0" applyFont="1" applyFill="1" applyBorder="1" applyAlignment="1" applyProtection="1">
      <alignment horizontal="center" vertical="center"/>
    </xf>
    <xf numFmtId="0" fontId="13" fillId="10" borderId="3" xfId="0" applyFont="1" applyFill="1" applyBorder="1" applyAlignment="1" applyProtection="1">
      <alignment horizontal="center" vertical="center"/>
    </xf>
    <xf numFmtId="0" fontId="13" fillId="10" borderId="4" xfId="0" applyFont="1" applyFill="1" applyBorder="1" applyAlignment="1" applyProtection="1">
      <alignment horizontal="center" vertical="center"/>
    </xf>
    <xf numFmtId="0" fontId="39" fillId="9" borderId="0" xfId="0" applyFont="1" applyFill="1" applyBorder="1" applyAlignment="1" applyProtection="1">
      <alignment horizontal="left" vertical="center"/>
    </xf>
    <xf numFmtId="0" fontId="39" fillId="9" borderId="0" xfId="0" applyFont="1" applyFill="1" applyBorder="1" applyAlignment="1" applyProtection="1">
      <alignment horizontal="left" vertical="center"/>
      <protection locked="0"/>
    </xf>
    <xf numFmtId="44" fontId="0" fillId="10" borderId="0" xfId="0"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left" vertical="center"/>
    </xf>
    <xf numFmtId="164" fontId="31" fillId="54" borderId="27" xfId="2" applyNumberFormat="1" applyFont="1" applyFill="1" applyBorder="1" applyAlignment="1" applyProtection="1">
      <alignment horizontal="center" vertical="center"/>
      <protection locked="0"/>
    </xf>
    <xf numFmtId="164" fontId="31" fillId="54" borderId="28" xfId="2" applyNumberFormat="1" applyFont="1" applyFill="1" applyBorder="1" applyAlignment="1" applyProtection="1">
      <alignment horizontal="center" vertical="center"/>
      <protection locked="0"/>
    </xf>
    <xf numFmtId="0" fontId="10" fillId="51" borderId="33" xfId="0" applyFont="1" applyFill="1" applyBorder="1" applyAlignment="1" applyProtection="1">
      <alignment horizontal="left" vertical="center"/>
    </xf>
    <xf numFmtId="0" fontId="10" fillId="51" borderId="0" xfId="0" applyFont="1" applyFill="1" applyBorder="1" applyAlignment="1" applyProtection="1">
      <alignment horizontal="left" vertical="center"/>
    </xf>
    <xf numFmtId="164" fontId="31" fillId="54" borderId="55" xfId="2" applyNumberFormat="1" applyFont="1" applyFill="1" applyBorder="1" applyAlignment="1" applyProtection="1">
      <alignment horizontal="center" vertical="center"/>
      <protection locked="0"/>
    </xf>
    <xf numFmtId="44" fontId="39" fillId="54" borderId="30" xfId="0" applyNumberFormat="1" applyFont="1" applyFill="1" applyBorder="1" applyAlignment="1" applyProtection="1">
      <alignment horizontal="center" vertical="center" wrapText="1"/>
      <protection locked="0"/>
    </xf>
    <xf numFmtId="44" fontId="39" fillId="54" borderId="31" xfId="0" applyNumberFormat="1" applyFont="1" applyFill="1" applyBorder="1" applyAlignment="1" applyProtection="1">
      <alignment horizontal="center" vertical="center" wrapText="1"/>
      <protection locked="0"/>
    </xf>
    <xf numFmtId="44" fontId="39" fillId="54" borderId="32" xfId="0" applyNumberFormat="1" applyFont="1" applyFill="1" applyBorder="1" applyAlignment="1" applyProtection="1">
      <alignment horizontal="center" vertical="center" wrapText="1"/>
      <protection locked="0"/>
    </xf>
    <xf numFmtId="0" fontId="10" fillId="51" borderId="54" xfId="0" applyFont="1" applyFill="1" applyBorder="1" applyAlignment="1" applyProtection="1">
      <alignment horizontal="left" vertical="center"/>
    </xf>
    <xf numFmtId="164" fontId="31" fillId="54" borderId="48" xfId="2" applyNumberFormat="1" applyFont="1" applyFill="1" applyBorder="1" applyAlignment="1" applyProtection="1">
      <alignment horizontal="left"/>
    </xf>
    <xf numFmtId="164" fontId="31" fillId="54" borderId="49" xfId="2" applyNumberFormat="1" applyFont="1" applyFill="1" applyBorder="1" applyAlignment="1" applyProtection="1">
      <alignment horizontal="left"/>
    </xf>
    <xf numFmtId="44" fontId="28" fillId="5" borderId="10" xfId="1" applyFont="1" applyFill="1" applyBorder="1" applyAlignment="1" applyProtection="1">
      <alignment horizontal="center" vertical="center"/>
    </xf>
    <xf numFmtId="0" fontId="9" fillId="49" borderId="0" xfId="0" applyFont="1" applyFill="1" applyBorder="1" applyAlignment="1" applyProtection="1">
      <alignment horizontal="center" vertical="center" wrapText="1"/>
    </xf>
    <xf numFmtId="0" fontId="9" fillId="49" borderId="0" xfId="0" applyFont="1" applyFill="1" applyBorder="1" applyAlignment="1" applyProtection="1">
      <alignment horizontal="center" vertical="center"/>
    </xf>
    <xf numFmtId="0" fontId="8" fillId="6" borderId="52" xfId="0" applyFont="1" applyFill="1" applyBorder="1" applyAlignment="1" applyProtection="1">
      <alignment horizontal="center" vertical="center"/>
    </xf>
    <xf numFmtId="0" fontId="10" fillId="51" borderId="51" xfId="0" applyFont="1" applyFill="1" applyBorder="1" applyAlignment="1" applyProtection="1">
      <alignment horizontal="left" vertical="center" wrapText="1"/>
    </xf>
    <xf numFmtId="0" fontId="10" fillId="51" borderId="27" xfId="0" applyFont="1" applyFill="1" applyBorder="1" applyAlignment="1" applyProtection="1">
      <alignment horizontal="left" vertical="center" wrapText="1"/>
    </xf>
    <xf numFmtId="0" fontId="10" fillId="51" borderId="28" xfId="0" applyFont="1" applyFill="1" applyBorder="1" applyAlignment="1" applyProtection="1">
      <alignment horizontal="left" vertical="center" wrapText="1"/>
    </xf>
    <xf numFmtId="0" fontId="8" fillId="6" borderId="52" xfId="0" applyFont="1" applyFill="1" applyBorder="1" applyAlignment="1" applyProtection="1">
      <alignment horizontal="center" vertical="center" wrapText="1"/>
    </xf>
    <xf numFmtId="164" fontId="77" fillId="54" borderId="51" xfId="2" applyNumberFormat="1" applyFont="1" applyFill="1" applyBorder="1" applyAlignment="1" applyProtection="1">
      <alignment horizontal="center" vertical="center"/>
      <protection locked="0"/>
    </xf>
    <xf numFmtId="164" fontId="77" fillId="54" borderId="52" xfId="2" applyNumberFormat="1" applyFont="1" applyFill="1" applyBorder="1" applyAlignment="1" applyProtection="1">
      <alignment horizontal="center" vertical="center"/>
      <protection locked="0"/>
    </xf>
    <xf numFmtId="44" fontId="39" fillId="54" borderId="58" xfId="0" applyNumberFormat="1" applyFont="1" applyFill="1" applyBorder="1" applyAlignment="1" applyProtection="1">
      <alignment horizontal="center" vertical="center" wrapText="1"/>
      <protection locked="0"/>
    </xf>
    <xf numFmtId="44" fontId="39" fillId="54" borderId="59" xfId="0" applyNumberFormat="1" applyFont="1" applyFill="1" applyBorder="1" applyAlignment="1" applyProtection="1">
      <alignment horizontal="center" vertical="center" wrapText="1"/>
      <protection locked="0"/>
    </xf>
    <xf numFmtId="44" fontId="39" fillId="54" borderId="60" xfId="0" applyNumberFormat="1" applyFont="1" applyFill="1" applyBorder="1" applyAlignment="1" applyProtection="1">
      <alignment horizontal="center" vertical="center" wrapText="1"/>
      <protection locked="0"/>
    </xf>
    <xf numFmtId="0" fontId="8" fillId="6" borderId="28" xfId="0" applyFont="1" applyFill="1" applyBorder="1" applyAlignment="1" applyProtection="1">
      <alignment horizontal="center" vertical="center" wrapText="1"/>
    </xf>
    <xf numFmtId="164" fontId="77" fillId="54" borderId="27" xfId="2" applyNumberFormat="1" applyFont="1" applyFill="1" applyBorder="1" applyAlignment="1" applyProtection="1">
      <alignment horizontal="center" vertical="center"/>
      <protection locked="0"/>
    </xf>
    <xf numFmtId="164" fontId="77" fillId="54" borderId="28" xfId="2" applyNumberFormat="1" applyFont="1" applyFill="1" applyBorder="1" applyAlignment="1" applyProtection="1">
      <alignment horizontal="center" vertical="center"/>
      <protection locked="0"/>
    </xf>
    <xf numFmtId="164" fontId="77" fillId="54" borderId="33" xfId="2" applyNumberFormat="1" applyFont="1" applyFill="1" applyBorder="1" applyAlignment="1" applyProtection="1">
      <alignment horizontal="center" vertical="center"/>
      <protection locked="0"/>
    </xf>
    <xf numFmtId="164" fontId="77" fillId="54" borderId="0" xfId="2" applyNumberFormat="1" applyFont="1" applyFill="1" applyBorder="1" applyAlignment="1" applyProtection="1">
      <alignment horizontal="center" vertical="center"/>
      <protection locked="0"/>
    </xf>
    <xf numFmtId="0" fontId="8" fillId="54" borderId="49" xfId="0" applyFont="1" applyFill="1" applyBorder="1" applyAlignment="1" applyProtection="1">
      <alignment horizontal="center" vertical="center" wrapText="1"/>
      <protection locked="0"/>
    </xf>
    <xf numFmtId="0" fontId="29" fillId="6" borderId="55" xfId="0" applyFont="1" applyFill="1" applyBorder="1" applyAlignment="1" applyProtection="1">
      <alignment horizontal="center"/>
    </xf>
    <xf numFmtId="0" fontId="40" fillId="50" borderId="55" xfId="9" applyFill="1" applyBorder="1" applyAlignment="1" applyProtection="1">
      <alignment horizontal="left"/>
      <protection locked="0"/>
    </xf>
    <xf numFmtId="0" fontId="0" fillId="50" borderId="55" xfId="0" applyFill="1" applyBorder="1" applyAlignment="1" applyProtection="1">
      <alignment horizontal="center"/>
    </xf>
    <xf numFmtId="0" fontId="10" fillId="6" borderId="51" xfId="0" applyFont="1" applyFill="1" applyBorder="1" applyAlignment="1" applyProtection="1">
      <alignment horizontal="left"/>
    </xf>
    <xf numFmtId="0" fontId="10" fillId="6" borderId="52" xfId="0" applyFont="1" applyFill="1" applyBorder="1" applyAlignment="1" applyProtection="1">
      <alignment horizontal="left"/>
    </xf>
    <xf numFmtId="164" fontId="39" fillId="51" borderId="49" xfId="2" applyNumberFormat="1" applyFont="1" applyFill="1" applyBorder="1" applyAlignment="1" applyProtection="1">
      <alignment horizontal="left"/>
      <protection locked="0"/>
    </xf>
    <xf numFmtId="164" fontId="39" fillId="51" borderId="0" xfId="2" applyNumberFormat="1" applyFont="1" applyFill="1" applyBorder="1" applyAlignment="1" applyProtection="1">
      <alignment horizontal="left"/>
      <protection locked="0"/>
    </xf>
    <xf numFmtId="0" fontId="0" fillId="50" borderId="27" xfId="0" applyFill="1" applyBorder="1" applyAlignment="1" applyProtection="1">
      <alignment horizontal="center"/>
    </xf>
    <xf numFmtId="0" fontId="0" fillId="50" borderId="28" xfId="0" applyFill="1" applyBorder="1" applyAlignment="1" applyProtection="1">
      <alignment horizontal="center"/>
    </xf>
    <xf numFmtId="0" fontId="0" fillId="50" borderId="29" xfId="0" applyFill="1" applyBorder="1" applyAlignment="1" applyProtection="1">
      <alignment horizontal="center"/>
    </xf>
    <xf numFmtId="0" fontId="40" fillId="50" borderId="27" xfId="9" applyFill="1" applyBorder="1" applyAlignment="1" applyProtection="1">
      <alignment horizontal="left"/>
      <protection locked="0"/>
    </xf>
    <xf numFmtId="0" fontId="29" fillId="50" borderId="28" xfId="0" applyFont="1" applyFill="1" applyBorder="1" applyAlignment="1" applyProtection="1">
      <alignment horizontal="left"/>
      <protection locked="0"/>
    </xf>
    <xf numFmtId="0" fontId="29" fillId="50" borderId="29" xfId="0" applyFont="1" applyFill="1" applyBorder="1" applyAlignment="1" applyProtection="1">
      <alignment horizontal="left"/>
      <protection locked="0"/>
    </xf>
    <xf numFmtId="0" fontId="0" fillId="6" borderId="49" xfId="0" applyFill="1" applyBorder="1" applyAlignment="1" applyProtection="1">
      <alignment horizontal="center"/>
    </xf>
    <xf numFmtId="9" fontId="8" fillId="6" borderId="48" xfId="5" applyFont="1" applyFill="1" applyBorder="1" applyAlignment="1" applyProtection="1">
      <alignment horizontal="center" vertical="center"/>
    </xf>
    <xf numFmtId="9" fontId="8" fillId="6" borderId="49" xfId="5" applyFont="1" applyFill="1" applyBorder="1" applyAlignment="1" applyProtection="1">
      <alignment horizontal="center" vertical="center"/>
    </xf>
    <xf numFmtId="164" fontId="31" fillId="54" borderId="48" xfId="2" applyNumberFormat="1" applyFont="1" applyFill="1" applyBorder="1" applyAlignment="1" applyProtection="1">
      <alignment horizontal="center" vertical="center"/>
      <protection locked="0"/>
    </xf>
    <xf numFmtId="164" fontId="31" fillId="54" borderId="49" xfId="2" applyNumberFormat="1" applyFont="1" applyFill="1" applyBorder="1" applyAlignment="1" applyProtection="1">
      <alignment horizontal="center" vertical="center"/>
      <protection locked="0"/>
    </xf>
    <xf numFmtId="164" fontId="31" fillId="54" borderId="47" xfId="2" applyNumberFormat="1" applyFont="1" applyFill="1" applyBorder="1" applyAlignment="1" applyProtection="1">
      <alignment horizontal="center" vertical="center"/>
      <protection locked="0"/>
    </xf>
    <xf numFmtId="44" fontId="39" fillId="51" borderId="28" xfId="0" applyNumberFormat="1" applyFont="1" applyFill="1" applyBorder="1" applyAlignment="1" applyProtection="1">
      <alignment horizontal="left" vertical="center"/>
      <protection locked="0" hidden="1"/>
    </xf>
    <xf numFmtId="0" fontId="10" fillId="6" borderId="28" xfId="0" applyFont="1" applyFill="1" applyBorder="1" applyAlignment="1" applyProtection="1">
      <alignment horizontal="left" vertical="center" wrapText="1"/>
    </xf>
    <xf numFmtId="44" fontId="39" fillId="10" borderId="28" xfId="0" applyNumberFormat="1" applyFont="1" applyFill="1" applyBorder="1" applyAlignment="1" applyProtection="1">
      <alignment horizontal="center" vertical="center"/>
      <protection locked="0"/>
    </xf>
    <xf numFmtId="44" fontId="28" fillId="5" borderId="0" xfId="1" applyFont="1" applyFill="1" applyBorder="1" applyAlignment="1" applyProtection="1">
      <alignment horizontal="center" vertical="center" wrapText="1"/>
    </xf>
    <xf numFmtId="0" fontId="10" fillId="6" borderId="0" xfId="0" applyFont="1" applyFill="1" applyBorder="1" applyAlignment="1" applyProtection="1">
      <alignment horizontal="left" vertical="center" wrapText="1"/>
    </xf>
    <xf numFmtId="44" fontId="10" fillId="10" borderId="33" xfId="0" applyNumberFormat="1" applyFont="1" applyFill="1" applyBorder="1" applyAlignment="1" applyProtection="1">
      <alignment horizontal="center" vertical="center"/>
      <protection locked="0"/>
    </xf>
    <xf numFmtId="0" fontId="7" fillId="5" borderId="52" xfId="0" applyFont="1" applyFill="1" applyBorder="1" applyAlignment="1" applyProtection="1">
      <alignment horizontal="center"/>
    </xf>
    <xf numFmtId="0" fontId="39" fillId="6" borderId="0" xfId="0" applyFont="1" applyFill="1" applyBorder="1" applyAlignment="1" applyProtection="1">
      <alignment horizontal="left"/>
      <protection locked="0" hidden="1"/>
    </xf>
    <xf numFmtId="0" fontId="10" fillId="59" borderId="49" xfId="0" applyFont="1" applyFill="1" applyBorder="1" applyAlignment="1" applyProtection="1">
      <alignment horizontal="left" vertical="center" wrapText="1"/>
      <protection hidden="1"/>
    </xf>
    <xf numFmtId="0" fontId="10" fillId="6" borderId="0" xfId="0" applyFont="1" applyFill="1" applyBorder="1" applyAlignment="1" applyProtection="1">
      <alignment horizontal="left" vertical="center"/>
      <protection locked="0"/>
    </xf>
    <xf numFmtId="0" fontId="0" fillId="54" borderId="49" xfId="0" applyFont="1" applyFill="1" applyBorder="1" applyAlignment="1" applyProtection="1">
      <alignment horizontal="center" vertical="center"/>
      <protection locked="0"/>
    </xf>
    <xf numFmtId="0" fontId="0" fillId="54" borderId="52" xfId="0" applyFont="1" applyFill="1" applyBorder="1" applyAlignment="1" applyProtection="1">
      <alignment horizontal="center" vertical="center"/>
      <protection locked="0"/>
    </xf>
    <xf numFmtId="0" fontId="10" fillId="6" borderId="48" xfId="0" applyFont="1" applyFill="1" applyBorder="1" applyAlignment="1" applyProtection="1">
      <alignment horizontal="left" vertical="center" wrapText="1"/>
    </xf>
    <xf numFmtId="0" fontId="10" fillId="6" borderId="49" xfId="0" applyFont="1" applyFill="1" applyBorder="1" applyAlignment="1" applyProtection="1">
      <alignment horizontal="left" vertical="center" wrapText="1"/>
    </xf>
    <xf numFmtId="0" fontId="10" fillId="6" borderId="51"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protection locked="0" hidden="1"/>
    </xf>
    <xf numFmtId="0" fontId="10" fillId="51" borderId="49" xfId="0" applyFont="1" applyFill="1" applyBorder="1" applyAlignment="1" applyProtection="1">
      <alignment horizontal="left" vertical="top" wrapText="1"/>
      <protection hidden="1"/>
    </xf>
    <xf numFmtId="0" fontId="39" fillId="51" borderId="49" xfId="0" applyFont="1" applyFill="1" applyBorder="1" applyAlignment="1" applyProtection="1">
      <alignment horizontal="left" vertical="top" wrapText="1"/>
      <protection locked="0" hidden="1"/>
    </xf>
    <xf numFmtId="0" fontId="39" fillId="51" borderId="0" xfId="0" applyFont="1" applyFill="1" applyBorder="1" applyAlignment="1" applyProtection="1">
      <alignment horizontal="left" vertical="top" wrapText="1"/>
      <protection locked="0" hidden="1"/>
    </xf>
    <xf numFmtId="0" fontId="10" fillId="6" borderId="0" xfId="0" applyFont="1" applyFill="1" applyBorder="1" applyAlignment="1" applyProtection="1">
      <alignment horizontal="left" vertical="top" wrapText="1"/>
      <protection locked="0" hidden="1"/>
    </xf>
    <xf numFmtId="0" fontId="10" fillId="54" borderId="0" xfId="0" applyFont="1" applyFill="1" applyBorder="1" applyAlignment="1" applyProtection="1">
      <alignment horizontal="center" vertical="center"/>
      <protection locked="0"/>
    </xf>
    <xf numFmtId="0" fontId="0" fillId="54" borderId="0" xfId="0" applyFont="1" applyFill="1" applyBorder="1" applyAlignment="1" applyProtection="1">
      <alignment horizontal="center" vertical="center"/>
      <protection locked="0"/>
    </xf>
    <xf numFmtId="0" fontId="10" fillId="58" borderId="0" xfId="0" applyFont="1" applyFill="1" applyBorder="1" applyAlignment="1" applyProtection="1">
      <alignment horizontal="left" vertical="center"/>
      <protection hidden="1"/>
    </xf>
    <xf numFmtId="0" fontId="10" fillId="6" borderId="49" xfId="0" applyFont="1" applyFill="1" applyBorder="1" applyAlignment="1" applyProtection="1">
      <alignment horizontal="left" vertical="center"/>
    </xf>
    <xf numFmtId="0" fontId="7" fillId="5" borderId="0" xfId="0" applyFont="1" applyFill="1" applyBorder="1" applyAlignment="1" applyProtection="1">
      <alignment horizontal="center" vertical="center"/>
    </xf>
    <xf numFmtId="0" fontId="8" fillId="6" borderId="49"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5" fillId="0" borderId="1" xfId="10" applyFont="1" applyFill="1" applyBorder="1" applyAlignment="1">
      <alignment horizontal="left" wrapText="1"/>
    </xf>
    <xf numFmtId="3" fontId="5" fillId="0" borderId="1" xfId="2" applyNumberFormat="1" applyFont="1" applyBorder="1" applyAlignment="1">
      <alignment horizontal="center"/>
    </xf>
  </cellXfs>
  <cellStyles count="6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cellStyle name="Comma 2 2" xfId="58"/>
    <cellStyle name="Comma 2 3" xfId="57"/>
    <cellStyle name="Comma 3" xfId="59"/>
    <cellStyle name="Comma 4" xfId="56"/>
    <cellStyle name="Currency" xfId="1" builtinId="4"/>
    <cellStyle name="Currency 2" xfId="4"/>
    <cellStyle name="Currency 3" xfId="6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cellStyle name="Hyperlink 3" xfId="54"/>
    <cellStyle name="Hyperlink 4" xfId="61"/>
    <cellStyle name="Input" xfId="20" builtinId="20" customBuiltin="1"/>
    <cellStyle name="Linked Cell" xfId="23" builtinId="24" customBuiltin="1"/>
    <cellStyle name="Neutral" xfId="19" builtinId="28" customBuiltin="1"/>
    <cellStyle name="Normal" xfId="0" builtinId="0"/>
    <cellStyle name="Normal 2" xfId="3"/>
    <cellStyle name="Normal 2 2" xfId="63"/>
    <cellStyle name="Normal 2 3" xfId="62"/>
    <cellStyle name="Normal 3" xfId="64"/>
    <cellStyle name="Normal 4" xfId="55"/>
    <cellStyle name="Normal_Sheet1" xfId="11"/>
    <cellStyle name="Normal_Sheet6" xfId="8"/>
    <cellStyle name="Normal_Source" xfId="10"/>
    <cellStyle name="Note" xfId="26" builtinId="10" customBuiltin="1"/>
    <cellStyle name="Output" xfId="21" builtinId="21" customBuiltin="1"/>
    <cellStyle name="Percent" xfId="5" builtinId="5"/>
    <cellStyle name="Percent 2" xfId="6"/>
    <cellStyle name="Percent 3" xfId="65"/>
    <cellStyle name="Title" xfId="12" builtinId="15" customBuiltin="1"/>
    <cellStyle name="Total" xfId="28" builtinId="25" customBuiltin="1"/>
    <cellStyle name="Warning Text" xfId="25" builtinId="11" customBuiltin="1"/>
  </cellStyles>
  <dxfs count="56">
    <dxf>
      <font>
        <color rgb="FFEAF0F6"/>
      </font>
      <fill>
        <patternFill>
          <bgColor rgb="FFEAF0F6"/>
        </patternFill>
      </fill>
    </dxf>
    <dxf>
      <fill>
        <patternFill>
          <bgColor rgb="FFFFFF9F"/>
        </patternFill>
      </fill>
    </dxf>
    <dxf>
      <fill>
        <patternFill>
          <bgColor rgb="FFFFFFA3"/>
        </patternFill>
      </fill>
    </dxf>
    <dxf>
      <font>
        <color theme="3"/>
      </font>
    </dxf>
    <dxf>
      <font>
        <color rgb="FFECF2F8"/>
      </font>
      <fill>
        <patternFill>
          <bgColor rgb="FFF1F5F9"/>
        </patternFill>
      </fill>
    </dxf>
    <dxf>
      <font>
        <color rgb="FFEEF3F8"/>
      </font>
      <fill>
        <patternFill>
          <bgColor rgb="FFECF2F8"/>
        </patternFill>
      </fill>
    </dxf>
    <dxf>
      <font>
        <color theme="3"/>
      </font>
      <fill>
        <patternFill>
          <bgColor rgb="FFF4F7FA"/>
        </patternFill>
      </fill>
    </dxf>
    <dxf>
      <font>
        <color theme="0"/>
      </font>
      <fill>
        <patternFill>
          <bgColor theme="0"/>
        </patternFill>
      </fill>
    </dxf>
    <dxf>
      <fill>
        <patternFill>
          <bgColor rgb="FFFFFF97"/>
        </patternFill>
      </fill>
    </dxf>
    <dxf>
      <fill>
        <patternFill>
          <bgColor rgb="FFFFFF9B"/>
        </patternFill>
      </fill>
    </dxf>
    <dxf>
      <fill>
        <patternFill>
          <bgColor rgb="FFFFFFA3"/>
        </patternFill>
      </fill>
    </dxf>
    <dxf>
      <font>
        <color rgb="FFEEF3F8"/>
      </font>
      <fill>
        <patternFill>
          <bgColor rgb="FFECF2F8"/>
        </patternFill>
      </fill>
    </dxf>
    <dxf>
      <font>
        <color rgb="FFF1F5F9"/>
      </font>
      <fill>
        <patternFill>
          <bgColor rgb="FFF4F7FA"/>
        </patternFill>
      </fill>
    </dxf>
    <dxf>
      <fill>
        <patternFill>
          <bgColor rgb="FFFFFF93"/>
        </patternFill>
      </fill>
    </dxf>
    <dxf>
      <fill>
        <patternFill>
          <bgColor rgb="FFFFFF93"/>
        </patternFill>
      </fill>
    </dxf>
    <dxf>
      <fill>
        <patternFill>
          <bgColor rgb="FFFFFF93"/>
        </patternFill>
      </fill>
    </dxf>
    <dxf>
      <font>
        <color theme="0"/>
      </font>
      <fill>
        <patternFill>
          <bgColor theme="0"/>
        </patternFill>
      </fill>
    </dxf>
    <dxf>
      <fill>
        <patternFill>
          <bgColor rgb="FFFFFF93"/>
        </patternFill>
      </fill>
    </dxf>
    <dxf>
      <fill>
        <patternFill>
          <bgColor rgb="FFFFFF93"/>
        </patternFill>
      </fill>
    </dxf>
    <dxf>
      <font>
        <color theme="3"/>
      </font>
      <fill>
        <patternFill>
          <bgColor rgb="FFFFFF9B"/>
        </patternFill>
      </fill>
    </dxf>
    <dxf>
      <fill>
        <patternFill>
          <bgColor rgb="FFFFFF93"/>
        </patternFill>
      </fill>
    </dxf>
    <dxf>
      <font>
        <color theme="0"/>
      </font>
      <fill>
        <patternFill>
          <bgColor theme="0"/>
        </patternFill>
      </fill>
    </dxf>
    <dxf>
      <fill>
        <patternFill>
          <bgColor rgb="FFFFFF93"/>
        </patternFill>
      </fill>
    </dxf>
    <dxf>
      <fill>
        <patternFill>
          <bgColor rgb="FFFFFF85"/>
        </patternFill>
      </fill>
    </dxf>
    <dxf>
      <fill>
        <patternFill>
          <bgColor rgb="FFFFFF89"/>
        </patternFill>
      </fill>
    </dxf>
    <dxf>
      <fill>
        <patternFill>
          <bgColor rgb="FFFFFFA7"/>
        </patternFill>
      </fill>
    </dxf>
    <dxf>
      <fill>
        <patternFill>
          <bgColor rgb="FFFFFFA3"/>
        </patternFill>
      </fill>
    </dxf>
    <dxf>
      <fill>
        <patternFill>
          <bgColor rgb="FFFFFFA3"/>
        </patternFill>
      </fill>
    </dxf>
    <dxf>
      <font>
        <color rgb="FF00B050"/>
      </font>
    </dxf>
    <dxf>
      <font>
        <color rgb="FF00B050"/>
      </font>
    </dxf>
    <dxf>
      <font>
        <color rgb="FF00B050"/>
      </font>
    </dxf>
    <dxf>
      <font>
        <color rgb="FF00B050"/>
      </font>
    </dxf>
    <dxf>
      <font>
        <b val="0"/>
        <i val="0"/>
        <color rgb="FF00B050"/>
      </font>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ill>
        <patternFill>
          <bgColor rgb="FFFFFFA3"/>
        </patternFill>
      </fill>
    </dxf>
    <dxf>
      <font>
        <b/>
        <i val="0"/>
        <color theme="3"/>
      </font>
      <fill>
        <patternFill>
          <bgColor rgb="FFFFFF8B"/>
        </patternFill>
      </fill>
    </dxf>
  </dxfs>
  <tableStyles count="0" defaultTableStyle="TableStyleMedium9" defaultPivotStyle="PivotStyleLight16"/>
  <colors>
    <mruColors>
      <color rgb="FFEAF0F6"/>
      <color rgb="FFFFFFA7"/>
      <color rgb="FFF1F5F9"/>
      <color rgb="FFFFFFA3"/>
      <color rgb="FFFFFF9F"/>
      <color rgb="FFFFFF9B"/>
      <color rgb="FFFFFF97"/>
      <color rgb="FFECF2F8"/>
      <color rgb="FFEEF3F8"/>
      <color rgb="FFF0F5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171450</xdr:colOff>
      <xdr:row>0</xdr:row>
      <xdr:rowOff>9526</xdr:rowOff>
    </xdr:from>
    <xdr:to>
      <xdr:col>19</xdr:col>
      <xdr:colOff>457199</xdr:colOff>
      <xdr:row>4</xdr:row>
      <xdr:rowOff>238126</xdr:rowOff>
    </xdr:to>
    <xdr:pic>
      <xdr:nvPicPr>
        <xdr:cNvPr id="2" name="Picture 2" descr="Leading-By-Example-Logo"/>
        <xdr:cNvPicPr>
          <a:picLocks noChangeAspect="1" noChangeArrowheads="1"/>
        </xdr:cNvPicPr>
      </xdr:nvPicPr>
      <xdr:blipFill>
        <a:blip xmlns:r="http://schemas.openxmlformats.org/officeDocument/2006/relationships" r:embed="rId1" cstate="print"/>
        <a:srcRect/>
        <a:stretch>
          <a:fillRect/>
        </a:stretch>
      </xdr:blipFill>
      <xdr:spPr bwMode="auto">
        <a:xfrm>
          <a:off x="9972675" y="9526"/>
          <a:ext cx="1600199" cy="10477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s://recyclesmartma.org/" TargetMode="External"/><Relationship Id="rId2" Type="http://schemas.openxmlformats.org/officeDocument/2006/relationships/hyperlink" Target="http://www.mass.gov/eea/agencies/massdep/recycle/solid/massachusetts-waste-disposal-bans.html" TargetMode="External"/><Relationship Id="rId1" Type="http://schemas.openxmlformats.org/officeDocument/2006/relationships/hyperlink" Target="http://www.mass.gov/eea/docs/dep/recycle/wstban01.doc"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U57"/>
  <sheetViews>
    <sheetView showGridLines="0" tabSelected="1" zoomScaleNormal="100" workbookViewId="0">
      <selection sqref="A1:XFD1048576"/>
    </sheetView>
  </sheetViews>
  <sheetFormatPr defaultColWidth="0" defaultRowHeight="15.75" zeroHeight="1" x14ac:dyDescent="0.25"/>
  <cols>
    <col min="1" max="1" width="2" style="15" customWidth="1"/>
    <col min="2" max="2" width="8.5703125" style="15" customWidth="1"/>
    <col min="3" max="3" width="8.42578125" style="15" customWidth="1"/>
    <col min="4" max="4" width="7" style="15" customWidth="1"/>
    <col min="5" max="14" width="9.140625" style="15"/>
    <col min="15" max="15" width="6.5703125" style="15" customWidth="1"/>
    <col min="16" max="18" width="9.140625" style="15"/>
    <col min="19" max="19" width="9.42578125" style="15" customWidth="1"/>
    <col min="20" max="20" width="7.7109375" style="15" customWidth="1"/>
    <col min="21" max="21" width="8.85546875" style="440" customWidth="1"/>
    <col min="22" max="22" width="0" style="15" hidden="1" customWidth="1"/>
    <col min="23" max="16384" width="0" style="15" hidden="1"/>
  </cols>
  <sheetData>
    <row r="1" spans="2:21" ht="19.5" customHeight="1" x14ac:dyDescent="0.25">
      <c r="B1" s="678" t="s">
        <v>0</v>
      </c>
      <c r="C1" s="678"/>
      <c r="D1" s="678"/>
      <c r="E1" s="678"/>
      <c r="F1" s="678"/>
      <c r="G1" s="678"/>
      <c r="H1" s="678"/>
      <c r="I1" s="678"/>
      <c r="J1" s="678"/>
    </row>
    <row r="2" spans="2:21" ht="15" customHeight="1" x14ac:dyDescent="0.25">
      <c r="B2" s="678" t="s">
        <v>1</v>
      </c>
      <c r="C2" s="678"/>
      <c r="D2" s="678"/>
      <c r="E2" s="678"/>
      <c r="F2" s="678"/>
      <c r="G2" s="678"/>
      <c r="H2" s="678"/>
      <c r="I2" s="678"/>
      <c r="J2" s="678"/>
    </row>
    <row r="3" spans="2:21" ht="15" customHeight="1" x14ac:dyDescent="0.25">
      <c r="B3" s="679" t="s">
        <v>2</v>
      </c>
      <c r="C3" s="679"/>
      <c r="D3" s="679"/>
      <c r="E3" s="679"/>
      <c r="F3" s="679"/>
      <c r="G3" s="679"/>
      <c r="H3" s="679"/>
      <c r="I3" s="679"/>
      <c r="J3" s="679"/>
    </row>
    <row r="4" spans="2:21" ht="15" customHeight="1" x14ac:dyDescent="0.25">
      <c r="B4" s="679" t="s">
        <v>743</v>
      </c>
      <c r="C4" s="679"/>
      <c r="D4" s="679"/>
      <c r="E4" s="679"/>
      <c r="F4" s="679"/>
      <c r="G4" s="679"/>
      <c r="H4" s="679"/>
      <c r="I4" s="679"/>
      <c r="J4" s="679"/>
    </row>
    <row r="5" spans="2:21" ht="23.25" customHeight="1" thickBot="1" x14ac:dyDescent="0.3">
      <c r="B5" s="680" t="s">
        <v>744</v>
      </c>
      <c r="C5" s="680"/>
      <c r="D5" s="680"/>
      <c r="E5" s="680"/>
      <c r="F5" s="680"/>
      <c r="G5" s="680"/>
      <c r="H5" s="680"/>
      <c r="I5" s="680"/>
      <c r="J5" s="680"/>
    </row>
    <row r="6" spans="2:21" s="55" customFormat="1" ht="30" customHeight="1" thickBot="1" x14ac:dyDescent="0.3">
      <c r="B6" s="695" t="s">
        <v>752</v>
      </c>
      <c r="C6" s="696"/>
      <c r="D6" s="696"/>
      <c r="E6" s="696"/>
      <c r="F6" s="696"/>
      <c r="G6" s="696"/>
      <c r="H6" s="696"/>
      <c r="I6" s="696"/>
      <c r="J6" s="696"/>
      <c r="K6" s="696"/>
      <c r="L6" s="696"/>
      <c r="M6" s="696"/>
      <c r="N6" s="696"/>
      <c r="O6" s="696"/>
      <c r="P6" s="696"/>
      <c r="Q6" s="696"/>
      <c r="R6" s="696"/>
      <c r="S6" s="696"/>
      <c r="T6" s="697"/>
      <c r="U6" s="439"/>
    </row>
    <row r="7" spans="2:21" ht="18.75" customHeight="1" thickBot="1" x14ac:dyDescent="0.3">
      <c r="B7" s="700" t="s">
        <v>1126</v>
      </c>
      <c r="C7" s="700"/>
      <c r="D7" s="700"/>
      <c r="E7" s="700"/>
      <c r="F7" s="700"/>
      <c r="G7" s="700"/>
      <c r="H7" s="700"/>
      <c r="I7" s="700"/>
      <c r="J7" s="700"/>
      <c r="K7" s="700"/>
      <c r="L7" s="700"/>
      <c r="M7" s="700"/>
      <c r="N7" s="700"/>
      <c r="O7" s="700"/>
      <c r="P7" s="700"/>
      <c r="Q7" s="700"/>
      <c r="R7" s="700"/>
      <c r="S7" s="700"/>
      <c r="T7" s="700"/>
    </row>
    <row r="8" spans="2:21" ht="18.75" customHeight="1" thickBot="1" x14ac:dyDescent="0.3">
      <c r="B8" s="700"/>
      <c r="C8" s="700"/>
      <c r="D8" s="700"/>
      <c r="E8" s="700"/>
      <c r="F8" s="700"/>
      <c r="G8" s="700"/>
      <c r="H8" s="700"/>
      <c r="I8" s="700"/>
      <c r="J8" s="700"/>
      <c r="K8" s="700"/>
      <c r="L8" s="700"/>
      <c r="M8" s="700"/>
      <c r="N8" s="700"/>
      <c r="O8" s="700"/>
      <c r="P8" s="700"/>
      <c r="Q8" s="700"/>
      <c r="R8" s="700"/>
      <c r="S8" s="700"/>
      <c r="T8" s="700"/>
    </row>
    <row r="9" spans="2:21" ht="15.75" customHeight="1" thickBot="1" x14ac:dyDescent="0.3">
      <c r="B9" s="700"/>
      <c r="C9" s="700"/>
      <c r="D9" s="700"/>
      <c r="E9" s="700"/>
      <c r="F9" s="700"/>
      <c r="G9" s="700"/>
      <c r="H9" s="700"/>
      <c r="I9" s="700"/>
      <c r="J9" s="700"/>
      <c r="K9" s="700"/>
      <c r="L9" s="700"/>
      <c r="M9" s="700"/>
      <c r="N9" s="700"/>
      <c r="O9" s="700"/>
      <c r="P9" s="700"/>
      <c r="Q9" s="700"/>
      <c r="R9" s="700"/>
      <c r="S9" s="700"/>
      <c r="T9" s="700"/>
    </row>
    <row r="10" spans="2:21" ht="15.75" customHeight="1" thickBot="1" x14ac:dyDescent="0.3">
      <c r="B10" s="700"/>
      <c r="C10" s="700"/>
      <c r="D10" s="700"/>
      <c r="E10" s="700"/>
      <c r="F10" s="700"/>
      <c r="G10" s="700"/>
      <c r="H10" s="700"/>
      <c r="I10" s="700"/>
      <c r="J10" s="700"/>
      <c r="K10" s="700"/>
      <c r="L10" s="700"/>
      <c r="M10" s="700"/>
      <c r="N10" s="700"/>
      <c r="O10" s="700"/>
      <c r="P10" s="700"/>
      <c r="Q10" s="700"/>
      <c r="R10" s="700"/>
      <c r="S10" s="700"/>
      <c r="T10" s="700"/>
    </row>
    <row r="11" spans="2:21" ht="16.5" thickBot="1" x14ac:dyDescent="0.3">
      <c r="B11" s="700"/>
      <c r="C11" s="700"/>
      <c r="D11" s="700"/>
      <c r="E11" s="700"/>
      <c r="F11" s="700"/>
      <c r="G11" s="700"/>
      <c r="H11" s="700"/>
      <c r="I11" s="700"/>
      <c r="J11" s="700"/>
      <c r="K11" s="700"/>
      <c r="L11" s="700"/>
      <c r="M11" s="700"/>
      <c r="N11" s="700"/>
      <c r="O11" s="700"/>
      <c r="P11" s="700"/>
      <c r="Q11" s="700"/>
      <c r="R11" s="700"/>
      <c r="S11" s="700"/>
      <c r="T11" s="700"/>
    </row>
    <row r="12" spans="2:21" ht="15" customHeight="1" x14ac:dyDescent="0.25">
      <c r="B12" s="701"/>
      <c r="C12" s="701"/>
      <c r="D12" s="701"/>
      <c r="E12" s="701"/>
      <c r="F12" s="701"/>
      <c r="G12" s="701"/>
      <c r="H12" s="701"/>
      <c r="I12" s="701"/>
      <c r="J12" s="701"/>
      <c r="K12" s="701"/>
      <c r="L12" s="701"/>
      <c r="M12" s="701"/>
      <c r="N12" s="701"/>
      <c r="O12" s="701"/>
      <c r="P12" s="701"/>
      <c r="Q12" s="701"/>
      <c r="R12" s="701"/>
      <c r="S12" s="701"/>
      <c r="T12" s="701"/>
    </row>
    <row r="13" spans="2:21" s="485" customFormat="1" ht="7.5" customHeight="1" x14ac:dyDescent="0.25">
      <c r="B13" s="306"/>
      <c r="C13" s="306"/>
      <c r="D13" s="306"/>
      <c r="E13" s="306"/>
      <c r="F13" s="306"/>
      <c r="G13" s="306"/>
      <c r="H13" s="306"/>
      <c r="I13" s="306"/>
      <c r="J13" s="306"/>
      <c r="K13" s="306"/>
      <c r="L13" s="306"/>
      <c r="M13" s="306"/>
      <c r="N13" s="306"/>
      <c r="O13" s="306"/>
      <c r="P13" s="306"/>
      <c r="Q13" s="306"/>
      <c r="R13" s="306"/>
      <c r="S13" s="306"/>
      <c r="T13" s="306"/>
      <c r="U13" s="484"/>
    </row>
    <row r="14" spans="2:21" ht="23.25" x14ac:dyDescent="0.25">
      <c r="B14" s="706" t="s">
        <v>745</v>
      </c>
      <c r="C14" s="706"/>
      <c r="D14" s="706"/>
      <c r="E14" s="706"/>
      <c r="F14" s="706"/>
      <c r="G14" s="706"/>
      <c r="H14" s="706"/>
      <c r="I14" s="706"/>
      <c r="J14" s="706"/>
      <c r="K14" s="706"/>
      <c r="L14" s="706"/>
      <c r="M14" s="706"/>
      <c r="N14" s="706"/>
      <c r="O14" s="706"/>
      <c r="P14" s="706"/>
      <c r="Q14" s="706"/>
      <c r="R14" s="706"/>
      <c r="S14" s="706"/>
      <c r="T14" s="706"/>
    </row>
    <row r="15" spans="2:21" ht="15" customHeight="1" x14ac:dyDescent="0.25">
      <c r="B15" s="698" t="s">
        <v>1106</v>
      </c>
      <c r="C15" s="698"/>
      <c r="D15" s="698"/>
      <c r="E15" s="698"/>
      <c r="F15" s="698"/>
      <c r="G15" s="698"/>
      <c r="H15" s="698"/>
      <c r="I15" s="698"/>
      <c r="J15" s="698"/>
      <c r="K15" s="698"/>
      <c r="L15" s="698"/>
      <c r="M15" s="698"/>
      <c r="N15" s="698"/>
      <c r="O15" s="698"/>
      <c r="P15" s="698"/>
      <c r="Q15" s="698"/>
      <c r="R15" s="698"/>
      <c r="S15" s="698"/>
      <c r="T15" s="698"/>
    </row>
    <row r="16" spans="2:21" ht="17.25" customHeight="1" thickBot="1" x14ac:dyDescent="0.3">
      <c r="B16" s="699"/>
      <c r="C16" s="699"/>
      <c r="D16" s="699"/>
      <c r="E16" s="699"/>
      <c r="F16" s="699"/>
      <c r="G16" s="699"/>
      <c r="H16" s="699"/>
      <c r="I16" s="699"/>
      <c r="J16" s="699"/>
      <c r="K16" s="699"/>
      <c r="L16" s="699"/>
      <c r="M16" s="699"/>
      <c r="N16" s="699"/>
      <c r="O16" s="699"/>
      <c r="P16" s="699"/>
      <c r="Q16" s="699"/>
      <c r="R16" s="699"/>
      <c r="S16" s="699"/>
      <c r="T16" s="699"/>
    </row>
    <row r="17" spans="2:20" ht="27.75" customHeight="1" x14ac:dyDescent="0.25">
      <c r="B17" s="674" t="s">
        <v>1252</v>
      </c>
      <c r="C17" s="674"/>
      <c r="D17" s="674"/>
      <c r="E17" s="682" t="s">
        <v>1253</v>
      </c>
      <c r="F17" s="682"/>
      <c r="G17" s="682"/>
      <c r="H17" s="682"/>
      <c r="I17" s="682"/>
      <c r="J17" s="682"/>
      <c r="K17" s="682"/>
      <c r="L17" s="682"/>
      <c r="M17" s="682"/>
      <c r="N17" s="682"/>
      <c r="O17" s="682"/>
      <c r="P17" s="682"/>
      <c r="Q17" s="682"/>
      <c r="R17" s="682"/>
      <c r="S17" s="682"/>
      <c r="T17" s="682"/>
    </row>
    <row r="18" spans="2:20" ht="27.75" customHeight="1" thickBot="1" x14ac:dyDescent="0.3">
      <c r="B18" s="681"/>
      <c r="C18" s="681"/>
      <c r="D18" s="681"/>
      <c r="E18" s="683"/>
      <c r="F18" s="683"/>
      <c r="G18" s="683"/>
      <c r="H18" s="683"/>
      <c r="I18" s="683"/>
      <c r="J18" s="683"/>
      <c r="K18" s="683"/>
      <c r="L18" s="683"/>
      <c r="M18" s="683"/>
      <c r="N18" s="683"/>
      <c r="O18" s="683"/>
      <c r="P18" s="683"/>
      <c r="Q18" s="683"/>
      <c r="R18" s="683"/>
      <c r="S18" s="683"/>
      <c r="T18" s="683"/>
    </row>
    <row r="19" spans="2:20" ht="27.75" customHeight="1" x14ac:dyDescent="0.25">
      <c r="B19" s="704" t="s">
        <v>84</v>
      </c>
      <c r="C19" s="674"/>
      <c r="D19" s="674"/>
      <c r="E19" s="705" t="s">
        <v>1143</v>
      </c>
      <c r="F19" s="705"/>
      <c r="G19" s="705"/>
      <c r="H19" s="705"/>
      <c r="I19" s="705"/>
      <c r="J19" s="705"/>
      <c r="K19" s="705"/>
      <c r="L19" s="705"/>
      <c r="M19" s="705"/>
      <c r="N19" s="705"/>
      <c r="O19" s="705"/>
      <c r="P19" s="705"/>
      <c r="Q19" s="705"/>
      <c r="R19" s="705"/>
      <c r="S19" s="705"/>
      <c r="T19" s="486"/>
    </row>
    <row r="20" spans="2:20" ht="33" customHeight="1" thickBot="1" x14ac:dyDescent="0.3">
      <c r="B20" s="703"/>
      <c r="C20" s="675"/>
      <c r="D20" s="675"/>
      <c r="E20" s="683"/>
      <c r="F20" s="683"/>
      <c r="G20" s="683"/>
      <c r="H20" s="683"/>
      <c r="I20" s="683"/>
      <c r="J20" s="683"/>
      <c r="K20" s="683"/>
      <c r="L20" s="683"/>
      <c r="M20" s="683"/>
      <c r="N20" s="683"/>
      <c r="O20" s="683"/>
      <c r="P20" s="683"/>
      <c r="Q20" s="683"/>
      <c r="R20" s="683"/>
      <c r="S20" s="683"/>
      <c r="T20" s="486"/>
    </row>
    <row r="21" spans="2:20" ht="27.75" customHeight="1" x14ac:dyDescent="0.25">
      <c r="B21" s="674" t="s">
        <v>81</v>
      </c>
      <c r="C21" s="674"/>
      <c r="D21" s="674"/>
      <c r="E21" s="682" t="s">
        <v>1117</v>
      </c>
      <c r="F21" s="682"/>
      <c r="G21" s="682"/>
      <c r="H21" s="682"/>
      <c r="I21" s="682"/>
      <c r="J21" s="682"/>
      <c r="K21" s="682"/>
      <c r="L21" s="682"/>
      <c r="M21" s="682"/>
      <c r="N21" s="682"/>
      <c r="O21" s="682"/>
      <c r="P21" s="682"/>
      <c r="Q21" s="682"/>
      <c r="R21" s="682"/>
      <c r="S21" s="682"/>
      <c r="T21" s="693"/>
    </row>
    <row r="22" spans="2:20" ht="36.75" customHeight="1" thickBot="1" x14ac:dyDescent="0.3">
      <c r="B22" s="675"/>
      <c r="C22" s="675"/>
      <c r="D22" s="675"/>
      <c r="E22" s="683"/>
      <c r="F22" s="683"/>
      <c r="G22" s="683"/>
      <c r="H22" s="683"/>
      <c r="I22" s="683"/>
      <c r="J22" s="683"/>
      <c r="K22" s="683"/>
      <c r="L22" s="683"/>
      <c r="M22" s="683"/>
      <c r="N22" s="683"/>
      <c r="O22" s="683"/>
      <c r="P22" s="683"/>
      <c r="Q22" s="683"/>
      <c r="R22" s="683"/>
      <c r="S22" s="683"/>
      <c r="T22" s="694"/>
    </row>
    <row r="23" spans="2:20" ht="28.5" customHeight="1" x14ac:dyDescent="0.25">
      <c r="B23" s="674" t="s">
        <v>1118</v>
      </c>
      <c r="C23" s="674"/>
      <c r="D23" s="674"/>
      <c r="E23" s="682" t="s">
        <v>1249</v>
      </c>
      <c r="F23" s="682"/>
      <c r="G23" s="682"/>
      <c r="H23" s="682"/>
      <c r="I23" s="682"/>
      <c r="J23" s="682"/>
      <c r="K23" s="682"/>
      <c r="L23" s="682"/>
      <c r="M23" s="682"/>
      <c r="N23" s="682"/>
      <c r="O23" s="682"/>
      <c r="P23" s="682"/>
      <c r="Q23" s="682"/>
      <c r="R23" s="682"/>
      <c r="S23" s="682"/>
      <c r="T23" s="693"/>
    </row>
    <row r="24" spans="2:20" ht="31.5" customHeight="1" thickBot="1" x14ac:dyDescent="0.3">
      <c r="B24" s="675"/>
      <c r="C24" s="675"/>
      <c r="D24" s="675"/>
      <c r="E24" s="683"/>
      <c r="F24" s="683"/>
      <c r="G24" s="683"/>
      <c r="H24" s="683"/>
      <c r="I24" s="683"/>
      <c r="J24" s="683"/>
      <c r="K24" s="683"/>
      <c r="L24" s="683"/>
      <c r="M24" s="683"/>
      <c r="N24" s="683"/>
      <c r="O24" s="683"/>
      <c r="P24" s="683"/>
      <c r="Q24" s="683"/>
      <c r="R24" s="683"/>
      <c r="S24" s="683"/>
      <c r="T24" s="694"/>
    </row>
    <row r="25" spans="2:20" ht="30" customHeight="1" x14ac:dyDescent="0.25">
      <c r="B25" s="674" t="s">
        <v>1127</v>
      </c>
      <c r="C25" s="674"/>
      <c r="D25" s="674"/>
      <c r="E25" s="676" t="s">
        <v>1130</v>
      </c>
      <c r="F25" s="676"/>
      <c r="G25" s="676"/>
      <c r="H25" s="676"/>
      <c r="I25" s="676"/>
      <c r="J25" s="676"/>
      <c r="K25" s="676"/>
      <c r="L25" s="676"/>
      <c r="M25" s="676"/>
      <c r="N25" s="676"/>
      <c r="O25" s="676"/>
      <c r="P25" s="676"/>
      <c r="Q25" s="676"/>
      <c r="R25" s="676"/>
      <c r="S25" s="676"/>
      <c r="T25" s="676"/>
    </row>
    <row r="26" spans="2:20" ht="30" customHeight="1" thickBot="1" x14ac:dyDescent="0.3">
      <c r="B26" s="675"/>
      <c r="C26" s="675"/>
      <c r="D26" s="675"/>
      <c r="E26" s="677"/>
      <c r="F26" s="677"/>
      <c r="G26" s="677"/>
      <c r="H26" s="677"/>
      <c r="I26" s="677"/>
      <c r="J26" s="677"/>
      <c r="K26" s="677"/>
      <c r="L26" s="677"/>
      <c r="M26" s="677"/>
      <c r="N26" s="677"/>
      <c r="O26" s="677"/>
      <c r="P26" s="677"/>
      <c r="Q26" s="677"/>
      <c r="R26" s="677"/>
      <c r="S26" s="677"/>
      <c r="T26" s="677"/>
    </row>
    <row r="27" spans="2:20" ht="30" customHeight="1" x14ac:dyDescent="0.25">
      <c r="B27" s="674" t="s">
        <v>514</v>
      </c>
      <c r="C27" s="674"/>
      <c r="D27" s="674"/>
      <c r="E27" s="676" t="s">
        <v>1131</v>
      </c>
      <c r="F27" s="676"/>
      <c r="G27" s="676"/>
      <c r="H27" s="676"/>
      <c r="I27" s="676"/>
      <c r="J27" s="676"/>
      <c r="K27" s="676"/>
      <c r="L27" s="676"/>
      <c r="M27" s="676"/>
      <c r="N27" s="676"/>
      <c r="O27" s="676"/>
      <c r="P27" s="676"/>
      <c r="Q27" s="676"/>
      <c r="R27" s="676"/>
      <c r="S27" s="676"/>
      <c r="T27" s="676"/>
    </row>
    <row r="28" spans="2:20" ht="30" customHeight="1" thickBot="1" x14ac:dyDescent="0.3">
      <c r="B28" s="675"/>
      <c r="C28" s="675"/>
      <c r="D28" s="675"/>
      <c r="E28" s="677"/>
      <c r="F28" s="677"/>
      <c r="G28" s="677"/>
      <c r="H28" s="677"/>
      <c r="I28" s="677"/>
      <c r="J28" s="677"/>
      <c r="K28" s="677"/>
      <c r="L28" s="677"/>
      <c r="M28" s="677"/>
      <c r="N28" s="677"/>
      <c r="O28" s="677"/>
      <c r="P28" s="677"/>
      <c r="Q28" s="677"/>
      <c r="R28" s="677"/>
      <c r="S28" s="677"/>
      <c r="T28" s="677"/>
    </row>
    <row r="29" spans="2:20" ht="30" customHeight="1" x14ac:dyDescent="0.25">
      <c r="B29" s="674" t="s">
        <v>541</v>
      </c>
      <c r="C29" s="674"/>
      <c r="D29" s="674"/>
      <c r="E29" s="676" t="s">
        <v>1227</v>
      </c>
      <c r="F29" s="676"/>
      <c r="G29" s="676"/>
      <c r="H29" s="676"/>
      <c r="I29" s="676"/>
      <c r="J29" s="676"/>
      <c r="K29" s="676"/>
      <c r="L29" s="676"/>
      <c r="M29" s="676"/>
      <c r="N29" s="676"/>
      <c r="O29" s="676"/>
      <c r="P29" s="676"/>
      <c r="Q29" s="676"/>
      <c r="R29" s="676"/>
      <c r="S29" s="676"/>
      <c r="T29" s="676"/>
    </row>
    <row r="30" spans="2:20" ht="28.5" customHeight="1" thickBot="1" x14ac:dyDescent="0.3">
      <c r="B30" s="675"/>
      <c r="C30" s="675"/>
      <c r="D30" s="675"/>
      <c r="E30" s="677"/>
      <c r="F30" s="677"/>
      <c r="G30" s="677"/>
      <c r="H30" s="677"/>
      <c r="I30" s="677"/>
      <c r="J30" s="677"/>
      <c r="K30" s="677"/>
      <c r="L30" s="677"/>
      <c r="M30" s="677"/>
      <c r="N30" s="677"/>
      <c r="O30" s="677"/>
      <c r="P30" s="677"/>
      <c r="Q30" s="677"/>
      <c r="R30" s="677"/>
      <c r="S30" s="677"/>
      <c r="T30" s="677"/>
    </row>
    <row r="31" spans="2:20" ht="31.5" customHeight="1" x14ac:dyDescent="0.25">
      <c r="B31" s="702" t="s">
        <v>1172</v>
      </c>
      <c r="C31" s="681"/>
      <c r="D31" s="681"/>
      <c r="E31" s="707" t="s">
        <v>1128</v>
      </c>
      <c r="F31" s="707"/>
      <c r="G31" s="707"/>
      <c r="H31" s="707"/>
      <c r="I31" s="707"/>
      <c r="J31" s="707"/>
      <c r="K31" s="707"/>
      <c r="L31" s="707"/>
      <c r="M31" s="707"/>
      <c r="N31" s="707"/>
      <c r="O31" s="707"/>
      <c r="P31" s="707"/>
      <c r="Q31" s="707"/>
      <c r="R31" s="707"/>
      <c r="S31" s="707"/>
      <c r="T31" s="707"/>
    </row>
    <row r="32" spans="2:20" ht="29.25" customHeight="1" thickBot="1" x14ac:dyDescent="0.3">
      <c r="B32" s="703"/>
      <c r="C32" s="675"/>
      <c r="D32" s="675"/>
      <c r="E32" s="708"/>
      <c r="F32" s="708"/>
      <c r="G32" s="708"/>
      <c r="H32" s="708"/>
      <c r="I32" s="708"/>
      <c r="J32" s="708"/>
      <c r="K32" s="708"/>
      <c r="L32" s="708"/>
      <c r="M32" s="708"/>
      <c r="N32" s="708"/>
      <c r="O32" s="708"/>
      <c r="P32" s="708"/>
      <c r="Q32" s="708"/>
      <c r="R32" s="708"/>
      <c r="S32" s="708"/>
      <c r="T32" s="708"/>
    </row>
    <row r="33" spans="2:21" s="485" customFormat="1" ht="16.5" thickBot="1" x14ac:dyDescent="0.3">
      <c r="B33" s="487"/>
      <c r="C33" s="488"/>
      <c r="D33" s="488"/>
      <c r="E33" s="307"/>
      <c r="F33" s="307"/>
      <c r="G33" s="307"/>
      <c r="H33" s="307"/>
      <c r="I33" s="307"/>
      <c r="J33" s="307"/>
      <c r="K33" s="307"/>
      <c r="L33" s="307"/>
      <c r="M33" s="307"/>
      <c r="N33" s="307"/>
      <c r="O33" s="307"/>
      <c r="P33" s="307"/>
      <c r="Q33" s="307"/>
      <c r="R33" s="307"/>
      <c r="S33" s="307"/>
      <c r="T33" s="307"/>
      <c r="U33" s="484"/>
    </row>
    <row r="34" spans="2:21" ht="15" customHeight="1" x14ac:dyDescent="0.25">
      <c r="B34" s="684" t="s">
        <v>1255</v>
      </c>
      <c r="C34" s="685"/>
      <c r="D34" s="685"/>
      <c r="E34" s="685"/>
      <c r="F34" s="685"/>
      <c r="G34" s="685"/>
      <c r="H34" s="685"/>
      <c r="I34" s="685"/>
      <c r="J34" s="685"/>
      <c r="K34" s="685"/>
      <c r="L34" s="685"/>
      <c r="M34" s="685"/>
      <c r="N34" s="685"/>
      <c r="O34" s="685"/>
      <c r="P34" s="685"/>
      <c r="Q34" s="685"/>
      <c r="R34" s="685"/>
      <c r="S34" s="685"/>
      <c r="T34" s="686"/>
    </row>
    <row r="35" spans="2:21" ht="15" customHeight="1" x14ac:dyDescent="0.25">
      <c r="B35" s="687"/>
      <c r="C35" s="688"/>
      <c r="D35" s="688"/>
      <c r="E35" s="688"/>
      <c r="F35" s="688"/>
      <c r="G35" s="688"/>
      <c r="H35" s="688"/>
      <c r="I35" s="688"/>
      <c r="J35" s="688"/>
      <c r="K35" s="688"/>
      <c r="L35" s="688"/>
      <c r="M35" s="688"/>
      <c r="N35" s="688"/>
      <c r="O35" s="688"/>
      <c r="P35" s="688"/>
      <c r="Q35" s="688"/>
      <c r="R35" s="688"/>
      <c r="S35" s="688"/>
      <c r="T35" s="689"/>
    </row>
    <row r="36" spans="2:21" ht="15" customHeight="1" x14ac:dyDescent="0.25">
      <c r="B36" s="687"/>
      <c r="C36" s="688"/>
      <c r="D36" s="688"/>
      <c r="E36" s="688"/>
      <c r="F36" s="688"/>
      <c r="G36" s="688"/>
      <c r="H36" s="688"/>
      <c r="I36" s="688"/>
      <c r="J36" s="688"/>
      <c r="K36" s="688"/>
      <c r="L36" s="688"/>
      <c r="M36" s="688"/>
      <c r="N36" s="688"/>
      <c r="O36" s="688"/>
      <c r="P36" s="688"/>
      <c r="Q36" s="688"/>
      <c r="R36" s="688"/>
      <c r="S36" s="688"/>
      <c r="T36" s="689"/>
    </row>
    <row r="37" spans="2:21" ht="15" customHeight="1" thickBot="1" x14ac:dyDescent="0.3">
      <c r="B37" s="690"/>
      <c r="C37" s="691"/>
      <c r="D37" s="691"/>
      <c r="E37" s="691"/>
      <c r="F37" s="691"/>
      <c r="G37" s="691"/>
      <c r="H37" s="691"/>
      <c r="I37" s="691"/>
      <c r="J37" s="691"/>
      <c r="K37" s="691"/>
      <c r="L37" s="691"/>
      <c r="M37" s="691"/>
      <c r="N37" s="691"/>
      <c r="O37" s="691"/>
      <c r="P37" s="691"/>
      <c r="Q37" s="691"/>
      <c r="R37" s="691"/>
      <c r="S37" s="691"/>
      <c r="T37" s="692"/>
    </row>
    <row r="38" spans="2:21" hidden="1" x14ac:dyDescent="0.25"/>
    <row r="39" spans="2:21" hidden="1" x14ac:dyDescent="0.25"/>
    <row r="40" spans="2:21" hidden="1" x14ac:dyDescent="0.25"/>
    <row r="41" spans="2:21" hidden="1" x14ac:dyDescent="0.25"/>
    <row r="42" spans="2:21" hidden="1" x14ac:dyDescent="0.25"/>
    <row r="43" spans="2:21" hidden="1" x14ac:dyDescent="0.25"/>
    <row r="44" spans="2:21" hidden="1" x14ac:dyDescent="0.25"/>
    <row r="45" spans="2:21" hidden="1" x14ac:dyDescent="0.25"/>
    <row r="46" spans="2:21" hidden="1" x14ac:dyDescent="0.25">
      <c r="B46" s="489"/>
    </row>
    <row r="47" spans="2:21" hidden="1" x14ac:dyDescent="0.25">
      <c r="B47" s="489"/>
    </row>
    <row r="48" spans="2:21" hidden="1" x14ac:dyDescent="0.25">
      <c r="B48" s="489"/>
    </row>
    <row r="49" spans="2:2" hidden="1" x14ac:dyDescent="0.25">
      <c r="B49" s="489"/>
    </row>
    <row r="50" spans="2:2" hidden="1" x14ac:dyDescent="0.25"/>
    <row r="51" spans="2:2" hidden="1" x14ac:dyDescent="0.25">
      <c r="B51" s="489"/>
    </row>
    <row r="52" spans="2:2" hidden="1" x14ac:dyDescent="0.25">
      <c r="B52" s="489"/>
    </row>
    <row r="53" spans="2:2" hidden="1" x14ac:dyDescent="0.25"/>
    <row r="54" spans="2:2" hidden="1" x14ac:dyDescent="0.25"/>
    <row r="55" spans="2:2" hidden="1" x14ac:dyDescent="0.25"/>
    <row r="56" spans="2:2" x14ac:dyDescent="0.25"/>
    <row r="57" spans="2:2" hidden="1" x14ac:dyDescent="0.25"/>
  </sheetData>
  <sheetProtection sheet="1" objects="1" scenarios="1" selectLockedCells="1" selectUnlockedCells="1"/>
  <mergeCells count="26">
    <mergeCell ref="B34:T37"/>
    <mergeCell ref="B21:D22"/>
    <mergeCell ref="E21:T22"/>
    <mergeCell ref="E23:T24"/>
    <mergeCell ref="B6:T6"/>
    <mergeCell ref="B15:T16"/>
    <mergeCell ref="B7:T12"/>
    <mergeCell ref="B31:D32"/>
    <mergeCell ref="B19:D20"/>
    <mergeCell ref="E19:S20"/>
    <mergeCell ref="B25:D26"/>
    <mergeCell ref="B23:D24"/>
    <mergeCell ref="B14:T14"/>
    <mergeCell ref="E25:T26"/>
    <mergeCell ref="E31:T32"/>
    <mergeCell ref="B27:D28"/>
    <mergeCell ref="B29:D30"/>
    <mergeCell ref="E29:T30"/>
    <mergeCell ref="E27:T28"/>
    <mergeCell ref="B1:J1"/>
    <mergeCell ref="B3:J3"/>
    <mergeCell ref="B4:J4"/>
    <mergeCell ref="B2:J2"/>
    <mergeCell ref="B5:J5"/>
    <mergeCell ref="B17:D18"/>
    <mergeCell ref="E17:T18"/>
  </mergeCell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A141"/>
  <sheetViews>
    <sheetView topLeftCell="E1" workbookViewId="0">
      <selection activeCell="M146" sqref="M146"/>
    </sheetView>
  </sheetViews>
  <sheetFormatPr defaultRowHeight="15" x14ac:dyDescent="0.25"/>
  <cols>
    <col min="1" max="1" width="42.5703125" customWidth="1"/>
    <col min="2" max="2" width="12.42578125" customWidth="1"/>
    <col min="3" max="3" width="27.5703125" customWidth="1"/>
    <col min="4" max="4" width="18.28515625" bestFit="1" customWidth="1"/>
    <col min="5" max="5" width="43.28515625" customWidth="1"/>
    <col min="6" max="6" width="11.5703125" style="41" bestFit="1" customWidth="1"/>
    <col min="7" max="7" width="16.28515625" customWidth="1"/>
    <col min="8" max="8" width="12.5703125" bestFit="1" customWidth="1"/>
    <col min="9" max="9" width="5.5703125" customWidth="1"/>
    <col min="10" max="10" width="6" customWidth="1"/>
    <col min="11" max="11" width="10.7109375" customWidth="1"/>
    <col min="12" max="12" width="10.7109375" style="42" customWidth="1"/>
    <col min="13" max="13" width="13" style="41" bestFit="1" customWidth="1"/>
    <col min="14" max="14" width="11" customWidth="1"/>
    <col min="15" max="15" width="11" style="147" customWidth="1"/>
    <col min="16" max="17" width="9.140625" customWidth="1"/>
    <col min="18" max="18" width="10.5703125" customWidth="1"/>
    <col min="19" max="19" width="13.85546875" customWidth="1"/>
    <col min="20" max="20" width="16.7109375" customWidth="1"/>
    <col min="21" max="21" width="9.140625" style="403" customWidth="1"/>
    <col min="22" max="22" width="11.5703125" customWidth="1"/>
    <col min="23" max="23" width="19.28515625" customWidth="1"/>
    <col min="24" max="24" width="12.28515625" customWidth="1"/>
    <col min="25" max="25" width="49.140625" bestFit="1" customWidth="1"/>
  </cols>
  <sheetData>
    <row r="1" spans="1:27" ht="60" x14ac:dyDescent="0.25">
      <c r="A1" s="7" t="str">
        <f t="shared" ref="A1:A30" si="0">Y1&amp;Z1</f>
        <v>Agency#</v>
      </c>
      <c r="B1" s="7" t="s">
        <v>221</v>
      </c>
      <c r="C1" s="7" t="s">
        <v>104</v>
      </c>
      <c r="D1" s="24" t="s">
        <v>252</v>
      </c>
      <c r="E1" s="24" t="s">
        <v>253</v>
      </c>
      <c r="F1" s="25" t="s">
        <v>254</v>
      </c>
      <c r="G1" s="24" t="s">
        <v>255</v>
      </c>
      <c r="H1" s="24" t="s">
        <v>256</v>
      </c>
      <c r="I1" s="24" t="s">
        <v>257</v>
      </c>
      <c r="J1" s="24" t="s">
        <v>258</v>
      </c>
      <c r="K1" s="24" t="s">
        <v>259</v>
      </c>
      <c r="L1" s="26" t="s">
        <v>111</v>
      </c>
      <c r="M1" s="25" t="s">
        <v>254</v>
      </c>
      <c r="N1" s="7" t="s">
        <v>260</v>
      </c>
      <c r="O1" s="7" t="s">
        <v>1123</v>
      </c>
      <c r="P1" s="7" t="s">
        <v>106</v>
      </c>
      <c r="Q1" s="8" t="s">
        <v>108</v>
      </c>
      <c r="R1" s="8" t="s">
        <v>261</v>
      </c>
      <c r="S1" s="8" t="s">
        <v>109</v>
      </c>
      <c r="T1" s="7" t="s">
        <v>110</v>
      </c>
      <c r="U1" s="401" t="s">
        <v>262</v>
      </c>
      <c r="V1" s="7" t="s">
        <v>263</v>
      </c>
      <c r="W1" s="7" t="s">
        <v>112</v>
      </c>
      <c r="X1" s="7" t="s">
        <v>264</v>
      </c>
      <c r="Y1" s="7" t="s">
        <v>80</v>
      </c>
      <c r="Z1" s="7" t="s">
        <v>498</v>
      </c>
    </row>
    <row r="2" spans="1:27" x14ac:dyDescent="0.25">
      <c r="A2" s="47" t="str">
        <f t="shared" si="0"/>
        <v>Berkshire Comm. College1</v>
      </c>
      <c r="B2" s="27" t="s">
        <v>265</v>
      </c>
      <c r="C2" s="47" t="s">
        <v>738</v>
      </c>
      <c r="D2" s="39" t="s">
        <v>266</v>
      </c>
      <c r="E2" s="28" t="s">
        <v>267</v>
      </c>
      <c r="F2" s="29">
        <v>110.88</v>
      </c>
      <c r="G2" s="30" t="s">
        <v>268</v>
      </c>
      <c r="H2" s="30" t="s">
        <v>269</v>
      </c>
      <c r="I2" s="31" t="s">
        <v>270</v>
      </c>
      <c r="J2" s="32">
        <v>1201</v>
      </c>
      <c r="K2" s="33">
        <v>40751</v>
      </c>
      <c r="L2" s="34">
        <v>2011</v>
      </c>
      <c r="M2" s="29">
        <v>110.88</v>
      </c>
      <c r="N2" s="38" t="s">
        <v>271</v>
      </c>
      <c r="O2" s="105" t="s">
        <v>1124</v>
      </c>
      <c r="P2" s="47"/>
      <c r="Q2" s="47"/>
      <c r="R2" s="47"/>
      <c r="S2" s="47"/>
      <c r="T2" s="47" t="s">
        <v>114</v>
      </c>
      <c r="U2" s="422">
        <v>0.13639999999999999</v>
      </c>
      <c r="V2" s="48">
        <f t="shared" ref="V2:V7" si="1">M2*8760*U2</f>
        <v>132486.52031999998</v>
      </c>
      <c r="W2" s="47"/>
      <c r="X2" s="47"/>
      <c r="Y2" s="28" t="s">
        <v>576</v>
      </c>
      <c r="Z2" s="47">
        <v>1</v>
      </c>
      <c r="AA2" t="str">
        <f>VLOOKUP(Y2,Source!F:F,1,FALSE)</f>
        <v>Berkshire Comm. College</v>
      </c>
    </row>
    <row r="3" spans="1:27" x14ac:dyDescent="0.25">
      <c r="A3" s="47" t="str">
        <f t="shared" si="0"/>
        <v>Berkshire Comm. College2</v>
      </c>
      <c r="B3" s="27" t="s">
        <v>265</v>
      </c>
      <c r="C3" s="112" t="s">
        <v>738</v>
      </c>
      <c r="D3" s="39" t="s">
        <v>272</v>
      </c>
      <c r="E3" s="28" t="s">
        <v>273</v>
      </c>
      <c r="F3" s="29">
        <v>73.92</v>
      </c>
      <c r="G3" s="30" t="s">
        <v>268</v>
      </c>
      <c r="H3" s="30" t="s">
        <v>269</v>
      </c>
      <c r="I3" s="31" t="s">
        <v>270</v>
      </c>
      <c r="J3" s="32">
        <v>1201</v>
      </c>
      <c r="K3" s="33">
        <v>40751</v>
      </c>
      <c r="L3" s="34">
        <v>2011</v>
      </c>
      <c r="M3" s="29">
        <v>73.92</v>
      </c>
      <c r="N3" s="38" t="s">
        <v>271</v>
      </c>
      <c r="O3" s="105" t="s">
        <v>1124</v>
      </c>
      <c r="P3" s="47"/>
      <c r="Q3" s="47"/>
      <c r="R3" s="47"/>
      <c r="S3" s="47"/>
      <c r="T3" s="47" t="s">
        <v>114</v>
      </c>
      <c r="U3" s="422">
        <v>0.13639999999999999</v>
      </c>
      <c r="V3" s="48">
        <f t="shared" si="1"/>
        <v>88324.346880000012</v>
      </c>
      <c r="W3" s="47"/>
      <c r="X3" s="47"/>
      <c r="Y3" s="28" t="s">
        <v>576</v>
      </c>
      <c r="Z3" s="47">
        <v>2</v>
      </c>
      <c r="AA3" t="str">
        <f>VLOOKUP(Y3,Source!F:F,1,FALSE)</f>
        <v>Berkshire Comm. College</v>
      </c>
    </row>
    <row r="4" spans="1:27" x14ac:dyDescent="0.25">
      <c r="A4" s="47" t="str">
        <f t="shared" si="0"/>
        <v>Berkshire Comm. College3</v>
      </c>
      <c r="B4" s="27" t="s">
        <v>265</v>
      </c>
      <c r="C4" s="112" t="s">
        <v>738</v>
      </c>
      <c r="D4" s="39" t="s">
        <v>274</v>
      </c>
      <c r="E4" s="28" t="s">
        <v>275</v>
      </c>
      <c r="F4" s="29">
        <v>69.3</v>
      </c>
      <c r="G4" s="30" t="s">
        <v>268</v>
      </c>
      <c r="H4" s="30" t="s">
        <v>269</v>
      </c>
      <c r="I4" s="31" t="s">
        <v>270</v>
      </c>
      <c r="J4" s="32">
        <v>1201</v>
      </c>
      <c r="K4" s="33">
        <v>40751</v>
      </c>
      <c r="L4" s="34">
        <v>2011</v>
      </c>
      <c r="M4" s="29">
        <v>69.3</v>
      </c>
      <c r="N4" s="38" t="s">
        <v>271</v>
      </c>
      <c r="O4" s="105" t="s">
        <v>1124</v>
      </c>
      <c r="P4" s="47"/>
      <c r="Q4" s="47"/>
      <c r="R4" s="47"/>
      <c r="S4" s="47"/>
      <c r="T4" s="47" t="s">
        <v>114</v>
      </c>
      <c r="U4" s="422">
        <v>0.13639999999999999</v>
      </c>
      <c r="V4" s="48">
        <f t="shared" si="1"/>
        <v>82804.075199999992</v>
      </c>
      <c r="W4" s="47"/>
      <c r="X4" s="47"/>
      <c r="Y4" s="28" t="s">
        <v>576</v>
      </c>
      <c r="Z4" s="47">
        <v>3</v>
      </c>
      <c r="AA4" t="str">
        <f>VLOOKUP(Y4,Source!F:F,1,FALSE)</f>
        <v>Berkshire Comm. College</v>
      </c>
    </row>
    <row r="5" spans="1:27" x14ac:dyDescent="0.25">
      <c r="A5" s="47" t="str">
        <f t="shared" si="0"/>
        <v>Berkshire Comm. College4</v>
      </c>
      <c r="B5" s="27" t="s">
        <v>265</v>
      </c>
      <c r="C5" s="112" t="s">
        <v>738</v>
      </c>
      <c r="D5" s="39" t="s">
        <v>276</v>
      </c>
      <c r="E5" s="28" t="s">
        <v>277</v>
      </c>
      <c r="F5" s="29">
        <v>17.64</v>
      </c>
      <c r="G5" s="30" t="s">
        <v>268</v>
      </c>
      <c r="H5" s="30" t="s">
        <v>269</v>
      </c>
      <c r="I5" s="31" t="s">
        <v>270</v>
      </c>
      <c r="J5" s="32">
        <v>1201</v>
      </c>
      <c r="K5" s="33">
        <v>40751</v>
      </c>
      <c r="L5" s="34">
        <v>2011</v>
      </c>
      <c r="M5" s="29">
        <v>17.64</v>
      </c>
      <c r="N5" s="38" t="s">
        <v>271</v>
      </c>
      <c r="O5" s="105" t="s">
        <v>1124</v>
      </c>
      <c r="P5" s="47"/>
      <c r="Q5" s="47"/>
      <c r="R5" s="47"/>
      <c r="S5" s="47"/>
      <c r="T5" s="47" t="s">
        <v>114</v>
      </c>
      <c r="U5" s="422">
        <v>0.13639999999999999</v>
      </c>
      <c r="V5" s="48">
        <f t="shared" si="1"/>
        <v>21077.400959999999</v>
      </c>
      <c r="W5" s="47"/>
      <c r="X5" s="47"/>
      <c r="Y5" s="28" t="s">
        <v>576</v>
      </c>
      <c r="Z5" s="47">
        <v>4</v>
      </c>
      <c r="AA5" t="str">
        <f>VLOOKUP(Y5,Source!F:F,1,FALSE)</f>
        <v>Berkshire Comm. College</v>
      </c>
    </row>
    <row r="6" spans="1:27" x14ac:dyDescent="0.25">
      <c r="A6" s="47" t="str">
        <f t="shared" si="0"/>
        <v>Berkshire Comm. College5</v>
      </c>
      <c r="B6" s="27" t="s">
        <v>265</v>
      </c>
      <c r="C6" s="112" t="s">
        <v>738</v>
      </c>
      <c r="D6" s="39" t="s">
        <v>278</v>
      </c>
      <c r="E6" s="28" t="s">
        <v>279</v>
      </c>
      <c r="F6" s="29">
        <v>92.4</v>
      </c>
      <c r="G6" s="30" t="s">
        <v>268</v>
      </c>
      <c r="H6" s="30" t="s">
        <v>269</v>
      </c>
      <c r="I6" s="31" t="s">
        <v>270</v>
      </c>
      <c r="J6" s="32">
        <v>1201</v>
      </c>
      <c r="K6" s="33">
        <v>40751</v>
      </c>
      <c r="L6" s="34">
        <v>2011</v>
      </c>
      <c r="M6" s="29">
        <v>92.4</v>
      </c>
      <c r="N6" s="38" t="s">
        <v>271</v>
      </c>
      <c r="O6" s="105" t="s">
        <v>1124</v>
      </c>
      <c r="P6" s="47"/>
      <c r="Q6" s="47"/>
      <c r="R6" s="47"/>
      <c r="S6" s="47"/>
      <c r="T6" s="47" t="s">
        <v>114</v>
      </c>
      <c r="U6" s="422">
        <v>0.13639999999999999</v>
      </c>
      <c r="V6" s="48">
        <f t="shared" si="1"/>
        <v>110405.43359999999</v>
      </c>
      <c r="W6" s="47"/>
      <c r="X6" s="47"/>
      <c r="Y6" s="28" t="s">
        <v>576</v>
      </c>
      <c r="Z6" s="47">
        <v>5</v>
      </c>
      <c r="AA6" t="str">
        <f>VLOOKUP(Y6,Source!F:F,1,FALSE)</f>
        <v>Berkshire Comm. College</v>
      </c>
    </row>
    <row r="7" spans="1:27" x14ac:dyDescent="0.25">
      <c r="A7" s="47" t="str">
        <f t="shared" si="0"/>
        <v>Bridgewater State University1</v>
      </c>
      <c r="B7" s="27" t="s">
        <v>265</v>
      </c>
      <c r="C7" s="112" t="s">
        <v>738</v>
      </c>
      <c r="D7" s="39" t="s">
        <v>280</v>
      </c>
      <c r="E7" s="28" t="s">
        <v>48</v>
      </c>
      <c r="F7" s="29">
        <v>103.488</v>
      </c>
      <c r="G7" s="39" t="s">
        <v>281</v>
      </c>
      <c r="H7" s="30" t="s">
        <v>115</v>
      </c>
      <c r="I7" s="31" t="s">
        <v>270</v>
      </c>
      <c r="J7" s="32">
        <v>2325</v>
      </c>
      <c r="K7" s="33">
        <v>40682</v>
      </c>
      <c r="L7" s="34">
        <v>2011</v>
      </c>
      <c r="M7" s="29">
        <v>103.488</v>
      </c>
      <c r="N7" s="38" t="s">
        <v>271</v>
      </c>
      <c r="O7" s="105" t="s">
        <v>1197</v>
      </c>
      <c r="P7" s="47"/>
      <c r="Q7" s="47"/>
      <c r="R7" s="47"/>
      <c r="S7" s="47"/>
      <c r="T7" s="47" t="s">
        <v>114</v>
      </c>
      <c r="U7" s="422">
        <v>0.13639999999999999</v>
      </c>
      <c r="V7" s="48">
        <f t="shared" si="1"/>
        <v>123654.08563199999</v>
      </c>
      <c r="W7" s="47"/>
      <c r="X7" s="47"/>
      <c r="Y7" s="28" t="s">
        <v>48</v>
      </c>
      <c r="Z7" s="47">
        <v>1</v>
      </c>
      <c r="AA7" t="str">
        <f>VLOOKUP(Y7,Source!F:F,1,FALSE)</f>
        <v>Bridgewater State University</v>
      </c>
    </row>
    <row r="8" spans="1:27" x14ac:dyDescent="0.25">
      <c r="A8" s="47" t="str">
        <f t="shared" si="0"/>
        <v>Bridgewater State University2</v>
      </c>
      <c r="B8" s="27" t="s">
        <v>282</v>
      </c>
      <c r="C8" s="10" t="s">
        <v>203</v>
      </c>
      <c r="D8" s="39"/>
      <c r="E8" s="10" t="s">
        <v>48</v>
      </c>
      <c r="F8" s="29">
        <v>1300</v>
      </c>
      <c r="G8" s="39" t="s">
        <v>281</v>
      </c>
      <c r="H8" s="10" t="s">
        <v>115</v>
      </c>
      <c r="I8" s="31" t="s">
        <v>270</v>
      </c>
      <c r="J8" s="32">
        <v>2325</v>
      </c>
      <c r="K8" s="33"/>
      <c r="L8" s="34">
        <v>2005</v>
      </c>
      <c r="M8" s="29">
        <v>1300</v>
      </c>
      <c r="N8" s="38" t="s">
        <v>271</v>
      </c>
      <c r="O8" s="105" t="s">
        <v>1124</v>
      </c>
      <c r="P8" s="40"/>
      <c r="Q8" s="43"/>
      <c r="R8" s="47"/>
      <c r="S8" s="47"/>
      <c r="T8" s="47" t="s">
        <v>114</v>
      </c>
      <c r="U8" s="47"/>
      <c r="V8" s="47"/>
      <c r="W8" s="10" t="s">
        <v>206</v>
      </c>
      <c r="X8" s="47"/>
      <c r="Y8" s="28" t="s">
        <v>48</v>
      </c>
      <c r="Z8" s="47">
        <v>2</v>
      </c>
      <c r="AA8" t="str">
        <f>VLOOKUP(Y8,Source!F:F,1,FALSE)</f>
        <v>Bridgewater State University</v>
      </c>
    </row>
    <row r="9" spans="1:27" x14ac:dyDescent="0.25">
      <c r="A9" s="47" t="str">
        <f t="shared" si="0"/>
        <v>Bristol Comm. College1</v>
      </c>
      <c r="B9" s="27" t="s">
        <v>265</v>
      </c>
      <c r="C9" s="112" t="s">
        <v>738</v>
      </c>
      <c r="D9" s="39" t="s">
        <v>283</v>
      </c>
      <c r="E9" s="38" t="s">
        <v>116</v>
      </c>
      <c r="F9" s="29">
        <v>86</v>
      </c>
      <c r="G9" s="47" t="s">
        <v>284</v>
      </c>
      <c r="H9" s="10" t="s">
        <v>117</v>
      </c>
      <c r="I9" s="31" t="s">
        <v>270</v>
      </c>
      <c r="J9" s="32">
        <v>2720</v>
      </c>
      <c r="K9" s="33">
        <v>40544</v>
      </c>
      <c r="L9" s="34">
        <v>2009</v>
      </c>
      <c r="M9" s="29">
        <v>86</v>
      </c>
      <c r="N9" s="38" t="s">
        <v>271</v>
      </c>
      <c r="O9" s="105" t="s">
        <v>1124</v>
      </c>
      <c r="P9" s="47"/>
      <c r="Q9" s="47"/>
      <c r="R9" s="47"/>
      <c r="S9" s="47"/>
      <c r="T9" s="47" t="s">
        <v>114</v>
      </c>
      <c r="U9" s="422">
        <v>0.13639999999999999</v>
      </c>
      <c r="V9" s="48">
        <f>M9*8760*U9</f>
        <v>102758.30399999999</v>
      </c>
      <c r="W9" s="27"/>
      <c r="X9" s="27"/>
      <c r="Y9" s="28" t="s">
        <v>577</v>
      </c>
      <c r="Z9" s="47">
        <v>1</v>
      </c>
      <c r="AA9" t="str">
        <f>VLOOKUP(Y9,Source!F:F,1,FALSE)</f>
        <v>Bristol Comm. College</v>
      </c>
    </row>
    <row r="10" spans="1:27" ht="15.75" x14ac:dyDescent="0.25">
      <c r="A10" s="47" t="str">
        <f t="shared" si="0"/>
        <v>Bristol Comm. College2</v>
      </c>
      <c r="B10" s="27" t="s">
        <v>265</v>
      </c>
      <c r="C10" s="112" t="s">
        <v>738</v>
      </c>
      <c r="D10" s="39"/>
      <c r="E10" s="49" t="s">
        <v>285</v>
      </c>
      <c r="F10" s="29">
        <v>10</v>
      </c>
      <c r="G10" s="47" t="s">
        <v>284</v>
      </c>
      <c r="H10" s="10" t="s">
        <v>117</v>
      </c>
      <c r="I10" s="47" t="s">
        <v>270</v>
      </c>
      <c r="J10" s="32">
        <v>2720</v>
      </c>
      <c r="K10" s="33"/>
      <c r="L10" s="34">
        <v>2009</v>
      </c>
      <c r="M10" s="29">
        <v>10</v>
      </c>
      <c r="N10" s="38" t="s">
        <v>271</v>
      </c>
      <c r="O10" s="105" t="s">
        <v>1124</v>
      </c>
      <c r="P10" s="47"/>
      <c r="Q10" s="47"/>
      <c r="R10" s="47"/>
      <c r="S10" s="47"/>
      <c r="T10" s="47" t="s">
        <v>114</v>
      </c>
      <c r="U10" s="422">
        <v>0.13639999999999999</v>
      </c>
      <c r="V10" s="48">
        <f>M10*8760*U10</f>
        <v>11948.64</v>
      </c>
      <c r="W10" s="47"/>
      <c r="X10" s="47"/>
      <c r="Y10" s="28" t="s">
        <v>577</v>
      </c>
      <c r="Z10" s="47">
        <v>2</v>
      </c>
      <c r="AA10" t="str">
        <f>VLOOKUP(Y10,Source!F:F,1,FALSE)</f>
        <v>Bristol Comm. College</v>
      </c>
    </row>
    <row r="11" spans="1:27" ht="15.75" x14ac:dyDescent="0.25">
      <c r="A11" s="47" t="str">
        <f t="shared" si="0"/>
        <v>Bristol Comm. College3</v>
      </c>
      <c r="B11" s="27" t="s">
        <v>265</v>
      </c>
      <c r="C11" s="10" t="s">
        <v>23</v>
      </c>
      <c r="D11" s="39"/>
      <c r="E11" s="49" t="s">
        <v>285</v>
      </c>
      <c r="F11" s="29">
        <v>6</v>
      </c>
      <c r="G11" s="47" t="s">
        <v>284</v>
      </c>
      <c r="H11" s="10" t="s">
        <v>117</v>
      </c>
      <c r="I11" s="47" t="s">
        <v>270</v>
      </c>
      <c r="J11" s="32">
        <v>2720</v>
      </c>
      <c r="K11" s="33"/>
      <c r="L11" s="34">
        <v>2009</v>
      </c>
      <c r="M11" s="29">
        <v>6</v>
      </c>
      <c r="N11" s="38" t="s">
        <v>271</v>
      </c>
      <c r="O11" s="105" t="s">
        <v>885</v>
      </c>
      <c r="P11" s="47"/>
      <c r="Q11" s="47"/>
      <c r="R11" s="47"/>
      <c r="S11" s="27"/>
      <c r="T11" s="47" t="s">
        <v>114</v>
      </c>
      <c r="U11" s="40">
        <v>0.26</v>
      </c>
      <c r="V11" s="48">
        <f>M11*8760*U11</f>
        <v>13665.6</v>
      </c>
      <c r="W11" s="10"/>
      <c r="X11" s="47"/>
      <c r="Y11" s="28" t="s">
        <v>577</v>
      </c>
      <c r="Z11" s="47">
        <v>3</v>
      </c>
      <c r="AA11" t="str">
        <f>VLOOKUP(Y11,Source!F:F,1,FALSE)</f>
        <v>Bristol Comm. College</v>
      </c>
    </row>
    <row r="12" spans="1:27" x14ac:dyDescent="0.25">
      <c r="A12" s="112" t="str">
        <f t="shared" si="0"/>
        <v>Bristol Comm. College4</v>
      </c>
      <c r="B12" s="27" t="s">
        <v>265</v>
      </c>
      <c r="C12" s="105" t="s">
        <v>740</v>
      </c>
      <c r="D12" s="39" t="s">
        <v>872</v>
      </c>
      <c r="E12" s="28" t="s">
        <v>1247</v>
      </c>
      <c r="F12" s="29">
        <v>3187.14</v>
      </c>
      <c r="G12" s="47" t="s">
        <v>284</v>
      </c>
      <c r="H12" s="10" t="s">
        <v>117</v>
      </c>
      <c r="I12" s="47" t="s">
        <v>270</v>
      </c>
      <c r="J12" s="32">
        <v>2720</v>
      </c>
      <c r="K12" s="33">
        <v>42131</v>
      </c>
      <c r="L12" s="50">
        <v>2015</v>
      </c>
      <c r="M12" s="29">
        <v>3187.14</v>
      </c>
      <c r="N12" s="38" t="s">
        <v>271</v>
      </c>
      <c r="O12" s="105" t="s">
        <v>1197</v>
      </c>
      <c r="P12" s="47"/>
      <c r="Q12" s="47"/>
      <c r="R12" s="47"/>
      <c r="S12" s="47"/>
      <c r="T12" s="47" t="s">
        <v>114</v>
      </c>
      <c r="U12" s="477">
        <v>0.13639999999999999</v>
      </c>
      <c r="V12" s="114">
        <f>M12*8760*U12</f>
        <v>3808198.8489599996</v>
      </c>
      <c r="W12" s="47"/>
      <c r="X12" s="47"/>
      <c r="Y12" s="28" t="s">
        <v>577</v>
      </c>
      <c r="Z12" s="47">
        <v>4</v>
      </c>
      <c r="AA12" t="str">
        <f>VLOOKUP(Y12,Source!F:F,1,FALSE)</f>
        <v>Bristol Comm. College</v>
      </c>
    </row>
    <row r="13" spans="1:27" x14ac:dyDescent="0.25">
      <c r="A13" s="47" t="str">
        <f t="shared" si="0"/>
        <v>Bunker Hill Comm. College1</v>
      </c>
      <c r="B13" s="27" t="s">
        <v>282</v>
      </c>
      <c r="C13" s="10" t="s">
        <v>203</v>
      </c>
      <c r="D13" s="39" t="s">
        <v>286</v>
      </c>
      <c r="E13" s="28" t="s">
        <v>287</v>
      </c>
      <c r="F13" s="29">
        <v>75</v>
      </c>
      <c r="G13" s="47" t="s">
        <v>625</v>
      </c>
      <c r="H13" s="10" t="s">
        <v>119</v>
      </c>
      <c r="I13" s="47" t="s">
        <v>270</v>
      </c>
      <c r="J13" s="91">
        <v>2129</v>
      </c>
      <c r="K13" s="33">
        <v>41612</v>
      </c>
      <c r="L13" s="50">
        <v>2014</v>
      </c>
      <c r="M13" s="29">
        <v>75</v>
      </c>
      <c r="N13" s="38" t="s">
        <v>271</v>
      </c>
      <c r="O13" s="105" t="s">
        <v>885</v>
      </c>
      <c r="P13" s="47"/>
      <c r="Q13" s="47"/>
      <c r="R13" s="47"/>
      <c r="S13" s="47"/>
      <c r="T13" s="47" t="s">
        <v>114</v>
      </c>
      <c r="U13" s="47"/>
      <c r="V13" s="47"/>
      <c r="W13" s="47"/>
      <c r="X13" s="47"/>
      <c r="Y13" s="28" t="s">
        <v>578</v>
      </c>
      <c r="Z13" s="47">
        <v>1</v>
      </c>
      <c r="AA13" t="str">
        <f>VLOOKUP(Y13,Source!F:F,1,FALSE)</f>
        <v>Bunker Hill Comm. College</v>
      </c>
    </row>
    <row r="14" spans="1:27" x14ac:dyDescent="0.25">
      <c r="A14" s="47" t="str">
        <f t="shared" si="0"/>
        <v>Bureau of the State House1</v>
      </c>
      <c r="B14" s="27" t="s">
        <v>265</v>
      </c>
      <c r="C14" s="112" t="s">
        <v>738</v>
      </c>
      <c r="D14" s="39"/>
      <c r="E14" s="10" t="s">
        <v>118</v>
      </c>
      <c r="F14" s="29">
        <v>15</v>
      </c>
      <c r="G14" s="47" t="s">
        <v>288</v>
      </c>
      <c r="H14" s="47" t="s">
        <v>119</v>
      </c>
      <c r="I14" s="47" t="s">
        <v>270</v>
      </c>
      <c r="J14" s="32">
        <v>1233</v>
      </c>
      <c r="K14" s="33"/>
      <c r="L14" s="50">
        <v>2010</v>
      </c>
      <c r="M14" s="29">
        <v>15</v>
      </c>
      <c r="N14" s="47" t="s">
        <v>290</v>
      </c>
      <c r="O14" s="112" t="s">
        <v>1124</v>
      </c>
      <c r="P14" s="47"/>
      <c r="Q14" s="47"/>
      <c r="R14" s="47"/>
      <c r="S14" s="47"/>
      <c r="T14" s="47" t="s">
        <v>114</v>
      </c>
      <c r="U14" s="422">
        <v>0.13639999999999999</v>
      </c>
      <c r="V14" s="48">
        <f t="shared" ref="V14:V19" si="2">M14*8760*U14</f>
        <v>17922.96</v>
      </c>
      <c r="W14" s="47"/>
      <c r="X14" s="47"/>
      <c r="Y14" s="28" t="s">
        <v>289</v>
      </c>
      <c r="Z14" s="47">
        <v>1</v>
      </c>
      <c r="AA14" t="str">
        <f>VLOOKUP(Y14,Source!F:F,1,FALSE)</f>
        <v>Bureau of the State House</v>
      </c>
    </row>
    <row r="15" spans="1:27" x14ac:dyDescent="0.25">
      <c r="A15" s="47" t="str">
        <f t="shared" si="0"/>
        <v>Cape Cod Comm. College1</v>
      </c>
      <c r="B15" s="27" t="s">
        <v>265</v>
      </c>
      <c r="C15" s="112" t="s">
        <v>738</v>
      </c>
      <c r="D15" s="39" t="s">
        <v>291</v>
      </c>
      <c r="E15" s="28" t="s">
        <v>120</v>
      </c>
      <c r="F15" s="29">
        <v>1.7549999999999999</v>
      </c>
      <c r="G15" s="39" t="s">
        <v>292</v>
      </c>
      <c r="H15" s="30" t="s">
        <v>293</v>
      </c>
      <c r="I15" s="31" t="s">
        <v>270</v>
      </c>
      <c r="J15" s="32">
        <v>2668</v>
      </c>
      <c r="K15" s="33">
        <v>39686</v>
      </c>
      <c r="L15" s="34">
        <v>2013</v>
      </c>
      <c r="M15" s="29">
        <v>1.7549999999999999</v>
      </c>
      <c r="N15" s="38" t="s">
        <v>271</v>
      </c>
      <c r="O15" s="105" t="s">
        <v>1124</v>
      </c>
      <c r="P15" s="47"/>
      <c r="Q15" s="47"/>
      <c r="R15" s="47"/>
      <c r="S15" s="47"/>
      <c r="T15" s="47" t="s">
        <v>114</v>
      </c>
      <c r="U15" s="422">
        <v>0.13639999999999999</v>
      </c>
      <c r="V15" s="48">
        <f t="shared" si="2"/>
        <v>2096.98632</v>
      </c>
      <c r="W15" s="47"/>
      <c r="X15" s="47"/>
      <c r="Y15" s="28" t="s">
        <v>579</v>
      </c>
      <c r="Z15" s="47">
        <v>1</v>
      </c>
      <c r="AA15" t="str">
        <f>VLOOKUP(Y15,Source!F:F,1,FALSE)</f>
        <v>Cape Cod Comm. College</v>
      </c>
    </row>
    <row r="16" spans="1:27" x14ac:dyDescent="0.25">
      <c r="A16" s="47" t="str">
        <f t="shared" si="0"/>
        <v>Cape Cod Comm. College2</v>
      </c>
      <c r="B16" s="27" t="s">
        <v>265</v>
      </c>
      <c r="C16" s="47" t="s">
        <v>739</v>
      </c>
      <c r="D16" s="39" t="s">
        <v>294</v>
      </c>
      <c r="E16" s="28" t="s">
        <v>120</v>
      </c>
      <c r="F16" s="29">
        <v>661.5</v>
      </c>
      <c r="G16" s="39" t="s">
        <v>292</v>
      </c>
      <c r="H16" s="30" t="s">
        <v>293</v>
      </c>
      <c r="I16" s="31" t="s">
        <v>270</v>
      </c>
      <c r="J16" s="32">
        <v>2668</v>
      </c>
      <c r="K16" s="33">
        <v>41233</v>
      </c>
      <c r="L16" s="34">
        <v>2013</v>
      </c>
      <c r="M16" s="29">
        <v>661.5</v>
      </c>
      <c r="N16" s="38" t="s">
        <v>271</v>
      </c>
      <c r="O16" s="105" t="s">
        <v>1124</v>
      </c>
      <c r="P16" s="47"/>
      <c r="Q16" s="47"/>
      <c r="R16" s="47"/>
      <c r="S16" s="47"/>
      <c r="T16" s="47" t="s">
        <v>114</v>
      </c>
      <c r="U16" s="422">
        <v>0.13639999999999999</v>
      </c>
      <c r="V16" s="48">
        <f t="shared" si="2"/>
        <v>790402.53599999996</v>
      </c>
      <c r="W16" s="47"/>
      <c r="X16" s="47"/>
      <c r="Y16" s="28" t="s">
        <v>579</v>
      </c>
      <c r="Z16" s="47">
        <v>2</v>
      </c>
      <c r="AA16" t="str">
        <f>VLOOKUP(Y16,Source!F:F,1,FALSE)</f>
        <v>Cape Cod Comm. College</v>
      </c>
    </row>
    <row r="17" spans="1:27" x14ac:dyDescent="0.25">
      <c r="A17" s="47" t="str">
        <f t="shared" si="0"/>
        <v>Cape Cod Comm. College3</v>
      </c>
      <c r="B17" s="27" t="s">
        <v>265</v>
      </c>
      <c r="C17" s="112" t="s">
        <v>738</v>
      </c>
      <c r="D17" s="39" t="s">
        <v>295</v>
      </c>
      <c r="E17" s="28" t="s">
        <v>296</v>
      </c>
      <c r="F17" s="29">
        <v>2.5</v>
      </c>
      <c r="G17" s="39" t="s">
        <v>292</v>
      </c>
      <c r="H17" s="30" t="s">
        <v>293</v>
      </c>
      <c r="I17" s="31" t="s">
        <v>270</v>
      </c>
      <c r="J17" s="32">
        <v>2668</v>
      </c>
      <c r="K17" s="33">
        <v>38572</v>
      </c>
      <c r="L17" s="34">
        <v>2013</v>
      </c>
      <c r="M17" s="29">
        <v>2.5</v>
      </c>
      <c r="N17" s="38" t="s">
        <v>271</v>
      </c>
      <c r="O17" s="105" t="s">
        <v>1124</v>
      </c>
      <c r="P17" s="47"/>
      <c r="Q17" s="47"/>
      <c r="R17" s="47"/>
      <c r="S17" s="47"/>
      <c r="T17" s="47" t="s">
        <v>114</v>
      </c>
      <c r="U17" s="422">
        <v>0.13639999999999999</v>
      </c>
      <c r="V17" s="48">
        <f t="shared" si="2"/>
        <v>2987.16</v>
      </c>
      <c r="W17" s="47"/>
      <c r="X17" s="47"/>
      <c r="Y17" s="28" t="s">
        <v>579</v>
      </c>
      <c r="Z17" s="47">
        <v>3</v>
      </c>
      <c r="AA17" t="str">
        <f>VLOOKUP(Y17,Source!F:F,1,FALSE)</f>
        <v>Cape Cod Comm. College</v>
      </c>
    </row>
    <row r="18" spans="1:27" x14ac:dyDescent="0.25">
      <c r="A18" s="47" t="str">
        <f t="shared" si="0"/>
        <v>Cape Cod Comm. College4</v>
      </c>
      <c r="B18" s="27" t="s">
        <v>265</v>
      </c>
      <c r="C18" s="112" t="s">
        <v>738</v>
      </c>
      <c r="D18" s="39" t="s">
        <v>297</v>
      </c>
      <c r="E18" s="28" t="s">
        <v>298</v>
      </c>
      <c r="F18" s="29">
        <v>2.52</v>
      </c>
      <c r="G18" s="39" t="s">
        <v>292</v>
      </c>
      <c r="H18" s="30" t="s">
        <v>293</v>
      </c>
      <c r="I18" s="31" t="s">
        <v>270</v>
      </c>
      <c r="J18" s="32">
        <v>2668</v>
      </c>
      <c r="K18" s="33">
        <v>39251</v>
      </c>
      <c r="L18" s="34">
        <v>2013</v>
      </c>
      <c r="M18" s="29">
        <v>2.52</v>
      </c>
      <c r="N18" s="38" t="s">
        <v>271</v>
      </c>
      <c r="O18" s="105" t="s">
        <v>1124</v>
      </c>
      <c r="P18" s="47"/>
      <c r="Q18" s="47"/>
      <c r="R18" s="47"/>
      <c r="S18" s="47"/>
      <c r="T18" s="47" t="s">
        <v>114</v>
      </c>
      <c r="U18" s="422">
        <v>0.13639999999999999</v>
      </c>
      <c r="V18" s="48">
        <f t="shared" si="2"/>
        <v>3011.05728</v>
      </c>
      <c r="W18" s="47"/>
      <c r="X18" s="47"/>
      <c r="Y18" s="28" t="s">
        <v>579</v>
      </c>
      <c r="Z18" s="47">
        <v>4</v>
      </c>
      <c r="AA18" t="str">
        <f>VLOOKUP(Y18,Source!F:F,1,FALSE)</f>
        <v>Cape Cod Comm. College</v>
      </c>
    </row>
    <row r="19" spans="1:27" x14ac:dyDescent="0.25">
      <c r="A19" s="47" t="str">
        <f t="shared" si="0"/>
        <v>Cape Cod Comm. College5</v>
      </c>
      <c r="B19" s="27" t="s">
        <v>265</v>
      </c>
      <c r="C19" s="112" t="s">
        <v>738</v>
      </c>
      <c r="D19" s="39" t="s">
        <v>299</v>
      </c>
      <c r="E19" s="28" t="s">
        <v>300</v>
      </c>
      <c r="F19" s="29">
        <v>25.73</v>
      </c>
      <c r="G19" s="39" t="s">
        <v>292</v>
      </c>
      <c r="H19" s="30" t="s">
        <v>293</v>
      </c>
      <c r="I19" s="31" t="s">
        <v>270</v>
      </c>
      <c r="J19" s="32">
        <v>2668</v>
      </c>
      <c r="K19" s="33">
        <v>38718</v>
      </c>
      <c r="L19" s="34">
        <v>2006</v>
      </c>
      <c r="M19" s="29">
        <v>25.73</v>
      </c>
      <c r="N19" s="38" t="s">
        <v>271</v>
      </c>
      <c r="O19" s="105" t="s">
        <v>1124</v>
      </c>
      <c r="P19" s="47"/>
      <c r="Q19" s="47"/>
      <c r="R19" s="47"/>
      <c r="S19" s="47"/>
      <c r="T19" s="47" t="s">
        <v>114</v>
      </c>
      <c r="U19" s="422">
        <v>0.13639999999999999</v>
      </c>
      <c r="V19" s="48">
        <f t="shared" si="2"/>
        <v>30743.850720000002</v>
      </c>
      <c r="W19" s="47"/>
      <c r="X19" s="47"/>
      <c r="Y19" s="28" t="s">
        <v>579</v>
      </c>
      <c r="Z19" s="47">
        <v>5</v>
      </c>
      <c r="AA19" t="str">
        <f>VLOOKUP(Y19,Source!F:F,1,FALSE)</f>
        <v>Cape Cod Comm. College</v>
      </c>
    </row>
    <row r="20" spans="1:27" x14ac:dyDescent="0.25">
      <c r="A20" s="47" t="str">
        <f t="shared" si="0"/>
        <v>Chelsea Soldier's Home1</v>
      </c>
      <c r="B20" s="27" t="s">
        <v>265</v>
      </c>
      <c r="C20" s="112" t="s">
        <v>738</v>
      </c>
      <c r="D20" s="39" t="s">
        <v>301</v>
      </c>
      <c r="E20" s="10" t="s">
        <v>121</v>
      </c>
      <c r="F20" s="29">
        <v>58.5</v>
      </c>
      <c r="G20" s="39" t="s">
        <v>302</v>
      </c>
      <c r="H20" s="10" t="s">
        <v>122</v>
      </c>
      <c r="I20" s="47" t="s">
        <v>270</v>
      </c>
      <c r="J20" s="32">
        <v>2150</v>
      </c>
      <c r="K20" s="33">
        <v>40544</v>
      </c>
      <c r="L20" s="34">
        <v>2008</v>
      </c>
      <c r="M20" s="29">
        <v>58.5</v>
      </c>
      <c r="N20" s="47" t="s">
        <v>303</v>
      </c>
      <c r="O20" s="112" t="s">
        <v>1124</v>
      </c>
      <c r="P20" s="47"/>
      <c r="Q20" s="47"/>
      <c r="R20" s="47"/>
      <c r="S20" s="47"/>
      <c r="T20" s="47" t="s">
        <v>114</v>
      </c>
      <c r="U20" s="422">
        <v>0.13639999999999999</v>
      </c>
      <c r="V20" s="48">
        <f t="shared" ref="V20:V30" si="3">M20*8760*U20</f>
        <v>69899.543999999994</v>
      </c>
      <c r="W20" s="27"/>
      <c r="X20" s="27"/>
      <c r="Y20" s="199" t="s">
        <v>580</v>
      </c>
      <c r="Z20" s="47">
        <v>1</v>
      </c>
      <c r="AA20" t="str">
        <f>VLOOKUP(Y20,Source!F:F,1,FALSE)</f>
        <v>Chelsea Soldier's Home</v>
      </c>
    </row>
    <row r="21" spans="1:27" x14ac:dyDescent="0.25">
      <c r="A21" s="47" t="str">
        <f t="shared" si="0"/>
        <v>Dept. of Conservation and Recreation1</v>
      </c>
      <c r="B21" s="27" t="s">
        <v>265</v>
      </c>
      <c r="C21" s="112" t="s">
        <v>738</v>
      </c>
      <c r="D21" s="39"/>
      <c r="E21" s="10" t="s">
        <v>125</v>
      </c>
      <c r="F21" s="29">
        <v>31.5</v>
      </c>
      <c r="G21" s="47" t="s">
        <v>304</v>
      </c>
      <c r="H21" s="10" t="s">
        <v>119</v>
      </c>
      <c r="I21" s="47" t="s">
        <v>270</v>
      </c>
      <c r="J21" s="32"/>
      <c r="K21" s="33"/>
      <c r="L21" s="34">
        <v>2012</v>
      </c>
      <c r="M21" s="29">
        <v>31.5</v>
      </c>
      <c r="N21" s="38" t="s">
        <v>305</v>
      </c>
      <c r="O21" s="105" t="s">
        <v>1124</v>
      </c>
      <c r="P21" s="47"/>
      <c r="Q21" s="47"/>
      <c r="R21" s="47"/>
      <c r="S21" s="47"/>
      <c r="T21" s="47" t="s">
        <v>114</v>
      </c>
      <c r="U21" s="422">
        <v>0.13639999999999999</v>
      </c>
      <c r="V21" s="48">
        <f t="shared" si="3"/>
        <v>37638.216</v>
      </c>
      <c r="W21" s="47"/>
      <c r="X21" s="47"/>
      <c r="Y21" s="59" t="s">
        <v>581</v>
      </c>
      <c r="Z21" s="47">
        <v>1</v>
      </c>
      <c r="AA21" t="str">
        <f>VLOOKUP(Y21,Source!F:F,1,FALSE)</f>
        <v>Dept. of Conservation and Recreation</v>
      </c>
    </row>
    <row r="22" spans="1:27" x14ac:dyDescent="0.25">
      <c r="A22" s="47" t="str">
        <f t="shared" si="0"/>
        <v>Dept. of Conservation and Recreation2</v>
      </c>
      <c r="B22" s="27" t="s">
        <v>265</v>
      </c>
      <c r="C22" s="112" t="s">
        <v>738</v>
      </c>
      <c r="D22" s="39"/>
      <c r="E22" s="10" t="s">
        <v>127</v>
      </c>
      <c r="F22" s="29">
        <v>8</v>
      </c>
      <c r="G22" s="47" t="s">
        <v>304</v>
      </c>
      <c r="H22" s="10" t="s">
        <v>119</v>
      </c>
      <c r="I22" s="47" t="s">
        <v>270</v>
      </c>
      <c r="J22" s="32"/>
      <c r="K22" s="33"/>
      <c r="L22" s="34">
        <v>2012</v>
      </c>
      <c r="M22" s="29">
        <v>8</v>
      </c>
      <c r="N22" s="38" t="s">
        <v>305</v>
      </c>
      <c r="O22" s="105" t="s">
        <v>1124</v>
      </c>
      <c r="P22" s="47"/>
      <c r="Q22" s="47"/>
      <c r="R22" s="47"/>
      <c r="S22" s="47"/>
      <c r="T22" s="47" t="s">
        <v>114</v>
      </c>
      <c r="U22" s="422">
        <v>0.13639999999999999</v>
      </c>
      <c r="V22" s="48">
        <f t="shared" si="3"/>
        <v>9558.9120000000003</v>
      </c>
      <c r="W22" s="47"/>
      <c r="X22" s="47"/>
      <c r="Y22" s="59" t="s">
        <v>581</v>
      </c>
      <c r="Z22" s="47">
        <v>2</v>
      </c>
      <c r="AA22" t="str">
        <f>VLOOKUP(Y22,Source!F:F,1,FALSE)</f>
        <v>Dept. of Conservation and Recreation</v>
      </c>
    </row>
    <row r="23" spans="1:27" x14ac:dyDescent="0.25">
      <c r="A23" s="47" t="str">
        <f t="shared" si="0"/>
        <v>Dept. of Conservation and Recreation3</v>
      </c>
      <c r="B23" s="27" t="s">
        <v>265</v>
      </c>
      <c r="C23" s="10" t="s">
        <v>739</v>
      </c>
      <c r="D23" s="39"/>
      <c r="E23" s="10" t="s">
        <v>128</v>
      </c>
      <c r="F23" s="29">
        <v>19</v>
      </c>
      <c r="G23" s="47" t="s">
        <v>306</v>
      </c>
      <c r="H23" s="10" t="s">
        <v>307</v>
      </c>
      <c r="I23" s="47" t="s">
        <v>270</v>
      </c>
      <c r="J23" s="32">
        <v>2536</v>
      </c>
      <c r="K23" s="33"/>
      <c r="L23" s="34">
        <v>2012</v>
      </c>
      <c r="M23" s="29">
        <v>19</v>
      </c>
      <c r="N23" s="38" t="s">
        <v>305</v>
      </c>
      <c r="O23" s="105" t="s">
        <v>1124</v>
      </c>
      <c r="P23" s="47"/>
      <c r="Q23" s="47"/>
      <c r="R23" s="47"/>
      <c r="S23" s="47"/>
      <c r="T23" s="47" t="s">
        <v>114</v>
      </c>
      <c r="U23" s="422">
        <v>0.13639999999999999</v>
      </c>
      <c r="V23" s="48">
        <f t="shared" si="3"/>
        <v>22702.415999999997</v>
      </c>
      <c r="W23" s="47"/>
      <c r="X23" s="47"/>
      <c r="Y23" s="59" t="s">
        <v>581</v>
      </c>
      <c r="Z23" s="47">
        <v>3</v>
      </c>
      <c r="AA23" t="str">
        <f>VLOOKUP(Y23,Source!F:F,1,FALSE)</f>
        <v>Dept. of Conservation and Recreation</v>
      </c>
    </row>
    <row r="24" spans="1:27" x14ac:dyDescent="0.25">
      <c r="A24" s="47" t="str">
        <f t="shared" si="0"/>
        <v>Dept. of Conservation and Recreation4</v>
      </c>
      <c r="B24" s="27" t="s">
        <v>265</v>
      </c>
      <c r="C24" s="112" t="s">
        <v>739</v>
      </c>
      <c r="D24" s="39" t="s">
        <v>308</v>
      </c>
      <c r="E24" s="28" t="s">
        <v>309</v>
      </c>
      <c r="F24" s="29">
        <v>47.8</v>
      </c>
      <c r="G24" s="30" t="s">
        <v>310</v>
      </c>
      <c r="H24" s="30" t="s">
        <v>124</v>
      </c>
      <c r="I24" s="31" t="s">
        <v>270</v>
      </c>
      <c r="J24" s="32">
        <v>2186</v>
      </c>
      <c r="K24" s="33">
        <v>40681</v>
      </c>
      <c r="L24" s="34">
        <v>2011</v>
      </c>
      <c r="M24" s="29">
        <v>47.8</v>
      </c>
      <c r="N24" s="38" t="s">
        <v>305</v>
      </c>
      <c r="O24" s="105" t="s">
        <v>1124</v>
      </c>
      <c r="P24" s="47"/>
      <c r="Q24" s="47"/>
      <c r="R24" s="47"/>
      <c r="S24" s="47"/>
      <c r="T24" s="47" t="s">
        <v>114</v>
      </c>
      <c r="U24" s="422">
        <v>0.13639999999999999</v>
      </c>
      <c r="V24" s="48">
        <f t="shared" si="3"/>
        <v>57114.499199999998</v>
      </c>
      <c r="W24" s="47"/>
      <c r="X24" s="47"/>
      <c r="Y24" s="59" t="s">
        <v>581</v>
      </c>
      <c r="Z24" s="47">
        <v>4</v>
      </c>
      <c r="AA24" t="str">
        <f>VLOOKUP(Y24,Source!F:F,1,FALSE)</f>
        <v>Dept. of Conservation and Recreation</v>
      </c>
    </row>
    <row r="25" spans="1:27" x14ac:dyDescent="0.25">
      <c r="A25" s="47" t="str">
        <f t="shared" si="0"/>
        <v>Dept. of Conservation and Recreation6</v>
      </c>
      <c r="B25" s="27" t="s">
        <v>265</v>
      </c>
      <c r="C25" s="105" t="s">
        <v>740</v>
      </c>
      <c r="D25" s="39"/>
      <c r="E25" s="10" t="s">
        <v>594</v>
      </c>
      <c r="F25" s="29">
        <v>105</v>
      </c>
      <c r="G25" s="47" t="s">
        <v>613</v>
      </c>
      <c r="H25" s="38" t="s">
        <v>139</v>
      </c>
      <c r="I25" s="47" t="s">
        <v>270</v>
      </c>
      <c r="J25" s="32"/>
      <c r="K25" s="33"/>
      <c r="L25" s="34">
        <v>2015</v>
      </c>
      <c r="M25" s="29">
        <v>105</v>
      </c>
      <c r="N25" s="38" t="s">
        <v>305</v>
      </c>
      <c r="O25" s="105" t="s">
        <v>1124</v>
      </c>
      <c r="P25" s="47"/>
      <c r="Q25" s="47"/>
      <c r="R25" s="47"/>
      <c r="S25" s="47"/>
      <c r="T25" s="47" t="s">
        <v>114</v>
      </c>
      <c r="U25" s="422">
        <v>0.13639999999999999</v>
      </c>
      <c r="V25" s="48">
        <f t="shared" si="3"/>
        <v>125460.72</v>
      </c>
      <c r="W25" s="47"/>
      <c r="X25" s="47"/>
      <c r="Y25" s="59" t="s">
        <v>581</v>
      </c>
      <c r="Z25" s="47">
        <v>6</v>
      </c>
      <c r="AA25" t="str">
        <f>VLOOKUP(Y25,Source!F:F,1,FALSE)</f>
        <v>Dept. of Conservation and Recreation</v>
      </c>
    </row>
    <row r="26" spans="1:27" x14ac:dyDescent="0.25">
      <c r="A26" s="47" t="str">
        <f t="shared" si="0"/>
        <v>Dept. of Correction1</v>
      </c>
      <c r="B26" s="27" t="s">
        <v>265</v>
      </c>
      <c r="C26" s="10" t="s">
        <v>739</v>
      </c>
      <c r="D26" s="39"/>
      <c r="E26" s="38" t="s">
        <v>311</v>
      </c>
      <c r="F26" s="29">
        <v>112</v>
      </c>
      <c r="G26" s="27" t="s">
        <v>312</v>
      </c>
      <c r="H26" s="10" t="s">
        <v>115</v>
      </c>
      <c r="I26" s="47" t="s">
        <v>270</v>
      </c>
      <c r="J26" s="32">
        <v>2324</v>
      </c>
      <c r="K26" s="33"/>
      <c r="L26" s="34">
        <v>2008</v>
      </c>
      <c r="M26" s="88">
        <v>112</v>
      </c>
      <c r="N26" s="38" t="s">
        <v>313</v>
      </c>
      <c r="O26" s="105" t="s">
        <v>1124</v>
      </c>
      <c r="P26" s="27"/>
      <c r="Q26" s="27"/>
      <c r="R26" s="27"/>
      <c r="S26" s="27"/>
      <c r="T26" s="47" t="s">
        <v>114</v>
      </c>
      <c r="U26" s="422">
        <v>0.13639999999999999</v>
      </c>
      <c r="V26" s="48">
        <f t="shared" si="3"/>
        <v>133824.76799999998</v>
      </c>
      <c r="W26" s="10" t="s">
        <v>141</v>
      </c>
      <c r="X26" s="27"/>
      <c r="Y26" s="38" t="s">
        <v>49</v>
      </c>
      <c r="Z26" s="47">
        <v>1</v>
      </c>
      <c r="AA26" t="str">
        <f>VLOOKUP(Y26,Source!F:F,1,FALSE)</f>
        <v>Dept. of Correction</v>
      </c>
    </row>
    <row r="27" spans="1:27" x14ac:dyDescent="0.25">
      <c r="A27" s="47" t="str">
        <f t="shared" si="0"/>
        <v>Dept. of Correction10</v>
      </c>
      <c r="B27" s="27" t="s">
        <v>265</v>
      </c>
      <c r="C27" s="10" t="s">
        <v>113</v>
      </c>
      <c r="D27" s="39"/>
      <c r="E27" s="105" t="s">
        <v>331</v>
      </c>
      <c r="F27" s="29">
        <v>103</v>
      </c>
      <c r="G27" s="27" t="s">
        <v>330</v>
      </c>
      <c r="H27" s="10" t="s">
        <v>137</v>
      </c>
      <c r="I27" s="47" t="s">
        <v>270</v>
      </c>
      <c r="J27" s="51">
        <v>2056</v>
      </c>
      <c r="K27" s="33"/>
      <c r="L27" s="34">
        <v>2008</v>
      </c>
      <c r="M27" s="88">
        <v>106</v>
      </c>
      <c r="N27" s="105" t="s">
        <v>313</v>
      </c>
      <c r="O27" s="105" t="s">
        <v>1124</v>
      </c>
      <c r="P27" s="84"/>
      <c r="Q27" s="84"/>
      <c r="R27" s="84"/>
      <c r="S27" s="84"/>
      <c r="T27" s="47" t="s">
        <v>114</v>
      </c>
      <c r="U27" s="422">
        <v>0.13639999999999999</v>
      </c>
      <c r="V27" s="114">
        <f t="shared" si="3"/>
        <v>126655.58399999999</v>
      </c>
      <c r="W27" s="10" t="s">
        <v>146</v>
      </c>
      <c r="X27" s="84"/>
      <c r="Y27" s="38" t="s">
        <v>49</v>
      </c>
      <c r="Z27" s="47">
        <v>10</v>
      </c>
      <c r="AA27" t="str">
        <f>VLOOKUP(Y27,Source!F:F,1,FALSE)</f>
        <v>Dept. of Correction</v>
      </c>
    </row>
    <row r="28" spans="1:27" x14ac:dyDescent="0.25">
      <c r="A28" s="47" t="str">
        <f t="shared" si="0"/>
        <v>Dept. of Correction11</v>
      </c>
      <c r="B28" s="27" t="s">
        <v>265</v>
      </c>
      <c r="C28" s="47" t="s">
        <v>739</v>
      </c>
      <c r="D28" s="39" t="s">
        <v>332</v>
      </c>
      <c r="E28" s="36" t="s">
        <v>333</v>
      </c>
      <c r="F28" s="29">
        <v>206</v>
      </c>
      <c r="G28" s="37" t="s">
        <v>334</v>
      </c>
      <c r="H28" s="37" t="s">
        <v>140</v>
      </c>
      <c r="I28" s="31" t="s">
        <v>270</v>
      </c>
      <c r="J28" s="32">
        <v>1464</v>
      </c>
      <c r="K28" s="33">
        <v>40688</v>
      </c>
      <c r="L28" s="34">
        <v>2011</v>
      </c>
      <c r="M28" s="88">
        <v>206</v>
      </c>
      <c r="N28" s="38" t="s">
        <v>313</v>
      </c>
      <c r="O28" s="105" t="s">
        <v>1124</v>
      </c>
      <c r="P28" s="47"/>
      <c r="Q28" s="47"/>
      <c r="R28" s="47"/>
      <c r="S28" s="47"/>
      <c r="T28" s="47" t="s">
        <v>114</v>
      </c>
      <c r="U28" s="422">
        <v>0.13639999999999999</v>
      </c>
      <c r="V28" s="48">
        <f t="shared" si="3"/>
        <v>246141.984</v>
      </c>
      <c r="W28" s="47"/>
      <c r="X28" s="47"/>
      <c r="Y28" s="38" t="s">
        <v>49</v>
      </c>
      <c r="Z28" s="47">
        <v>11</v>
      </c>
      <c r="AA28" t="str">
        <f>VLOOKUP(Y28,Source!F:F,1,FALSE)</f>
        <v>Dept. of Correction</v>
      </c>
    </row>
    <row r="29" spans="1:27" x14ac:dyDescent="0.25">
      <c r="A29" s="47" t="str">
        <f t="shared" si="0"/>
        <v>Dept. of Correction12</v>
      </c>
      <c r="B29" s="27" t="s">
        <v>265</v>
      </c>
      <c r="C29" s="112" t="s">
        <v>738</v>
      </c>
      <c r="D29" s="39" t="s">
        <v>335</v>
      </c>
      <c r="E29" s="102" t="s">
        <v>336</v>
      </c>
      <c r="F29" s="29">
        <v>103.04</v>
      </c>
      <c r="G29" s="103" t="s">
        <v>337</v>
      </c>
      <c r="H29" s="103" t="s">
        <v>138</v>
      </c>
      <c r="I29" s="90" t="s">
        <v>270</v>
      </c>
      <c r="J29" s="51">
        <v>2071</v>
      </c>
      <c r="K29" s="33">
        <v>40736</v>
      </c>
      <c r="L29" s="34">
        <v>2011</v>
      </c>
      <c r="M29" s="88">
        <v>103.04</v>
      </c>
      <c r="N29" s="38" t="s">
        <v>313</v>
      </c>
      <c r="O29" s="105" t="s">
        <v>1124</v>
      </c>
      <c r="P29" s="112"/>
      <c r="Q29" s="112"/>
      <c r="R29" s="112"/>
      <c r="S29" s="112"/>
      <c r="T29" s="47" t="s">
        <v>114</v>
      </c>
      <c r="U29" s="422">
        <v>0.13639999999999999</v>
      </c>
      <c r="V29" s="48">
        <f t="shared" si="3"/>
        <v>123118.78655999999</v>
      </c>
      <c r="W29" s="112"/>
      <c r="X29" s="112"/>
      <c r="Y29" s="38" t="s">
        <v>49</v>
      </c>
      <c r="Z29" s="47">
        <v>12</v>
      </c>
      <c r="AA29" t="str">
        <f>VLOOKUP(Y29,Source!F:F,1,FALSE)</f>
        <v>Dept. of Correction</v>
      </c>
    </row>
    <row r="30" spans="1:27" x14ac:dyDescent="0.25">
      <c r="A30" s="47" t="str">
        <f t="shared" si="0"/>
        <v>Dept. of Correction13</v>
      </c>
      <c r="B30" s="27" t="s">
        <v>265</v>
      </c>
      <c r="C30" s="112" t="s">
        <v>738</v>
      </c>
      <c r="D30" s="39"/>
      <c r="E30" s="105" t="s">
        <v>338</v>
      </c>
      <c r="F30" s="29">
        <v>61</v>
      </c>
      <c r="G30" s="27" t="s">
        <v>339</v>
      </c>
      <c r="H30" s="10" t="s">
        <v>138</v>
      </c>
      <c r="I30" s="47" t="s">
        <v>270</v>
      </c>
      <c r="J30" s="91">
        <v>2081</v>
      </c>
      <c r="K30" s="33"/>
      <c r="L30" s="34">
        <v>2008</v>
      </c>
      <c r="M30" s="88">
        <v>61</v>
      </c>
      <c r="N30" s="38" t="s">
        <v>313</v>
      </c>
      <c r="O30" s="105" t="s">
        <v>1124</v>
      </c>
      <c r="P30" s="27"/>
      <c r="Q30" s="27"/>
      <c r="R30" s="27"/>
      <c r="S30" s="27"/>
      <c r="T30" s="47" t="s">
        <v>114</v>
      </c>
      <c r="U30" s="422">
        <v>0.13639999999999999</v>
      </c>
      <c r="V30" s="48">
        <f t="shared" si="3"/>
        <v>72886.703999999998</v>
      </c>
      <c r="W30" s="10" t="s">
        <v>142</v>
      </c>
      <c r="X30" s="27"/>
      <c r="Y30" s="38" t="s">
        <v>49</v>
      </c>
      <c r="Z30" s="47">
        <v>13</v>
      </c>
      <c r="AA30" t="str">
        <f>VLOOKUP(Y30,Source!F:F,1,FALSE)</f>
        <v>Dept. of Correction</v>
      </c>
    </row>
    <row r="31" spans="1:27" x14ac:dyDescent="0.25">
      <c r="A31" s="47" t="str">
        <f t="shared" ref="A31:A61" si="4">Y31&amp;Z31</f>
        <v>Dept. of Correction2</v>
      </c>
      <c r="B31" s="27" t="s">
        <v>282</v>
      </c>
      <c r="C31" s="10" t="s">
        <v>203</v>
      </c>
      <c r="D31" s="39"/>
      <c r="E31" s="97" t="s">
        <v>314</v>
      </c>
      <c r="F31" s="29">
        <v>1400</v>
      </c>
      <c r="G31" s="27" t="s">
        <v>312</v>
      </c>
      <c r="H31" s="10" t="s">
        <v>115</v>
      </c>
      <c r="I31" s="47" t="s">
        <v>270</v>
      </c>
      <c r="J31" s="91">
        <v>2324</v>
      </c>
      <c r="K31" s="33"/>
      <c r="L31" s="34">
        <v>2010</v>
      </c>
      <c r="M31" s="88">
        <v>1400</v>
      </c>
      <c r="N31" s="101" t="s">
        <v>313</v>
      </c>
      <c r="O31" s="105" t="s">
        <v>1124</v>
      </c>
      <c r="P31" s="110"/>
      <c r="Q31" s="111"/>
      <c r="R31" s="112"/>
      <c r="S31" s="112"/>
      <c r="T31" s="47" t="s">
        <v>114</v>
      </c>
      <c r="U31" s="112"/>
      <c r="V31" s="112"/>
      <c r="W31" s="10" t="s">
        <v>216</v>
      </c>
      <c r="X31" s="112"/>
      <c r="Y31" s="38" t="s">
        <v>49</v>
      </c>
      <c r="Z31" s="47">
        <v>2</v>
      </c>
      <c r="AA31" t="str">
        <f>VLOOKUP(Y31,Source!F:F,1,FALSE)</f>
        <v>Dept. of Correction</v>
      </c>
    </row>
    <row r="32" spans="1:27" x14ac:dyDescent="0.25">
      <c r="A32" s="47" t="str">
        <f t="shared" si="4"/>
        <v>Dept. of Correction3</v>
      </c>
      <c r="B32" s="27" t="s">
        <v>265</v>
      </c>
      <c r="C32" s="112" t="s">
        <v>739</v>
      </c>
      <c r="D32" s="39" t="s">
        <v>315</v>
      </c>
      <c r="E32" s="102" t="s">
        <v>316</v>
      </c>
      <c r="F32" s="29">
        <v>103.03</v>
      </c>
      <c r="G32" s="103" t="s">
        <v>317</v>
      </c>
      <c r="H32" s="103" t="s">
        <v>139</v>
      </c>
      <c r="I32" s="90" t="s">
        <v>270</v>
      </c>
      <c r="J32" s="32">
        <v>1742</v>
      </c>
      <c r="K32" s="33">
        <v>40515</v>
      </c>
      <c r="L32" s="34">
        <v>2011</v>
      </c>
      <c r="M32" s="88">
        <v>103.03</v>
      </c>
      <c r="N32" s="38" t="s">
        <v>313</v>
      </c>
      <c r="O32" s="105" t="s">
        <v>1124</v>
      </c>
      <c r="P32" s="47"/>
      <c r="Q32" s="47"/>
      <c r="R32" s="47"/>
      <c r="S32" s="112"/>
      <c r="T32" s="47" t="s">
        <v>114</v>
      </c>
      <c r="U32" s="422">
        <v>0.13639999999999999</v>
      </c>
      <c r="V32" s="48">
        <f t="shared" ref="V32:V38" si="5">M32*8760*U32</f>
        <v>123106.83792000001</v>
      </c>
      <c r="W32" s="112"/>
      <c r="X32" s="47"/>
      <c r="Y32" s="38" t="s">
        <v>49</v>
      </c>
      <c r="Z32" s="47">
        <v>3</v>
      </c>
      <c r="AA32" t="str">
        <f>VLOOKUP(Y32,Source!F:F,1,FALSE)</f>
        <v>Dept. of Correction</v>
      </c>
    </row>
    <row r="33" spans="1:27" x14ac:dyDescent="0.25">
      <c r="A33" s="47" t="str">
        <f t="shared" si="4"/>
        <v>Dept. of Correction4</v>
      </c>
      <c r="B33" s="27" t="s">
        <v>265</v>
      </c>
      <c r="C33" s="112" t="s">
        <v>739</v>
      </c>
      <c r="D33" s="39"/>
      <c r="E33" s="105" t="s">
        <v>318</v>
      </c>
      <c r="F33" s="29">
        <v>60</v>
      </c>
      <c r="G33" s="84" t="s">
        <v>319</v>
      </c>
      <c r="H33" s="97" t="s">
        <v>139</v>
      </c>
      <c r="I33" s="112" t="s">
        <v>270</v>
      </c>
      <c r="J33" s="91">
        <v>1742</v>
      </c>
      <c r="K33" s="33"/>
      <c r="L33" s="34">
        <v>2008</v>
      </c>
      <c r="M33" s="88">
        <v>60</v>
      </c>
      <c r="N33" s="38" t="s">
        <v>313</v>
      </c>
      <c r="O33" s="105" t="s">
        <v>1124</v>
      </c>
      <c r="P33" s="84"/>
      <c r="Q33" s="84"/>
      <c r="R33" s="84"/>
      <c r="S33" s="84"/>
      <c r="T33" s="47" t="s">
        <v>114</v>
      </c>
      <c r="U33" s="422">
        <v>0.13639999999999999</v>
      </c>
      <c r="V33" s="48">
        <f t="shared" si="5"/>
        <v>71691.839999999997</v>
      </c>
      <c r="W33" s="97" t="s">
        <v>143</v>
      </c>
      <c r="X33" s="84"/>
      <c r="Y33" s="38" t="s">
        <v>49</v>
      </c>
      <c r="Z33" s="47">
        <v>4</v>
      </c>
      <c r="AA33" t="str">
        <f>VLOOKUP(Y33,Source!F:F,1,FALSE)</f>
        <v>Dept. of Correction</v>
      </c>
    </row>
    <row r="34" spans="1:27" x14ac:dyDescent="0.25">
      <c r="A34" s="47" t="str">
        <f t="shared" si="4"/>
        <v>Dept. of Correction5</v>
      </c>
      <c r="B34" s="27" t="s">
        <v>265</v>
      </c>
      <c r="C34" s="112" t="s">
        <v>738</v>
      </c>
      <c r="D34" s="39"/>
      <c r="E34" s="97" t="s">
        <v>320</v>
      </c>
      <c r="F34" s="29">
        <v>4</v>
      </c>
      <c r="G34" s="84" t="s">
        <v>321</v>
      </c>
      <c r="H34" s="97" t="s">
        <v>145</v>
      </c>
      <c r="I34" s="112" t="s">
        <v>270</v>
      </c>
      <c r="J34" s="51">
        <v>1702</v>
      </c>
      <c r="K34" s="33"/>
      <c r="L34" s="34">
        <v>2008</v>
      </c>
      <c r="M34" s="88">
        <v>4</v>
      </c>
      <c r="N34" s="38" t="s">
        <v>313</v>
      </c>
      <c r="O34" s="105" t="s">
        <v>1124</v>
      </c>
      <c r="P34" s="84"/>
      <c r="Q34" s="84"/>
      <c r="R34" s="84"/>
      <c r="S34" s="84"/>
      <c r="T34" s="47" t="s">
        <v>114</v>
      </c>
      <c r="U34" s="422">
        <v>0.13639999999999999</v>
      </c>
      <c r="V34" s="48">
        <f t="shared" si="5"/>
        <v>4779.4560000000001</v>
      </c>
      <c r="W34" s="97" t="s">
        <v>144</v>
      </c>
      <c r="X34" s="84"/>
      <c r="Y34" s="38" t="s">
        <v>49</v>
      </c>
      <c r="Z34" s="47">
        <v>5</v>
      </c>
      <c r="AA34" t="str">
        <f>VLOOKUP(Y34,Source!F:F,1,FALSE)</f>
        <v>Dept. of Correction</v>
      </c>
    </row>
    <row r="35" spans="1:27" x14ac:dyDescent="0.25">
      <c r="A35" s="47" t="str">
        <f t="shared" si="4"/>
        <v>Dept. of Correction6</v>
      </c>
      <c r="B35" s="27" t="s">
        <v>265</v>
      </c>
      <c r="C35" s="112" t="s">
        <v>739</v>
      </c>
      <c r="D35" s="39"/>
      <c r="E35" s="38" t="s">
        <v>547</v>
      </c>
      <c r="F35" s="29">
        <v>72</v>
      </c>
      <c r="G35" s="27" t="s">
        <v>322</v>
      </c>
      <c r="H35" s="10" t="s">
        <v>145</v>
      </c>
      <c r="I35" s="47" t="s">
        <v>270</v>
      </c>
      <c r="J35" s="51">
        <v>1702</v>
      </c>
      <c r="K35" s="33"/>
      <c r="L35" s="34">
        <v>2008</v>
      </c>
      <c r="M35" s="88">
        <v>72</v>
      </c>
      <c r="N35" s="38" t="s">
        <v>313</v>
      </c>
      <c r="O35" s="105" t="s">
        <v>1124</v>
      </c>
      <c r="P35" s="27"/>
      <c r="Q35" s="27"/>
      <c r="R35" s="27"/>
      <c r="S35" s="27"/>
      <c r="T35" s="47" t="s">
        <v>114</v>
      </c>
      <c r="U35" s="422">
        <v>0.13639999999999999</v>
      </c>
      <c r="V35" s="48">
        <f t="shared" si="5"/>
        <v>86030.207999999999</v>
      </c>
      <c r="W35" s="10" t="s">
        <v>147</v>
      </c>
      <c r="X35" s="27"/>
      <c r="Y35" s="38" t="s">
        <v>49</v>
      </c>
      <c r="Z35" s="47">
        <v>6</v>
      </c>
      <c r="AA35" t="str">
        <f>VLOOKUP(Y35,Source!F:F,1,FALSE)</f>
        <v>Dept. of Correction</v>
      </c>
    </row>
    <row r="36" spans="1:27" x14ac:dyDescent="0.25">
      <c r="A36" s="47" t="str">
        <f t="shared" si="4"/>
        <v>Dept. of Correction7</v>
      </c>
      <c r="B36" s="27" t="s">
        <v>265</v>
      </c>
      <c r="C36" s="97" t="s">
        <v>23</v>
      </c>
      <c r="D36" s="39" t="s">
        <v>323</v>
      </c>
      <c r="E36" s="97" t="s">
        <v>148</v>
      </c>
      <c r="F36" s="29">
        <v>3300</v>
      </c>
      <c r="G36" s="112" t="s">
        <v>324</v>
      </c>
      <c r="H36" s="97" t="s">
        <v>149</v>
      </c>
      <c r="I36" s="104" t="s">
        <v>270</v>
      </c>
      <c r="J36" s="32">
        <v>1440</v>
      </c>
      <c r="K36" s="33">
        <v>41306</v>
      </c>
      <c r="L36" s="34">
        <v>2012</v>
      </c>
      <c r="M36" s="88">
        <v>3300</v>
      </c>
      <c r="N36" s="38" t="s">
        <v>313</v>
      </c>
      <c r="O36" s="105" t="s">
        <v>1124</v>
      </c>
      <c r="P36" s="47"/>
      <c r="Q36" s="47"/>
      <c r="R36" s="47"/>
      <c r="S36" s="84"/>
      <c r="T36" s="47" t="s">
        <v>114</v>
      </c>
      <c r="U36" s="110">
        <v>0.26</v>
      </c>
      <c r="V36" s="48">
        <f t="shared" si="5"/>
        <v>7516080</v>
      </c>
      <c r="W36" s="97" t="s">
        <v>150</v>
      </c>
      <c r="X36" s="47"/>
      <c r="Y36" s="38" t="s">
        <v>49</v>
      </c>
      <c r="Z36" s="47">
        <v>7</v>
      </c>
      <c r="AA36" t="str">
        <f>VLOOKUP(Y36,Source!F:F,1,FALSE)</f>
        <v>Dept. of Correction</v>
      </c>
    </row>
    <row r="37" spans="1:27" x14ac:dyDescent="0.25">
      <c r="A37" s="47" t="str">
        <f t="shared" si="4"/>
        <v>Dept. of Correction8</v>
      </c>
      <c r="B37" s="27" t="s">
        <v>265</v>
      </c>
      <c r="C37" s="112" t="s">
        <v>739</v>
      </c>
      <c r="D37" s="39" t="s">
        <v>325</v>
      </c>
      <c r="E37" s="36" t="s">
        <v>326</v>
      </c>
      <c r="F37" s="29">
        <v>80.5</v>
      </c>
      <c r="G37" s="37" t="s">
        <v>327</v>
      </c>
      <c r="H37" s="37" t="s">
        <v>137</v>
      </c>
      <c r="I37" s="31" t="s">
        <v>270</v>
      </c>
      <c r="J37" s="51">
        <v>2056</v>
      </c>
      <c r="K37" s="33">
        <v>40589</v>
      </c>
      <c r="L37" s="34">
        <v>2011</v>
      </c>
      <c r="M37" s="88">
        <v>80.5</v>
      </c>
      <c r="N37" s="38" t="s">
        <v>313</v>
      </c>
      <c r="O37" s="105" t="s">
        <v>1124</v>
      </c>
      <c r="P37" s="47"/>
      <c r="Q37" s="47"/>
      <c r="R37" s="47"/>
      <c r="S37" s="47"/>
      <c r="T37" s="47" t="s">
        <v>114</v>
      </c>
      <c r="U37" s="422">
        <v>0.13639999999999999</v>
      </c>
      <c r="V37" s="48">
        <f t="shared" si="5"/>
        <v>96186.551999999996</v>
      </c>
      <c r="W37" s="47"/>
      <c r="X37" s="47"/>
      <c r="Y37" s="38" t="s">
        <v>49</v>
      </c>
      <c r="Z37" s="47">
        <v>8</v>
      </c>
      <c r="AA37" t="str">
        <f>VLOOKUP(Y37,Source!F:F,1,FALSE)</f>
        <v>Dept. of Correction</v>
      </c>
    </row>
    <row r="38" spans="1:27" x14ac:dyDescent="0.25">
      <c r="A38" s="47" t="str">
        <f t="shared" si="4"/>
        <v>Dept. of Correction9</v>
      </c>
      <c r="B38" s="27" t="s">
        <v>265</v>
      </c>
      <c r="C38" s="112" t="s">
        <v>739</v>
      </c>
      <c r="D38" s="39" t="s">
        <v>328</v>
      </c>
      <c r="E38" s="102" t="s">
        <v>329</v>
      </c>
      <c r="F38" s="29">
        <v>154.6</v>
      </c>
      <c r="G38" s="103" t="s">
        <v>330</v>
      </c>
      <c r="H38" s="103" t="s">
        <v>137</v>
      </c>
      <c r="I38" s="90" t="s">
        <v>270</v>
      </c>
      <c r="J38" s="51">
        <v>2056</v>
      </c>
      <c r="K38" s="33">
        <v>40623</v>
      </c>
      <c r="L38" s="34">
        <v>2011</v>
      </c>
      <c r="M38" s="88">
        <v>154.6</v>
      </c>
      <c r="N38" s="38" t="s">
        <v>313</v>
      </c>
      <c r="O38" s="105" t="s">
        <v>1124</v>
      </c>
      <c r="P38" s="112"/>
      <c r="Q38" s="112"/>
      <c r="R38" s="112"/>
      <c r="S38" s="112"/>
      <c r="T38" s="47" t="s">
        <v>114</v>
      </c>
      <c r="U38" s="422">
        <v>0.13639999999999999</v>
      </c>
      <c r="V38" s="48">
        <f t="shared" si="5"/>
        <v>184725.97439999998</v>
      </c>
      <c r="W38" s="112"/>
      <c r="X38" s="112"/>
      <c r="Y38" s="38" t="s">
        <v>49</v>
      </c>
      <c r="Z38" s="47">
        <v>9</v>
      </c>
      <c r="AA38" t="str">
        <f>VLOOKUP(Y38,Source!F:F,1,FALSE)</f>
        <v>Dept. of Correction</v>
      </c>
    </row>
    <row r="39" spans="1:27" x14ac:dyDescent="0.25">
      <c r="A39" s="47" t="str">
        <f t="shared" si="4"/>
        <v>Dept. of Developmental Services1</v>
      </c>
      <c r="B39" s="27" t="s">
        <v>282</v>
      </c>
      <c r="C39" s="10" t="s">
        <v>203</v>
      </c>
      <c r="D39" s="39" t="s">
        <v>340</v>
      </c>
      <c r="E39" s="38" t="s">
        <v>341</v>
      </c>
      <c r="F39" s="29">
        <v>625</v>
      </c>
      <c r="G39" s="47" t="s">
        <v>342</v>
      </c>
      <c r="H39" s="27" t="s">
        <v>182</v>
      </c>
      <c r="I39" s="47" t="s">
        <v>270</v>
      </c>
      <c r="J39" s="32">
        <v>2093</v>
      </c>
      <c r="K39" s="33">
        <v>41244</v>
      </c>
      <c r="L39" s="34">
        <v>2012</v>
      </c>
      <c r="M39" s="29">
        <v>625</v>
      </c>
      <c r="N39" s="35" t="s">
        <v>303</v>
      </c>
      <c r="O39" s="101" t="s">
        <v>1124</v>
      </c>
      <c r="P39" s="40"/>
      <c r="Q39" s="43"/>
      <c r="R39" s="47"/>
      <c r="S39" s="47"/>
      <c r="T39" s="47" t="s">
        <v>114</v>
      </c>
      <c r="U39" s="47"/>
      <c r="V39" s="47"/>
      <c r="W39" s="38" t="s">
        <v>343</v>
      </c>
      <c r="X39" s="47"/>
      <c r="Y39" s="28" t="s">
        <v>50</v>
      </c>
      <c r="Z39" s="47">
        <v>1</v>
      </c>
      <c r="AA39" t="str">
        <f>VLOOKUP(Y39,Source!F:F,1,FALSE)</f>
        <v>Dept. of Developmental Services</v>
      </c>
    </row>
    <row r="40" spans="1:27" x14ac:dyDescent="0.25">
      <c r="A40" s="47" t="str">
        <f t="shared" si="4"/>
        <v>Dept. of Developmental Services2</v>
      </c>
      <c r="B40" s="27" t="s">
        <v>265</v>
      </c>
      <c r="C40" s="112" t="s">
        <v>739</v>
      </c>
      <c r="D40" s="39" t="s">
        <v>344</v>
      </c>
      <c r="E40" s="38" t="s">
        <v>341</v>
      </c>
      <c r="F40" s="29">
        <v>501.6</v>
      </c>
      <c r="G40" s="47" t="s">
        <v>342</v>
      </c>
      <c r="H40" s="10" t="s">
        <v>182</v>
      </c>
      <c r="I40" s="47" t="s">
        <v>270</v>
      </c>
      <c r="J40" s="32">
        <v>2093</v>
      </c>
      <c r="K40" s="33">
        <v>41338</v>
      </c>
      <c r="L40" s="34">
        <v>2013</v>
      </c>
      <c r="M40" s="29">
        <v>501.6</v>
      </c>
      <c r="N40" s="47" t="s">
        <v>303</v>
      </c>
      <c r="O40" s="101" t="s">
        <v>1124</v>
      </c>
      <c r="P40" s="47"/>
      <c r="Q40" s="47"/>
      <c r="R40" s="47"/>
      <c r="S40" s="47"/>
      <c r="T40" s="47" t="s">
        <v>114</v>
      </c>
      <c r="U40" s="422">
        <v>0.13639999999999999</v>
      </c>
      <c r="V40" s="48">
        <f>M40*8760*U40</f>
        <v>599343.78240000003</v>
      </c>
      <c r="W40" s="47"/>
      <c r="X40" s="47"/>
      <c r="Y40" s="28" t="s">
        <v>50</v>
      </c>
      <c r="Z40" s="47">
        <v>2</v>
      </c>
      <c r="AA40" t="str">
        <f>VLOOKUP(Y40,Source!F:F,1,FALSE)</f>
        <v>Dept. of Developmental Services</v>
      </c>
    </row>
    <row r="41" spans="1:27" x14ac:dyDescent="0.25">
      <c r="A41" s="47" t="str">
        <f t="shared" si="4"/>
        <v>Dept. of Fire Services1</v>
      </c>
      <c r="B41" s="27" t="s">
        <v>265</v>
      </c>
      <c r="C41" s="112" t="s">
        <v>738</v>
      </c>
      <c r="D41" s="39"/>
      <c r="E41" s="38" t="s">
        <v>133</v>
      </c>
      <c r="F41" s="29">
        <v>72</v>
      </c>
      <c r="G41" s="27" t="s">
        <v>345</v>
      </c>
      <c r="H41" s="10" t="s">
        <v>134</v>
      </c>
      <c r="I41" s="47" t="s">
        <v>270</v>
      </c>
      <c r="J41" s="32">
        <v>1775</v>
      </c>
      <c r="K41" s="33"/>
      <c r="L41" s="34">
        <v>2010</v>
      </c>
      <c r="M41" s="29">
        <v>72</v>
      </c>
      <c r="N41" s="38" t="s">
        <v>305</v>
      </c>
      <c r="O41" s="101" t="s">
        <v>1124</v>
      </c>
      <c r="P41" s="27"/>
      <c r="Q41" s="47"/>
      <c r="R41" s="47"/>
      <c r="S41" s="27"/>
      <c r="T41" s="47" t="s">
        <v>114</v>
      </c>
      <c r="U41" s="422">
        <v>0.13639999999999999</v>
      </c>
      <c r="V41" s="48">
        <f>M41*8760*U41</f>
        <v>86030.207999999999</v>
      </c>
      <c r="W41" s="10" t="s">
        <v>133</v>
      </c>
      <c r="X41" s="27"/>
      <c r="Y41" s="28" t="s">
        <v>51</v>
      </c>
      <c r="Z41" s="47">
        <v>1</v>
      </c>
      <c r="AA41" t="str">
        <f>VLOOKUP(Y41,Source!F:F,1,FALSE)</f>
        <v>Dept. of Fire Services</v>
      </c>
    </row>
    <row r="42" spans="1:27" x14ac:dyDescent="0.25">
      <c r="A42" s="47" t="str">
        <f t="shared" si="4"/>
        <v>Dept. of Fish and Game1</v>
      </c>
      <c r="B42" s="27" t="s">
        <v>265</v>
      </c>
      <c r="C42" s="112" t="s">
        <v>738</v>
      </c>
      <c r="D42" s="39"/>
      <c r="E42" s="105" t="s">
        <v>610</v>
      </c>
      <c r="F42" s="29">
        <v>294</v>
      </c>
      <c r="G42" s="86" t="s">
        <v>611</v>
      </c>
      <c r="H42" s="85" t="s">
        <v>612</v>
      </c>
      <c r="I42" s="85" t="s">
        <v>270</v>
      </c>
      <c r="J42" s="32">
        <v>1581</v>
      </c>
      <c r="K42" s="85"/>
      <c r="L42" s="100">
        <v>2015</v>
      </c>
      <c r="M42" s="29">
        <v>294</v>
      </c>
      <c r="N42" s="105" t="s">
        <v>271</v>
      </c>
      <c r="O42" s="101" t="s">
        <v>1124</v>
      </c>
      <c r="P42" s="47"/>
      <c r="Q42" s="47"/>
      <c r="R42" s="47"/>
      <c r="S42" s="84"/>
      <c r="T42" s="47" t="s">
        <v>114</v>
      </c>
      <c r="U42" s="422">
        <v>0.13639999999999999</v>
      </c>
      <c r="V42" s="114">
        <f>M42*8760*U42</f>
        <v>351290.016</v>
      </c>
      <c r="W42" s="97" t="s">
        <v>76</v>
      </c>
      <c r="X42" s="84"/>
      <c r="Y42" s="59" t="s">
        <v>77</v>
      </c>
      <c r="Z42" s="84">
        <v>1</v>
      </c>
      <c r="AA42" t="str">
        <f>VLOOKUP(Y42,Source!F:F,1,FALSE)</f>
        <v>Dept. of Fish and Game</v>
      </c>
    </row>
    <row r="43" spans="1:27" x14ac:dyDescent="0.25">
      <c r="A43" s="47" t="str">
        <f t="shared" si="4"/>
        <v>Dept. of Mental Health1</v>
      </c>
      <c r="B43" s="27" t="s">
        <v>282</v>
      </c>
      <c r="C43" s="97" t="s">
        <v>203</v>
      </c>
      <c r="D43" s="39" t="s">
        <v>346</v>
      </c>
      <c r="E43" s="106" t="s">
        <v>347</v>
      </c>
      <c r="F43" s="29">
        <v>250</v>
      </c>
      <c r="G43" s="39" t="s">
        <v>348</v>
      </c>
      <c r="H43" s="97" t="s">
        <v>181</v>
      </c>
      <c r="I43" s="112" t="s">
        <v>270</v>
      </c>
      <c r="J43" s="32">
        <v>1602</v>
      </c>
      <c r="K43" s="33">
        <v>41183</v>
      </c>
      <c r="L43" s="34">
        <v>2013</v>
      </c>
      <c r="M43" s="29">
        <v>250</v>
      </c>
      <c r="N43" s="47" t="s">
        <v>303</v>
      </c>
      <c r="O43" s="101" t="s">
        <v>1124</v>
      </c>
      <c r="P43" s="47"/>
      <c r="Q43" s="47"/>
      <c r="R43" s="47"/>
      <c r="S43" s="47"/>
      <c r="T43" s="47" t="s">
        <v>114</v>
      </c>
      <c r="U43" s="112"/>
      <c r="V43" s="112"/>
      <c r="W43" s="47"/>
      <c r="X43" s="47"/>
      <c r="Y43" s="28" t="s">
        <v>52</v>
      </c>
      <c r="Z43" s="47">
        <v>1</v>
      </c>
      <c r="AA43" t="str">
        <f>VLOOKUP(Y43,Source!F:F,1,FALSE)</f>
        <v>Dept. of Mental Health</v>
      </c>
    </row>
    <row r="44" spans="1:27" x14ac:dyDescent="0.25">
      <c r="A44" s="47" t="str">
        <f t="shared" si="4"/>
        <v>DHCD Canton Housing Authority1</v>
      </c>
      <c r="B44" s="27" t="s">
        <v>265</v>
      </c>
      <c r="C44" s="112" t="s">
        <v>738</v>
      </c>
      <c r="D44" s="39" t="s">
        <v>349</v>
      </c>
      <c r="E44" s="87" t="s">
        <v>135</v>
      </c>
      <c r="F44" s="29">
        <v>51.07</v>
      </c>
      <c r="G44" s="107" t="s">
        <v>350</v>
      </c>
      <c r="H44" s="89" t="s">
        <v>136</v>
      </c>
      <c r="I44" s="90" t="s">
        <v>270</v>
      </c>
      <c r="J44" s="32">
        <v>2021</v>
      </c>
      <c r="K44" s="33">
        <v>40905</v>
      </c>
      <c r="L44" s="34">
        <v>2012</v>
      </c>
      <c r="M44" s="29">
        <v>51.07</v>
      </c>
      <c r="N44" s="47" t="s">
        <v>303</v>
      </c>
      <c r="O44" s="101" t="s">
        <v>1124</v>
      </c>
      <c r="P44" s="47"/>
      <c r="Q44" s="47"/>
      <c r="R44" s="47"/>
      <c r="S44" s="47"/>
      <c r="T44" s="47" t="s">
        <v>114</v>
      </c>
      <c r="U44" s="422">
        <v>0.13639999999999999</v>
      </c>
      <c r="V44" s="48">
        <f>M44*8760*U44</f>
        <v>61021.70448</v>
      </c>
      <c r="W44" s="47"/>
      <c r="X44" s="47"/>
      <c r="Y44" s="115" t="s">
        <v>351</v>
      </c>
      <c r="Z44" s="47">
        <v>1</v>
      </c>
      <c r="AA44" t="e">
        <f>VLOOKUP(Y44,Source!F:F,1,FALSE)</f>
        <v>#N/A</v>
      </c>
    </row>
    <row r="45" spans="1:27" x14ac:dyDescent="0.25">
      <c r="A45" s="47" t="str">
        <f t="shared" si="4"/>
        <v>Div. of Capital Asset Management1</v>
      </c>
      <c r="B45" s="27" t="s">
        <v>265</v>
      </c>
      <c r="C45" s="117" t="s">
        <v>113</v>
      </c>
      <c r="D45" s="39" t="s">
        <v>352</v>
      </c>
      <c r="E45" s="108" t="s">
        <v>353</v>
      </c>
      <c r="F45" s="29">
        <v>29.4</v>
      </c>
      <c r="G45" s="104" t="s">
        <v>742</v>
      </c>
      <c r="H45" s="104" t="s">
        <v>123</v>
      </c>
      <c r="I45" s="104" t="s">
        <v>270</v>
      </c>
      <c r="J45" s="32">
        <v>1523</v>
      </c>
      <c r="K45" s="33">
        <v>41023</v>
      </c>
      <c r="L45" s="34">
        <v>2012</v>
      </c>
      <c r="M45" s="29">
        <v>29.4</v>
      </c>
      <c r="N45" s="112" t="s">
        <v>290</v>
      </c>
      <c r="O45" s="101" t="s">
        <v>1124</v>
      </c>
      <c r="P45" s="47"/>
      <c r="Q45" s="47"/>
      <c r="R45" s="47"/>
      <c r="S45" s="47"/>
      <c r="T45" s="47" t="s">
        <v>114</v>
      </c>
      <c r="U45" s="422">
        <v>0.13639999999999999</v>
      </c>
      <c r="V45" s="48">
        <f>M45*8760*U45</f>
        <v>35129.001599999996</v>
      </c>
      <c r="W45" s="47"/>
      <c r="X45" s="47"/>
      <c r="Y45" s="59" t="s">
        <v>582</v>
      </c>
      <c r="Z45" s="47">
        <v>1</v>
      </c>
      <c r="AA45" t="str">
        <f>VLOOKUP(Y45,Source!F:F,1,FALSE)</f>
        <v>Div. of Capital Asset Management</v>
      </c>
    </row>
    <row r="46" spans="1:27" x14ac:dyDescent="0.25">
      <c r="A46" s="47" t="str">
        <f t="shared" si="4"/>
        <v>Fitchburg State University1</v>
      </c>
      <c r="B46" s="27" t="s">
        <v>265</v>
      </c>
      <c r="C46" s="112" t="s">
        <v>738</v>
      </c>
      <c r="D46" s="39" t="s">
        <v>354</v>
      </c>
      <c r="E46" s="28" t="s">
        <v>355</v>
      </c>
      <c r="F46" s="29">
        <v>26.88</v>
      </c>
      <c r="G46" s="30" t="s">
        <v>356</v>
      </c>
      <c r="H46" s="30" t="s">
        <v>151</v>
      </c>
      <c r="I46" s="31" t="s">
        <v>270</v>
      </c>
      <c r="J46" s="32">
        <v>1420</v>
      </c>
      <c r="K46" s="33">
        <v>40679</v>
      </c>
      <c r="L46" s="34">
        <v>2011</v>
      </c>
      <c r="M46" s="29">
        <v>26.88</v>
      </c>
      <c r="N46" s="38" t="s">
        <v>271</v>
      </c>
      <c r="O46" s="105" t="s">
        <v>1124</v>
      </c>
      <c r="P46" s="47"/>
      <c r="Q46" s="47"/>
      <c r="R46" s="47"/>
      <c r="S46" s="47"/>
      <c r="T46" s="47" t="s">
        <v>114</v>
      </c>
      <c r="U46" s="422">
        <v>0.13639999999999999</v>
      </c>
      <c r="V46" s="48">
        <f>M46*8760*U46</f>
        <v>32117.944319999995</v>
      </c>
      <c r="W46" s="47"/>
      <c r="X46" s="47"/>
      <c r="Y46" s="28" t="s">
        <v>56</v>
      </c>
      <c r="Z46" s="47">
        <v>1</v>
      </c>
      <c r="AA46" t="str">
        <f>VLOOKUP(Y46,Source!F:F,1,FALSE)</f>
        <v>Fitchburg State University</v>
      </c>
    </row>
    <row r="47" spans="1:27" x14ac:dyDescent="0.25">
      <c r="A47" s="47" t="str">
        <f t="shared" si="4"/>
        <v>Fitchburg State University2</v>
      </c>
      <c r="B47" s="27" t="s">
        <v>265</v>
      </c>
      <c r="C47" s="112" t="s">
        <v>738</v>
      </c>
      <c r="D47" s="39" t="s">
        <v>357</v>
      </c>
      <c r="E47" s="28" t="s">
        <v>358</v>
      </c>
      <c r="F47" s="29">
        <v>61.74</v>
      </c>
      <c r="G47" s="30" t="s">
        <v>356</v>
      </c>
      <c r="H47" s="30" t="s">
        <v>151</v>
      </c>
      <c r="I47" s="31" t="s">
        <v>270</v>
      </c>
      <c r="J47" s="32">
        <v>1420</v>
      </c>
      <c r="K47" s="33">
        <v>40679</v>
      </c>
      <c r="L47" s="34">
        <v>2011</v>
      </c>
      <c r="M47" s="29">
        <v>61.74</v>
      </c>
      <c r="N47" s="38" t="s">
        <v>271</v>
      </c>
      <c r="O47" s="105" t="s">
        <v>1124</v>
      </c>
      <c r="P47" s="47"/>
      <c r="Q47" s="47"/>
      <c r="R47" s="47"/>
      <c r="S47" s="47"/>
      <c r="T47" s="47" t="s">
        <v>114</v>
      </c>
      <c r="U47" s="422">
        <v>0.13639999999999999</v>
      </c>
      <c r="V47" s="48">
        <f>M47*8760*U47</f>
        <v>73770.903359999997</v>
      </c>
      <c r="W47" s="47"/>
      <c r="X47" s="47"/>
      <c r="Y47" s="28" t="s">
        <v>56</v>
      </c>
      <c r="Z47" s="47">
        <v>2</v>
      </c>
      <c r="AA47" t="str">
        <f>VLOOKUP(Y47,Source!F:F,1,FALSE)</f>
        <v>Fitchburg State University</v>
      </c>
    </row>
    <row r="48" spans="1:27" x14ac:dyDescent="0.25">
      <c r="A48" s="47" t="str">
        <f t="shared" si="4"/>
        <v>Fitchburg State University3</v>
      </c>
      <c r="B48" s="27" t="s">
        <v>282</v>
      </c>
      <c r="C48" s="97" t="s">
        <v>203</v>
      </c>
      <c r="D48" s="86"/>
      <c r="E48" s="28" t="s">
        <v>56</v>
      </c>
      <c r="F48" s="113"/>
      <c r="G48" s="30" t="s">
        <v>356</v>
      </c>
      <c r="H48" s="30" t="s">
        <v>151</v>
      </c>
      <c r="I48" s="31" t="s">
        <v>270</v>
      </c>
      <c r="J48" s="32">
        <v>1420</v>
      </c>
      <c r="K48" s="33"/>
      <c r="L48" s="34">
        <v>2011</v>
      </c>
      <c r="M48" s="29"/>
      <c r="N48" s="94" t="s">
        <v>271</v>
      </c>
      <c r="O48" s="105" t="s">
        <v>1124</v>
      </c>
      <c r="P48" s="85"/>
      <c r="Q48" s="85"/>
      <c r="R48" s="85"/>
      <c r="S48" s="85"/>
      <c r="T48" s="85" t="s">
        <v>114</v>
      </c>
      <c r="U48" s="95"/>
      <c r="V48" s="96"/>
      <c r="W48" s="88" t="s">
        <v>622</v>
      </c>
      <c r="X48" s="85"/>
      <c r="Y48" s="28" t="s">
        <v>56</v>
      </c>
      <c r="Z48" s="85">
        <v>3</v>
      </c>
      <c r="AA48" t="str">
        <f>VLOOKUP(Y48,Source!F:F,1,FALSE)</f>
        <v>Fitchburg State University</v>
      </c>
    </row>
    <row r="49" spans="1:27" x14ac:dyDescent="0.25">
      <c r="A49" s="47" t="str">
        <f t="shared" si="4"/>
        <v>Framingham State University1</v>
      </c>
      <c r="B49" s="27" t="s">
        <v>265</v>
      </c>
      <c r="C49" s="112" t="s">
        <v>738</v>
      </c>
      <c r="D49" s="39" t="s">
        <v>359</v>
      </c>
      <c r="E49" s="87" t="s">
        <v>360</v>
      </c>
      <c r="F49" s="29">
        <v>69.3</v>
      </c>
      <c r="G49" s="89" t="s">
        <v>361</v>
      </c>
      <c r="H49" s="89" t="s">
        <v>145</v>
      </c>
      <c r="I49" s="90" t="s">
        <v>270</v>
      </c>
      <c r="J49" s="32">
        <v>1701</v>
      </c>
      <c r="K49" s="33">
        <v>40688</v>
      </c>
      <c r="L49" s="34">
        <v>2011</v>
      </c>
      <c r="M49" s="29">
        <v>69.3</v>
      </c>
      <c r="N49" s="38" t="s">
        <v>271</v>
      </c>
      <c r="O49" s="105" t="s">
        <v>1124</v>
      </c>
      <c r="P49" s="47"/>
      <c r="Q49" s="47"/>
      <c r="R49" s="47"/>
      <c r="S49" s="47"/>
      <c r="T49" s="47" t="s">
        <v>114</v>
      </c>
      <c r="U49" s="422">
        <v>0.13639999999999999</v>
      </c>
      <c r="V49" s="48">
        <f t="shared" ref="V49:V54" si="6">M49*8760*U49</f>
        <v>82804.075199999992</v>
      </c>
      <c r="W49" s="47"/>
      <c r="X49" s="47"/>
      <c r="Y49" s="115" t="s">
        <v>57</v>
      </c>
      <c r="Z49" s="47">
        <v>1</v>
      </c>
      <c r="AA49" t="str">
        <f>VLOOKUP(Y49,Source!F:F,1,FALSE)</f>
        <v>Framingham State University</v>
      </c>
    </row>
    <row r="50" spans="1:27" x14ac:dyDescent="0.25">
      <c r="A50" s="47" t="str">
        <f t="shared" si="4"/>
        <v>Framingham State University2</v>
      </c>
      <c r="B50" s="27" t="s">
        <v>265</v>
      </c>
      <c r="C50" s="112" t="s">
        <v>738</v>
      </c>
      <c r="D50" s="39" t="s">
        <v>362</v>
      </c>
      <c r="E50" s="87" t="s">
        <v>363</v>
      </c>
      <c r="F50" s="29">
        <v>29.4</v>
      </c>
      <c r="G50" s="89" t="s">
        <v>361</v>
      </c>
      <c r="H50" s="30" t="s">
        <v>145</v>
      </c>
      <c r="I50" s="90" t="s">
        <v>270</v>
      </c>
      <c r="J50" s="32">
        <v>1701</v>
      </c>
      <c r="K50" s="33">
        <v>40693</v>
      </c>
      <c r="L50" s="34">
        <v>2011</v>
      </c>
      <c r="M50" s="29">
        <v>29.4</v>
      </c>
      <c r="N50" s="38" t="s">
        <v>271</v>
      </c>
      <c r="O50" s="105" t="s">
        <v>1124</v>
      </c>
      <c r="P50" s="47"/>
      <c r="Q50" s="47"/>
      <c r="R50" s="112"/>
      <c r="S50" s="112"/>
      <c r="T50" s="47" t="s">
        <v>114</v>
      </c>
      <c r="U50" s="422">
        <v>0.13639999999999999</v>
      </c>
      <c r="V50" s="48">
        <f t="shared" si="6"/>
        <v>35129.001599999996</v>
      </c>
      <c r="W50" s="112"/>
      <c r="X50" s="112"/>
      <c r="Y50" s="115" t="s">
        <v>57</v>
      </c>
      <c r="Z50" s="47">
        <v>2</v>
      </c>
      <c r="AA50" t="str">
        <f>VLOOKUP(Y50,Source!F:F,1,FALSE)</f>
        <v>Framingham State University</v>
      </c>
    </row>
    <row r="51" spans="1:27" x14ac:dyDescent="0.25">
      <c r="A51" s="47" t="str">
        <f t="shared" si="4"/>
        <v>Greenfield Community College1</v>
      </c>
      <c r="B51" s="27" t="s">
        <v>265</v>
      </c>
      <c r="C51" s="112" t="s">
        <v>739</v>
      </c>
      <c r="D51" s="39" t="s">
        <v>364</v>
      </c>
      <c r="E51" s="108" t="s">
        <v>365</v>
      </c>
      <c r="F51" s="29">
        <v>78.540000000000006</v>
      </c>
      <c r="G51" s="104" t="s">
        <v>366</v>
      </c>
      <c r="H51" s="104" t="s">
        <v>152</v>
      </c>
      <c r="I51" s="104" t="s">
        <v>270</v>
      </c>
      <c r="J51" s="32">
        <v>1301</v>
      </c>
      <c r="K51" s="33">
        <v>40945</v>
      </c>
      <c r="L51" s="34">
        <v>2012</v>
      </c>
      <c r="M51" s="29">
        <v>78.540000000000006</v>
      </c>
      <c r="N51" s="38" t="s">
        <v>271</v>
      </c>
      <c r="O51" s="105" t="s">
        <v>1124</v>
      </c>
      <c r="P51" s="47"/>
      <c r="Q51" s="47"/>
      <c r="R51" s="47"/>
      <c r="S51" s="47"/>
      <c r="T51" s="47" t="s">
        <v>114</v>
      </c>
      <c r="U51" s="422">
        <v>0.13639999999999999</v>
      </c>
      <c r="V51" s="48">
        <f t="shared" si="6"/>
        <v>93844.618560000003</v>
      </c>
      <c r="W51" s="47"/>
      <c r="X51" s="47"/>
      <c r="Y51" s="58" t="s">
        <v>58</v>
      </c>
      <c r="Z51" s="47">
        <v>1</v>
      </c>
      <c r="AA51" t="e">
        <f>VLOOKUP(Y51,Source!F:F,1,FALSE)</f>
        <v>#N/A</v>
      </c>
    </row>
    <row r="52" spans="1:27" ht="15.75" x14ac:dyDescent="0.25">
      <c r="A52" s="47" t="str">
        <f t="shared" si="4"/>
        <v>Mass. College of Liberal Arts1</v>
      </c>
      <c r="B52" s="27" t="s">
        <v>265</v>
      </c>
      <c r="C52" s="112" t="s">
        <v>738</v>
      </c>
      <c r="D52" s="39"/>
      <c r="E52" s="10" t="s">
        <v>1194</v>
      </c>
      <c r="F52" s="29">
        <v>13</v>
      </c>
      <c r="G52" s="39" t="s">
        <v>367</v>
      </c>
      <c r="H52" s="89" t="s">
        <v>156</v>
      </c>
      <c r="I52" s="47" t="s">
        <v>270</v>
      </c>
      <c r="J52" s="32">
        <v>1247</v>
      </c>
      <c r="K52" s="33"/>
      <c r="L52" s="34">
        <v>2014</v>
      </c>
      <c r="M52" s="29">
        <v>13</v>
      </c>
      <c r="N52" s="38" t="s">
        <v>271</v>
      </c>
      <c r="O52" s="105" t="s">
        <v>1124</v>
      </c>
      <c r="P52" s="47"/>
      <c r="Q52" s="47"/>
      <c r="R52" s="97"/>
      <c r="S52" s="27"/>
      <c r="T52" s="47" t="s">
        <v>114</v>
      </c>
      <c r="U52" s="422">
        <v>0.13639999999999999</v>
      </c>
      <c r="V52" s="48">
        <f t="shared" si="6"/>
        <v>15533.232</v>
      </c>
      <c r="W52" s="49" t="s">
        <v>369</v>
      </c>
      <c r="X52" s="84"/>
      <c r="Y52" s="58" t="s">
        <v>584</v>
      </c>
      <c r="Z52" s="47">
        <v>1</v>
      </c>
      <c r="AA52" t="str">
        <f>VLOOKUP(Y52,Source!F:F,1,FALSE)</f>
        <v>Mass. College of Liberal Arts</v>
      </c>
    </row>
    <row r="53" spans="1:27" x14ac:dyDescent="0.25">
      <c r="A53" s="47" t="str">
        <f t="shared" si="4"/>
        <v>Mass. College of Liberal Arts2</v>
      </c>
      <c r="B53" s="27" t="s">
        <v>265</v>
      </c>
      <c r="C53" s="112" t="s">
        <v>738</v>
      </c>
      <c r="D53" s="39" t="s">
        <v>370</v>
      </c>
      <c r="E53" s="107" t="s">
        <v>1195</v>
      </c>
      <c r="F53" s="29">
        <v>9</v>
      </c>
      <c r="G53" s="39" t="s">
        <v>367</v>
      </c>
      <c r="H53" s="89" t="s">
        <v>156</v>
      </c>
      <c r="I53" s="90" t="s">
        <v>270</v>
      </c>
      <c r="J53" s="32">
        <v>1247</v>
      </c>
      <c r="K53" s="33">
        <v>38640</v>
      </c>
      <c r="L53" s="34">
        <v>2014</v>
      </c>
      <c r="M53" s="29">
        <v>9</v>
      </c>
      <c r="N53" s="38" t="s">
        <v>271</v>
      </c>
      <c r="O53" s="105" t="s">
        <v>1124</v>
      </c>
      <c r="P53" s="112"/>
      <c r="Q53" s="112"/>
      <c r="R53" s="47"/>
      <c r="S53" s="47"/>
      <c r="T53" s="47" t="s">
        <v>114</v>
      </c>
      <c r="U53" s="422">
        <v>0.13639999999999999</v>
      </c>
      <c r="V53" s="114">
        <f t="shared" si="6"/>
        <v>10753.776</v>
      </c>
      <c r="W53" s="112" t="s">
        <v>1196</v>
      </c>
      <c r="X53" s="47"/>
      <c r="Y53" s="58" t="s">
        <v>584</v>
      </c>
      <c r="Z53" s="47">
        <v>2</v>
      </c>
      <c r="AA53" t="str">
        <f>VLOOKUP(Y53,Source!F:F,1,FALSE)</f>
        <v>Mass. College of Liberal Arts</v>
      </c>
    </row>
    <row r="54" spans="1:27" x14ac:dyDescent="0.25">
      <c r="A54" s="47" t="str">
        <f t="shared" si="4"/>
        <v>Mass. College of Liberal Arts3</v>
      </c>
      <c r="B54" s="27" t="s">
        <v>265</v>
      </c>
      <c r="C54" s="10" t="s">
        <v>23</v>
      </c>
      <c r="D54" s="39"/>
      <c r="E54" s="10" t="s">
        <v>371</v>
      </c>
      <c r="F54" s="29">
        <v>1</v>
      </c>
      <c r="G54" s="39" t="s">
        <v>367</v>
      </c>
      <c r="H54" s="10" t="s">
        <v>156</v>
      </c>
      <c r="I54" s="47" t="s">
        <v>270</v>
      </c>
      <c r="J54" s="32">
        <v>1247</v>
      </c>
      <c r="K54" s="33"/>
      <c r="L54" s="34">
        <v>2014</v>
      </c>
      <c r="M54" s="29">
        <v>1</v>
      </c>
      <c r="N54" s="38" t="s">
        <v>271</v>
      </c>
      <c r="O54" s="105" t="s">
        <v>1124</v>
      </c>
      <c r="P54" s="47"/>
      <c r="Q54" s="47"/>
      <c r="R54" s="112"/>
      <c r="S54" s="27"/>
      <c r="T54" s="47" t="s">
        <v>114</v>
      </c>
      <c r="U54" s="400">
        <v>0.26</v>
      </c>
      <c r="V54" s="48">
        <f t="shared" si="6"/>
        <v>2277.6</v>
      </c>
      <c r="W54" s="10"/>
      <c r="X54" s="112"/>
      <c r="Y54" s="58" t="s">
        <v>584</v>
      </c>
      <c r="Z54" s="47">
        <v>3</v>
      </c>
      <c r="AA54" t="str">
        <f>VLOOKUP(Y54,Source!F:F,1,FALSE)</f>
        <v>Mass. College of Liberal Arts</v>
      </c>
    </row>
    <row r="55" spans="1:27" ht="15.75" x14ac:dyDescent="0.25">
      <c r="A55" s="47" t="str">
        <f t="shared" si="4"/>
        <v>Mass. College of Liberal Arts4</v>
      </c>
      <c r="B55" s="27" t="s">
        <v>282</v>
      </c>
      <c r="C55" s="97" t="s">
        <v>203</v>
      </c>
      <c r="D55" s="39"/>
      <c r="E55" s="105" t="s">
        <v>368</v>
      </c>
      <c r="F55" s="29">
        <v>75</v>
      </c>
      <c r="G55" s="39" t="s">
        <v>367</v>
      </c>
      <c r="H55" s="10" t="s">
        <v>156</v>
      </c>
      <c r="I55" s="47" t="s">
        <v>270</v>
      </c>
      <c r="J55" s="32">
        <v>1247</v>
      </c>
      <c r="K55" s="33"/>
      <c r="L55" s="34">
        <v>2001</v>
      </c>
      <c r="M55" s="29">
        <v>75</v>
      </c>
      <c r="N55" s="38" t="s">
        <v>271</v>
      </c>
      <c r="O55" s="105" t="s">
        <v>1124</v>
      </c>
      <c r="P55" s="110"/>
      <c r="Q55" s="111"/>
      <c r="R55" s="112"/>
      <c r="S55" s="112"/>
      <c r="T55" s="47" t="s">
        <v>114</v>
      </c>
      <c r="U55" s="112"/>
      <c r="V55" s="112"/>
      <c r="W55" s="49" t="s">
        <v>372</v>
      </c>
      <c r="X55" s="112"/>
      <c r="Y55" s="58" t="s">
        <v>584</v>
      </c>
      <c r="Z55" s="47">
        <v>4</v>
      </c>
      <c r="AA55" t="str">
        <f>VLOOKUP(Y55,Source!F:F,1,FALSE)</f>
        <v>Mass. College of Liberal Arts</v>
      </c>
    </row>
    <row r="56" spans="1:27" s="122" customFormat="1" ht="15.75" x14ac:dyDescent="0.25">
      <c r="A56" s="112" t="str">
        <f t="shared" si="4"/>
        <v>Mass. College of Liberal Arts5</v>
      </c>
      <c r="B56" s="84" t="s">
        <v>282</v>
      </c>
      <c r="C56" s="97" t="s">
        <v>203</v>
      </c>
      <c r="D56" s="107"/>
      <c r="E56" s="105" t="s">
        <v>368</v>
      </c>
      <c r="F56" s="88">
        <v>197</v>
      </c>
      <c r="G56" s="107" t="s">
        <v>873</v>
      </c>
      <c r="H56" s="97" t="s">
        <v>156</v>
      </c>
      <c r="I56" s="112" t="s">
        <v>270</v>
      </c>
      <c r="J56" s="91">
        <v>1248</v>
      </c>
      <c r="K56" s="92">
        <v>43070</v>
      </c>
      <c r="L56" s="93">
        <v>2018</v>
      </c>
      <c r="M56" s="88">
        <v>197</v>
      </c>
      <c r="N56" s="105" t="s">
        <v>271</v>
      </c>
      <c r="O56" s="105" t="s">
        <v>1124</v>
      </c>
      <c r="P56" s="110"/>
      <c r="Q56" s="111"/>
      <c r="R56" s="112"/>
      <c r="S56" s="112"/>
      <c r="T56" s="112"/>
      <c r="U56" s="112"/>
      <c r="V56" s="112"/>
      <c r="W56" s="49"/>
      <c r="X56" s="112"/>
      <c r="Y56" s="58" t="s">
        <v>584</v>
      </c>
      <c r="Z56" s="112">
        <v>5</v>
      </c>
      <c r="AA56" s="122" t="str">
        <f>VLOOKUP(Y56,Source!F:F,1,FALSE)</f>
        <v>Mass. College of Liberal Arts</v>
      </c>
    </row>
    <row r="57" spans="1:27" x14ac:dyDescent="0.25">
      <c r="A57" s="47" t="str">
        <f t="shared" si="4"/>
        <v>Mass. Maritime Academy1</v>
      </c>
      <c r="B57" s="27" t="s">
        <v>265</v>
      </c>
      <c r="C57" s="112" t="s">
        <v>738</v>
      </c>
      <c r="D57" s="39" t="s">
        <v>373</v>
      </c>
      <c r="E57" s="10" t="s">
        <v>159</v>
      </c>
      <c r="F57" s="29">
        <v>81</v>
      </c>
      <c r="G57" s="39" t="s">
        <v>374</v>
      </c>
      <c r="H57" s="10" t="s">
        <v>161</v>
      </c>
      <c r="I57" s="47" t="s">
        <v>270</v>
      </c>
      <c r="J57" s="32">
        <v>2532</v>
      </c>
      <c r="K57" s="33">
        <v>39402</v>
      </c>
      <c r="L57" s="34">
        <v>2007</v>
      </c>
      <c r="M57" s="29">
        <v>81</v>
      </c>
      <c r="N57" s="38" t="s">
        <v>271</v>
      </c>
      <c r="O57" s="105" t="s">
        <v>1124</v>
      </c>
      <c r="P57" s="47"/>
      <c r="Q57" s="47"/>
      <c r="R57" s="97"/>
      <c r="S57" s="27"/>
      <c r="T57" s="47" t="s">
        <v>114</v>
      </c>
      <c r="U57" s="422">
        <v>0.13639999999999999</v>
      </c>
      <c r="V57" s="48">
        <f>M57*8760*U57</f>
        <v>96783.983999999997</v>
      </c>
      <c r="W57" s="10" t="s">
        <v>210</v>
      </c>
      <c r="X57" s="27"/>
      <c r="Y57" s="58" t="s">
        <v>585</v>
      </c>
      <c r="Z57" s="47">
        <v>1</v>
      </c>
      <c r="AA57" t="str">
        <f>VLOOKUP(Y57,Source!F:F,1,FALSE)</f>
        <v>Mass. Maritime Academy</v>
      </c>
    </row>
    <row r="58" spans="1:27" s="9" customFormat="1" x14ac:dyDescent="0.25">
      <c r="A58" s="47" t="str">
        <f t="shared" si="4"/>
        <v>Mass. Maritime Academy2</v>
      </c>
      <c r="B58" s="27" t="s">
        <v>265</v>
      </c>
      <c r="C58" s="112" t="s">
        <v>738</v>
      </c>
      <c r="D58" s="39"/>
      <c r="E58" s="10" t="s">
        <v>159</v>
      </c>
      <c r="F58" s="29">
        <v>103</v>
      </c>
      <c r="G58" s="39" t="s">
        <v>374</v>
      </c>
      <c r="H58" s="10" t="s">
        <v>161</v>
      </c>
      <c r="I58" s="47" t="s">
        <v>270</v>
      </c>
      <c r="J58" s="32">
        <v>2532</v>
      </c>
      <c r="K58" s="33"/>
      <c r="L58" s="34">
        <v>2014</v>
      </c>
      <c r="M58" s="29">
        <v>103</v>
      </c>
      <c r="N58" s="38" t="s">
        <v>271</v>
      </c>
      <c r="O58" s="105" t="s">
        <v>1124</v>
      </c>
      <c r="P58" s="47"/>
      <c r="Q58" s="47"/>
      <c r="R58" s="105"/>
      <c r="S58" s="27"/>
      <c r="T58" s="47" t="s">
        <v>114</v>
      </c>
      <c r="U58" s="422">
        <v>0.13639999999999999</v>
      </c>
      <c r="V58" s="48">
        <f>M58*8760*U58</f>
        <v>123070.992</v>
      </c>
      <c r="W58" s="10" t="s">
        <v>209</v>
      </c>
      <c r="X58" s="84"/>
      <c r="Y58" s="58" t="s">
        <v>585</v>
      </c>
      <c r="Z58" s="112">
        <v>2</v>
      </c>
      <c r="AA58" t="str">
        <f>VLOOKUP(Y58,Source!F:F,1,FALSE)</f>
        <v>Mass. Maritime Academy</v>
      </c>
    </row>
    <row r="59" spans="1:27" x14ac:dyDescent="0.25">
      <c r="A59" s="47" t="str">
        <f t="shared" si="4"/>
        <v>Mass. Maritime Academy3</v>
      </c>
      <c r="B59" s="27" t="s">
        <v>265</v>
      </c>
      <c r="C59" s="112" t="s">
        <v>738</v>
      </c>
      <c r="D59" s="39"/>
      <c r="E59" s="10" t="s">
        <v>159</v>
      </c>
      <c r="F59" s="29">
        <v>58</v>
      </c>
      <c r="G59" s="39" t="s">
        <v>374</v>
      </c>
      <c r="H59" s="10" t="s">
        <v>161</v>
      </c>
      <c r="I59" s="47" t="s">
        <v>270</v>
      </c>
      <c r="J59" s="32">
        <v>2532</v>
      </c>
      <c r="K59" s="33"/>
      <c r="L59" s="34">
        <v>2014</v>
      </c>
      <c r="M59" s="29">
        <v>58</v>
      </c>
      <c r="N59" s="38" t="s">
        <v>271</v>
      </c>
      <c r="O59" s="105" t="s">
        <v>1124</v>
      </c>
      <c r="P59" s="112"/>
      <c r="Q59" s="112"/>
      <c r="R59" s="105"/>
      <c r="S59" s="84"/>
      <c r="T59" s="47" t="s">
        <v>114</v>
      </c>
      <c r="U59" s="422">
        <v>0.13639999999999999</v>
      </c>
      <c r="V59" s="114">
        <f>M59*8760*U59</f>
        <v>69302.111999999994</v>
      </c>
      <c r="W59" s="10" t="s">
        <v>211</v>
      </c>
      <c r="X59" s="84"/>
      <c r="Y59" s="58" t="s">
        <v>585</v>
      </c>
      <c r="Z59" s="47">
        <v>3</v>
      </c>
      <c r="AA59" t="str">
        <f>VLOOKUP(Y59,Source!F:F,1,FALSE)</f>
        <v>Mass. Maritime Academy</v>
      </c>
    </row>
    <row r="60" spans="1:27" x14ac:dyDescent="0.25">
      <c r="A60" s="47" t="str">
        <f t="shared" si="4"/>
        <v>Mass. Maritime Academy4</v>
      </c>
      <c r="B60" s="27" t="s">
        <v>265</v>
      </c>
      <c r="C60" s="97" t="s">
        <v>23</v>
      </c>
      <c r="D60" s="39" t="s">
        <v>375</v>
      </c>
      <c r="E60" s="97" t="s">
        <v>160</v>
      </c>
      <c r="F60" s="29">
        <v>660</v>
      </c>
      <c r="G60" s="107" t="s">
        <v>374</v>
      </c>
      <c r="H60" s="97" t="s">
        <v>161</v>
      </c>
      <c r="I60" s="112" t="s">
        <v>270</v>
      </c>
      <c r="J60" s="32">
        <v>2532</v>
      </c>
      <c r="K60" s="33">
        <v>38882</v>
      </c>
      <c r="L60" s="34">
        <v>2006</v>
      </c>
      <c r="M60" s="29">
        <v>660</v>
      </c>
      <c r="N60" s="38" t="s">
        <v>271</v>
      </c>
      <c r="O60" s="105" t="s">
        <v>1124</v>
      </c>
      <c r="P60" s="47"/>
      <c r="Q60" s="47"/>
      <c r="R60" s="47"/>
      <c r="S60" s="84"/>
      <c r="T60" s="47" t="s">
        <v>114</v>
      </c>
      <c r="U60" s="400">
        <v>0.26</v>
      </c>
      <c r="V60" s="48">
        <f>M60*8760*U60</f>
        <v>1503216</v>
      </c>
      <c r="W60" s="97"/>
      <c r="X60" s="47"/>
      <c r="Y60" s="59" t="s">
        <v>585</v>
      </c>
      <c r="Z60" s="84">
        <v>4</v>
      </c>
      <c r="AA60" t="str">
        <f>VLOOKUP(Y60,Source!F:F,1,FALSE)</f>
        <v>Mass. Maritime Academy</v>
      </c>
    </row>
    <row r="61" spans="1:27" s="9" customFormat="1" x14ac:dyDescent="0.25">
      <c r="A61" s="47" t="str">
        <f t="shared" si="4"/>
        <v>Mass. Maritime Academy5</v>
      </c>
      <c r="B61" s="27" t="s">
        <v>282</v>
      </c>
      <c r="C61" s="97" t="s">
        <v>203</v>
      </c>
      <c r="D61" s="39" t="s">
        <v>376</v>
      </c>
      <c r="E61" s="97" t="s">
        <v>159</v>
      </c>
      <c r="F61" s="29">
        <v>195</v>
      </c>
      <c r="G61" s="107" t="s">
        <v>374</v>
      </c>
      <c r="H61" s="97" t="s">
        <v>161</v>
      </c>
      <c r="I61" s="112" t="s">
        <v>270</v>
      </c>
      <c r="J61" s="32">
        <v>2532</v>
      </c>
      <c r="K61" s="33">
        <v>39805</v>
      </c>
      <c r="L61" s="34">
        <v>2008</v>
      </c>
      <c r="M61" s="29">
        <v>195</v>
      </c>
      <c r="N61" s="38" t="s">
        <v>271</v>
      </c>
      <c r="O61" s="105" t="s">
        <v>1124</v>
      </c>
      <c r="P61" s="110"/>
      <c r="Q61" s="111"/>
      <c r="R61" s="47"/>
      <c r="S61" s="47"/>
      <c r="T61" s="47" t="s">
        <v>114</v>
      </c>
      <c r="U61" s="402"/>
      <c r="V61" s="112"/>
      <c r="W61" s="97" t="s">
        <v>159</v>
      </c>
      <c r="X61" s="47"/>
      <c r="Y61" s="59" t="s">
        <v>585</v>
      </c>
      <c r="Z61" s="112">
        <v>5</v>
      </c>
      <c r="AA61" t="str">
        <f>VLOOKUP(Y61,Source!F:F,1,FALSE)</f>
        <v>Mass. Maritime Academy</v>
      </c>
    </row>
    <row r="62" spans="1:27" x14ac:dyDescent="0.25">
      <c r="A62" s="47" t="str">
        <f t="shared" ref="A62:A72" si="7">Y62&amp;Z62</f>
        <v>Mass. Water Resources Authority1</v>
      </c>
      <c r="B62" s="27" t="s">
        <v>265</v>
      </c>
      <c r="C62" s="105" t="s">
        <v>205</v>
      </c>
      <c r="D62" s="39"/>
      <c r="E62" s="105" t="s">
        <v>437</v>
      </c>
      <c r="F62" s="29">
        <v>6000</v>
      </c>
      <c r="G62" s="103" t="s">
        <v>431</v>
      </c>
      <c r="H62" s="97" t="s">
        <v>163</v>
      </c>
      <c r="I62" s="31" t="s">
        <v>270</v>
      </c>
      <c r="J62" s="32">
        <v>2152</v>
      </c>
      <c r="K62" s="33"/>
      <c r="L62" s="34">
        <v>2002</v>
      </c>
      <c r="M62" s="29">
        <v>6000</v>
      </c>
      <c r="N62" s="101" t="s">
        <v>399</v>
      </c>
      <c r="O62" s="101" t="s">
        <v>1124</v>
      </c>
      <c r="P62" s="110"/>
      <c r="Q62" s="111"/>
      <c r="R62" s="47"/>
      <c r="S62" s="112"/>
      <c r="T62" s="47" t="s">
        <v>114</v>
      </c>
      <c r="U62" s="112"/>
      <c r="V62" s="112"/>
      <c r="W62" s="105" t="s">
        <v>166</v>
      </c>
      <c r="X62" s="47"/>
      <c r="Y62" s="59" t="s">
        <v>586</v>
      </c>
      <c r="Z62" s="84">
        <v>1</v>
      </c>
      <c r="AA62" t="str">
        <f>VLOOKUP(Y62,Source!F:F,1,FALSE)</f>
        <v>Mass. Water Resources Authority</v>
      </c>
    </row>
    <row r="63" spans="1:27" x14ac:dyDescent="0.25">
      <c r="A63" s="47" t="str">
        <f t="shared" si="7"/>
        <v>Mass. Water Resources Authority2</v>
      </c>
      <c r="B63" s="27" t="s">
        <v>265</v>
      </c>
      <c r="C63" s="97" t="s">
        <v>24</v>
      </c>
      <c r="D63" s="39" t="s">
        <v>438</v>
      </c>
      <c r="E63" s="105" t="s">
        <v>437</v>
      </c>
      <c r="F63" s="29">
        <v>2000</v>
      </c>
      <c r="G63" s="103" t="s">
        <v>431</v>
      </c>
      <c r="H63" s="97" t="s">
        <v>163</v>
      </c>
      <c r="I63" s="31" t="s">
        <v>270</v>
      </c>
      <c r="J63" s="32">
        <v>2152</v>
      </c>
      <c r="K63" s="33">
        <v>40179</v>
      </c>
      <c r="L63" s="34">
        <v>2003</v>
      </c>
      <c r="M63" s="29">
        <v>2000</v>
      </c>
      <c r="N63" s="101" t="s">
        <v>399</v>
      </c>
      <c r="O63" s="101" t="s">
        <v>1124</v>
      </c>
      <c r="P63" s="110"/>
      <c r="Q63" s="111"/>
      <c r="R63" s="47"/>
      <c r="S63" s="47"/>
      <c r="T63" s="47" t="s">
        <v>114</v>
      </c>
      <c r="U63" s="112">
        <v>0.32</v>
      </c>
      <c r="V63" s="112"/>
      <c r="W63" s="97" t="s">
        <v>165</v>
      </c>
      <c r="X63" s="47"/>
      <c r="Y63" s="59" t="s">
        <v>586</v>
      </c>
      <c r="Z63" s="84">
        <v>2</v>
      </c>
      <c r="AA63" t="str">
        <f>VLOOKUP(Y63,Source!F:F,1,FALSE)</f>
        <v>Mass. Water Resources Authority</v>
      </c>
    </row>
    <row r="64" spans="1:27" x14ac:dyDescent="0.25">
      <c r="A64" s="47" t="str">
        <f t="shared" si="7"/>
        <v>Mass. Water Resources Authority3</v>
      </c>
      <c r="B64" s="27" t="s">
        <v>265</v>
      </c>
      <c r="C64" s="10" t="s">
        <v>24</v>
      </c>
      <c r="D64" s="39" t="s">
        <v>420</v>
      </c>
      <c r="E64" s="38" t="s">
        <v>421</v>
      </c>
      <c r="F64" s="29">
        <v>2400</v>
      </c>
      <c r="G64" s="112"/>
      <c r="H64" s="10" t="s">
        <v>164</v>
      </c>
      <c r="I64" s="97"/>
      <c r="J64" s="112"/>
      <c r="K64" s="33">
        <v>40360</v>
      </c>
      <c r="L64" s="34">
        <v>1960</v>
      </c>
      <c r="M64" s="29">
        <v>2400</v>
      </c>
      <c r="N64" s="101" t="s">
        <v>399</v>
      </c>
      <c r="O64" s="101" t="s">
        <v>1124</v>
      </c>
      <c r="P64" s="110"/>
      <c r="Q64" s="111"/>
      <c r="R64" s="47"/>
      <c r="S64" s="112"/>
      <c r="T64" s="47" t="s">
        <v>114</v>
      </c>
      <c r="U64" s="112">
        <v>0.16</v>
      </c>
      <c r="V64" s="112"/>
      <c r="W64" s="10" t="s">
        <v>171</v>
      </c>
      <c r="X64" s="112"/>
      <c r="Y64" s="58" t="s">
        <v>586</v>
      </c>
      <c r="Z64" s="84">
        <v>3</v>
      </c>
      <c r="AA64" t="str">
        <f>VLOOKUP(Y64,Source!F:F,1,FALSE)</f>
        <v>Mass. Water Resources Authority</v>
      </c>
    </row>
    <row r="65" spans="1:27" x14ac:dyDescent="0.25">
      <c r="A65" s="47" t="str">
        <f t="shared" si="7"/>
        <v>Mass. Water Resources Authority4</v>
      </c>
      <c r="B65" s="27" t="s">
        <v>265</v>
      </c>
      <c r="C65" s="97" t="s">
        <v>24</v>
      </c>
      <c r="D65" s="39" t="s">
        <v>425</v>
      </c>
      <c r="E65" s="105" t="s">
        <v>426</v>
      </c>
      <c r="F65" s="29">
        <v>3500</v>
      </c>
      <c r="G65" s="112"/>
      <c r="H65" s="97" t="s">
        <v>173</v>
      </c>
      <c r="I65" s="97"/>
      <c r="J65" s="112"/>
      <c r="K65" s="33">
        <v>40360</v>
      </c>
      <c r="L65" s="34">
        <v>1950</v>
      </c>
      <c r="M65" s="29">
        <v>3500</v>
      </c>
      <c r="N65" s="101" t="s">
        <v>399</v>
      </c>
      <c r="O65" s="101" t="s">
        <v>1124</v>
      </c>
      <c r="P65" s="110"/>
      <c r="Q65" s="111"/>
      <c r="R65" s="47"/>
      <c r="S65" s="47"/>
      <c r="T65" s="47" t="s">
        <v>114</v>
      </c>
      <c r="U65" s="112">
        <v>0.34</v>
      </c>
      <c r="V65" s="112"/>
      <c r="W65" s="97" t="s">
        <v>172</v>
      </c>
      <c r="X65" s="47"/>
      <c r="Y65" s="58" t="s">
        <v>586</v>
      </c>
      <c r="Z65" s="84">
        <v>4</v>
      </c>
      <c r="AA65" t="str">
        <f>VLOOKUP(Y65,Source!F:F,1,FALSE)</f>
        <v>Mass. Water Resources Authority</v>
      </c>
    </row>
    <row r="66" spans="1:27" s="9" customFormat="1" x14ac:dyDescent="0.25">
      <c r="A66" s="47" t="str">
        <f t="shared" si="7"/>
        <v>Mass. Water Resources Authority5</v>
      </c>
      <c r="B66" s="27" t="s">
        <v>265</v>
      </c>
      <c r="C66" s="10" t="s">
        <v>24</v>
      </c>
      <c r="D66" s="39" t="s">
        <v>427</v>
      </c>
      <c r="E66" s="105" t="s">
        <v>428</v>
      </c>
      <c r="F66" s="29">
        <v>200</v>
      </c>
      <c r="G66" s="112"/>
      <c r="H66" s="10" t="s">
        <v>170</v>
      </c>
      <c r="I66" s="97"/>
      <c r="J66" s="112"/>
      <c r="K66" s="33">
        <v>40603</v>
      </c>
      <c r="L66" s="34">
        <v>2011</v>
      </c>
      <c r="M66" s="29">
        <v>200</v>
      </c>
      <c r="N66" s="35" t="s">
        <v>399</v>
      </c>
      <c r="O66" s="101" t="s">
        <v>1124</v>
      </c>
      <c r="P66" s="110"/>
      <c r="Q66" s="111"/>
      <c r="R66" s="112"/>
      <c r="S66" s="112"/>
      <c r="T66" s="47" t="s">
        <v>114</v>
      </c>
      <c r="U66" s="112">
        <v>0.56000000000000005</v>
      </c>
      <c r="V66" s="112"/>
      <c r="W66" s="10" t="s">
        <v>169</v>
      </c>
      <c r="X66" s="112"/>
      <c r="Y66" s="58" t="s">
        <v>586</v>
      </c>
      <c r="Z66" s="84">
        <v>5</v>
      </c>
      <c r="AA66" t="str">
        <f>VLOOKUP(Y66,Source!F:F,1,FALSE)</f>
        <v>Mass. Water Resources Authority</v>
      </c>
    </row>
    <row r="67" spans="1:27" s="9" customFormat="1" x14ac:dyDescent="0.25">
      <c r="A67" s="47" t="str">
        <f t="shared" si="7"/>
        <v>Mass. Water Resources Authority6</v>
      </c>
      <c r="B67" s="27" t="s">
        <v>265</v>
      </c>
      <c r="C67" s="112" t="s">
        <v>738</v>
      </c>
      <c r="D67" s="39" t="s">
        <v>434</v>
      </c>
      <c r="E67" s="102" t="s">
        <v>435</v>
      </c>
      <c r="F67" s="29">
        <v>180.6</v>
      </c>
      <c r="G67" s="103" t="s">
        <v>431</v>
      </c>
      <c r="H67" s="103" t="s">
        <v>163</v>
      </c>
      <c r="I67" s="90" t="s">
        <v>270</v>
      </c>
      <c r="J67" s="91">
        <v>2152</v>
      </c>
      <c r="K67" s="33">
        <v>40238</v>
      </c>
      <c r="L67" s="34">
        <v>2011</v>
      </c>
      <c r="M67" s="29">
        <v>180.6</v>
      </c>
      <c r="N67" s="35" t="s">
        <v>399</v>
      </c>
      <c r="O67" s="101" t="s">
        <v>1124</v>
      </c>
      <c r="P67" s="112"/>
      <c r="Q67" s="112"/>
      <c r="R67" s="112"/>
      <c r="S67" s="112"/>
      <c r="T67" s="47" t="s">
        <v>114</v>
      </c>
      <c r="U67" s="422">
        <v>0.13639999999999999</v>
      </c>
      <c r="V67" s="114">
        <f t="shared" ref="V67:V72" si="8">M67*8760*U67</f>
        <v>215792.43839999998</v>
      </c>
      <c r="W67" s="112"/>
      <c r="X67" s="112"/>
      <c r="Y67" s="58" t="s">
        <v>586</v>
      </c>
      <c r="Z67" s="84">
        <v>6</v>
      </c>
      <c r="AA67" t="str">
        <f>VLOOKUP(Y67,Source!F:F,1,FALSE)</f>
        <v>Mass. Water Resources Authority</v>
      </c>
    </row>
    <row r="68" spans="1:27" s="9" customFormat="1" x14ac:dyDescent="0.25">
      <c r="A68" s="47" t="str">
        <f t="shared" si="7"/>
        <v>Mass. Water Resources Authority7</v>
      </c>
      <c r="B68" s="27" t="s">
        <v>265</v>
      </c>
      <c r="C68" s="112" t="s">
        <v>738</v>
      </c>
      <c r="D68" s="39" t="s">
        <v>429</v>
      </c>
      <c r="E68" s="53" t="s">
        <v>430</v>
      </c>
      <c r="F68" s="29">
        <v>456.12</v>
      </c>
      <c r="G68" s="103" t="s">
        <v>431</v>
      </c>
      <c r="H68" s="103" t="s">
        <v>163</v>
      </c>
      <c r="I68" s="90" t="s">
        <v>270</v>
      </c>
      <c r="J68" s="32">
        <v>2152</v>
      </c>
      <c r="K68" s="33">
        <v>40667</v>
      </c>
      <c r="L68" s="34">
        <v>2011</v>
      </c>
      <c r="M68" s="29">
        <v>456.12</v>
      </c>
      <c r="N68" s="35" t="s">
        <v>399</v>
      </c>
      <c r="O68" s="101" t="s">
        <v>1197</v>
      </c>
      <c r="P68" s="112"/>
      <c r="Q68" s="112"/>
      <c r="R68" s="112"/>
      <c r="S68" s="112"/>
      <c r="T68" s="47" t="s">
        <v>114</v>
      </c>
      <c r="U68" s="422">
        <v>0.13639999999999999</v>
      </c>
      <c r="V68" s="48">
        <f t="shared" si="8"/>
        <v>545001.36768000002</v>
      </c>
      <c r="W68" s="112"/>
      <c r="X68" s="112"/>
      <c r="Y68" s="58" t="s">
        <v>586</v>
      </c>
      <c r="Z68" s="84">
        <v>7</v>
      </c>
      <c r="AA68" t="str">
        <f>VLOOKUP(Y68,Source!F:F,1,FALSE)</f>
        <v>Mass. Water Resources Authority</v>
      </c>
    </row>
    <row r="69" spans="1:27" s="9" customFormat="1" x14ac:dyDescent="0.25">
      <c r="A69" s="47" t="str">
        <f t="shared" si="7"/>
        <v>Mass. Water Resources Authority8</v>
      </c>
      <c r="B69" s="27" t="s">
        <v>265</v>
      </c>
      <c r="C69" s="112" t="s">
        <v>738</v>
      </c>
      <c r="D69" s="39" t="s">
        <v>432</v>
      </c>
      <c r="E69" s="102" t="s">
        <v>433</v>
      </c>
      <c r="F69" s="29">
        <v>99.8</v>
      </c>
      <c r="G69" s="103" t="s">
        <v>431</v>
      </c>
      <c r="H69" s="103" t="s">
        <v>163</v>
      </c>
      <c r="I69" s="90" t="s">
        <v>270</v>
      </c>
      <c r="J69" s="91">
        <v>2152</v>
      </c>
      <c r="K69" s="33">
        <v>39569</v>
      </c>
      <c r="L69" s="34">
        <v>2011</v>
      </c>
      <c r="M69" s="29">
        <v>99.8</v>
      </c>
      <c r="N69" s="35" t="s">
        <v>399</v>
      </c>
      <c r="O69" s="101" t="s">
        <v>1124</v>
      </c>
      <c r="P69" s="112"/>
      <c r="Q69" s="112"/>
      <c r="R69" s="47"/>
      <c r="S69" s="47"/>
      <c r="T69" s="47" t="s">
        <v>114</v>
      </c>
      <c r="U69" s="422">
        <v>0.13639999999999999</v>
      </c>
      <c r="V69" s="114">
        <f t="shared" si="8"/>
        <v>119247.42719999999</v>
      </c>
      <c r="W69" s="112"/>
      <c r="X69" s="47"/>
      <c r="Y69" s="59" t="s">
        <v>586</v>
      </c>
      <c r="Z69" s="27">
        <v>8</v>
      </c>
      <c r="AA69" t="str">
        <f>VLOOKUP(Y69,Source!F:F,1,FALSE)</f>
        <v>Mass. Water Resources Authority</v>
      </c>
    </row>
    <row r="70" spans="1:27" s="9" customFormat="1" x14ac:dyDescent="0.25">
      <c r="A70" s="47" t="str">
        <f t="shared" si="7"/>
        <v>Mass. Water Resources Authority9</v>
      </c>
      <c r="B70" s="27" t="s">
        <v>265</v>
      </c>
      <c r="C70" s="112" t="s">
        <v>739</v>
      </c>
      <c r="D70" s="39" t="s">
        <v>422</v>
      </c>
      <c r="E70" s="97" t="s">
        <v>423</v>
      </c>
      <c r="F70" s="29">
        <v>496</v>
      </c>
      <c r="G70" s="112" t="s">
        <v>424</v>
      </c>
      <c r="H70" s="97" t="s">
        <v>168</v>
      </c>
      <c r="I70" s="112" t="s">
        <v>270</v>
      </c>
      <c r="J70" s="91">
        <v>1752</v>
      </c>
      <c r="K70" s="33">
        <v>40544</v>
      </c>
      <c r="L70" s="34">
        <v>2011</v>
      </c>
      <c r="M70" s="29">
        <v>496</v>
      </c>
      <c r="N70" s="35" t="s">
        <v>399</v>
      </c>
      <c r="O70" s="101" t="s">
        <v>1124</v>
      </c>
      <c r="P70" s="112"/>
      <c r="Q70" s="112"/>
      <c r="R70" s="97"/>
      <c r="S70" s="84"/>
      <c r="T70" s="47" t="s">
        <v>114</v>
      </c>
      <c r="U70" s="422">
        <v>0.13639999999999999</v>
      </c>
      <c r="V70" s="114">
        <f t="shared" si="8"/>
        <v>592652.54399999999</v>
      </c>
      <c r="W70" s="97" t="s">
        <v>167</v>
      </c>
      <c r="X70" s="84"/>
      <c r="Y70" s="59" t="s">
        <v>586</v>
      </c>
      <c r="Z70" s="27">
        <v>9</v>
      </c>
      <c r="AA70" t="str">
        <f>VLOOKUP(Y70,Source!F:F,1,FALSE)</f>
        <v>Mass. Water Resources Authority</v>
      </c>
    </row>
    <row r="71" spans="1:27" s="9" customFormat="1" x14ac:dyDescent="0.25">
      <c r="A71" s="47" t="str">
        <f t="shared" si="7"/>
        <v>Mass. Water Resources Authority10</v>
      </c>
      <c r="B71" s="27" t="s">
        <v>265</v>
      </c>
      <c r="C71" s="97" t="s">
        <v>23</v>
      </c>
      <c r="D71" s="39" t="s">
        <v>417</v>
      </c>
      <c r="E71" s="105" t="s">
        <v>418</v>
      </c>
      <c r="F71" s="29">
        <v>1500</v>
      </c>
      <c r="G71" s="112" t="s">
        <v>419</v>
      </c>
      <c r="H71" s="97" t="s">
        <v>119</v>
      </c>
      <c r="I71" s="90" t="s">
        <v>270</v>
      </c>
      <c r="J71" s="32">
        <v>2129</v>
      </c>
      <c r="K71" s="33">
        <v>40830</v>
      </c>
      <c r="L71" s="34">
        <v>2011</v>
      </c>
      <c r="M71" s="29">
        <v>1500</v>
      </c>
      <c r="N71" s="35" t="s">
        <v>399</v>
      </c>
      <c r="O71" s="101" t="s">
        <v>1124</v>
      </c>
      <c r="P71" s="112"/>
      <c r="Q71" s="112"/>
      <c r="R71" s="112"/>
      <c r="S71" s="84"/>
      <c r="T71" s="47" t="s">
        <v>114</v>
      </c>
      <c r="U71" s="110">
        <v>0.26</v>
      </c>
      <c r="V71" s="48">
        <f t="shared" si="8"/>
        <v>3416400</v>
      </c>
      <c r="W71" s="97"/>
      <c r="X71" s="112"/>
      <c r="Y71" s="59" t="s">
        <v>586</v>
      </c>
      <c r="Z71" s="27">
        <v>10</v>
      </c>
      <c r="AA71" t="str">
        <f>VLOOKUP(Y71,Source!F:F,1,FALSE)</f>
        <v>Mass. Water Resources Authority</v>
      </c>
    </row>
    <row r="72" spans="1:27" s="9" customFormat="1" x14ac:dyDescent="0.25">
      <c r="A72" s="47" t="str">
        <f t="shared" si="7"/>
        <v>Mass. Water Resources Authority11</v>
      </c>
      <c r="B72" s="27" t="s">
        <v>265</v>
      </c>
      <c r="C72" s="97" t="s">
        <v>23</v>
      </c>
      <c r="D72" s="39" t="s">
        <v>436</v>
      </c>
      <c r="E72" s="105" t="s">
        <v>437</v>
      </c>
      <c r="F72" s="29">
        <v>1200</v>
      </c>
      <c r="G72" s="103" t="s">
        <v>431</v>
      </c>
      <c r="H72" s="97" t="s">
        <v>163</v>
      </c>
      <c r="I72" s="90" t="s">
        <v>270</v>
      </c>
      <c r="J72" s="32">
        <v>2152</v>
      </c>
      <c r="K72" s="33">
        <v>40179</v>
      </c>
      <c r="L72" s="93">
        <v>2010</v>
      </c>
      <c r="M72" s="29">
        <v>1200</v>
      </c>
      <c r="N72" s="35" t="s">
        <v>399</v>
      </c>
      <c r="O72" s="101" t="s">
        <v>1124</v>
      </c>
      <c r="P72" s="112"/>
      <c r="Q72" s="112"/>
      <c r="R72" s="112"/>
      <c r="S72" s="84"/>
      <c r="T72" s="47" t="s">
        <v>114</v>
      </c>
      <c r="U72" s="110">
        <v>0.26</v>
      </c>
      <c r="V72" s="48">
        <f t="shared" si="8"/>
        <v>2733120</v>
      </c>
      <c r="W72" s="97"/>
      <c r="X72" s="112"/>
      <c r="Y72" s="59" t="s">
        <v>586</v>
      </c>
      <c r="Z72" s="27">
        <v>11</v>
      </c>
      <c r="AA72" t="str">
        <f>VLOOKUP(Y72,Source!F:F,1,FALSE)</f>
        <v>Mass. Water Resources Authority</v>
      </c>
    </row>
    <row r="73" spans="1:27" s="9" customFormat="1" x14ac:dyDescent="0.25">
      <c r="A73" s="47" t="str">
        <f t="shared" ref="A73:A90" si="9">Y73&amp;Z73</f>
        <v>Massasoit Comm. College1</v>
      </c>
      <c r="B73" s="27" t="s">
        <v>265</v>
      </c>
      <c r="C73" s="112" t="s">
        <v>738</v>
      </c>
      <c r="D73" s="39" t="s">
        <v>377</v>
      </c>
      <c r="E73" s="87" t="s">
        <v>378</v>
      </c>
      <c r="F73" s="29">
        <v>87.78</v>
      </c>
      <c r="G73" s="89" t="s">
        <v>379</v>
      </c>
      <c r="H73" s="89" t="s">
        <v>380</v>
      </c>
      <c r="I73" s="90" t="s">
        <v>270</v>
      </c>
      <c r="J73" s="32">
        <v>2302</v>
      </c>
      <c r="K73" s="33">
        <v>40725</v>
      </c>
      <c r="L73" s="93">
        <v>2011</v>
      </c>
      <c r="M73" s="29">
        <v>87.78</v>
      </c>
      <c r="N73" s="105" t="s">
        <v>271</v>
      </c>
      <c r="O73" s="105" t="s">
        <v>1124</v>
      </c>
      <c r="P73" s="112"/>
      <c r="Q73" s="112"/>
      <c r="R73" s="112"/>
      <c r="S73" s="112"/>
      <c r="T73" s="47" t="s">
        <v>114</v>
      </c>
      <c r="U73" s="422">
        <v>0.13639999999999999</v>
      </c>
      <c r="V73" s="48">
        <f t="shared" ref="V73:V95" si="10">M73*8760*U73</f>
        <v>104885.16192</v>
      </c>
      <c r="W73" s="112"/>
      <c r="X73" s="112"/>
      <c r="Y73" s="87" t="s">
        <v>587</v>
      </c>
      <c r="Z73" s="112">
        <v>1</v>
      </c>
      <c r="AA73" t="str">
        <f>VLOOKUP(Y73,Source!F:F,1,FALSE)</f>
        <v>Massasoit Comm. College</v>
      </c>
    </row>
    <row r="74" spans="1:27" s="9" customFormat="1" x14ac:dyDescent="0.25">
      <c r="A74" s="47" t="str">
        <f t="shared" si="9"/>
        <v>Massasoit Comm. College2</v>
      </c>
      <c r="B74" s="27" t="s">
        <v>265</v>
      </c>
      <c r="C74" s="112" t="s">
        <v>738</v>
      </c>
      <c r="D74" s="39" t="s">
        <v>381</v>
      </c>
      <c r="E74" s="87" t="s">
        <v>382</v>
      </c>
      <c r="F74" s="29">
        <v>69.3</v>
      </c>
      <c r="G74" s="89" t="s">
        <v>379</v>
      </c>
      <c r="H74" s="89" t="s">
        <v>380</v>
      </c>
      <c r="I74" s="90" t="s">
        <v>270</v>
      </c>
      <c r="J74" s="32">
        <v>2302</v>
      </c>
      <c r="K74" s="33">
        <v>40725</v>
      </c>
      <c r="L74" s="34">
        <v>2011</v>
      </c>
      <c r="M74" s="29">
        <v>69.3</v>
      </c>
      <c r="N74" s="105" t="s">
        <v>271</v>
      </c>
      <c r="O74" s="105" t="s">
        <v>1124</v>
      </c>
      <c r="P74" s="112"/>
      <c r="Q74" s="112"/>
      <c r="R74" s="112"/>
      <c r="S74" s="112"/>
      <c r="T74" s="47" t="s">
        <v>114</v>
      </c>
      <c r="U74" s="422">
        <v>0.13639999999999999</v>
      </c>
      <c r="V74" s="48">
        <f t="shared" si="10"/>
        <v>82804.075199999992</v>
      </c>
      <c r="W74" s="112"/>
      <c r="X74" s="112"/>
      <c r="Y74" s="87" t="s">
        <v>587</v>
      </c>
      <c r="Z74" s="27">
        <v>2</v>
      </c>
      <c r="AA74" t="str">
        <f>VLOOKUP(Y74,Source!F:F,1,FALSE)</f>
        <v>Massasoit Comm. College</v>
      </c>
    </row>
    <row r="75" spans="1:27" s="9" customFormat="1" x14ac:dyDescent="0.25">
      <c r="A75" s="47" t="str">
        <f t="shared" si="9"/>
        <v>Massasoit Comm. College3</v>
      </c>
      <c r="B75" s="27" t="s">
        <v>265</v>
      </c>
      <c r="C75" s="112" t="s">
        <v>738</v>
      </c>
      <c r="D75" s="39" t="s">
        <v>383</v>
      </c>
      <c r="E75" s="87" t="s">
        <v>384</v>
      </c>
      <c r="F75" s="29">
        <v>50.8</v>
      </c>
      <c r="G75" s="89" t="s">
        <v>379</v>
      </c>
      <c r="H75" s="89" t="s">
        <v>380</v>
      </c>
      <c r="I75" s="90" t="s">
        <v>270</v>
      </c>
      <c r="J75" s="32">
        <v>2302</v>
      </c>
      <c r="K75" s="33">
        <v>40725</v>
      </c>
      <c r="L75" s="34">
        <v>2011</v>
      </c>
      <c r="M75" s="29">
        <v>50.8</v>
      </c>
      <c r="N75" s="105" t="s">
        <v>271</v>
      </c>
      <c r="O75" s="105" t="s">
        <v>1124</v>
      </c>
      <c r="P75" s="47"/>
      <c r="Q75" s="47"/>
      <c r="R75" s="47"/>
      <c r="S75" s="112"/>
      <c r="T75" s="47" t="s">
        <v>114</v>
      </c>
      <c r="U75" s="422">
        <v>0.13639999999999999</v>
      </c>
      <c r="V75" s="48">
        <f t="shared" si="10"/>
        <v>60699.091199999995</v>
      </c>
      <c r="W75" s="112"/>
      <c r="X75" s="47"/>
      <c r="Y75" s="87" t="s">
        <v>587</v>
      </c>
      <c r="Z75" s="112">
        <v>3</v>
      </c>
      <c r="AA75" t="str">
        <f>VLOOKUP(Y75,Source!F:F,1,FALSE)</f>
        <v>Massasoit Comm. College</v>
      </c>
    </row>
    <row r="76" spans="1:27" s="9" customFormat="1" x14ac:dyDescent="0.25">
      <c r="A76" s="47" t="str">
        <f t="shared" si="9"/>
        <v>Massasoit Comm. College4</v>
      </c>
      <c r="B76" s="27" t="s">
        <v>265</v>
      </c>
      <c r="C76" s="112" t="s">
        <v>738</v>
      </c>
      <c r="D76" s="39" t="s">
        <v>385</v>
      </c>
      <c r="E76" s="28" t="s">
        <v>386</v>
      </c>
      <c r="F76" s="29">
        <v>110.88</v>
      </c>
      <c r="G76" s="89" t="s">
        <v>379</v>
      </c>
      <c r="H76" s="30" t="s">
        <v>380</v>
      </c>
      <c r="I76" s="31" t="s">
        <v>270</v>
      </c>
      <c r="J76" s="32">
        <v>2302</v>
      </c>
      <c r="K76" s="33">
        <v>40725</v>
      </c>
      <c r="L76" s="34">
        <v>2011</v>
      </c>
      <c r="M76" s="29">
        <v>110.88</v>
      </c>
      <c r="N76" s="38" t="s">
        <v>271</v>
      </c>
      <c r="O76" s="105" t="s">
        <v>1124</v>
      </c>
      <c r="P76" s="47"/>
      <c r="Q76" s="47"/>
      <c r="R76" s="47"/>
      <c r="S76" s="47"/>
      <c r="T76" s="47" t="s">
        <v>114</v>
      </c>
      <c r="U76" s="422">
        <v>0.13639999999999999</v>
      </c>
      <c r="V76" s="48">
        <f t="shared" si="10"/>
        <v>132486.52031999998</v>
      </c>
      <c r="W76" s="47"/>
      <c r="X76" s="47"/>
      <c r="Y76" s="115" t="s">
        <v>587</v>
      </c>
      <c r="Z76" s="112">
        <v>4</v>
      </c>
      <c r="AA76" t="str">
        <f>VLOOKUP(Y76,Source!F:F,1,FALSE)</f>
        <v>Massasoit Comm. College</v>
      </c>
    </row>
    <row r="77" spans="1:27" s="9" customFormat="1" x14ac:dyDescent="0.25">
      <c r="A77" s="47" t="str">
        <f t="shared" si="9"/>
        <v>Massasoit Comm. College5</v>
      </c>
      <c r="B77" s="27" t="s">
        <v>265</v>
      </c>
      <c r="C77" s="112" t="s">
        <v>738</v>
      </c>
      <c r="D77" s="39" t="s">
        <v>387</v>
      </c>
      <c r="E77" s="87" t="s">
        <v>388</v>
      </c>
      <c r="F77" s="29">
        <v>50.82</v>
      </c>
      <c r="G77" s="89" t="s">
        <v>379</v>
      </c>
      <c r="H77" s="89" t="s">
        <v>380</v>
      </c>
      <c r="I77" s="31" t="s">
        <v>270</v>
      </c>
      <c r="J77" s="32">
        <v>2302</v>
      </c>
      <c r="K77" s="33">
        <v>40725</v>
      </c>
      <c r="L77" s="34">
        <v>2011</v>
      </c>
      <c r="M77" s="29">
        <v>50.82</v>
      </c>
      <c r="N77" s="38" t="s">
        <v>271</v>
      </c>
      <c r="O77" s="105" t="s">
        <v>1124</v>
      </c>
      <c r="P77" s="47"/>
      <c r="Q77" s="47"/>
      <c r="R77" s="47"/>
      <c r="S77" s="112"/>
      <c r="T77" s="47" t="s">
        <v>114</v>
      </c>
      <c r="U77" s="422">
        <v>0.13639999999999999</v>
      </c>
      <c r="V77" s="48">
        <f t="shared" si="10"/>
        <v>60722.98848</v>
      </c>
      <c r="W77" s="112"/>
      <c r="X77" s="47"/>
      <c r="Y77" s="115" t="s">
        <v>587</v>
      </c>
      <c r="Z77" s="112">
        <v>5</v>
      </c>
      <c r="AA77" t="str">
        <f>VLOOKUP(Y77,Source!F:F,1,FALSE)</f>
        <v>Massasoit Comm. College</v>
      </c>
    </row>
    <row r="78" spans="1:27" s="9" customFormat="1" x14ac:dyDescent="0.25">
      <c r="A78" s="47" t="str">
        <f t="shared" si="9"/>
        <v>MassDEP - owned1</v>
      </c>
      <c r="B78" s="27" t="s">
        <v>265</v>
      </c>
      <c r="C78" s="112" t="s">
        <v>738</v>
      </c>
      <c r="D78" s="39" t="s">
        <v>389</v>
      </c>
      <c r="E78" s="105" t="s">
        <v>131</v>
      </c>
      <c r="F78" s="29">
        <v>52.5</v>
      </c>
      <c r="G78" s="84" t="s">
        <v>390</v>
      </c>
      <c r="H78" s="10" t="s">
        <v>126</v>
      </c>
      <c r="I78" s="112" t="s">
        <v>270</v>
      </c>
      <c r="J78" s="32">
        <v>1843</v>
      </c>
      <c r="K78" s="33">
        <v>40981</v>
      </c>
      <c r="L78" s="34">
        <v>2012</v>
      </c>
      <c r="M78" s="29">
        <v>52.5</v>
      </c>
      <c r="N78" s="38" t="s">
        <v>305</v>
      </c>
      <c r="O78" s="105" t="s">
        <v>1124</v>
      </c>
      <c r="P78" s="84"/>
      <c r="Q78" s="112"/>
      <c r="R78" s="47"/>
      <c r="S78" s="84"/>
      <c r="T78" s="47" t="s">
        <v>114</v>
      </c>
      <c r="U78" s="422">
        <v>0.13639999999999999</v>
      </c>
      <c r="V78" s="114">
        <f t="shared" si="10"/>
        <v>62730.36</v>
      </c>
      <c r="W78" s="10" t="s">
        <v>132</v>
      </c>
      <c r="X78" s="84"/>
      <c r="Y78" s="58" t="s">
        <v>588</v>
      </c>
      <c r="Z78" s="112">
        <v>1</v>
      </c>
      <c r="AA78" t="str">
        <f>VLOOKUP(Y78,Source!F:F,1,FALSE)</f>
        <v>MassDEP - owned</v>
      </c>
    </row>
    <row r="79" spans="1:27" s="9" customFormat="1" x14ac:dyDescent="0.25">
      <c r="A79" s="47" t="str">
        <f t="shared" si="9"/>
        <v>MassDEP - owned2</v>
      </c>
      <c r="B79" s="27" t="s">
        <v>265</v>
      </c>
      <c r="C79" s="112" t="s">
        <v>738</v>
      </c>
      <c r="D79" s="39" t="s">
        <v>391</v>
      </c>
      <c r="E79" s="108" t="s">
        <v>392</v>
      </c>
      <c r="F79" s="29">
        <v>129.36000000000001</v>
      </c>
      <c r="G79" s="104" t="s">
        <v>393</v>
      </c>
      <c r="H79" s="104" t="s">
        <v>130</v>
      </c>
      <c r="I79" s="104" t="s">
        <v>270</v>
      </c>
      <c r="J79" s="32">
        <v>1107</v>
      </c>
      <c r="K79" s="33">
        <v>40980</v>
      </c>
      <c r="L79" s="34">
        <v>2012</v>
      </c>
      <c r="M79" s="29">
        <v>129.36000000000001</v>
      </c>
      <c r="N79" s="105" t="s">
        <v>305</v>
      </c>
      <c r="O79" s="105" t="s">
        <v>1124</v>
      </c>
      <c r="P79" s="47"/>
      <c r="Q79" s="47"/>
      <c r="R79" s="47"/>
      <c r="S79" s="112"/>
      <c r="T79" s="47" t="s">
        <v>114</v>
      </c>
      <c r="U79" s="422">
        <v>0.13639999999999999</v>
      </c>
      <c r="V79" s="48">
        <f t="shared" si="10"/>
        <v>154567.60704</v>
      </c>
      <c r="W79" s="112"/>
      <c r="X79" s="47"/>
      <c r="Y79" s="58" t="s">
        <v>588</v>
      </c>
      <c r="Z79" s="112">
        <v>2</v>
      </c>
      <c r="AA79" t="str">
        <f>VLOOKUP(Y79,Source!F:F,1,FALSE)</f>
        <v>MassDEP - owned</v>
      </c>
    </row>
    <row r="80" spans="1:27" s="9" customFormat="1" x14ac:dyDescent="0.25">
      <c r="A80" s="47" t="str">
        <f t="shared" si="9"/>
        <v>MassDOT - Highway &amp; Turnpike Divisions1</v>
      </c>
      <c r="B80" s="27" t="s">
        <v>265</v>
      </c>
      <c r="C80" s="10" t="s">
        <v>739</v>
      </c>
      <c r="D80" s="39"/>
      <c r="E80" s="109" t="s">
        <v>394</v>
      </c>
      <c r="F80" s="29">
        <v>70</v>
      </c>
      <c r="G80" s="107" t="s">
        <v>395</v>
      </c>
      <c r="H80" s="10" t="s">
        <v>196</v>
      </c>
      <c r="I80" s="112" t="s">
        <v>270</v>
      </c>
      <c r="J80" s="91">
        <v>1060</v>
      </c>
      <c r="K80" s="33"/>
      <c r="L80" s="34">
        <v>2013</v>
      </c>
      <c r="M80" s="29">
        <v>70</v>
      </c>
      <c r="N80" s="35" t="s">
        <v>396</v>
      </c>
      <c r="O80" s="101" t="s">
        <v>1124</v>
      </c>
      <c r="P80" s="84" t="s">
        <v>1200</v>
      </c>
      <c r="Q80" s="84"/>
      <c r="R80" s="84"/>
      <c r="S80" s="84"/>
      <c r="T80" s="47" t="s">
        <v>114</v>
      </c>
      <c r="U80" s="422">
        <v>0.13639999999999999</v>
      </c>
      <c r="V80" s="114">
        <f t="shared" si="10"/>
        <v>83640.479999999996</v>
      </c>
      <c r="W80" s="10" t="s">
        <v>197</v>
      </c>
      <c r="X80" s="84"/>
      <c r="Y80" s="58" t="s">
        <v>589</v>
      </c>
      <c r="Z80" s="27">
        <v>1</v>
      </c>
      <c r="AA80" t="str">
        <f>VLOOKUP(Y80,Source!F:F,1,FALSE)</f>
        <v>MassDOT - Highway &amp; Turnpike Divisions</v>
      </c>
    </row>
    <row r="81" spans="1:27" s="9" customFormat="1" x14ac:dyDescent="0.25">
      <c r="A81" s="47" t="str">
        <f t="shared" si="9"/>
        <v>MassDOT - Highway &amp; Turnpike Divisions2</v>
      </c>
      <c r="B81" s="27" t="s">
        <v>265</v>
      </c>
      <c r="C81" s="112" t="s">
        <v>739</v>
      </c>
      <c r="D81" s="39"/>
      <c r="E81" s="85" t="s">
        <v>595</v>
      </c>
      <c r="F81" s="29">
        <v>649</v>
      </c>
      <c r="G81" s="107" t="s">
        <v>602</v>
      </c>
      <c r="H81" s="10" t="s">
        <v>145</v>
      </c>
      <c r="I81" s="47" t="s">
        <v>270</v>
      </c>
      <c r="J81" s="32"/>
      <c r="K81" s="33">
        <v>41961</v>
      </c>
      <c r="L81" s="34">
        <v>2015</v>
      </c>
      <c r="M81" s="29">
        <v>649</v>
      </c>
      <c r="N81" s="35" t="s">
        <v>396</v>
      </c>
      <c r="O81" s="148" t="s">
        <v>1197</v>
      </c>
      <c r="P81" s="84" t="s">
        <v>1200</v>
      </c>
      <c r="Q81" s="84"/>
      <c r="R81" s="84"/>
      <c r="S81" s="27"/>
      <c r="T81" s="47" t="s">
        <v>114</v>
      </c>
      <c r="U81" s="422">
        <v>0.13639999999999999</v>
      </c>
      <c r="V81" s="48">
        <f t="shared" si="10"/>
        <v>775466.73599999992</v>
      </c>
      <c r="W81" s="10" t="s">
        <v>1210</v>
      </c>
      <c r="X81" s="27"/>
      <c r="Y81" s="58" t="s">
        <v>589</v>
      </c>
      <c r="Z81" s="27">
        <v>2</v>
      </c>
      <c r="AA81" t="str">
        <f>VLOOKUP(Y81,Source!F:F,1,FALSE)</f>
        <v>MassDOT - Highway &amp; Turnpike Divisions</v>
      </c>
    </row>
    <row r="82" spans="1:27" s="9" customFormat="1" x14ac:dyDescent="0.25">
      <c r="A82" s="47" t="str">
        <f t="shared" si="9"/>
        <v>MassDOT - Highway &amp; Turnpike Divisions3</v>
      </c>
      <c r="B82" s="27" t="s">
        <v>265</v>
      </c>
      <c r="C82" s="112" t="s">
        <v>739</v>
      </c>
      <c r="D82" s="39"/>
      <c r="E82" s="85" t="s">
        <v>596</v>
      </c>
      <c r="F82" s="29">
        <v>649</v>
      </c>
      <c r="G82" s="107" t="s">
        <v>602</v>
      </c>
      <c r="H82" s="10" t="s">
        <v>145</v>
      </c>
      <c r="I82" s="112" t="s">
        <v>270</v>
      </c>
      <c r="J82" s="91"/>
      <c r="K82" s="33">
        <v>41961</v>
      </c>
      <c r="L82" s="34">
        <v>2015</v>
      </c>
      <c r="M82" s="29">
        <v>649</v>
      </c>
      <c r="N82" s="35" t="s">
        <v>396</v>
      </c>
      <c r="O82" s="148" t="s">
        <v>1197</v>
      </c>
      <c r="P82" s="84" t="s">
        <v>1200</v>
      </c>
      <c r="Q82" s="84"/>
      <c r="R82" s="84"/>
      <c r="S82" s="84"/>
      <c r="T82" s="47" t="s">
        <v>114</v>
      </c>
      <c r="U82" s="422">
        <v>0.13639999999999999</v>
      </c>
      <c r="V82" s="114">
        <f t="shared" si="10"/>
        <v>775466.73599999992</v>
      </c>
      <c r="W82" s="10" t="s">
        <v>1210</v>
      </c>
      <c r="X82" s="84"/>
      <c r="Y82" s="58" t="s">
        <v>589</v>
      </c>
      <c r="Z82" s="27">
        <v>3</v>
      </c>
      <c r="AA82" t="str">
        <f>VLOOKUP(Y82,Source!F:F,1,FALSE)</f>
        <v>MassDOT - Highway &amp; Turnpike Divisions</v>
      </c>
    </row>
    <row r="83" spans="1:27" s="9" customFormat="1" x14ac:dyDescent="0.25">
      <c r="A83" s="47" t="str">
        <f t="shared" si="9"/>
        <v>MassDOT - Highway &amp; Turnpike Divisions4</v>
      </c>
      <c r="B83" s="27" t="s">
        <v>265</v>
      </c>
      <c r="C83" s="112" t="s">
        <v>739</v>
      </c>
      <c r="D83" s="39"/>
      <c r="E83" s="85" t="s">
        <v>597</v>
      </c>
      <c r="F83" s="29">
        <v>318</v>
      </c>
      <c r="G83" s="107" t="s">
        <v>603</v>
      </c>
      <c r="H83" s="10" t="s">
        <v>145</v>
      </c>
      <c r="I83" s="112" t="s">
        <v>270</v>
      </c>
      <c r="J83" s="91"/>
      <c r="K83" s="33">
        <v>41961</v>
      </c>
      <c r="L83" s="34">
        <v>2015</v>
      </c>
      <c r="M83" s="29">
        <v>318</v>
      </c>
      <c r="N83" s="35" t="s">
        <v>396</v>
      </c>
      <c r="O83" s="148" t="s">
        <v>1197</v>
      </c>
      <c r="P83" s="84" t="s">
        <v>1200</v>
      </c>
      <c r="Q83" s="84"/>
      <c r="R83" s="84"/>
      <c r="S83" s="84"/>
      <c r="T83" s="47" t="s">
        <v>114</v>
      </c>
      <c r="U83" s="422">
        <v>0.13639999999999999</v>
      </c>
      <c r="V83" s="114">
        <f t="shared" si="10"/>
        <v>379966.75199999998</v>
      </c>
      <c r="W83" s="10" t="s">
        <v>1210</v>
      </c>
      <c r="X83" s="84"/>
      <c r="Y83" s="58" t="s">
        <v>589</v>
      </c>
      <c r="Z83" s="27">
        <v>4</v>
      </c>
      <c r="AA83" t="str">
        <f>VLOOKUP(Y83,Source!F:F,1,FALSE)</f>
        <v>MassDOT - Highway &amp; Turnpike Divisions</v>
      </c>
    </row>
    <row r="84" spans="1:27" s="9" customFormat="1" x14ac:dyDescent="0.25">
      <c r="A84" s="47" t="str">
        <f t="shared" si="9"/>
        <v>MassDOT - Highway &amp; Turnpike Divisions5</v>
      </c>
      <c r="B84" s="27" t="s">
        <v>265</v>
      </c>
      <c r="C84" s="112" t="s">
        <v>739</v>
      </c>
      <c r="D84" s="39"/>
      <c r="E84" s="85" t="s">
        <v>598</v>
      </c>
      <c r="F84" s="29">
        <v>271</v>
      </c>
      <c r="G84" s="107" t="s">
        <v>604</v>
      </c>
      <c r="H84" s="10" t="s">
        <v>600</v>
      </c>
      <c r="I84" s="112" t="s">
        <v>270</v>
      </c>
      <c r="J84" s="91"/>
      <c r="K84" s="33">
        <v>41961</v>
      </c>
      <c r="L84" s="34">
        <v>2015</v>
      </c>
      <c r="M84" s="29">
        <v>271</v>
      </c>
      <c r="N84" s="35" t="s">
        <v>396</v>
      </c>
      <c r="O84" s="148" t="s">
        <v>1197</v>
      </c>
      <c r="P84" s="84" t="s">
        <v>1200</v>
      </c>
      <c r="Q84" s="84"/>
      <c r="R84" s="84"/>
      <c r="S84" s="84"/>
      <c r="T84" s="47" t="s">
        <v>114</v>
      </c>
      <c r="U84" s="422">
        <v>0.13639999999999999</v>
      </c>
      <c r="V84" s="114">
        <f t="shared" si="10"/>
        <v>323808.14399999997</v>
      </c>
      <c r="W84" s="10" t="s">
        <v>1210</v>
      </c>
      <c r="X84" s="84"/>
      <c r="Y84" s="58" t="s">
        <v>589</v>
      </c>
      <c r="Z84" s="27">
        <v>5</v>
      </c>
      <c r="AA84" t="str">
        <f>VLOOKUP(Y84,Source!F:F,1,FALSE)</f>
        <v>MassDOT - Highway &amp; Turnpike Divisions</v>
      </c>
    </row>
    <row r="85" spans="1:27" s="9" customFormat="1" x14ac:dyDescent="0.25">
      <c r="A85" s="47" t="str">
        <f t="shared" si="9"/>
        <v>MassDOT - Highway &amp; Turnpike Divisions6</v>
      </c>
      <c r="B85" s="27" t="s">
        <v>265</v>
      </c>
      <c r="C85" s="112" t="s">
        <v>739</v>
      </c>
      <c r="D85" s="39"/>
      <c r="E85" s="85" t="s">
        <v>599</v>
      </c>
      <c r="F85" s="29">
        <v>567</v>
      </c>
      <c r="G85" s="107" t="s">
        <v>605</v>
      </c>
      <c r="H85" s="10" t="s">
        <v>601</v>
      </c>
      <c r="I85" s="112" t="s">
        <v>270</v>
      </c>
      <c r="J85" s="91"/>
      <c r="K85" s="33">
        <v>42165</v>
      </c>
      <c r="L85" s="34">
        <v>2015</v>
      </c>
      <c r="M85" s="29">
        <v>567</v>
      </c>
      <c r="N85" s="35" t="s">
        <v>396</v>
      </c>
      <c r="O85" s="148" t="s">
        <v>1197</v>
      </c>
      <c r="P85" s="84" t="s">
        <v>1200</v>
      </c>
      <c r="Q85" s="84"/>
      <c r="R85" s="84"/>
      <c r="S85" s="84"/>
      <c r="T85" s="47" t="s">
        <v>114</v>
      </c>
      <c r="U85" s="422">
        <v>0.13639999999999999</v>
      </c>
      <c r="V85" s="114">
        <f t="shared" si="10"/>
        <v>677487.88799999992</v>
      </c>
      <c r="W85" s="10" t="s">
        <v>1210</v>
      </c>
      <c r="X85" s="84"/>
      <c r="Y85" s="58" t="s">
        <v>589</v>
      </c>
      <c r="Z85" s="27">
        <v>6</v>
      </c>
      <c r="AA85" t="str">
        <f>VLOOKUP(Y85,Source!F:F,1,FALSE)</f>
        <v>MassDOT - Highway &amp; Turnpike Divisions</v>
      </c>
    </row>
    <row r="86" spans="1:27" s="9" customFormat="1" ht="15.75" x14ac:dyDescent="0.25">
      <c r="A86" s="47" t="str">
        <f t="shared" si="9"/>
        <v>MassPort Authority1</v>
      </c>
      <c r="B86" s="27" t="s">
        <v>265</v>
      </c>
      <c r="C86" s="112" t="s">
        <v>738</v>
      </c>
      <c r="D86" s="39"/>
      <c r="E86" s="105" t="s">
        <v>397</v>
      </c>
      <c r="F86" s="29">
        <v>51</v>
      </c>
      <c r="G86" s="107" t="s">
        <v>398</v>
      </c>
      <c r="H86" s="97" t="s">
        <v>158</v>
      </c>
      <c r="I86" s="112" t="s">
        <v>270</v>
      </c>
      <c r="J86" s="32">
        <v>1730</v>
      </c>
      <c r="K86" s="33"/>
      <c r="L86" s="34">
        <v>2014</v>
      </c>
      <c r="M86" s="29">
        <v>51</v>
      </c>
      <c r="N86" s="35" t="s">
        <v>399</v>
      </c>
      <c r="O86" s="101" t="s">
        <v>1124</v>
      </c>
      <c r="P86" s="84"/>
      <c r="Q86" s="84"/>
      <c r="R86" s="84"/>
      <c r="S86" s="84"/>
      <c r="T86" s="47" t="s">
        <v>114</v>
      </c>
      <c r="U86" s="422">
        <v>0.13639999999999999</v>
      </c>
      <c r="V86" s="48">
        <f t="shared" si="10"/>
        <v>60938.063999999998</v>
      </c>
      <c r="W86" s="49" t="s">
        <v>400</v>
      </c>
      <c r="X86" s="84"/>
      <c r="Y86" s="80" t="s">
        <v>79</v>
      </c>
      <c r="Z86" s="27">
        <v>1</v>
      </c>
      <c r="AA86" t="str">
        <f>VLOOKUP(Y86,Source!F:F,1,FALSE)</f>
        <v>MassPort Authority</v>
      </c>
    </row>
    <row r="87" spans="1:27" s="9" customFormat="1" x14ac:dyDescent="0.25">
      <c r="A87" s="47" t="str">
        <f t="shared" si="9"/>
        <v>MassPort Authority2</v>
      </c>
      <c r="B87" s="27" t="s">
        <v>265</v>
      </c>
      <c r="C87" s="112" t="s">
        <v>738</v>
      </c>
      <c r="D87" s="39" t="s">
        <v>401</v>
      </c>
      <c r="E87" s="87" t="s">
        <v>402</v>
      </c>
      <c r="F87" s="29">
        <v>276.64</v>
      </c>
      <c r="G87" s="107" t="s">
        <v>403</v>
      </c>
      <c r="H87" s="89" t="s">
        <v>119</v>
      </c>
      <c r="I87" s="31" t="s">
        <v>270</v>
      </c>
      <c r="J87" s="32">
        <v>2128</v>
      </c>
      <c r="K87" s="33">
        <v>40905</v>
      </c>
      <c r="L87" s="34">
        <v>2012</v>
      </c>
      <c r="M87" s="29">
        <v>276.64</v>
      </c>
      <c r="N87" s="35" t="s">
        <v>399</v>
      </c>
      <c r="O87" s="101" t="s">
        <v>1197</v>
      </c>
      <c r="P87" s="47"/>
      <c r="Q87" s="47"/>
      <c r="R87" s="47"/>
      <c r="S87" s="47"/>
      <c r="T87" s="47" t="s">
        <v>114</v>
      </c>
      <c r="U87" s="422">
        <v>0.13639999999999999</v>
      </c>
      <c r="V87" s="48">
        <f t="shared" si="10"/>
        <v>330547.17695999995</v>
      </c>
      <c r="W87" s="47"/>
      <c r="X87" s="47"/>
      <c r="Y87" s="80" t="s">
        <v>79</v>
      </c>
      <c r="Z87" s="27">
        <v>2</v>
      </c>
      <c r="AA87" t="str">
        <f>VLOOKUP(Y87,Source!F:F,1,FALSE)</f>
        <v>MassPort Authority</v>
      </c>
    </row>
    <row r="88" spans="1:27" s="9" customFormat="1" x14ac:dyDescent="0.25">
      <c r="A88" s="47" t="str">
        <f t="shared" si="9"/>
        <v>MassPort Authority3</v>
      </c>
      <c r="B88" s="27" t="s">
        <v>265</v>
      </c>
      <c r="C88" s="112" t="s">
        <v>738</v>
      </c>
      <c r="D88" s="39" t="s">
        <v>404</v>
      </c>
      <c r="E88" s="87" t="s">
        <v>405</v>
      </c>
      <c r="F88" s="29">
        <v>93.18</v>
      </c>
      <c r="G88" s="107" t="s">
        <v>403</v>
      </c>
      <c r="H88" s="89" t="s">
        <v>119</v>
      </c>
      <c r="I88" s="31" t="s">
        <v>270</v>
      </c>
      <c r="J88" s="32">
        <v>2128</v>
      </c>
      <c r="K88" s="33">
        <v>40905</v>
      </c>
      <c r="L88" s="34">
        <v>2012</v>
      </c>
      <c r="M88" s="29">
        <v>93.18</v>
      </c>
      <c r="N88" s="35" t="s">
        <v>399</v>
      </c>
      <c r="O88" s="101" t="s">
        <v>1197</v>
      </c>
      <c r="P88" s="47"/>
      <c r="Q88" s="47"/>
      <c r="R88" s="47"/>
      <c r="S88" s="47"/>
      <c r="T88" s="47" t="s">
        <v>114</v>
      </c>
      <c r="U88" s="422">
        <v>0.13639999999999999</v>
      </c>
      <c r="V88" s="48">
        <f t="shared" si="10"/>
        <v>111337.42752</v>
      </c>
      <c r="W88" s="47"/>
      <c r="X88" s="47"/>
      <c r="Y88" s="80" t="s">
        <v>79</v>
      </c>
      <c r="Z88" s="27">
        <v>3</v>
      </c>
      <c r="AA88" t="str">
        <f>VLOOKUP(Y88,Source!F:F,1,FALSE)</f>
        <v>MassPort Authority</v>
      </c>
    </row>
    <row r="89" spans="1:27" x14ac:dyDescent="0.25">
      <c r="A89" s="47" t="str">
        <f t="shared" si="9"/>
        <v>MassPort Authority4</v>
      </c>
      <c r="B89" s="27" t="s">
        <v>265</v>
      </c>
      <c r="C89" s="112" t="s">
        <v>738</v>
      </c>
      <c r="D89" s="39"/>
      <c r="E89" s="97" t="s">
        <v>154</v>
      </c>
      <c r="F89" s="29">
        <v>200</v>
      </c>
      <c r="G89" s="107" t="s">
        <v>403</v>
      </c>
      <c r="H89" s="10" t="s">
        <v>119</v>
      </c>
      <c r="I89" s="112" t="s">
        <v>270</v>
      </c>
      <c r="J89" s="32">
        <v>2128</v>
      </c>
      <c r="K89" s="33"/>
      <c r="L89" s="34">
        <v>2012</v>
      </c>
      <c r="M89" s="29">
        <v>200</v>
      </c>
      <c r="N89" s="35" t="s">
        <v>399</v>
      </c>
      <c r="O89" s="101" t="s">
        <v>1124</v>
      </c>
      <c r="P89" s="84"/>
      <c r="Q89" s="84"/>
      <c r="R89" s="84"/>
      <c r="S89" s="27"/>
      <c r="T89" s="47" t="s">
        <v>114</v>
      </c>
      <c r="U89" s="422">
        <v>0.13639999999999999</v>
      </c>
      <c r="V89" s="48">
        <f t="shared" si="10"/>
        <v>238972.79999999999</v>
      </c>
      <c r="W89" s="10" t="s">
        <v>155</v>
      </c>
      <c r="X89" s="84"/>
      <c r="Y89" s="80" t="s">
        <v>79</v>
      </c>
      <c r="Z89" s="27">
        <v>4</v>
      </c>
      <c r="AA89" t="str">
        <f>VLOOKUP(Y89,Source!F:F,1,FALSE)</f>
        <v>MassPort Authority</v>
      </c>
    </row>
    <row r="90" spans="1:27" x14ac:dyDescent="0.25">
      <c r="A90" s="47" t="str">
        <f t="shared" si="9"/>
        <v>MassPort Authority5</v>
      </c>
      <c r="B90" s="27" t="s">
        <v>265</v>
      </c>
      <c r="C90" s="112" t="s">
        <v>738</v>
      </c>
      <c r="D90" s="39"/>
      <c r="E90" s="38" t="s">
        <v>406</v>
      </c>
      <c r="F90" s="29">
        <v>50</v>
      </c>
      <c r="G90" s="107" t="s">
        <v>403</v>
      </c>
      <c r="H90" s="10" t="s">
        <v>153</v>
      </c>
      <c r="I90" s="112" t="s">
        <v>270</v>
      </c>
      <c r="J90" s="32">
        <v>2128</v>
      </c>
      <c r="K90" s="33"/>
      <c r="L90" s="52">
        <v>2013</v>
      </c>
      <c r="M90" s="29">
        <v>50</v>
      </c>
      <c r="N90" s="35" t="s">
        <v>399</v>
      </c>
      <c r="O90" s="101" t="s">
        <v>1124</v>
      </c>
      <c r="P90" s="84"/>
      <c r="Q90" s="84"/>
      <c r="R90" s="84"/>
      <c r="S90" s="27"/>
      <c r="T90" s="47" t="s">
        <v>114</v>
      </c>
      <c r="U90" s="422">
        <v>0.13639999999999999</v>
      </c>
      <c r="V90" s="48">
        <f t="shared" si="10"/>
        <v>59743.199999999997</v>
      </c>
      <c r="W90" s="10" t="s">
        <v>407</v>
      </c>
      <c r="X90" s="84"/>
      <c r="Y90" s="80" t="s">
        <v>79</v>
      </c>
      <c r="Z90" s="27">
        <v>5</v>
      </c>
      <c r="AA90" t="str">
        <f>VLOOKUP(Y90,Source!F:F,1,FALSE)</f>
        <v>MassPort Authority</v>
      </c>
    </row>
    <row r="91" spans="1:27" x14ac:dyDescent="0.25">
      <c r="A91" s="47" t="str">
        <f t="shared" ref="A91:A141" si="11">Y91&amp;Z91</f>
        <v>MassPort Authority6</v>
      </c>
      <c r="B91" s="27" t="s">
        <v>265</v>
      </c>
      <c r="C91" s="112" t="s">
        <v>738</v>
      </c>
      <c r="D91" s="39"/>
      <c r="E91" s="38" t="s">
        <v>408</v>
      </c>
      <c r="F91" s="29">
        <v>81</v>
      </c>
      <c r="G91" s="107" t="s">
        <v>409</v>
      </c>
      <c r="H91" s="10" t="s">
        <v>153</v>
      </c>
      <c r="I91" s="112" t="s">
        <v>270</v>
      </c>
      <c r="J91" s="32">
        <v>2128</v>
      </c>
      <c r="K91" s="33"/>
      <c r="L91" s="52">
        <v>2013</v>
      </c>
      <c r="M91" s="29">
        <v>81</v>
      </c>
      <c r="N91" s="35" t="s">
        <v>399</v>
      </c>
      <c r="O91" s="101" t="s">
        <v>1124</v>
      </c>
      <c r="P91" s="84"/>
      <c r="Q91" s="84"/>
      <c r="R91" s="84"/>
      <c r="S91" s="84"/>
      <c r="T91" s="47" t="s">
        <v>114</v>
      </c>
      <c r="U91" s="422">
        <v>0.13639999999999999</v>
      </c>
      <c r="V91" s="114">
        <f t="shared" si="10"/>
        <v>96783.983999999997</v>
      </c>
      <c r="W91" s="97" t="s">
        <v>410</v>
      </c>
      <c r="X91" s="84"/>
      <c r="Y91" s="80" t="s">
        <v>79</v>
      </c>
      <c r="Z91" s="27">
        <v>6</v>
      </c>
      <c r="AA91" t="str">
        <f>VLOOKUP(Y91,Source!F:F,1,FALSE)</f>
        <v>MassPort Authority</v>
      </c>
    </row>
    <row r="92" spans="1:27" ht="15.75" x14ac:dyDescent="0.25">
      <c r="A92" s="47" t="str">
        <f t="shared" si="11"/>
        <v>MassPort Authority7</v>
      </c>
      <c r="B92" s="27" t="s">
        <v>265</v>
      </c>
      <c r="C92" s="112" t="s">
        <v>738</v>
      </c>
      <c r="D92" s="39"/>
      <c r="E92" s="38" t="s">
        <v>411</v>
      </c>
      <c r="F92" s="29">
        <v>121</v>
      </c>
      <c r="G92" s="107" t="s">
        <v>403</v>
      </c>
      <c r="H92" s="10" t="s">
        <v>153</v>
      </c>
      <c r="I92" s="112" t="s">
        <v>270</v>
      </c>
      <c r="J92" s="32">
        <v>2128</v>
      </c>
      <c r="K92" s="33"/>
      <c r="L92" s="34">
        <v>2014</v>
      </c>
      <c r="M92" s="29">
        <v>121</v>
      </c>
      <c r="N92" s="35" t="s">
        <v>399</v>
      </c>
      <c r="O92" s="101" t="s">
        <v>1124</v>
      </c>
      <c r="P92" s="84"/>
      <c r="Q92" s="84"/>
      <c r="R92" s="84"/>
      <c r="S92" s="84"/>
      <c r="T92" s="47" t="s">
        <v>114</v>
      </c>
      <c r="U92" s="422">
        <v>0.13639999999999999</v>
      </c>
      <c r="V92" s="114">
        <f t="shared" si="10"/>
        <v>144578.54399999999</v>
      </c>
      <c r="W92" s="49" t="s">
        <v>412</v>
      </c>
      <c r="X92" s="84"/>
      <c r="Y92" s="80" t="s">
        <v>79</v>
      </c>
      <c r="Z92" s="27">
        <v>7</v>
      </c>
      <c r="AA92" t="str">
        <f>VLOOKUP(Y92,Source!F:F,1,FALSE)</f>
        <v>MassPort Authority</v>
      </c>
    </row>
    <row r="93" spans="1:27" ht="15.75" x14ac:dyDescent="0.25">
      <c r="A93" s="47" t="str">
        <f t="shared" si="11"/>
        <v>MassPort Authority8</v>
      </c>
      <c r="B93" s="27" t="s">
        <v>265</v>
      </c>
      <c r="C93" s="49" t="s">
        <v>23</v>
      </c>
      <c r="D93" s="39"/>
      <c r="E93" s="38" t="s">
        <v>408</v>
      </c>
      <c r="F93" s="29">
        <v>20</v>
      </c>
      <c r="G93" s="107" t="s">
        <v>409</v>
      </c>
      <c r="H93" s="10" t="s">
        <v>153</v>
      </c>
      <c r="I93" s="112" t="s">
        <v>270</v>
      </c>
      <c r="J93" s="32">
        <v>2128</v>
      </c>
      <c r="K93" s="33"/>
      <c r="L93" s="34">
        <v>2014</v>
      </c>
      <c r="M93" s="29">
        <v>20</v>
      </c>
      <c r="N93" s="35" t="s">
        <v>399</v>
      </c>
      <c r="O93" s="101" t="s">
        <v>1124</v>
      </c>
      <c r="P93" s="112"/>
      <c r="Q93" s="112"/>
      <c r="R93" s="47"/>
      <c r="S93" s="84"/>
      <c r="T93" s="47" t="s">
        <v>114</v>
      </c>
      <c r="U93" s="110">
        <v>0.26</v>
      </c>
      <c r="V93" s="114">
        <f t="shared" si="10"/>
        <v>45552</v>
      </c>
      <c r="W93" s="84"/>
      <c r="X93" s="47"/>
      <c r="Y93" s="80" t="s">
        <v>79</v>
      </c>
      <c r="Z93" s="27">
        <v>8</v>
      </c>
      <c r="AA93" t="str">
        <f>VLOOKUP(Y93,Source!F:F,1,FALSE)</f>
        <v>MassPort Authority</v>
      </c>
    </row>
    <row r="94" spans="1:27" x14ac:dyDescent="0.25">
      <c r="A94" s="47" t="str">
        <f t="shared" si="11"/>
        <v>Mount Wachusett Comm. College1</v>
      </c>
      <c r="B94" s="27" t="s">
        <v>265</v>
      </c>
      <c r="C94" s="112" t="s">
        <v>738</v>
      </c>
      <c r="D94" s="39" t="s">
        <v>413</v>
      </c>
      <c r="E94" s="87" t="s">
        <v>414</v>
      </c>
      <c r="F94" s="29">
        <v>97.28</v>
      </c>
      <c r="G94" s="107" t="s">
        <v>415</v>
      </c>
      <c r="H94" s="89" t="s">
        <v>149</v>
      </c>
      <c r="I94" s="31" t="s">
        <v>270</v>
      </c>
      <c r="J94" s="32">
        <v>1440</v>
      </c>
      <c r="K94" s="33">
        <v>40070</v>
      </c>
      <c r="L94" s="34">
        <v>2011</v>
      </c>
      <c r="M94" s="29">
        <v>97.28</v>
      </c>
      <c r="N94" s="105" t="s">
        <v>271</v>
      </c>
      <c r="O94" s="105" t="s">
        <v>1124</v>
      </c>
      <c r="P94" s="112"/>
      <c r="Q94" s="112"/>
      <c r="R94" s="47"/>
      <c r="S94" s="47"/>
      <c r="T94" s="47" t="s">
        <v>114</v>
      </c>
      <c r="U94" s="422">
        <v>0.13639999999999999</v>
      </c>
      <c r="V94" s="114">
        <f t="shared" si="10"/>
        <v>116236.36992</v>
      </c>
      <c r="W94" s="112"/>
      <c r="X94" s="47"/>
      <c r="Y94" s="58" t="s">
        <v>590</v>
      </c>
      <c r="Z94" s="27">
        <v>1</v>
      </c>
      <c r="AA94" t="str">
        <f>VLOOKUP(Y94,Source!F:F,1,FALSE)</f>
        <v>Mount Wachusett Comm. College</v>
      </c>
    </row>
    <row r="95" spans="1:27" x14ac:dyDescent="0.25">
      <c r="A95" s="47" t="str">
        <f t="shared" si="11"/>
        <v>Mount Wachusett Comm. College2</v>
      </c>
      <c r="B95" s="27" t="s">
        <v>265</v>
      </c>
      <c r="C95" s="10" t="s">
        <v>23</v>
      </c>
      <c r="D95" s="39" t="s">
        <v>416</v>
      </c>
      <c r="E95" s="10" t="s">
        <v>162</v>
      </c>
      <c r="F95" s="29">
        <v>3300</v>
      </c>
      <c r="G95" s="107" t="s">
        <v>415</v>
      </c>
      <c r="H95" s="10" t="s">
        <v>149</v>
      </c>
      <c r="I95" s="90" t="s">
        <v>270</v>
      </c>
      <c r="J95" s="32">
        <v>1440</v>
      </c>
      <c r="K95" s="33">
        <v>40664</v>
      </c>
      <c r="L95" s="34">
        <v>2011</v>
      </c>
      <c r="M95" s="29">
        <v>3300</v>
      </c>
      <c r="N95" s="38" t="s">
        <v>271</v>
      </c>
      <c r="O95" s="105" t="s">
        <v>1124</v>
      </c>
      <c r="P95" s="47"/>
      <c r="Q95" s="47"/>
      <c r="R95" s="47"/>
      <c r="S95" s="27"/>
      <c r="T95" s="47" t="s">
        <v>114</v>
      </c>
      <c r="U95" s="110">
        <v>0.26</v>
      </c>
      <c r="V95" s="48">
        <f t="shared" si="10"/>
        <v>7516080</v>
      </c>
      <c r="W95" s="10" t="s">
        <v>150</v>
      </c>
      <c r="X95" s="112"/>
      <c r="Y95" s="59" t="s">
        <v>590</v>
      </c>
      <c r="Z95" s="27">
        <v>2</v>
      </c>
      <c r="AA95" t="str">
        <f>VLOOKUP(Y95,Source!F:F,1,FALSE)</f>
        <v>Mount Wachusett Comm. College</v>
      </c>
    </row>
    <row r="96" spans="1:27" x14ac:dyDescent="0.25">
      <c r="A96" s="47" t="str">
        <f t="shared" si="11"/>
        <v>Mount Wachusett Comm. College3</v>
      </c>
      <c r="B96" s="27" t="s">
        <v>282</v>
      </c>
      <c r="C96" s="97" t="s">
        <v>204</v>
      </c>
      <c r="D96" s="39"/>
      <c r="E96" s="97" t="s">
        <v>199</v>
      </c>
      <c r="F96" s="29">
        <v>400</v>
      </c>
      <c r="G96" s="107" t="s">
        <v>415</v>
      </c>
      <c r="H96" s="97" t="s">
        <v>149</v>
      </c>
      <c r="I96" s="31" t="s">
        <v>270</v>
      </c>
      <c r="J96" s="32">
        <v>1440</v>
      </c>
      <c r="K96" s="33"/>
      <c r="L96" s="93">
        <v>1984</v>
      </c>
      <c r="M96" s="29">
        <v>400</v>
      </c>
      <c r="N96" s="38" t="s">
        <v>271</v>
      </c>
      <c r="O96" s="105" t="s">
        <v>1124</v>
      </c>
      <c r="P96" s="110"/>
      <c r="Q96" s="111"/>
      <c r="R96" s="47"/>
      <c r="S96" s="47"/>
      <c r="T96" s="47" t="s">
        <v>114</v>
      </c>
      <c r="U96" s="112"/>
      <c r="V96" s="112"/>
      <c r="W96" s="97" t="s">
        <v>199</v>
      </c>
      <c r="X96" s="47"/>
      <c r="Y96" s="59" t="s">
        <v>590</v>
      </c>
      <c r="Z96" s="27">
        <v>3</v>
      </c>
      <c r="AA96" t="str">
        <f>VLOOKUP(Y96,Source!F:F,1,FALSE)</f>
        <v>Mount Wachusett Comm. College</v>
      </c>
    </row>
    <row r="97" spans="1:27" x14ac:dyDescent="0.25">
      <c r="A97" s="47" t="str">
        <f t="shared" si="11"/>
        <v>North Shore Comm. College1</v>
      </c>
      <c r="B97" s="27" t="s">
        <v>265</v>
      </c>
      <c r="C97" s="112" t="s">
        <v>738</v>
      </c>
      <c r="D97" s="39" t="s">
        <v>439</v>
      </c>
      <c r="E97" s="97" t="s">
        <v>440</v>
      </c>
      <c r="F97" s="29">
        <v>61</v>
      </c>
      <c r="G97" s="30" t="s">
        <v>441</v>
      </c>
      <c r="H97" s="97" t="s">
        <v>175</v>
      </c>
      <c r="I97" s="112" t="s">
        <v>270</v>
      </c>
      <c r="J97" s="32">
        <v>1923</v>
      </c>
      <c r="K97" s="33">
        <v>40544</v>
      </c>
      <c r="L97" s="93">
        <v>2010</v>
      </c>
      <c r="M97" s="29">
        <v>61</v>
      </c>
      <c r="N97" s="38" t="s">
        <v>271</v>
      </c>
      <c r="O97" s="105" t="s">
        <v>1124</v>
      </c>
      <c r="P97" s="47"/>
      <c r="Q97" s="47"/>
      <c r="R97" s="47"/>
      <c r="S97" s="84"/>
      <c r="T97" s="47" t="s">
        <v>114</v>
      </c>
      <c r="U97" s="422">
        <v>0.13639999999999999</v>
      </c>
      <c r="V97" s="48">
        <f>M97*8760*U97</f>
        <v>72886.703999999998</v>
      </c>
      <c r="W97" s="97" t="s">
        <v>174</v>
      </c>
      <c r="X97" s="84"/>
      <c r="Y97" s="28" t="s">
        <v>591</v>
      </c>
      <c r="Z97" s="27">
        <v>1</v>
      </c>
      <c r="AA97" t="str">
        <f>VLOOKUP(Y97,Source!F:F,1,FALSE)</f>
        <v>North Shore Comm. College</v>
      </c>
    </row>
    <row r="98" spans="1:27" x14ac:dyDescent="0.25">
      <c r="A98" s="47" t="str">
        <f t="shared" si="11"/>
        <v>North Shore Comm. College2</v>
      </c>
      <c r="B98" s="27" t="s">
        <v>265</v>
      </c>
      <c r="C98" s="112" t="s">
        <v>738</v>
      </c>
      <c r="D98" s="39" t="s">
        <v>442</v>
      </c>
      <c r="E98" s="87" t="s">
        <v>443</v>
      </c>
      <c r="F98" s="29">
        <v>345.98399999999998</v>
      </c>
      <c r="G98" s="89" t="s">
        <v>441</v>
      </c>
      <c r="H98" s="89" t="s">
        <v>175</v>
      </c>
      <c r="I98" s="90" t="s">
        <v>270</v>
      </c>
      <c r="J98" s="32">
        <v>1923</v>
      </c>
      <c r="K98" s="33">
        <v>40820</v>
      </c>
      <c r="L98" s="54">
        <v>2012</v>
      </c>
      <c r="M98" s="29">
        <v>345.98399999999998</v>
      </c>
      <c r="N98" s="38" t="s">
        <v>271</v>
      </c>
      <c r="O98" s="105" t="s">
        <v>1124</v>
      </c>
      <c r="P98" s="47"/>
      <c r="Q98" s="47"/>
      <c r="R98" s="47"/>
      <c r="S98" s="47"/>
      <c r="T98" s="47" t="s">
        <v>114</v>
      </c>
      <c r="U98" s="422">
        <v>0.13639999999999999</v>
      </c>
      <c r="V98" s="48">
        <f>M98*8760*U98</f>
        <v>413403.82617599994</v>
      </c>
      <c r="W98" s="47"/>
      <c r="X98" s="47"/>
      <c r="Y98" s="87" t="s">
        <v>591</v>
      </c>
      <c r="Z98" s="27">
        <v>2</v>
      </c>
      <c r="AA98" t="str">
        <f>VLOOKUP(Y98,Source!F:F,1,FALSE)</f>
        <v>North Shore Comm. College</v>
      </c>
    </row>
    <row r="99" spans="1:27" x14ac:dyDescent="0.25">
      <c r="A99" s="47" t="str">
        <f t="shared" si="11"/>
        <v>North Shore Comm. College3</v>
      </c>
      <c r="B99" s="27" t="s">
        <v>265</v>
      </c>
      <c r="C99" s="112" t="s">
        <v>738</v>
      </c>
      <c r="D99" s="39" t="s">
        <v>444</v>
      </c>
      <c r="E99" s="28" t="s">
        <v>445</v>
      </c>
      <c r="F99" s="29">
        <v>73.900000000000006</v>
      </c>
      <c r="G99" s="89" t="s">
        <v>441</v>
      </c>
      <c r="H99" s="30" t="s">
        <v>175</v>
      </c>
      <c r="I99" s="31" t="s">
        <v>270</v>
      </c>
      <c r="J99" s="32">
        <v>1923</v>
      </c>
      <c r="K99" s="33">
        <v>40676</v>
      </c>
      <c r="L99" s="54">
        <v>2011</v>
      </c>
      <c r="M99" s="29">
        <v>73.900000000000006</v>
      </c>
      <c r="N99" s="38" t="s">
        <v>271</v>
      </c>
      <c r="O99" s="105" t="s">
        <v>1124</v>
      </c>
      <c r="P99" s="47"/>
      <c r="Q99" s="47"/>
      <c r="R99" s="47"/>
      <c r="S99" s="47"/>
      <c r="T99" s="47" t="s">
        <v>114</v>
      </c>
      <c r="U99" s="422">
        <v>0.13639999999999999</v>
      </c>
      <c r="V99" s="48">
        <f>M99*8760*U99</f>
        <v>88300.449599999993</v>
      </c>
      <c r="W99" s="47"/>
      <c r="X99" s="47"/>
      <c r="Y99" s="87" t="s">
        <v>591</v>
      </c>
      <c r="Z99" s="27">
        <v>3</v>
      </c>
      <c r="AA99" t="str">
        <f>VLOOKUP(Y99,Source!F:F,1,FALSE)</f>
        <v>North Shore Comm. College</v>
      </c>
    </row>
    <row r="100" spans="1:27" x14ac:dyDescent="0.25">
      <c r="A100" s="47" t="str">
        <f t="shared" si="11"/>
        <v>Roxbury Comm. College1</v>
      </c>
      <c r="B100" s="27" t="s">
        <v>265</v>
      </c>
      <c r="C100" s="105" t="s">
        <v>740</v>
      </c>
      <c r="D100" s="85"/>
      <c r="E100" s="85" t="s">
        <v>623</v>
      </c>
      <c r="F100" s="113">
        <v>937</v>
      </c>
      <c r="G100" s="85" t="s">
        <v>626</v>
      </c>
      <c r="H100" s="97" t="s">
        <v>119</v>
      </c>
      <c r="I100" s="31" t="s">
        <v>270</v>
      </c>
      <c r="J100" s="91">
        <v>2120</v>
      </c>
      <c r="K100" s="85"/>
      <c r="L100" s="100">
        <v>2017</v>
      </c>
      <c r="M100" s="113">
        <v>937</v>
      </c>
      <c r="N100" s="85"/>
      <c r="O100" s="148" t="s">
        <v>1124</v>
      </c>
      <c r="P100" s="85"/>
      <c r="Q100" s="85"/>
      <c r="R100" s="85"/>
      <c r="S100" s="85"/>
      <c r="T100" s="85"/>
      <c r="U100" s="85"/>
      <c r="V100" s="85"/>
      <c r="W100" s="85"/>
      <c r="X100" s="85"/>
      <c r="Y100" s="115" t="s">
        <v>67</v>
      </c>
      <c r="Z100" s="27">
        <v>1</v>
      </c>
      <c r="AA100" s="83" t="str">
        <f>VLOOKUP(Y100,Source!F:F,1,FALSE)</f>
        <v>Roxbury Comm. College</v>
      </c>
    </row>
    <row r="101" spans="1:27" x14ac:dyDescent="0.25">
      <c r="A101" s="47" t="str">
        <f t="shared" si="11"/>
        <v>Salem State University1</v>
      </c>
      <c r="B101" s="27" t="s">
        <v>265</v>
      </c>
      <c r="C101" s="112" t="s">
        <v>738</v>
      </c>
      <c r="D101" s="39" t="s">
        <v>446</v>
      </c>
      <c r="E101" s="108" t="s">
        <v>447</v>
      </c>
      <c r="F101" s="29">
        <v>147.80000000000001</v>
      </c>
      <c r="G101" s="104" t="s">
        <v>448</v>
      </c>
      <c r="H101" s="104" t="s">
        <v>176</v>
      </c>
      <c r="I101" s="104" t="s">
        <v>270</v>
      </c>
      <c r="J101" s="32">
        <v>1970</v>
      </c>
      <c r="K101" s="33">
        <v>41011</v>
      </c>
      <c r="L101" s="54">
        <v>2012</v>
      </c>
      <c r="M101" s="29">
        <v>147.80000000000001</v>
      </c>
      <c r="N101" s="38" t="s">
        <v>271</v>
      </c>
      <c r="O101" s="105" t="s">
        <v>1124</v>
      </c>
      <c r="P101" s="47"/>
      <c r="Q101" s="47"/>
      <c r="R101" s="47"/>
      <c r="S101" s="47"/>
      <c r="T101" s="47" t="s">
        <v>114</v>
      </c>
      <c r="U101" s="422">
        <v>0.13639999999999999</v>
      </c>
      <c r="V101" s="48">
        <f>M101*8760*U101</f>
        <v>176600.89919999999</v>
      </c>
      <c r="W101" s="47"/>
      <c r="X101" s="47"/>
      <c r="Y101" s="79" t="s">
        <v>68</v>
      </c>
      <c r="Z101" s="27">
        <v>1</v>
      </c>
      <c r="AA101" t="str">
        <f>VLOOKUP(Y101,Source!F:F,1,FALSE)</f>
        <v>Salem State University</v>
      </c>
    </row>
    <row r="102" spans="1:27" x14ac:dyDescent="0.25">
      <c r="A102" s="47" t="str">
        <f t="shared" si="11"/>
        <v>Salem State University2</v>
      </c>
      <c r="B102" s="27" t="s">
        <v>265</v>
      </c>
      <c r="C102" s="112" t="s">
        <v>738</v>
      </c>
      <c r="D102" s="39" t="s">
        <v>449</v>
      </c>
      <c r="E102" s="87" t="s">
        <v>450</v>
      </c>
      <c r="F102" s="29">
        <v>68.900000000000006</v>
      </c>
      <c r="G102" s="39" t="s">
        <v>451</v>
      </c>
      <c r="H102" s="89" t="s">
        <v>176</v>
      </c>
      <c r="I102" s="31" t="s">
        <v>270</v>
      </c>
      <c r="J102" s="32">
        <v>1970</v>
      </c>
      <c r="K102" s="33" t="s">
        <v>452</v>
      </c>
      <c r="L102" s="93">
        <v>2009</v>
      </c>
      <c r="M102" s="29">
        <v>68.900000000000006</v>
      </c>
      <c r="N102" s="105" t="s">
        <v>271</v>
      </c>
      <c r="O102" s="105" t="s">
        <v>1124</v>
      </c>
      <c r="P102" s="112"/>
      <c r="Q102" s="112"/>
      <c r="R102" s="47"/>
      <c r="S102" s="47"/>
      <c r="T102" s="47" t="s">
        <v>114</v>
      </c>
      <c r="U102" s="422">
        <v>0.13639999999999999</v>
      </c>
      <c r="V102" s="114">
        <f>M102*8760*U102</f>
        <v>82326.1296</v>
      </c>
      <c r="W102" s="112"/>
      <c r="X102" s="47"/>
      <c r="Y102" s="108" t="s">
        <v>68</v>
      </c>
      <c r="Z102" s="27">
        <v>2</v>
      </c>
      <c r="AA102" t="str">
        <f>VLOOKUP(Y102,Source!F:F,1,FALSE)</f>
        <v>Salem State University</v>
      </c>
    </row>
    <row r="103" spans="1:27" x14ac:dyDescent="0.25">
      <c r="A103" s="47" t="str">
        <f t="shared" si="11"/>
        <v>Springfield Technical Comm. College1</v>
      </c>
      <c r="B103" s="27" t="s">
        <v>265</v>
      </c>
      <c r="C103" s="112" t="s">
        <v>738</v>
      </c>
      <c r="D103" s="39" t="s">
        <v>453</v>
      </c>
      <c r="E103" s="87" t="s">
        <v>454</v>
      </c>
      <c r="F103" s="29">
        <v>82</v>
      </c>
      <c r="G103" s="107" t="s">
        <v>455</v>
      </c>
      <c r="H103" s="89" t="s">
        <v>130</v>
      </c>
      <c r="I103" s="90" t="s">
        <v>270</v>
      </c>
      <c r="J103" s="32">
        <v>1102</v>
      </c>
      <c r="K103" s="33">
        <v>40017</v>
      </c>
      <c r="L103" s="54">
        <v>2011</v>
      </c>
      <c r="M103" s="29">
        <v>82</v>
      </c>
      <c r="N103" s="105" t="s">
        <v>271</v>
      </c>
      <c r="O103" s="105" t="s">
        <v>1124</v>
      </c>
      <c r="P103" s="47"/>
      <c r="Q103" s="47"/>
      <c r="R103" s="47"/>
      <c r="S103" s="112"/>
      <c r="T103" s="47" t="s">
        <v>114</v>
      </c>
      <c r="U103" s="422">
        <v>0.13639999999999999</v>
      </c>
      <c r="V103" s="48">
        <f>M103*8760*U103</f>
        <v>97978.847999999998</v>
      </c>
      <c r="W103" s="112"/>
      <c r="X103" s="112"/>
      <c r="Y103" s="116" t="s">
        <v>592</v>
      </c>
      <c r="Z103" s="27">
        <v>1</v>
      </c>
      <c r="AA103" t="str">
        <f>VLOOKUP(Y103,Source!F:F,1,FALSE)</f>
        <v>Springfield Technical Comm. College</v>
      </c>
    </row>
    <row r="104" spans="1:27" x14ac:dyDescent="0.25">
      <c r="A104" s="47" t="str">
        <f t="shared" si="11"/>
        <v>UMass Amherst1</v>
      </c>
      <c r="B104" s="27" t="s">
        <v>282</v>
      </c>
      <c r="C104" s="97" t="s">
        <v>203</v>
      </c>
      <c r="D104" s="39" t="s">
        <v>456</v>
      </c>
      <c r="E104" s="105" t="s">
        <v>201</v>
      </c>
      <c r="F104" s="29">
        <v>10000</v>
      </c>
      <c r="G104" s="107" t="s">
        <v>457</v>
      </c>
      <c r="H104" s="97" t="s">
        <v>129</v>
      </c>
      <c r="I104" s="90" t="s">
        <v>270</v>
      </c>
      <c r="J104" s="32">
        <v>1003</v>
      </c>
      <c r="K104" s="33">
        <v>39787</v>
      </c>
      <c r="L104" s="52">
        <v>2008</v>
      </c>
      <c r="M104" s="29">
        <v>10000</v>
      </c>
      <c r="N104" s="35" t="s">
        <v>458</v>
      </c>
      <c r="O104" s="101" t="s">
        <v>1124</v>
      </c>
      <c r="P104" s="110"/>
      <c r="Q104" s="111"/>
      <c r="R104" s="47"/>
      <c r="S104" s="47"/>
      <c r="T104" s="47" t="s">
        <v>114</v>
      </c>
      <c r="U104" s="112"/>
      <c r="V104" s="112"/>
      <c r="W104" s="105" t="s">
        <v>201</v>
      </c>
      <c r="X104" s="47"/>
      <c r="Y104" s="105" t="s">
        <v>70</v>
      </c>
      <c r="Z104" s="27">
        <v>1</v>
      </c>
      <c r="AA104" t="str">
        <f>VLOOKUP(Y104,Source!F:F,1,FALSE)</f>
        <v>UMass Amherst</v>
      </c>
    </row>
    <row r="105" spans="1:27" x14ac:dyDescent="0.25">
      <c r="A105" s="411" t="str">
        <f t="shared" si="11"/>
        <v>UMass Amherst2</v>
      </c>
      <c r="B105" s="412" t="s">
        <v>265</v>
      </c>
      <c r="C105" s="414" t="s">
        <v>739</v>
      </c>
      <c r="D105" s="413"/>
      <c r="E105" s="414" t="s">
        <v>70</v>
      </c>
      <c r="F105" s="415">
        <v>16.45</v>
      </c>
      <c r="G105" s="461" t="s">
        <v>459</v>
      </c>
      <c r="H105" s="416" t="s">
        <v>215</v>
      </c>
      <c r="I105" s="411" t="s">
        <v>270</v>
      </c>
      <c r="J105" s="417">
        <v>1373</v>
      </c>
      <c r="K105" s="418"/>
      <c r="L105" s="462">
        <v>2011</v>
      </c>
      <c r="M105" s="415">
        <v>16.45</v>
      </c>
      <c r="N105" s="463" t="s">
        <v>458</v>
      </c>
      <c r="O105" s="463" t="s">
        <v>1124</v>
      </c>
      <c r="P105" s="411"/>
      <c r="Q105" s="411"/>
      <c r="R105" s="411"/>
      <c r="S105" s="412"/>
      <c r="T105" s="411" t="s">
        <v>114</v>
      </c>
      <c r="U105" s="458">
        <v>0.13639999999999999</v>
      </c>
      <c r="V105" s="459">
        <f t="shared" ref="V105:V113" si="12">M105*8760*U105</f>
        <v>19655.5128</v>
      </c>
      <c r="W105" s="414" t="s">
        <v>214</v>
      </c>
      <c r="X105" s="412" t="s">
        <v>460</v>
      </c>
      <c r="Y105" s="414" t="s">
        <v>70</v>
      </c>
      <c r="Z105" s="412">
        <v>2</v>
      </c>
      <c r="AA105" t="str">
        <f>VLOOKUP(Y105,Source!F:F,1,FALSE)</f>
        <v>UMass Amherst</v>
      </c>
    </row>
    <row r="106" spans="1:27" s="132" customFormat="1" x14ac:dyDescent="0.25">
      <c r="A106" s="112" t="str">
        <f>Y106&amp;Z106</f>
        <v>UMass Amherst3</v>
      </c>
      <c r="B106" s="84" t="s">
        <v>265</v>
      </c>
      <c r="C106" s="105" t="s">
        <v>740</v>
      </c>
      <c r="D106" s="107"/>
      <c r="E106" s="105" t="s">
        <v>741</v>
      </c>
      <c r="F106" s="88">
        <v>336</v>
      </c>
      <c r="G106" s="86" t="s">
        <v>457</v>
      </c>
      <c r="H106" s="98" t="s">
        <v>129</v>
      </c>
      <c r="I106" s="148" t="s">
        <v>270</v>
      </c>
      <c r="J106" s="91">
        <v>1003</v>
      </c>
      <c r="K106" s="92">
        <v>42419</v>
      </c>
      <c r="L106" s="52">
        <v>2016</v>
      </c>
      <c r="M106" s="88">
        <v>336</v>
      </c>
      <c r="N106" s="101" t="s">
        <v>458</v>
      </c>
      <c r="O106" s="101" t="s">
        <v>1124</v>
      </c>
      <c r="P106" s="112"/>
      <c r="Q106" s="112"/>
      <c r="R106" s="112"/>
      <c r="S106" s="84"/>
      <c r="T106" s="112" t="s">
        <v>114</v>
      </c>
      <c r="U106" s="422">
        <v>0.13639999999999999</v>
      </c>
      <c r="V106" s="114">
        <f t="shared" si="12"/>
        <v>401474.304</v>
      </c>
      <c r="W106" s="105"/>
      <c r="X106" s="84"/>
      <c r="Y106" s="105" t="s">
        <v>70</v>
      </c>
      <c r="Z106" s="84">
        <v>3</v>
      </c>
      <c r="AA106" s="132" t="str">
        <f>VLOOKUP(Y106,Source!F:F,1,FALSE)</f>
        <v>UMass Amherst</v>
      </c>
    </row>
    <row r="107" spans="1:27" x14ac:dyDescent="0.25">
      <c r="A107" s="464" t="str">
        <f t="shared" si="11"/>
        <v>UMass Boston1</v>
      </c>
      <c r="B107" s="465" t="s">
        <v>265</v>
      </c>
      <c r="C107" s="464" t="s">
        <v>738</v>
      </c>
      <c r="D107" s="466" t="s">
        <v>461</v>
      </c>
      <c r="E107" s="467" t="s">
        <v>462</v>
      </c>
      <c r="F107" s="468">
        <v>73.92</v>
      </c>
      <c r="G107" s="469" t="s">
        <v>463</v>
      </c>
      <c r="H107" s="469" t="s">
        <v>119</v>
      </c>
      <c r="I107" s="469" t="s">
        <v>270</v>
      </c>
      <c r="J107" s="470">
        <v>2125</v>
      </c>
      <c r="K107" s="471">
        <v>40828</v>
      </c>
      <c r="L107" s="472">
        <v>2012</v>
      </c>
      <c r="M107" s="468">
        <v>73.92</v>
      </c>
      <c r="N107" s="473" t="s">
        <v>458</v>
      </c>
      <c r="O107" s="473" t="s">
        <v>1124</v>
      </c>
      <c r="P107" s="464"/>
      <c r="Q107" s="464"/>
      <c r="R107" s="464"/>
      <c r="S107" s="464"/>
      <c r="T107" s="464" t="s">
        <v>114</v>
      </c>
      <c r="U107" s="474">
        <v>0.13639999999999999</v>
      </c>
      <c r="V107" s="475">
        <f t="shared" si="12"/>
        <v>88324.346880000012</v>
      </c>
      <c r="W107" s="464"/>
      <c r="X107" s="464"/>
      <c r="Y107" s="467" t="s">
        <v>71</v>
      </c>
      <c r="Z107" s="465">
        <v>1</v>
      </c>
      <c r="AA107" t="str">
        <f>VLOOKUP(Y107,Source!F:F,1,FALSE)</f>
        <v>UMass Boston</v>
      </c>
    </row>
    <row r="108" spans="1:27" x14ac:dyDescent="0.25">
      <c r="A108" s="47" t="str">
        <f t="shared" si="11"/>
        <v>UMass Dartmouth1</v>
      </c>
      <c r="B108" s="27" t="s">
        <v>265</v>
      </c>
      <c r="C108" s="112" t="s">
        <v>738</v>
      </c>
      <c r="D108" s="39" t="s">
        <v>464</v>
      </c>
      <c r="E108" s="28" t="s">
        <v>465</v>
      </c>
      <c r="F108" s="29">
        <v>92.4</v>
      </c>
      <c r="G108" s="30" t="s">
        <v>466</v>
      </c>
      <c r="H108" s="30" t="s">
        <v>177</v>
      </c>
      <c r="I108" s="31" t="s">
        <v>270</v>
      </c>
      <c r="J108" s="32">
        <v>2747</v>
      </c>
      <c r="K108" s="33">
        <v>40708</v>
      </c>
      <c r="L108" s="52">
        <v>2011</v>
      </c>
      <c r="M108" s="29">
        <v>92.4</v>
      </c>
      <c r="N108" s="35" t="s">
        <v>458</v>
      </c>
      <c r="O108" s="101" t="s">
        <v>1124</v>
      </c>
      <c r="P108" s="47"/>
      <c r="Q108" s="47"/>
      <c r="R108" s="47"/>
      <c r="S108" s="47"/>
      <c r="T108" s="47" t="s">
        <v>114</v>
      </c>
      <c r="U108" s="422">
        <v>0.13639999999999999</v>
      </c>
      <c r="V108" s="48">
        <f t="shared" si="12"/>
        <v>110405.43359999999</v>
      </c>
      <c r="W108" s="47"/>
      <c r="X108" s="47"/>
      <c r="Y108" s="28" t="s">
        <v>72</v>
      </c>
      <c r="Z108" s="27">
        <v>1</v>
      </c>
      <c r="AA108" t="str">
        <f>VLOOKUP(Y108,Source!F:F,1,FALSE)</f>
        <v>UMass Dartmouth</v>
      </c>
    </row>
    <row r="109" spans="1:27" x14ac:dyDescent="0.25">
      <c r="A109" s="47" t="str">
        <f t="shared" si="11"/>
        <v>UMass Dartmouth2</v>
      </c>
      <c r="B109" s="27" t="s">
        <v>265</v>
      </c>
      <c r="C109" s="112" t="s">
        <v>738</v>
      </c>
      <c r="D109" s="39" t="s">
        <v>467</v>
      </c>
      <c r="E109" s="28" t="s">
        <v>468</v>
      </c>
      <c r="F109" s="29">
        <v>44.1</v>
      </c>
      <c r="G109" s="30" t="s">
        <v>466</v>
      </c>
      <c r="H109" s="30" t="s">
        <v>177</v>
      </c>
      <c r="I109" s="31" t="s">
        <v>270</v>
      </c>
      <c r="J109" s="32">
        <v>2747</v>
      </c>
      <c r="K109" s="33">
        <v>40708</v>
      </c>
      <c r="L109" s="52">
        <v>2011</v>
      </c>
      <c r="M109" s="29">
        <v>44.1</v>
      </c>
      <c r="N109" s="35" t="s">
        <v>458</v>
      </c>
      <c r="O109" s="101" t="s">
        <v>1124</v>
      </c>
      <c r="P109" s="47"/>
      <c r="Q109" s="47"/>
      <c r="R109" s="47"/>
      <c r="S109" s="47"/>
      <c r="T109" s="47" t="s">
        <v>114</v>
      </c>
      <c r="U109" s="422">
        <v>0.13639999999999999</v>
      </c>
      <c r="V109" s="48">
        <f t="shared" si="12"/>
        <v>52693.502399999998</v>
      </c>
      <c r="W109" s="47"/>
      <c r="X109" s="47"/>
      <c r="Y109" s="28" t="s">
        <v>72</v>
      </c>
      <c r="Z109" s="27">
        <v>2</v>
      </c>
      <c r="AA109" t="str">
        <f>VLOOKUP(Y109,Source!F:F,1,FALSE)</f>
        <v>UMass Dartmouth</v>
      </c>
    </row>
    <row r="110" spans="1:27" x14ac:dyDescent="0.25">
      <c r="A110" s="47" t="str">
        <f t="shared" si="11"/>
        <v>UMass Dartmouth3</v>
      </c>
      <c r="B110" s="27" t="s">
        <v>265</v>
      </c>
      <c r="C110" s="112" t="s">
        <v>738</v>
      </c>
      <c r="D110" s="39" t="s">
        <v>469</v>
      </c>
      <c r="E110" s="87" t="s">
        <v>470</v>
      </c>
      <c r="F110" s="29">
        <v>44.1</v>
      </c>
      <c r="G110" s="30" t="s">
        <v>466</v>
      </c>
      <c r="H110" s="89" t="s">
        <v>177</v>
      </c>
      <c r="I110" s="31" t="s">
        <v>270</v>
      </c>
      <c r="J110" s="32">
        <v>2747</v>
      </c>
      <c r="K110" s="33">
        <v>40708</v>
      </c>
      <c r="L110" s="52">
        <v>2011</v>
      </c>
      <c r="M110" s="29">
        <v>44.1</v>
      </c>
      <c r="N110" s="35" t="s">
        <v>458</v>
      </c>
      <c r="O110" s="101" t="s">
        <v>1124</v>
      </c>
      <c r="P110" s="47"/>
      <c r="Q110" s="47"/>
      <c r="R110" s="47"/>
      <c r="S110" s="112"/>
      <c r="T110" s="47" t="s">
        <v>114</v>
      </c>
      <c r="U110" s="422">
        <v>0.13639999999999999</v>
      </c>
      <c r="V110" s="48">
        <f t="shared" si="12"/>
        <v>52693.502399999998</v>
      </c>
      <c r="W110" s="112"/>
      <c r="X110" s="47"/>
      <c r="Y110" s="28" t="s">
        <v>72</v>
      </c>
      <c r="Z110" s="27">
        <v>3</v>
      </c>
      <c r="AA110" t="str">
        <f>VLOOKUP(Y110,Source!F:F,1,FALSE)</f>
        <v>UMass Dartmouth</v>
      </c>
    </row>
    <row r="111" spans="1:27" x14ac:dyDescent="0.25">
      <c r="A111" s="47" t="str">
        <f t="shared" si="11"/>
        <v>UMass Dartmouth4</v>
      </c>
      <c r="B111" s="27" t="s">
        <v>265</v>
      </c>
      <c r="C111" s="112" t="s">
        <v>738</v>
      </c>
      <c r="D111" s="39" t="s">
        <v>471</v>
      </c>
      <c r="E111" s="87" t="s">
        <v>472</v>
      </c>
      <c r="F111" s="29">
        <v>44.1</v>
      </c>
      <c r="G111" s="30" t="s">
        <v>466</v>
      </c>
      <c r="H111" s="89" t="s">
        <v>177</v>
      </c>
      <c r="I111" s="31" t="s">
        <v>270</v>
      </c>
      <c r="J111" s="32">
        <v>2747</v>
      </c>
      <c r="K111" s="33">
        <v>40708</v>
      </c>
      <c r="L111" s="52">
        <v>2011</v>
      </c>
      <c r="M111" s="29">
        <v>44.1</v>
      </c>
      <c r="N111" s="35" t="s">
        <v>458</v>
      </c>
      <c r="O111" s="101" t="s">
        <v>1124</v>
      </c>
      <c r="P111" s="112"/>
      <c r="Q111" s="112"/>
      <c r="R111" s="47"/>
      <c r="S111" s="47"/>
      <c r="T111" s="47" t="s">
        <v>114</v>
      </c>
      <c r="U111" s="422">
        <v>0.13639999999999999</v>
      </c>
      <c r="V111" s="114">
        <f t="shared" si="12"/>
        <v>52693.502399999998</v>
      </c>
      <c r="W111" s="112"/>
      <c r="X111" s="47"/>
      <c r="Y111" s="28" t="s">
        <v>72</v>
      </c>
      <c r="Z111" s="27">
        <v>4</v>
      </c>
      <c r="AA111" t="str">
        <f>VLOOKUP(Y111,Source!F:F,1,FALSE)</f>
        <v>UMass Dartmouth</v>
      </c>
    </row>
    <row r="112" spans="1:27" x14ac:dyDescent="0.25">
      <c r="A112" s="47" t="str">
        <f t="shared" si="11"/>
        <v>UMass Dartmouth5</v>
      </c>
      <c r="B112" s="27" t="s">
        <v>265</v>
      </c>
      <c r="C112" s="112" t="s">
        <v>738</v>
      </c>
      <c r="D112" s="39" t="s">
        <v>473</v>
      </c>
      <c r="E112" s="28" t="s">
        <v>474</v>
      </c>
      <c r="F112" s="29">
        <v>44.1</v>
      </c>
      <c r="G112" s="30" t="s">
        <v>466</v>
      </c>
      <c r="H112" s="30" t="s">
        <v>177</v>
      </c>
      <c r="I112" s="90" t="s">
        <v>270</v>
      </c>
      <c r="J112" s="32">
        <v>2747</v>
      </c>
      <c r="K112" s="33">
        <v>40708</v>
      </c>
      <c r="L112" s="52">
        <v>2011</v>
      </c>
      <c r="M112" s="29">
        <v>44.1</v>
      </c>
      <c r="N112" s="35" t="s">
        <v>458</v>
      </c>
      <c r="O112" s="101" t="s">
        <v>1124</v>
      </c>
      <c r="P112" s="47"/>
      <c r="Q112" s="47"/>
      <c r="R112" s="47"/>
      <c r="S112" s="47"/>
      <c r="T112" s="47" t="s">
        <v>114</v>
      </c>
      <c r="U112" s="422">
        <v>0.13639999999999999</v>
      </c>
      <c r="V112" s="48">
        <f t="shared" si="12"/>
        <v>52693.502399999998</v>
      </c>
      <c r="W112" s="47"/>
      <c r="X112" s="47"/>
      <c r="Y112" s="28" t="s">
        <v>72</v>
      </c>
      <c r="Z112" s="27">
        <v>5</v>
      </c>
      <c r="AA112" t="str">
        <f>VLOOKUP(Y112,Source!F:F,1,FALSE)</f>
        <v>UMass Dartmouth</v>
      </c>
    </row>
    <row r="113" spans="1:27" x14ac:dyDescent="0.25">
      <c r="A113" s="47" t="str">
        <f t="shared" si="11"/>
        <v>UMass Dartmouth6</v>
      </c>
      <c r="B113" s="27" t="s">
        <v>265</v>
      </c>
      <c r="C113" s="97" t="s">
        <v>23</v>
      </c>
      <c r="D113" s="39" t="s">
        <v>475</v>
      </c>
      <c r="E113" s="97" t="s">
        <v>72</v>
      </c>
      <c r="F113" s="29">
        <v>600</v>
      </c>
      <c r="G113" s="30" t="s">
        <v>466</v>
      </c>
      <c r="H113" s="97" t="s">
        <v>177</v>
      </c>
      <c r="I113" s="90" t="s">
        <v>270</v>
      </c>
      <c r="J113" s="32">
        <v>2747</v>
      </c>
      <c r="K113" s="33">
        <v>41334</v>
      </c>
      <c r="L113" s="34">
        <v>2013</v>
      </c>
      <c r="M113" s="29">
        <v>600</v>
      </c>
      <c r="N113" s="35" t="s">
        <v>458</v>
      </c>
      <c r="O113" s="101" t="s">
        <v>1124</v>
      </c>
      <c r="P113" s="47"/>
      <c r="Q113" s="47"/>
      <c r="R113" s="47"/>
      <c r="S113" s="84"/>
      <c r="T113" s="47" t="s">
        <v>114</v>
      </c>
      <c r="U113" s="110">
        <v>0.26</v>
      </c>
      <c r="V113" s="48">
        <f t="shared" si="12"/>
        <v>1366560</v>
      </c>
      <c r="W113" s="97" t="s">
        <v>178</v>
      </c>
      <c r="X113" s="47"/>
      <c r="Y113" s="28" t="s">
        <v>72</v>
      </c>
      <c r="Z113" s="27">
        <v>6</v>
      </c>
      <c r="AA113" t="str">
        <f>VLOOKUP(Y113,Source!F:F,1,FALSE)</f>
        <v>UMass Dartmouth</v>
      </c>
    </row>
    <row r="114" spans="1:27" x14ac:dyDescent="0.25">
      <c r="A114" s="47" t="str">
        <f t="shared" si="11"/>
        <v>UMass Dartmouth7</v>
      </c>
      <c r="B114" s="27" t="s">
        <v>282</v>
      </c>
      <c r="C114" s="105" t="s">
        <v>203</v>
      </c>
      <c r="D114" s="39" t="s">
        <v>476</v>
      </c>
      <c r="E114" s="97" t="s">
        <v>72</v>
      </c>
      <c r="F114" s="29">
        <v>1600</v>
      </c>
      <c r="G114" s="30" t="s">
        <v>466</v>
      </c>
      <c r="H114" s="97" t="s">
        <v>177</v>
      </c>
      <c r="I114" s="90" t="s">
        <v>270</v>
      </c>
      <c r="J114" s="32">
        <v>2747</v>
      </c>
      <c r="K114" s="33">
        <v>41426</v>
      </c>
      <c r="L114" s="34">
        <v>2013</v>
      </c>
      <c r="M114" s="29">
        <v>1600</v>
      </c>
      <c r="N114" s="35" t="s">
        <v>458</v>
      </c>
      <c r="O114" s="101" t="s">
        <v>1124</v>
      </c>
      <c r="P114" s="110"/>
      <c r="Q114" s="111"/>
      <c r="R114" s="47"/>
      <c r="S114" s="47"/>
      <c r="T114" s="47" t="s">
        <v>114</v>
      </c>
      <c r="U114" s="112"/>
      <c r="V114" s="112"/>
      <c r="W114" s="97" t="s">
        <v>72</v>
      </c>
      <c r="X114" s="47"/>
      <c r="Y114" s="28" t="s">
        <v>72</v>
      </c>
      <c r="Z114" s="27">
        <v>7</v>
      </c>
      <c r="AA114" t="str">
        <f>VLOOKUP(Y114,Source!F:F,1,FALSE)</f>
        <v>UMass Dartmouth</v>
      </c>
    </row>
    <row r="115" spans="1:27" x14ac:dyDescent="0.25">
      <c r="A115" s="47" t="str">
        <f t="shared" si="11"/>
        <v>UMass Lowell1</v>
      </c>
      <c r="B115" s="27" t="s">
        <v>265</v>
      </c>
      <c r="C115" s="112" t="s">
        <v>738</v>
      </c>
      <c r="D115" s="39" t="s">
        <v>477</v>
      </c>
      <c r="E115" s="28" t="s">
        <v>478</v>
      </c>
      <c r="F115" s="29">
        <v>46.2</v>
      </c>
      <c r="G115" s="30" t="s">
        <v>479</v>
      </c>
      <c r="H115" s="30" t="s">
        <v>179</v>
      </c>
      <c r="I115" s="30" t="s">
        <v>270</v>
      </c>
      <c r="J115" s="32">
        <v>1854</v>
      </c>
      <c r="K115" s="33">
        <v>40777</v>
      </c>
      <c r="L115" s="34">
        <v>2012</v>
      </c>
      <c r="M115" s="29">
        <v>46.2</v>
      </c>
      <c r="N115" s="35" t="s">
        <v>458</v>
      </c>
      <c r="O115" s="101" t="s">
        <v>1124</v>
      </c>
      <c r="P115" s="47"/>
      <c r="Q115" s="47"/>
      <c r="R115" s="47"/>
      <c r="S115" s="47"/>
      <c r="T115" s="47" t="s">
        <v>114</v>
      </c>
      <c r="U115" s="422">
        <v>0.13639999999999999</v>
      </c>
      <c r="V115" s="48">
        <f>M115*8760*U115</f>
        <v>55202.716799999995</v>
      </c>
      <c r="W115" s="47"/>
      <c r="X115" s="47"/>
      <c r="Y115" s="28" t="s">
        <v>73</v>
      </c>
      <c r="Z115" s="27">
        <v>1</v>
      </c>
      <c r="AA115" t="str">
        <f>VLOOKUP(Y115,Source!F:F,1,FALSE)</f>
        <v>UMass Lowell</v>
      </c>
    </row>
    <row r="116" spans="1:27" x14ac:dyDescent="0.25">
      <c r="A116" s="47" t="str">
        <f t="shared" si="11"/>
        <v>UMass Lowell2</v>
      </c>
      <c r="B116" s="27" t="s">
        <v>265</v>
      </c>
      <c r="C116" s="112" t="s">
        <v>738</v>
      </c>
      <c r="D116" s="39" t="s">
        <v>480</v>
      </c>
      <c r="E116" s="87" t="s">
        <v>481</v>
      </c>
      <c r="F116" s="29">
        <v>70.56</v>
      </c>
      <c r="G116" s="30" t="s">
        <v>479</v>
      </c>
      <c r="H116" s="89" t="s">
        <v>179</v>
      </c>
      <c r="I116" s="89" t="s">
        <v>270</v>
      </c>
      <c r="J116" s="32">
        <v>1854</v>
      </c>
      <c r="K116" s="33">
        <v>40777</v>
      </c>
      <c r="L116" s="34">
        <v>2012</v>
      </c>
      <c r="M116" s="29">
        <v>70.56</v>
      </c>
      <c r="N116" s="35" t="s">
        <v>458</v>
      </c>
      <c r="O116" s="101" t="s">
        <v>1124</v>
      </c>
      <c r="P116" s="112"/>
      <c r="Q116" s="112"/>
      <c r="R116" s="47"/>
      <c r="S116" s="47"/>
      <c r="T116" s="47" t="s">
        <v>114</v>
      </c>
      <c r="U116" s="422">
        <v>0.13639999999999999</v>
      </c>
      <c r="V116" s="114">
        <f>M116*8760*U116</f>
        <v>84309.603839999996</v>
      </c>
      <c r="W116" s="112"/>
      <c r="X116" s="47"/>
      <c r="Y116" s="28" t="s">
        <v>73</v>
      </c>
      <c r="Z116" s="27">
        <v>2</v>
      </c>
      <c r="AA116" t="str">
        <f>VLOOKUP(Y116,Source!F:F,1,FALSE)</f>
        <v>UMass Lowell</v>
      </c>
    </row>
    <row r="117" spans="1:27" x14ac:dyDescent="0.25">
      <c r="A117" s="47" t="str">
        <f t="shared" si="11"/>
        <v>UMass Lowell3</v>
      </c>
      <c r="B117" s="27" t="s">
        <v>265</v>
      </c>
      <c r="C117" s="112" t="s">
        <v>738</v>
      </c>
      <c r="D117" s="39" t="s">
        <v>482</v>
      </c>
      <c r="E117" s="87" t="s">
        <v>483</v>
      </c>
      <c r="F117" s="29">
        <v>83.16</v>
      </c>
      <c r="G117" s="30" t="s">
        <v>479</v>
      </c>
      <c r="H117" s="89" t="s">
        <v>179</v>
      </c>
      <c r="I117" s="89" t="s">
        <v>270</v>
      </c>
      <c r="J117" s="32">
        <v>1854</v>
      </c>
      <c r="K117" s="33">
        <v>40743</v>
      </c>
      <c r="L117" s="34">
        <v>2012</v>
      </c>
      <c r="M117" s="29">
        <v>83.16</v>
      </c>
      <c r="N117" s="35" t="s">
        <v>458</v>
      </c>
      <c r="O117" s="101" t="s">
        <v>1124</v>
      </c>
      <c r="P117" s="112"/>
      <c r="Q117" s="112"/>
      <c r="R117" s="47"/>
      <c r="S117" s="47"/>
      <c r="T117" s="47" t="s">
        <v>114</v>
      </c>
      <c r="U117" s="422">
        <v>0.13639999999999999</v>
      </c>
      <c r="V117" s="114">
        <f>M117*8760*U117</f>
        <v>99364.890239999993</v>
      </c>
      <c r="W117" s="112"/>
      <c r="X117" s="47"/>
      <c r="Y117" s="28" t="s">
        <v>73</v>
      </c>
      <c r="Z117" s="27">
        <v>3</v>
      </c>
      <c r="AA117" t="str">
        <f>VLOOKUP(Y117,Source!F:F,1,FALSE)</f>
        <v>UMass Lowell</v>
      </c>
    </row>
    <row r="118" spans="1:27" x14ac:dyDescent="0.25">
      <c r="A118" s="47" t="str">
        <f t="shared" si="11"/>
        <v>UMass Lowell4</v>
      </c>
      <c r="B118" s="27" t="s">
        <v>265</v>
      </c>
      <c r="C118" s="112" t="s">
        <v>738</v>
      </c>
      <c r="D118" s="39" t="s">
        <v>484</v>
      </c>
      <c r="E118" s="28" t="s">
        <v>485</v>
      </c>
      <c r="F118" s="29">
        <v>46.2</v>
      </c>
      <c r="G118" s="30" t="s">
        <v>479</v>
      </c>
      <c r="H118" s="30" t="s">
        <v>179</v>
      </c>
      <c r="I118" s="89" t="s">
        <v>270</v>
      </c>
      <c r="J118" s="32">
        <v>1854</v>
      </c>
      <c r="K118" s="33">
        <v>40777</v>
      </c>
      <c r="L118" s="34">
        <v>2012</v>
      </c>
      <c r="M118" s="29">
        <v>46.2</v>
      </c>
      <c r="N118" s="101" t="s">
        <v>458</v>
      </c>
      <c r="O118" s="101" t="s">
        <v>1124</v>
      </c>
      <c r="P118" s="47"/>
      <c r="Q118" s="47"/>
      <c r="R118" s="47"/>
      <c r="S118" s="47"/>
      <c r="T118" s="47" t="s">
        <v>114</v>
      </c>
      <c r="U118" s="422">
        <v>0.13639999999999999</v>
      </c>
      <c r="V118" s="48">
        <f>M118*8760*U118</f>
        <v>55202.716799999995</v>
      </c>
      <c r="W118" s="47"/>
      <c r="X118" s="47"/>
      <c r="Y118" s="28" t="s">
        <v>73</v>
      </c>
      <c r="Z118" s="27">
        <v>4</v>
      </c>
      <c r="AA118" t="str">
        <f>VLOOKUP(Y118,Source!F:F,1,FALSE)</f>
        <v>UMass Lowell</v>
      </c>
    </row>
    <row r="119" spans="1:27" x14ac:dyDescent="0.25">
      <c r="A119" s="47" t="str">
        <f t="shared" si="11"/>
        <v>UMass Lowell5</v>
      </c>
      <c r="B119" s="27" t="s">
        <v>265</v>
      </c>
      <c r="C119" s="105" t="s">
        <v>740</v>
      </c>
      <c r="D119" s="86"/>
      <c r="E119" s="28" t="s">
        <v>624</v>
      </c>
      <c r="F119" s="29">
        <v>200</v>
      </c>
      <c r="G119" s="30" t="s">
        <v>479</v>
      </c>
      <c r="H119" s="30" t="s">
        <v>179</v>
      </c>
      <c r="I119" s="89" t="s">
        <v>270</v>
      </c>
      <c r="J119" s="32">
        <v>1854</v>
      </c>
      <c r="K119" s="33"/>
      <c r="L119" s="99">
        <v>2017</v>
      </c>
      <c r="M119" s="29">
        <v>200</v>
      </c>
      <c r="N119" s="85"/>
      <c r="O119" s="101" t="s">
        <v>1124</v>
      </c>
      <c r="P119" s="85"/>
      <c r="Q119" s="85"/>
      <c r="R119" s="85"/>
      <c r="S119" s="85"/>
      <c r="T119" s="85"/>
      <c r="U119" s="85"/>
      <c r="V119" s="85"/>
      <c r="W119" s="85"/>
      <c r="X119" s="85"/>
      <c r="Y119" s="28" t="s">
        <v>73</v>
      </c>
      <c r="Z119" s="27">
        <v>5</v>
      </c>
      <c r="AA119" s="83" t="str">
        <f>VLOOKUP(Y119,Source!F:F,1,FALSE)</f>
        <v>UMass Lowell</v>
      </c>
    </row>
    <row r="120" spans="1:27" x14ac:dyDescent="0.25">
      <c r="A120" s="47" t="str">
        <f t="shared" si="11"/>
        <v>UMass Medical1</v>
      </c>
      <c r="B120" s="27" t="s">
        <v>282</v>
      </c>
      <c r="C120" s="10" t="s">
        <v>203</v>
      </c>
      <c r="D120" s="39" t="s">
        <v>486</v>
      </c>
      <c r="E120" s="105" t="s">
        <v>202</v>
      </c>
      <c r="F120" s="29">
        <v>7500</v>
      </c>
      <c r="G120" s="89" t="s">
        <v>487</v>
      </c>
      <c r="H120" s="10" t="s">
        <v>181</v>
      </c>
      <c r="I120" s="31" t="s">
        <v>270</v>
      </c>
      <c r="J120" s="32">
        <v>1655</v>
      </c>
      <c r="K120" s="33">
        <v>41091</v>
      </c>
      <c r="L120" s="34">
        <v>2012</v>
      </c>
      <c r="M120" s="29">
        <v>7500</v>
      </c>
      <c r="N120" s="101" t="s">
        <v>458</v>
      </c>
      <c r="O120" s="101" t="s">
        <v>1124</v>
      </c>
      <c r="P120" s="40"/>
      <c r="Q120" s="43"/>
      <c r="R120" s="47"/>
      <c r="S120" s="47"/>
      <c r="T120" s="47" t="s">
        <v>114</v>
      </c>
      <c r="U120" s="47"/>
      <c r="V120" s="47"/>
      <c r="W120" s="10" t="s">
        <v>202</v>
      </c>
      <c r="X120" s="47"/>
      <c r="Y120" s="28" t="s">
        <v>74</v>
      </c>
      <c r="Z120" s="27">
        <v>1</v>
      </c>
      <c r="AA120" t="str">
        <f>VLOOKUP(Y120,Source!F:F,1,FALSE)</f>
        <v>UMass Medical</v>
      </c>
    </row>
    <row r="121" spans="1:27" x14ac:dyDescent="0.25">
      <c r="A121" s="47" t="str">
        <f t="shared" si="11"/>
        <v>UMass Medical2</v>
      </c>
      <c r="B121" s="27" t="s">
        <v>282</v>
      </c>
      <c r="C121" s="97" t="s">
        <v>203</v>
      </c>
      <c r="D121" s="39" t="s">
        <v>486</v>
      </c>
      <c r="E121" s="105" t="s">
        <v>202</v>
      </c>
      <c r="F121" s="29">
        <v>10000</v>
      </c>
      <c r="G121" s="89" t="s">
        <v>487</v>
      </c>
      <c r="H121" s="97" t="s">
        <v>181</v>
      </c>
      <c r="I121" s="31" t="s">
        <v>270</v>
      </c>
      <c r="J121" s="32">
        <v>1655</v>
      </c>
      <c r="K121" s="33">
        <v>41091</v>
      </c>
      <c r="L121" s="34">
        <v>1974</v>
      </c>
      <c r="M121" s="29">
        <v>10000</v>
      </c>
      <c r="N121" s="101" t="s">
        <v>458</v>
      </c>
      <c r="O121" s="101" t="s">
        <v>1124</v>
      </c>
      <c r="P121" s="110"/>
      <c r="Q121" s="111"/>
      <c r="R121" s="47"/>
      <c r="S121" s="47"/>
      <c r="T121" s="47" t="s">
        <v>114</v>
      </c>
      <c r="U121" s="112"/>
      <c r="V121" s="112"/>
      <c r="W121" s="97" t="s">
        <v>202</v>
      </c>
      <c r="X121" s="47"/>
      <c r="Y121" s="28" t="s">
        <v>74</v>
      </c>
      <c r="Z121" s="27">
        <v>2</v>
      </c>
      <c r="AA121" t="str">
        <f>VLOOKUP(Y121,Source!F:F,1,FALSE)</f>
        <v>UMass Medical</v>
      </c>
    </row>
    <row r="122" spans="1:27" x14ac:dyDescent="0.25">
      <c r="A122" s="47" t="str">
        <f t="shared" si="11"/>
        <v>Westfield State University1</v>
      </c>
      <c r="B122" s="27" t="s">
        <v>265</v>
      </c>
      <c r="C122" s="112" t="s">
        <v>738</v>
      </c>
      <c r="D122" s="39" t="s">
        <v>488</v>
      </c>
      <c r="E122" s="87" t="s">
        <v>489</v>
      </c>
      <c r="F122" s="29">
        <v>37.799999999999997</v>
      </c>
      <c r="G122" s="89" t="s">
        <v>490</v>
      </c>
      <c r="H122" s="89" t="s">
        <v>180</v>
      </c>
      <c r="I122" s="90" t="s">
        <v>270</v>
      </c>
      <c r="J122" s="32">
        <v>1086</v>
      </c>
      <c r="K122" s="33">
        <v>40646</v>
      </c>
      <c r="L122" s="34">
        <v>2012</v>
      </c>
      <c r="M122" s="29">
        <v>37.799999999999997</v>
      </c>
      <c r="N122" s="38" t="s">
        <v>271</v>
      </c>
      <c r="O122" s="105" t="s">
        <v>1124</v>
      </c>
      <c r="P122" s="47"/>
      <c r="Q122" s="47"/>
      <c r="R122" s="47"/>
      <c r="S122" s="112"/>
      <c r="T122" s="47" t="s">
        <v>114</v>
      </c>
      <c r="U122" s="422">
        <v>0.13639999999999999</v>
      </c>
      <c r="V122" s="48">
        <f>M122*8760*U122</f>
        <v>45165.859199999999</v>
      </c>
      <c r="W122" s="112"/>
      <c r="X122" s="112"/>
      <c r="Y122" s="28" t="s">
        <v>75</v>
      </c>
      <c r="Z122" s="27">
        <v>1</v>
      </c>
      <c r="AA122" t="str">
        <f>VLOOKUP(Y122,Source!F:F,1,FALSE)</f>
        <v>Westfield State University</v>
      </c>
    </row>
    <row r="123" spans="1:27" x14ac:dyDescent="0.25">
      <c r="A123" s="47" t="str">
        <f t="shared" si="11"/>
        <v>Westfield State University2</v>
      </c>
      <c r="B123" s="27" t="s">
        <v>265</v>
      </c>
      <c r="C123" s="112" t="s">
        <v>738</v>
      </c>
      <c r="D123" s="39" t="s">
        <v>491</v>
      </c>
      <c r="E123" s="87" t="s">
        <v>492</v>
      </c>
      <c r="F123" s="29">
        <v>73.92</v>
      </c>
      <c r="G123" s="89" t="s">
        <v>490</v>
      </c>
      <c r="H123" s="89" t="s">
        <v>180</v>
      </c>
      <c r="I123" s="90" t="s">
        <v>270</v>
      </c>
      <c r="J123" s="32">
        <v>1086</v>
      </c>
      <c r="K123" s="92">
        <v>40646</v>
      </c>
      <c r="L123" s="93">
        <v>2012</v>
      </c>
      <c r="M123" s="29">
        <v>73.92</v>
      </c>
      <c r="N123" s="38" t="s">
        <v>271</v>
      </c>
      <c r="O123" s="105" t="s">
        <v>1124</v>
      </c>
      <c r="P123" s="47"/>
      <c r="Q123" s="47"/>
      <c r="R123" s="47"/>
      <c r="S123" s="112"/>
      <c r="T123" s="47" t="s">
        <v>114</v>
      </c>
      <c r="U123" s="422">
        <v>0.13639999999999999</v>
      </c>
      <c r="V123" s="48">
        <f>M123*8760*U123</f>
        <v>88324.346880000012</v>
      </c>
      <c r="W123" s="112"/>
      <c r="X123" s="112"/>
      <c r="Y123" s="87" t="s">
        <v>75</v>
      </c>
      <c r="Z123" s="27">
        <v>2</v>
      </c>
      <c r="AA123" t="str">
        <f>VLOOKUP(Y123,Source!F:F,1,FALSE)</f>
        <v>Westfield State University</v>
      </c>
    </row>
    <row r="124" spans="1:27" x14ac:dyDescent="0.25">
      <c r="A124" s="82" t="str">
        <f t="shared" si="11"/>
        <v>Worcester State University1</v>
      </c>
      <c r="B124" s="68" t="s">
        <v>282</v>
      </c>
      <c r="C124" s="75" t="s">
        <v>203</v>
      </c>
      <c r="D124" s="107" t="s">
        <v>493</v>
      </c>
      <c r="E124" s="97" t="s">
        <v>1245</v>
      </c>
      <c r="F124" s="88">
        <v>60</v>
      </c>
      <c r="G124" s="107" t="s">
        <v>494</v>
      </c>
      <c r="H124" s="97" t="s">
        <v>181</v>
      </c>
      <c r="I124" s="71" t="s">
        <v>270</v>
      </c>
      <c r="J124" s="72">
        <v>1602</v>
      </c>
      <c r="K124" s="73">
        <v>40396</v>
      </c>
      <c r="L124" s="74">
        <v>2011</v>
      </c>
      <c r="M124" s="70">
        <v>60</v>
      </c>
      <c r="N124" s="105" t="s">
        <v>271</v>
      </c>
      <c r="O124" s="105" t="s">
        <v>1124</v>
      </c>
      <c r="P124" s="110"/>
      <c r="Q124" s="111"/>
      <c r="R124" s="112"/>
      <c r="S124" s="112"/>
      <c r="T124" s="112" t="s">
        <v>114</v>
      </c>
      <c r="U124" s="112"/>
      <c r="V124" s="112"/>
      <c r="W124" s="97" t="s">
        <v>76</v>
      </c>
      <c r="X124" s="112"/>
      <c r="Y124" s="69" t="s">
        <v>76</v>
      </c>
      <c r="Z124" s="84">
        <v>1</v>
      </c>
      <c r="AA124" s="67" t="str">
        <f>VLOOKUP(Y124,Source!F:F,1,FALSE)</f>
        <v>Worcester State University</v>
      </c>
    </row>
    <row r="125" spans="1:27" x14ac:dyDescent="0.25">
      <c r="A125" s="82" t="str">
        <f t="shared" si="11"/>
        <v>Worcester State University2</v>
      </c>
      <c r="B125" s="76" t="s">
        <v>265</v>
      </c>
      <c r="C125" s="112" t="s">
        <v>738</v>
      </c>
      <c r="D125" s="107" t="s">
        <v>495</v>
      </c>
      <c r="E125" s="87" t="s">
        <v>1243</v>
      </c>
      <c r="F125" s="88">
        <v>40.768000000000001</v>
      </c>
      <c r="G125" s="107" t="s">
        <v>494</v>
      </c>
      <c r="H125" s="89" t="s">
        <v>181</v>
      </c>
      <c r="I125" s="78" t="s">
        <v>270</v>
      </c>
      <c r="J125" s="91">
        <v>1602</v>
      </c>
      <c r="K125" s="92">
        <v>40820</v>
      </c>
      <c r="L125" s="93">
        <v>2012</v>
      </c>
      <c r="M125" s="88">
        <v>40.768000000000001</v>
      </c>
      <c r="N125" s="62" t="s">
        <v>271</v>
      </c>
      <c r="O125" s="62" t="s">
        <v>1197</v>
      </c>
      <c r="P125" s="64"/>
      <c r="Q125" s="64"/>
      <c r="R125" s="64"/>
      <c r="S125" s="64"/>
      <c r="T125" s="64" t="s">
        <v>114</v>
      </c>
      <c r="U125" s="422">
        <v>0.13639999999999999</v>
      </c>
      <c r="V125" s="66">
        <f>M125*8760*U125</f>
        <v>48712.215551999994</v>
      </c>
      <c r="W125" s="64"/>
      <c r="X125" s="64"/>
      <c r="Y125" s="77" t="s">
        <v>76</v>
      </c>
      <c r="Z125" s="76">
        <v>2</v>
      </c>
      <c r="AA125" t="str">
        <f>VLOOKUP(Y125,Source!F:F,1,FALSE)</f>
        <v>Worcester State University</v>
      </c>
    </row>
    <row r="126" spans="1:27" x14ac:dyDescent="0.25">
      <c r="A126" s="411" t="str">
        <f t="shared" si="11"/>
        <v>Worcester State University3</v>
      </c>
      <c r="B126" s="412" t="s">
        <v>265</v>
      </c>
      <c r="C126" s="411" t="s">
        <v>738</v>
      </c>
      <c r="D126" s="413" t="s">
        <v>496</v>
      </c>
      <c r="E126" s="414" t="s">
        <v>1244</v>
      </c>
      <c r="F126" s="415">
        <v>105.4</v>
      </c>
      <c r="G126" s="413" t="s">
        <v>494</v>
      </c>
      <c r="H126" s="416" t="s">
        <v>181</v>
      </c>
      <c r="I126" s="411" t="s">
        <v>270</v>
      </c>
      <c r="J126" s="417">
        <v>1602</v>
      </c>
      <c r="K126" s="418">
        <v>40544</v>
      </c>
      <c r="L126" s="419">
        <v>2009</v>
      </c>
      <c r="M126" s="415">
        <v>105.4</v>
      </c>
      <c r="N126" s="62" t="s">
        <v>271</v>
      </c>
      <c r="O126" s="62" t="s">
        <v>1124</v>
      </c>
      <c r="P126" s="64"/>
      <c r="Q126" s="64"/>
      <c r="R126" s="64"/>
      <c r="S126" s="65"/>
      <c r="T126" s="64" t="s">
        <v>114</v>
      </c>
      <c r="U126" s="422">
        <v>0.13639999999999999</v>
      </c>
      <c r="V126" s="66">
        <f>M126*8760*U126</f>
        <v>125938.66559999999</v>
      </c>
      <c r="W126" s="63" t="s">
        <v>76</v>
      </c>
      <c r="X126" s="65"/>
      <c r="Y126" s="420" t="s">
        <v>76</v>
      </c>
      <c r="Z126" s="412">
        <v>3</v>
      </c>
      <c r="AA126" s="81" t="str">
        <f>VLOOKUP(Y126,Source!F:F,1,FALSE)</f>
        <v>Worcester State University</v>
      </c>
    </row>
    <row r="127" spans="1:27" x14ac:dyDescent="0.25">
      <c r="A127" s="112" t="str">
        <f t="shared" si="11"/>
        <v>MassDOT - Highway &amp; Turnpike Divisions7</v>
      </c>
      <c r="B127" s="84" t="s">
        <v>265</v>
      </c>
      <c r="C127" s="112" t="s">
        <v>739</v>
      </c>
      <c r="D127" s="148"/>
      <c r="E127" s="113" t="s">
        <v>1198</v>
      </c>
      <c r="F127" s="88">
        <v>649</v>
      </c>
      <c r="G127" s="148"/>
      <c r="H127" s="148" t="s">
        <v>1199</v>
      </c>
      <c r="I127" s="148" t="s">
        <v>270</v>
      </c>
      <c r="J127" s="91">
        <v>2166</v>
      </c>
      <c r="K127" s="92">
        <v>42650</v>
      </c>
      <c r="L127" s="100">
        <v>2016</v>
      </c>
      <c r="M127" s="88">
        <v>649</v>
      </c>
      <c r="N127" s="148" t="s">
        <v>396</v>
      </c>
      <c r="O127" s="148" t="s">
        <v>1197</v>
      </c>
      <c r="P127" s="148" t="s">
        <v>1200</v>
      </c>
      <c r="Q127" s="148"/>
      <c r="R127" s="148"/>
      <c r="S127" s="148"/>
      <c r="T127" s="148" t="s">
        <v>114</v>
      </c>
      <c r="U127" s="422">
        <v>0.13639999999999999</v>
      </c>
      <c r="V127" s="421">
        <v>775467</v>
      </c>
      <c r="W127" s="59" t="s">
        <v>1201</v>
      </c>
      <c r="X127" s="148"/>
      <c r="Y127" s="59" t="s">
        <v>589</v>
      </c>
      <c r="Z127" s="84">
        <v>7</v>
      </c>
      <c r="AA127" s="147" t="str">
        <f>VLOOKUP(Y127,Source!F:F,1,FALSE)</f>
        <v>MassDOT - Highway &amp; Turnpike Divisions</v>
      </c>
    </row>
    <row r="128" spans="1:27" x14ac:dyDescent="0.25">
      <c r="A128" s="112" t="str">
        <f t="shared" si="11"/>
        <v>MassDOT - Highway &amp; Turnpike Divisions8</v>
      </c>
      <c r="B128" s="84" t="s">
        <v>265</v>
      </c>
      <c r="C128" s="112" t="s">
        <v>739</v>
      </c>
      <c r="D128" s="148"/>
      <c r="E128" s="113" t="s">
        <v>1202</v>
      </c>
      <c r="F128" s="88">
        <v>649</v>
      </c>
      <c r="G128" s="148" t="s">
        <v>1203</v>
      </c>
      <c r="H128" s="148" t="s">
        <v>1204</v>
      </c>
      <c r="I128" s="148" t="s">
        <v>270</v>
      </c>
      <c r="J128" s="148"/>
      <c r="K128" s="92">
        <v>42668</v>
      </c>
      <c r="L128" s="100">
        <v>2016</v>
      </c>
      <c r="M128" s="88">
        <v>649</v>
      </c>
      <c r="N128" s="148" t="s">
        <v>396</v>
      </c>
      <c r="O128" s="148" t="s">
        <v>1197</v>
      </c>
      <c r="P128" s="148" t="s">
        <v>1200</v>
      </c>
      <c r="Q128" s="148"/>
      <c r="R128" s="148"/>
      <c r="S128" s="148"/>
      <c r="T128" s="148" t="s">
        <v>114</v>
      </c>
      <c r="U128" s="422">
        <v>0.13639999999999999</v>
      </c>
      <c r="V128" s="421">
        <v>775467</v>
      </c>
      <c r="W128" s="59" t="s">
        <v>1201</v>
      </c>
      <c r="X128" s="148"/>
      <c r="Y128" s="59" t="s">
        <v>589</v>
      </c>
      <c r="Z128" s="84">
        <v>8</v>
      </c>
      <c r="AA128" s="147" t="str">
        <f>VLOOKUP(Y128,Source!F:F,1,FALSE)</f>
        <v>MassDOT - Highway &amp; Turnpike Divisions</v>
      </c>
    </row>
    <row r="129" spans="1:27" x14ac:dyDescent="0.25">
      <c r="A129" s="112" t="str">
        <f t="shared" si="11"/>
        <v>MassDOT - Highway &amp; Turnpike Divisions9</v>
      </c>
      <c r="B129" s="84" t="s">
        <v>265</v>
      </c>
      <c r="C129" s="112" t="s">
        <v>739</v>
      </c>
      <c r="D129" s="148"/>
      <c r="E129" s="113" t="s">
        <v>1205</v>
      </c>
      <c r="F129" s="88">
        <v>490</v>
      </c>
      <c r="G129" s="148"/>
      <c r="H129" s="148" t="s">
        <v>835</v>
      </c>
      <c r="I129" s="148" t="s">
        <v>270</v>
      </c>
      <c r="J129" s="148"/>
      <c r="K129" s="92">
        <v>42795</v>
      </c>
      <c r="L129" s="100">
        <v>2017</v>
      </c>
      <c r="M129" s="88">
        <v>490</v>
      </c>
      <c r="N129" s="148" t="s">
        <v>396</v>
      </c>
      <c r="O129" s="148" t="s">
        <v>1197</v>
      </c>
      <c r="P129" s="148" t="s">
        <v>1206</v>
      </c>
      <c r="Q129" s="148"/>
      <c r="R129" s="148"/>
      <c r="S129" s="148"/>
      <c r="T129" s="148" t="s">
        <v>114</v>
      </c>
      <c r="U129" s="422">
        <v>0.13639999999999999</v>
      </c>
      <c r="V129" s="421">
        <v>585483</v>
      </c>
      <c r="W129" s="148" t="s">
        <v>1207</v>
      </c>
      <c r="X129" s="148"/>
      <c r="Y129" s="59" t="s">
        <v>589</v>
      </c>
      <c r="Z129" s="84">
        <v>9</v>
      </c>
      <c r="AA129" s="147" t="str">
        <f>VLOOKUP(Y129,Source!F:F,1,FALSE)</f>
        <v>MassDOT - Highway &amp; Turnpike Divisions</v>
      </c>
    </row>
    <row r="130" spans="1:27" x14ac:dyDescent="0.25">
      <c r="A130" s="112" t="str">
        <f t="shared" si="11"/>
        <v>MassDOT - Highway &amp; Turnpike Divisions10</v>
      </c>
      <c r="B130" s="84" t="s">
        <v>265</v>
      </c>
      <c r="C130" s="112" t="s">
        <v>739</v>
      </c>
      <c r="D130" s="148"/>
      <c r="E130" s="113" t="s">
        <v>1208</v>
      </c>
      <c r="F130" s="88">
        <v>50</v>
      </c>
      <c r="G130" s="148"/>
      <c r="H130" s="148" t="s">
        <v>835</v>
      </c>
      <c r="I130" s="148" t="s">
        <v>270</v>
      </c>
      <c r="J130" s="148"/>
      <c r="K130" s="92">
        <v>42795</v>
      </c>
      <c r="L130" s="100">
        <v>2017</v>
      </c>
      <c r="M130" s="88">
        <v>50</v>
      </c>
      <c r="N130" s="148" t="s">
        <v>396</v>
      </c>
      <c r="O130" s="148" t="s">
        <v>1197</v>
      </c>
      <c r="P130" s="148" t="s">
        <v>1209</v>
      </c>
      <c r="Q130" s="148"/>
      <c r="R130" s="148"/>
      <c r="S130" s="148"/>
      <c r="T130" s="148" t="s">
        <v>114</v>
      </c>
      <c r="U130" s="422">
        <v>0.13639999999999999</v>
      </c>
      <c r="V130" s="421">
        <v>59743</v>
      </c>
      <c r="W130" s="148" t="s">
        <v>1207</v>
      </c>
      <c r="X130" s="148"/>
      <c r="Y130" s="59" t="s">
        <v>589</v>
      </c>
      <c r="Z130" s="84">
        <v>10</v>
      </c>
      <c r="AA130" s="147" t="str">
        <f>VLOOKUP(Y130,Source!F:F,1,FALSE)</f>
        <v>MassDOT - Highway &amp; Turnpike Divisions</v>
      </c>
    </row>
    <row r="131" spans="1:27" x14ac:dyDescent="0.25">
      <c r="A131" s="112" t="str">
        <f t="shared" si="11"/>
        <v>Salem State University3</v>
      </c>
      <c r="B131" s="84" t="s">
        <v>265</v>
      </c>
      <c r="C131" s="112" t="s">
        <v>738</v>
      </c>
      <c r="E131" t="s">
        <v>1216</v>
      </c>
      <c r="F131" s="41">
        <v>178</v>
      </c>
      <c r="G131" t="s">
        <v>1211</v>
      </c>
      <c r="H131" t="s">
        <v>176</v>
      </c>
      <c r="I131" t="s">
        <v>270</v>
      </c>
      <c r="J131" s="91">
        <v>1970</v>
      </c>
      <c r="L131" s="42">
        <v>2019</v>
      </c>
      <c r="M131" s="41">
        <v>178</v>
      </c>
      <c r="N131" s="105" t="s">
        <v>271</v>
      </c>
      <c r="O131" s="147" t="s">
        <v>1197</v>
      </c>
      <c r="R131" t="s">
        <v>1218</v>
      </c>
      <c r="T131" t="s">
        <v>1217</v>
      </c>
      <c r="U131" s="422">
        <v>0.13639999999999999</v>
      </c>
      <c r="V131" s="114">
        <f t="shared" ref="V131:V140" si="13">M131*8760*U131</f>
        <v>212685.79199999999</v>
      </c>
      <c r="Y131" s="108" t="s">
        <v>68</v>
      </c>
      <c r="Z131">
        <v>3</v>
      </c>
      <c r="AA131" s="147" t="str">
        <f>VLOOKUP(Y131,Source!F:F,1,FALSE)</f>
        <v>Salem State University</v>
      </c>
    </row>
    <row r="132" spans="1:27" x14ac:dyDescent="0.25">
      <c r="A132" s="112" t="str">
        <f t="shared" si="11"/>
        <v>Salem State University4</v>
      </c>
      <c r="B132" s="84" t="s">
        <v>265</v>
      </c>
      <c r="C132" s="112" t="s">
        <v>738</v>
      </c>
      <c r="E132" t="s">
        <v>1212</v>
      </c>
      <c r="F132" s="41">
        <v>107</v>
      </c>
      <c r="G132" t="s">
        <v>1213</v>
      </c>
      <c r="H132" t="s">
        <v>176</v>
      </c>
      <c r="I132" t="s">
        <v>270</v>
      </c>
      <c r="J132" s="91">
        <v>1970</v>
      </c>
      <c r="L132" s="42">
        <v>2019</v>
      </c>
      <c r="M132" s="41">
        <v>107</v>
      </c>
      <c r="N132" s="105" t="s">
        <v>271</v>
      </c>
      <c r="O132" s="147" t="s">
        <v>1197</v>
      </c>
      <c r="R132" t="s">
        <v>1219</v>
      </c>
      <c r="T132" t="s">
        <v>1217</v>
      </c>
      <c r="U132" s="422">
        <v>0.13639999999999999</v>
      </c>
      <c r="V132" s="114">
        <f t="shared" si="13"/>
        <v>127850.44799999999</v>
      </c>
      <c r="Y132" s="108" t="s">
        <v>68</v>
      </c>
      <c r="Z132">
        <v>4</v>
      </c>
      <c r="AA132" s="147" t="str">
        <f>VLOOKUP(Y132,Source!F:F,1,FALSE)</f>
        <v>Salem State University</v>
      </c>
    </row>
    <row r="133" spans="1:27" x14ac:dyDescent="0.25">
      <c r="A133" s="411" t="str">
        <f t="shared" si="11"/>
        <v>Salem State University5</v>
      </c>
      <c r="B133" s="412" t="s">
        <v>265</v>
      </c>
      <c r="C133" s="411" t="s">
        <v>738</v>
      </c>
      <c r="E133" t="s">
        <v>1214</v>
      </c>
      <c r="F133" s="41">
        <v>102</v>
      </c>
      <c r="G133" t="s">
        <v>1215</v>
      </c>
      <c r="H133" t="s">
        <v>176</v>
      </c>
      <c r="I133" t="s">
        <v>270</v>
      </c>
      <c r="J133" s="417">
        <v>1970</v>
      </c>
      <c r="L133" s="42">
        <v>2019</v>
      </c>
      <c r="M133" s="41">
        <v>102</v>
      </c>
      <c r="N133" s="414" t="s">
        <v>271</v>
      </c>
      <c r="O133" s="147" t="s">
        <v>1197</v>
      </c>
      <c r="R133" t="s">
        <v>1220</v>
      </c>
      <c r="T133" t="s">
        <v>1217</v>
      </c>
      <c r="U133" s="458">
        <v>0.13639999999999999</v>
      </c>
      <c r="V133" s="459">
        <f t="shared" si="13"/>
        <v>121876.128</v>
      </c>
      <c r="Y133" s="460" t="s">
        <v>68</v>
      </c>
      <c r="Z133">
        <v>5</v>
      </c>
      <c r="AA133" s="147" t="str">
        <f>VLOOKUP(Y133,Source!F:F,1,FALSE)</f>
        <v>Salem State University</v>
      </c>
    </row>
    <row r="134" spans="1:27" x14ac:dyDescent="0.25">
      <c r="A134" s="112" t="str">
        <f t="shared" si="11"/>
        <v>UMass Amherst4</v>
      </c>
      <c r="B134" s="84" t="s">
        <v>265</v>
      </c>
      <c r="C134" s="105" t="s">
        <v>740</v>
      </c>
      <c r="D134" s="148"/>
      <c r="E134" s="105" t="s">
        <v>1235</v>
      </c>
      <c r="F134" s="113">
        <v>1918.44</v>
      </c>
      <c r="G134" s="86" t="s">
        <v>457</v>
      </c>
      <c r="H134" s="98" t="s">
        <v>129</v>
      </c>
      <c r="I134" s="148" t="s">
        <v>270</v>
      </c>
      <c r="J134" s="91">
        <v>1003</v>
      </c>
      <c r="K134" s="476">
        <v>42718</v>
      </c>
      <c r="L134" s="100">
        <v>2017</v>
      </c>
      <c r="M134" s="113">
        <v>1918.44</v>
      </c>
      <c r="N134" s="101" t="s">
        <v>458</v>
      </c>
      <c r="O134" s="148" t="s">
        <v>1197</v>
      </c>
      <c r="P134" s="148"/>
      <c r="Q134" s="148"/>
      <c r="R134" s="148"/>
      <c r="S134" s="148"/>
      <c r="T134" s="112" t="s">
        <v>114</v>
      </c>
      <c r="U134" s="422">
        <v>0.13639999999999999</v>
      </c>
      <c r="V134" s="114">
        <f t="shared" si="13"/>
        <v>2292274.8921600003</v>
      </c>
      <c r="W134" s="148"/>
      <c r="X134" s="148"/>
      <c r="Y134" s="105" t="s">
        <v>70</v>
      </c>
      <c r="Z134" s="84">
        <v>4</v>
      </c>
      <c r="AA134" s="147" t="str">
        <f>VLOOKUP(Y134,Source!F:F,1,FALSE)</f>
        <v>UMass Amherst</v>
      </c>
    </row>
    <row r="135" spans="1:27" x14ac:dyDescent="0.25">
      <c r="A135" s="112" t="str">
        <f t="shared" si="11"/>
        <v>UMass Amherst5</v>
      </c>
      <c r="B135" s="84" t="s">
        <v>265</v>
      </c>
      <c r="C135" s="105" t="s">
        <v>740</v>
      </c>
      <c r="D135" s="148"/>
      <c r="E135" s="105" t="s">
        <v>1241</v>
      </c>
      <c r="F135" s="113">
        <v>2568.87</v>
      </c>
      <c r="G135" s="86" t="s">
        <v>457</v>
      </c>
      <c r="H135" s="98" t="s">
        <v>129</v>
      </c>
      <c r="I135" s="148" t="s">
        <v>270</v>
      </c>
      <c r="J135" s="91">
        <v>1003</v>
      </c>
      <c r="K135" s="476">
        <v>42726</v>
      </c>
      <c r="L135" s="100">
        <v>2017</v>
      </c>
      <c r="M135" s="113">
        <v>2568.87</v>
      </c>
      <c r="N135" s="101" t="s">
        <v>458</v>
      </c>
      <c r="O135" s="101" t="s">
        <v>1197</v>
      </c>
      <c r="P135" s="148"/>
      <c r="Q135" s="148"/>
      <c r="R135" s="148"/>
      <c r="S135" s="148"/>
      <c r="T135" s="112" t="s">
        <v>114</v>
      </c>
      <c r="U135" s="422">
        <v>0.13639999999999999</v>
      </c>
      <c r="V135" s="114">
        <f t="shared" si="13"/>
        <v>3069450.2836799999</v>
      </c>
      <c r="W135" s="148"/>
      <c r="X135" s="148"/>
      <c r="Y135" s="105" t="s">
        <v>70</v>
      </c>
      <c r="Z135" s="84">
        <v>5</v>
      </c>
      <c r="AA135" s="147" t="str">
        <f>VLOOKUP(Y135,Source!F:F,1,FALSE)</f>
        <v>UMass Amherst</v>
      </c>
    </row>
    <row r="136" spans="1:27" x14ac:dyDescent="0.25">
      <c r="A136" s="112" t="str">
        <f t="shared" si="11"/>
        <v>UMass Amherst6</v>
      </c>
      <c r="B136" s="84" t="s">
        <v>265</v>
      </c>
      <c r="C136" s="105" t="s">
        <v>739</v>
      </c>
      <c r="D136" s="148"/>
      <c r="E136" s="148" t="s">
        <v>1236</v>
      </c>
      <c r="F136" s="113">
        <v>249.8</v>
      </c>
      <c r="G136" s="86" t="s">
        <v>457</v>
      </c>
      <c r="H136" s="98" t="s">
        <v>129</v>
      </c>
      <c r="I136" s="148" t="s">
        <v>270</v>
      </c>
      <c r="J136" s="91">
        <v>1003</v>
      </c>
      <c r="K136" s="476">
        <v>42642</v>
      </c>
      <c r="L136" s="100">
        <v>2017</v>
      </c>
      <c r="M136" s="113">
        <v>249.8</v>
      </c>
      <c r="N136" s="101" t="s">
        <v>458</v>
      </c>
      <c r="O136" s="101" t="s">
        <v>1197</v>
      </c>
      <c r="P136" s="148"/>
      <c r="Q136" s="148"/>
      <c r="R136" s="148"/>
      <c r="S136" s="148"/>
      <c r="T136" s="112" t="s">
        <v>114</v>
      </c>
      <c r="U136" s="422">
        <v>0.13639999999999999</v>
      </c>
      <c r="V136" s="114">
        <f t="shared" si="13"/>
        <v>298477.02720000001</v>
      </c>
      <c r="W136" s="148"/>
      <c r="X136" s="148"/>
      <c r="Y136" s="105" t="s">
        <v>70</v>
      </c>
      <c r="Z136" s="84">
        <v>6</v>
      </c>
      <c r="AA136" s="147" t="str">
        <f>VLOOKUP(Y136,Source!F:F,1,FALSE)</f>
        <v>UMass Amherst</v>
      </c>
    </row>
    <row r="137" spans="1:27" x14ac:dyDescent="0.25">
      <c r="A137" s="112" t="str">
        <f t="shared" si="11"/>
        <v>UMass Amherst7</v>
      </c>
      <c r="B137" s="84" t="s">
        <v>265</v>
      </c>
      <c r="C137" s="105" t="s">
        <v>739</v>
      </c>
      <c r="D137" s="148"/>
      <c r="E137" s="148" t="s">
        <v>1237</v>
      </c>
      <c r="F137" s="113">
        <v>154.66999999999999</v>
      </c>
      <c r="G137" s="86" t="s">
        <v>457</v>
      </c>
      <c r="H137" s="98" t="s">
        <v>129</v>
      </c>
      <c r="I137" s="148" t="s">
        <v>270</v>
      </c>
      <c r="J137" s="91">
        <v>1003</v>
      </c>
      <c r="K137" s="476">
        <v>42641</v>
      </c>
      <c r="L137" s="100">
        <v>2017</v>
      </c>
      <c r="M137" s="113">
        <v>154.66999999999999</v>
      </c>
      <c r="N137" s="101" t="s">
        <v>458</v>
      </c>
      <c r="O137" s="101" t="s">
        <v>1197</v>
      </c>
      <c r="P137" s="148"/>
      <c r="Q137" s="148"/>
      <c r="R137" s="148"/>
      <c r="S137" s="148"/>
      <c r="T137" s="112" t="s">
        <v>114</v>
      </c>
      <c r="U137" s="422">
        <v>0.13639999999999999</v>
      </c>
      <c r="V137" s="114">
        <f t="shared" si="13"/>
        <v>184809.61487999998</v>
      </c>
      <c r="W137" s="148"/>
      <c r="X137" s="148"/>
      <c r="Y137" s="105" t="s">
        <v>70</v>
      </c>
      <c r="Z137" s="84">
        <v>7</v>
      </c>
      <c r="AA137" s="147" t="str">
        <f>VLOOKUP(Y137,Source!F:F,1,FALSE)</f>
        <v>UMass Amherst</v>
      </c>
    </row>
    <row r="138" spans="1:27" x14ac:dyDescent="0.25">
      <c r="A138" s="112" t="str">
        <f t="shared" si="11"/>
        <v>UMass Amherst8</v>
      </c>
      <c r="B138" s="84" t="s">
        <v>265</v>
      </c>
      <c r="C138" s="105" t="s">
        <v>739</v>
      </c>
      <c r="D138" s="148"/>
      <c r="E138" s="148" t="s">
        <v>1238</v>
      </c>
      <c r="F138" s="113">
        <v>155.62</v>
      </c>
      <c r="G138" s="86" t="s">
        <v>457</v>
      </c>
      <c r="H138" s="98" t="s">
        <v>129</v>
      </c>
      <c r="I138" s="148" t="s">
        <v>270</v>
      </c>
      <c r="J138" s="91">
        <v>1003</v>
      </c>
      <c r="K138" s="476">
        <v>42718</v>
      </c>
      <c r="L138" s="100">
        <v>2017</v>
      </c>
      <c r="M138" s="113">
        <v>155.62</v>
      </c>
      <c r="N138" s="101" t="s">
        <v>458</v>
      </c>
      <c r="O138" s="101" t="s">
        <v>1197</v>
      </c>
      <c r="P138" s="148"/>
      <c r="Q138" s="148"/>
      <c r="R138" s="148"/>
      <c r="S138" s="148"/>
      <c r="T138" s="112" t="s">
        <v>114</v>
      </c>
      <c r="U138" s="422">
        <v>0.13639999999999999</v>
      </c>
      <c r="V138" s="114">
        <f t="shared" si="13"/>
        <v>185944.73567999998</v>
      </c>
      <c r="W138" s="148"/>
      <c r="X138" s="148"/>
      <c r="Y138" s="105" t="s">
        <v>70</v>
      </c>
      <c r="Z138" s="84">
        <v>8</v>
      </c>
      <c r="AA138" s="147" t="str">
        <f>VLOOKUP(Y138,Source!F:F,1,FALSE)</f>
        <v>UMass Amherst</v>
      </c>
    </row>
    <row r="139" spans="1:27" x14ac:dyDescent="0.25">
      <c r="A139" s="112" t="str">
        <f t="shared" si="11"/>
        <v>UMass Amherst9</v>
      </c>
      <c r="B139" s="84" t="s">
        <v>265</v>
      </c>
      <c r="C139" s="105" t="s">
        <v>739</v>
      </c>
      <c r="D139" s="148"/>
      <c r="E139" s="148" t="s">
        <v>1239</v>
      </c>
      <c r="F139" s="113">
        <v>30.87</v>
      </c>
      <c r="G139" s="86" t="s">
        <v>457</v>
      </c>
      <c r="H139" s="98" t="s">
        <v>129</v>
      </c>
      <c r="I139" s="148" t="s">
        <v>270</v>
      </c>
      <c r="J139" s="91">
        <v>1003</v>
      </c>
      <c r="K139" s="476">
        <v>42613</v>
      </c>
      <c r="L139" s="100">
        <v>2017</v>
      </c>
      <c r="M139" s="113">
        <v>30.87</v>
      </c>
      <c r="N139" s="101" t="s">
        <v>458</v>
      </c>
      <c r="O139" s="101" t="s">
        <v>1197</v>
      </c>
      <c r="P139" s="148"/>
      <c r="Q139" s="148"/>
      <c r="R139" s="148"/>
      <c r="S139" s="148"/>
      <c r="T139" s="112" t="s">
        <v>114</v>
      </c>
      <c r="U139" s="422">
        <v>0.13639999999999999</v>
      </c>
      <c r="V139" s="114">
        <f t="shared" si="13"/>
        <v>36885.451679999998</v>
      </c>
      <c r="W139" s="148"/>
      <c r="X139" s="148"/>
      <c r="Y139" s="105" t="s">
        <v>70</v>
      </c>
      <c r="Z139" s="84">
        <v>9</v>
      </c>
      <c r="AA139" s="147" t="str">
        <f>VLOOKUP(Y139,Source!F:F,1,FALSE)</f>
        <v>UMass Amherst</v>
      </c>
    </row>
    <row r="140" spans="1:27" x14ac:dyDescent="0.25">
      <c r="A140" s="112" t="str">
        <f t="shared" si="11"/>
        <v>UMass Amherst10</v>
      </c>
      <c r="B140" s="84" t="s">
        <v>265</v>
      </c>
      <c r="C140" s="105" t="s">
        <v>739</v>
      </c>
      <c r="D140" s="148"/>
      <c r="E140" s="148" t="s">
        <v>1240</v>
      </c>
      <c r="F140" s="113">
        <v>241.92</v>
      </c>
      <c r="G140" s="86" t="s">
        <v>457</v>
      </c>
      <c r="H140" s="98" t="s">
        <v>129</v>
      </c>
      <c r="I140" s="148" t="s">
        <v>270</v>
      </c>
      <c r="J140" s="91">
        <v>1003</v>
      </c>
      <c r="K140" s="476">
        <v>42648</v>
      </c>
      <c r="L140" s="100">
        <v>2017</v>
      </c>
      <c r="M140" s="113">
        <v>241.92</v>
      </c>
      <c r="N140" s="101" t="s">
        <v>458</v>
      </c>
      <c r="O140" s="101" t="s">
        <v>1197</v>
      </c>
      <c r="P140" s="148"/>
      <c r="Q140" s="148"/>
      <c r="R140" s="148"/>
      <c r="S140" s="148"/>
      <c r="T140" s="112" t="s">
        <v>114</v>
      </c>
      <c r="U140" s="422">
        <v>0.13639999999999999</v>
      </c>
      <c r="V140" s="114">
        <f t="shared" si="13"/>
        <v>289061.49887999997</v>
      </c>
      <c r="W140" s="148"/>
      <c r="X140" s="148"/>
      <c r="Y140" s="105" t="s">
        <v>70</v>
      </c>
      <c r="Z140" s="84">
        <v>10</v>
      </c>
      <c r="AA140" s="147" t="str">
        <f>VLOOKUP(Y140,Source!F:F,1,FALSE)</f>
        <v>UMass Amherst</v>
      </c>
    </row>
    <row r="141" spans="1:27" x14ac:dyDescent="0.25">
      <c r="A141" s="112" t="str">
        <f t="shared" si="11"/>
        <v>Bristol Comm. College5</v>
      </c>
      <c r="B141" s="84" t="s">
        <v>265</v>
      </c>
      <c r="C141" s="148" t="s">
        <v>1246</v>
      </c>
      <c r="D141" s="148"/>
      <c r="E141" s="87" t="s">
        <v>1248</v>
      </c>
      <c r="F141" s="113">
        <v>50</v>
      </c>
      <c r="G141" s="112" t="s">
        <v>284</v>
      </c>
      <c r="H141" s="97" t="s">
        <v>117</v>
      </c>
      <c r="I141" s="112" t="s">
        <v>270</v>
      </c>
      <c r="J141" s="91">
        <v>2720</v>
      </c>
      <c r="K141" s="92"/>
      <c r="L141" s="50">
        <v>2015</v>
      </c>
      <c r="M141" s="113">
        <v>50</v>
      </c>
      <c r="N141" s="105" t="s">
        <v>271</v>
      </c>
      <c r="O141" s="148" t="s">
        <v>1124</v>
      </c>
      <c r="P141" s="148"/>
      <c r="Q141" s="148"/>
      <c r="R141" s="148"/>
      <c r="S141" s="148"/>
      <c r="T141" s="148"/>
      <c r="U141" s="477">
        <v>0.13639999999999999</v>
      </c>
      <c r="V141" s="114">
        <f>M141*8760*U141</f>
        <v>59743.199999999997</v>
      </c>
      <c r="W141" s="148"/>
      <c r="X141" s="148"/>
      <c r="Y141" s="87" t="s">
        <v>577</v>
      </c>
      <c r="Z141" s="112">
        <v>5</v>
      </c>
      <c r="AA141" s="147" t="str">
        <f>VLOOKUP(Y141,Source!F:F,1,FALSE)</f>
        <v>Bristol Comm. College</v>
      </c>
    </row>
  </sheetData>
  <autoFilter ref="A1:AA141"/>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23"/>
  <sheetViews>
    <sheetView workbookViewId="0">
      <selection activeCell="C13" sqref="C13"/>
    </sheetView>
  </sheetViews>
  <sheetFormatPr defaultRowHeight="15" x14ac:dyDescent="0.25"/>
  <cols>
    <col min="1" max="1" width="28.7109375" style="9" customWidth="1"/>
    <col min="2" max="2" width="19" style="9" bestFit="1" customWidth="1"/>
    <col min="3" max="3" width="30.7109375" style="9" bestFit="1" customWidth="1"/>
    <col min="4" max="4" width="8" style="9" bestFit="1" customWidth="1"/>
    <col min="5" max="5" width="12" style="9" bestFit="1" customWidth="1"/>
    <col min="6" max="6" width="46.5703125" style="9" bestFit="1" customWidth="1"/>
    <col min="7" max="7" width="37.5703125" style="9" customWidth="1"/>
    <col min="8" max="8" width="15.5703125" style="9" bestFit="1" customWidth="1"/>
    <col min="9" max="9" width="15.5703125" style="673" customWidth="1"/>
    <col min="10" max="10" width="16.28515625" style="662" customWidth="1"/>
    <col min="11" max="11" width="16.5703125" style="9" bestFit="1" customWidth="1"/>
    <col min="12" max="12" width="12.5703125" style="9" bestFit="1" customWidth="1"/>
    <col min="13" max="13" width="13.140625" style="9" bestFit="1" customWidth="1"/>
    <col min="14" max="14" width="57.85546875" style="9" bestFit="1" customWidth="1"/>
    <col min="15" max="15" width="13.5703125" style="9" customWidth="1"/>
    <col min="16" max="16384" width="9.140625" style="9"/>
  </cols>
  <sheetData>
    <row r="1" spans="1:17" ht="90" x14ac:dyDescent="0.25">
      <c r="A1" s="641" t="str">
        <f>E1&amp;P1</f>
        <v>Agency#</v>
      </c>
      <c r="B1" s="641" t="s">
        <v>221</v>
      </c>
      <c r="C1" s="641" t="s">
        <v>104</v>
      </c>
      <c r="D1" s="641" t="s">
        <v>260</v>
      </c>
      <c r="E1" s="641" t="s">
        <v>80</v>
      </c>
      <c r="F1" s="641" t="s">
        <v>105</v>
      </c>
      <c r="G1" s="641" t="s">
        <v>106</v>
      </c>
      <c r="H1" s="641" t="s">
        <v>107</v>
      </c>
      <c r="I1" s="665" t="s">
        <v>21</v>
      </c>
      <c r="J1" s="649" t="s">
        <v>500</v>
      </c>
      <c r="K1" s="642" t="s">
        <v>108</v>
      </c>
      <c r="L1" s="641" t="s">
        <v>110</v>
      </c>
      <c r="M1" s="641" t="s">
        <v>111</v>
      </c>
      <c r="N1" s="641" t="s">
        <v>112</v>
      </c>
      <c r="O1" s="641" t="s">
        <v>264</v>
      </c>
      <c r="P1" s="641" t="s">
        <v>498</v>
      </c>
    </row>
    <row r="2" spans="1:17" x14ac:dyDescent="0.25">
      <c r="A2" s="646" t="str">
        <f>F2&amp;P2</f>
        <v>Bridgewater State University1</v>
      </c>
      <c r="B2" s="643" t="s">
        <v>497</v>
      </c>
      <c r="C2" s="645" t="s">
        <v>28</v>
      </c>
      <c r="D2" s="647" t="s">
        <v>271</v>
      </c>
      <c r="E2" s="644" t="s">
        <v>1285</v>
      </c>
      <c r="F2" s="644" t="s">
        <v>48</v>
      </c>
      <c r="G2" s="644" t="s">
        <v>1269</v>
      </c>
      <c r="H2" s="645" t="s">
        <v>115</v>
      </c>
      <c r="I2" s="666" t="s">
        <v>1298</v>
      </c>
      <c r="J2" s="640" t="s">
        <v>1298</v>
      </c>
      <c r="K2" s="650"/>
      <c r="L2" s="651" t="s">
        <v>114</v>
      </c>
      <c r="M2" s="645"/>
      <c r="N2" s="645" t="s">
        <v>1280</v>
      </c>
      <c r="O2" s="643"/>
      <c r="P2" s="643">
        <v>1</v>
      </c>
      <c r="Q2" s="648" t="str">
        <f>VLOOKUP(F2,Source!F:F,1,FALSE)</f>
        <v>Bridgewater State University</v>
      </c>
    </row>
    <row r="3" spans="1:17" x14ac:dyDescent="0.25">
      <c r="A3" s="646" t="str">
        <f t="shared" ref="A3:A23" si="0">F3&amp;P3</f>
        <v>Bristol Comm. College1</v>
      </c>
      <c r="B3" s="654" t="s">
        <v>497</v>
      </c>
      <c r="C3" s="655" t="s">
        <v>1286</v>
      </c>
      <c r="D3" s="655" t="s">
        <v>271</v>
      </c>
      <c r="E3" s="655" t="s">
        <v>1287</v>
      </c>
      <c r="F3" s="61" t="s">
        <v>577</v>
      </c>
      <c r="G3" s="656" t="s">
        <v>1270</v>
      </c>
      <c r="H3" s="655" t="s">
        <v>117</v>
      </c>
      <c r="I3" s="667" t="s">
        <v>1298</v>
      </c>
      <c r="J3" s="660" t="s">
        <v>1298</v>
      </c>
      <c r="K3" s="657"/>
      <c r="L3" s="658" t="s">
        <v>114</v>
      </c>
      <c r="M3" s="655">
        <v>2016</v>
      </c>
      <c r="N3" s="656"/>
      <c r="O3" s="655"/>
      <c r="P3" s="654">
        <v>1</v>
      </c>
      <c r="Q3" s="648" t="str">
        <f>VLOOKUP(F3,Source!F:F,1,FALSE)</f>
        <v>Bristol Comm. College</v>
      </c>
    </row>
    <row r="4" spans="1:17" s="648" customFormat="1" x14ac:dyDescent="0.25">
      <c r="A4" s="646" t="str">
        <f t="shared" si="0"/>
        <v>Bristol Comm. College2</v>
      </c>
      <c r="B4" s="654" t="s">
        <v>497</v>
      </c>
      <c r="C4" s="655" t="s">
        <v>1288</v>
      </c>
      <c r="D4" s="655" t="s">
        <v>271</v>
      </c>
      <c r="E4" s="655" t="s">
        <v>1287</v>
      </c>
      <c r="F4" s="61" t="s">
        <v>577</v>
      </c>
      <c r="G4" s="656" t="s">
        <v>1270</v>
      </c>
      <c r="H4" s="655" t="s">
        <v>117</v>
      </c>
      <c r="I4" s="667" t="s">
        <v>1298</v>
      </c>
      <c r="J4" s="660" t="s">
        <v>1298</v>
      </c>
      <c r="K4" s="657"/>
      <c r="L4" s="658" t="s">
        <v>114</v>
      </c>
      <c r="M4" s="655">
        <v>2016</v>
      </c>
      <c r="N4" s="656"/>
      <c r="O4" s="655"/>
      <c r="P4" s="654">
        <v>2</v>
      </c>
      <c r="Q4" s="648" t="str">
        <f>VLOOKUP(F4,Source!F:F,1,FALSE)</f>
        <v>Bristol Comm. College</v>
      </c>
    </row>
    <row r="5" spans="1:17" x14ac:dyDescent="0.25">
      <c r="A5" s="646" t="str">
        <f t="shared" si="0"/>
        <v>Bristol Comm. College3</v>
      </c>
      <c r="B5" s="655" t="s">
        <v>497</v>
      </c>
      <c r="C5" s="655" t="s">
        <v>28</v>
      </c>
      <c r="D5" s="655" t="s">
        <v>271</v>
      </c>
      <c r="E5" s="655" t="s">
        <v>1287</v>
      </c>
      <c r="F5" s="61" t="s">
        <v>577</v>
      </c>
      <c r="G5" s="655" t="s">
        <v>1271</v>
      </c>
      <c r="H5" s="655" t="s">
        <v>117</v>
      </c>
      <c r="I5" s="668">
        <v>181000</v>
      </c>
      <c r="J5" s="661" t="s">
        <v>501</v>
      </c>
      <c r="K5" s="655"/>
      <c r="L5" s="658" t="s">
        <v>114</v>
      </c>
      <c r="M5" s="655">
        <v>2016</v>
      </c>
      <c r="N5" s="655"/>
      <c r="O5" s="655"/>
      <c r="P5" s="654">
        <v>3</v>
      </c>
      <c r="Q5" s="648" t="str">
        <f>VLOOKUP(F5,Source!F:F,1,FALSE)</f>
        <v>Bristol Comm. College</v>
      </c>
    </row>
    <row r="6" spans="1:17" s="648" customFormat="1" x14ac:dyDescent="0.25">
      <c r="A6" s="646" t="str">
        <f t="shared" si="0"/>
        <v>Greenfield Comm. College1</v>
      </c>
      <c r="B6" s="655" t="s">
        <v>497</v>
      </c>
      <c r="C6" s="655" t="s">
        <v>1286</v>
      </c>
      <c r="D6" s="655" t="s">
        <v>271</v>
      </c>
      <c r="E6" s="655" t="s">
        <v>1306</v>
      </c>
      <c r="F6" s="1109" t="s">
        <v>1303</v>
      </c>
      <c r="G6" s="655" t="s">
        <v>1304</v>
      </c>
      <c r="H6" s="655" t="s">
        <v>152</v>
      </c>
      <c r="I6" s="668" t="s">
        <v>1305</v>
      </c>
      <c r="J6" s="661" t="s">
        <v>1298</v>
      </c>
      <c r="K6" s="655">
        <v>1133896</v>
      </c>
      <c r="L6" s="658" t="s">
        <v>114</v>
      </c>
      <c r="M6" s="655">
        <v>2009</v>
      </c>
      <c r="N6" s="655"/>
      <c r="O6" s="655"/>
      <c r="P6" s="654">
        <v>1</v>
      </c>
      <c r="Q6" s="648" t="str">
        <f>VLOOKUP(F6,Source!F:F,1,FALSE)</f>
        <v>Greenfield Comm. College</v>
      </c>
    </row>
    <row r="7" spans="1:17" x14ac:dyDescent="0.25">
      <c r="A7" s="646" t="str">
        <f t="shared" si="0"/>
        <v>Holyoke Comm. College1</v>
      </c>
      <c r="B7" s="654" t="s">
        <v>497</v>
      </c>
      <c r="C7" s="656" t="s">
        <v>28</v>
      </c>
      <c r="D7" s="656" t="s">
        <v>271</v>
      </c>
      <c r="E7" s="656" t="s">
        <v>1289</v>
      </c>
      <c r="F7" s="656" t="s">
        <v>59</v>
      </c>
      <c r="G7" s="656" t="s">
        <v>207</v>
      </c>
      <c r="H7" s="656" t="s">
        <v>208</v>
      </c>
      <c r="I7" s="667" t="s">
        <v>1298</v>
      </c>
      <c r="J7" s="660" t="s">
        <v>1298</v>
      </c>
      <c r="K7" s="657">
        <v>86978</v>
      </c>
      <c r="L7" s="658" t="s">
        <v>114</v>
      </c>
      <c r="M7" s="656"/>
      <c r="N7" s="656"/>
      <c r="O7" s="655"/>
      <c r="P7" s="655">
        <v>1</v>
      </c>
      <c r="Q7" s="648" t="str">
        <f>VLOOKUP(F7,Source!F:F,1,FALSE)</f>
        <v>Holyoke Comm. College</v>
      </c>
    </row>
    <row r="8" spans="1:17" x14ac:dyDescent="0.25">
      <c r="A8" s="646" t="str">
        <f t="shared" si="0"/>
        <v>Mass. Maritime Academy1</v>
      </c>
      <c r="B8" s="643" t="s">
        <v>497</v>
      </c>
      <c r="C8" s="646" t="s">
        <v>1286</v>
      </c>
      <c r="D8" s="644" t="s">
        <v>271</v>
      </c>
      <c r="E8" s="644" t="s">
        <v>1290</v>
      </c>
      <c r="F8" s="644" t="s">
        <v>585</v>
      </c>
      <c r="G8" s="644" t="s">
        <v>209</v>
      </c>
      <c r="H8" s="645" t="s">
        <v>161</v>
      </c>
      <c r="I8" s="669">
        <v>135</v>
      </c>
      <c r="J8" s="661" t="s">
        <v>1297</v>
      </c>
      <c r="K8" s="650"/>
      <c r="L8" s="651" t="s">
        <v>114</v>
      </c>
      <c r="M8" s="645">
        <v>2013</v>
      </c>
      <c r="N8" s="645"/>
      <c r="O8" s="646"/>
      <c r="P8" s="646">
        <v>1</v>
      </c>
      <c r="Q8" s="648" t="str">
        <f>VLOOKUP(F8,Source!F:F,1,FALSE)</f>
        <v>Mass. Maritime Academy</v>
      </c>
    </row>
    <row r="9" spans="1:17" x14ac:dyDescent="0.25">
      <c r="A9" s="646" t="str">
        <f t="shared" si="0"/>
        <v>Mass. Maritime Academy2</v>
      </c>
      <c r="B9" s="643" t="s">
        <v>497</v>
      </c>
      <c r="C9" s="645" t="s">
        <v>28</v>
      </c>
      <c r="D9" s="644" t="s">
        <v>271</v>
      </c>
      <c r="E9" s="644" t="s">
        <v>1290</v>
      </c>
      <c r="F9" s="645" t="s">
        <v>585</v>
      </c>
      <c r="G9" s="653" t="s">
        <v>1272</v>
      </c>
      <c r="H9" s="645" t="s">
        <v>161</v>
      </c>
      <c r="I9" s="666" t="s">
        <v>1298</v>
      </c>
      <c r="J9" s="640" t="s">
        <v>1298</v>
      </c>
      <c r="K9" s="650">
        <v>189200</v>
      </c>
      <c r="L9" s="651" t="s">
        <v>114</v>
      </c>
      <c r="M9" s="645">
        <v>2015</v>
      </c>
      <c r="N9" s="645"/>
      <c r="O9" s="646"/>
      <c r="P9" s="646">
        <v>2</v>
      </c>
      <c r="Q9" s="648" t="str">
        <f>VLOOKUP(F9,Source!F:F,1,FALSE)</f>
        <v>Mass. Maritime Academy</v>
      </c>
    </row>
    <row r="10" spans="1:17" x14ac:dyDescent="0.25">
      <c r="A10" s="646" t="str">
        <f t="shared" si="0"/>
        <v>Middlesex Comm. College1</v>
      </c>
      <c r="B10" s="643" t="s">
        <v>497</v>
      </c>
      <c r="C10" s="646" t="s">
        <v>1286</v>
      </c>
      <c r="D10" s="644" t="s">
        <v>271</v>
      </c>
      <c r="E10" s="644" t="s">
        <v>1291</v>
      </c>
      <c r="F10" s="644" t="s">
        <v>63</v>
      </c>
      <c r="G10" s="644" t="s">
        <v>157</v>
      </c>
      <c r="H10" s="644" t="s">
        <v>158</v>
      </c>
      <c r="I10" s="669" t="s">
        <v>1298</v>
      </c>
      <c r="J10" s="640" t="s">
        <v>1298</v>
      </c>
      <c r="K10" s="652">
        <v>324113</v>
      </c>
      <c r="L10" s="651" t="s">
        <v>114</v>
      </c>
      <c r="M10" s="645">
        <v>2013</v>
      </c>
      <c r="N10" s="645"/>
      <c r="O10" s="646"/>
      <c r="P10" s="646">
        <v>1</v>
      </c>
      <c r="Q10" s="648" t="str">
        <f>VLOOKUP(F10,Source!F:F,1,FALSE)</f>
        <v>Middlesex Comm. College</v>
      </c>
    </row>
    <row r="11" spans="1:17" x14ac:dyDescent="0.25">
      <c r="A11" s="646" t="str">
        <f t="shared" si="0"/>
        <v>Mount Wachusett Comm. College1</v>
      </c>
      <c r="B11" s="654" t="s">
        <v>497</v>
      </c>
      <c r="C11" s="656" t="s">
        <v>26</v>
      </c>
      <c r="D11" s="656" t="s">
        <v>271</v>
      </c>
      <c r="E11" s="656" t="s">
        <v>1292</v>
      </c>
      <c r="F11" s="656" t="s">
        <v>590</v>
      </c>
      <c r="G11" s="656" t="s">
        <v>212</v>
      </c>
      <c r="H11" s="656" t="s">
        <v>149</v>
      </c>
      <c r="I11" s="670">
        <v>75</v>
      </c>
      <c r="J11" s="662" t="s">
        <v>32</v>
      </c>
      <c r="K11" s="657"/>
      <c r="L11" s="659" t="s">
        <v>114</v>
      </c>
      <c r="M11" s="656">
        <v>2006</v>
      </c>
      <c r="N11" s="656"/>
      <c r="O11" s="655"/>
      <c r="P11" s="655">
        <v>1</v>
      </c>
      <c r="Q11" s="648" t="str">
        <f>VLOOKUP(F11,Source!F:F,1,FALSE)</f>
        <v>Mount Wachusett Comm. College</v>
      </c>
    </row>
    <row r="12" spans="1:17" x14ac:dyDescent="0.25">
      <c r="A12" s="646" t="str">
        <f t="shared" si="0"/>
        <v>North Shore Comm. College1</v>
      </c>
      <c r="B12" s="654" t="s">
        <v>497</v>
      </c>
      <c r="C12" s="655" t="s">
        <v>1286</v>
      </c>
      <c r="D12" s="656" t="s">
        <v>271</v>
      </c>
      <c r="E12" s="656" t="s">
        <v>1293</v>
      </c>
      <c r="F12" s="656" t="s">
        <v>591</v>
      </c>
      <c r="G12" s="656" t="s">
        <v>213</v>
      </c>
      <c r="H12" s="656" t="s">
        <v>175</v>
      </c>
      <c r="I12" s="667" t="s">
        <v>1298</v>
      </c>
      <c r="J12" s="660" t="s">
        <v>1298</v>
      </c>
      <c r="K12" s="657"/>
      <c r="L12" s="658" t="s">
        <v>114</v>
      </c>
      <c r="M12" s="656">
        <v>2011</v>
      </c>
      <c r="N12" s="656"/>
      <c r="O12" s="655"/>
      <c r="P12" s="655">
        <v>1</v>
      </c>
      <c r="Q12" s="648" t="str">
        <f>VLOOKUP(F12,Source!F:F,1,FALSE)</f>
        <v>North Shore Comm. College</v>
      </c>
    </row>
    <row r="13" spans="1:17" x14ac:dyDescent="0.25">
      <c r="A13" s="646" t="str">
        <f t="shared" si="0"/>
        <v>Quinsigamond Comm. College1</v>
      </c>
      <c r="B13" s="643" t="s">
        <v>497</v>
      </c>
      <c r="C13" s="645" t="s">
        <v>28</v>
      </c>
      <c r="D13" s="644" t="s">
        <v>271</v>
      </c>
      <c r="E13" s="644" t="s">
        <v>1294</v>
      </c>
      <c r="F13" s="645" t="s">
        <v>66</v>
      </c>
      <c r="G13" s="645" t="s">
        <v>200</v>
      </c>
      <c r="H13" s="645" t="s">
        <v>181</v>
      </c>
      <c r="I13" s="666" t="s">
        <v>1298</v>
      </c>
      <c r="J13" s="640" t="s">
        <v>1298</v>
      </c>
      <c r="K13" s="650">
        <v>52000</v>
      </c>
      <c r="L13" s="651" t="s">
        <v>114</v>
      </c>
      <c r="M13" s="645"/>
      <c r="N13" s="645"/>
      <c r="O13" s="646"/>
      <c r="P13" s="646">
        <v>1</v>
      </c>
      <c r="Q13" s="648" t="str">
        <f>VLOOKUP(F13,Source!F:F,1,FALSE)</f>
        <v>Quinsigamond Comm. College</v>
      </c>
    </row>
    <row r="14" spans="1:17" s="648" customFormat="1" x14ac:dyDescent="0.25">
      <c r="A14" s="646" t="str">
        <f t="shared" si="0"/>
        <v>Roxbury Comm. College1</v>
      </c>
      <c r="B14" s="643" t="s">
        <v>497</v>
      </c>
      <c r="C14" s="645" t="s">
        <v>1286</v>
      </c>
      <c r="D14" s="644" t="s">
        <v>271</v>
      </c>
      <c r="E14" s="644" t="s">
        <v>1307</v>
      </c>
      <c r="F14" s="645" t="s">
        <v>67</v>
      </c>
      <c r="G14" s="645" t="s">
        <v>1308</v>
      </c>
      <c r="H14" s="645" t="s">
        <v>119</v>
      </c>
      <c r="I14" s="666" t="s">
        <v>1311</v>
      </c>
      <c r="J14" s="640"/>
      <c r="K14" s="650">
        <v>3950000</v>
      </c>
      <c r="L14" s="651" t="s">
        <v>114</v>
      </c>
      <c r="M14" s="645">
        <v>2018</v>
      </c>
      <c r="N14" s="645"/>
      <c r="O14" s="646"/>
      <c r="P14" s="646">
        <v>1</v>
      </c>
      <c r="Q14" s="648" t="str">
        <f>VLOOKUP(F14,Source!F:F,1,FALSE)</f>
        <v>Roxbury Comm. College</v>
      </c>
    </row>
    <row r="15" spans="1:17" s="648" customFormat="1" x14ac:dyDescent="0.25">
      <c r="A15" s="646" t="str">
        <f t="shared" si="0"/>
        <v>Roxbury Comm. College2</v>
      </c>
      <c r="B15" s="643" t="s">
        <v>497</v>
      </c>
      <c r="C15" s="645" t="s">
        <v>28</v>
      </c>
      <c r="D15" s="644" t="s">
        <v>271</v>
      </c>
      <c r="E15" s="644" t="s">
        <v>1307</v>
      </c>
      <c r="F15" s="645" t="s">
        <v>67</v>
      </c>
      <c r="G15" s="645" t="s">
        <v>1309</v>
      </c>
      <c r="H15" s="645" t="s">
        <v>119</v>
      </c>
      <c r="I15" s="666" t="s">
        <v>1310</v>
      </c>
      <c r="J15" s="640" t="s">
        <v>885</v>
      </c>
      <c r="K15" s="650">
        <v>161800</v>
      </c>
      <c r="L15" s="651" t="s">
        <v>114</v>
      </c>
      <c r="M15" s="645">
        <v>2018</v>
      </c>
      <c r="N15" s="645"/>
      <c r="O15" s="646"/>
      <c r="P15" s="646">
        <v>2</v>
      </c>
      <c r="Q15" s="648" t="str">
        <f>VLOOKUP(F15,Source!F:F,1,FALSE)</f>
        <v>Roxbury Comm. College</v>
      </c>
    </row>
    <row r="16" spans="1:17" x14ac:dyDescent="0.25">
      <c r="A16" s="646" t="str">
        <f t="shared" si="0"/>
        <v>Salem State University1</v>
      </c>
      <c r="B16" s="643" t="s">
        <v>497</v>
      </c>
      <c r="C16" s="645" t="s">
        <v>1286</v>
      </c>
      <c r="D16" s="644" t="s">
        <v>271</v>
      </c>
      <c r="E16" s="644" t="s">
        <v>1295</v>
      </c>
      <c r="F16" s="645" t="s">
        <v>68</v>
      </c>
      <c r="G16" s="645" t="s">
        <v>1273</v>
      </c>
      <c r="H16" s="645" t="s">
        <v>176</v>
      </c>
      <c r="I16" s="666" t="s">
        <v>1298</v>
      </c>
      <c r="J16" s="640" t="s">
        <v>1298</v>
      </c>
      <c r="K16" s="650"/>
      <c r="L16" s="651" t="s">
        <v>114</v>
      </c>
      <c r="M16" s="645">
        <v>2014</v>
      </c>
      <c r="N16" s="645" t="s">
        <v>1281</v>
      </c>
      <c r="O16" s="646"/>
      <c r="P16" s="646">
        <v>1</v>
      </c>
      <c r="Q16" s="648" t="str">
        <f>VLOOKUP(F16,Source!F:F,1,FALSE)</f>
        <v>Salem State University</v>
      </c>
    </row>
    <row r="17" spans="1:17" s="648" customFormat="1" x14ac:dyDescent="0.25">
      <c r="A17" s="646" t="str">
        <f t="shared" si="0"/>
        <v>Springfield Technical Comm. College1</v>
      </c>
      <c r="B17" s="643" t="s">
        <v>497</v>
      </c>
      <c r="C17" s="645" t="s">
        <v>1286</v>
      </c>
      <c r="D17" s="644" t="s">
        <v>271</v>
      </c>
      <c r="E17" s="644" t="s">
        <v>1312</v>
      </c>
      <c r="F17" s="645" t="s">
        <v>592</v>
      </c>
      <c r="G17" s="645" t="s">
        <v>1313</v>
      </c>
      <c r="H17" s="645" t="s">
        <v>130</v>
      </c>
      <c r="I17" s="666">
        <v>2</v>
      </c>
      <c r="J17" s="640" t="s">
        <v>32</v>
      </c>
      <c r="K17" s="650"/>
      <c r="L17" s="651" t="s">
        <v>114</v>
      </c>
      <c r="M17" s="645"/>
      <c r="N17" s="645"/>
      <c r="O17" s="646"/>
      <c r="P17" s="646">
        <v>1</v>
      </c>
      <c r="Q17" s="648" t="str">
        <f>VLOOKUP(F17,Source!F:F,1,FALSE)</f>
        <v>Springfield Technical Comm. College</v>
      </c>
    </row>
    <row r="18" spans="1:17" x14ac:dyDescent="0.25">
      <c r="A18" s="646" t="str">
        <f t="shared" si="0"/>
        <v>UMass Amherst1</v>
      </c>
      <c r="B18" s="655" t="s">
        <v>497</v>
      </c>
      <c r="C18" s="655" t="s">
        <v>1286</v>
      </c>
      <c r="D18" s="655" t="s">
        <v>271</v>
      </c>
      <c r="E18" s="655" t="s">
        <v>1296</v>
      </c>
      <c r="F18" s="655" t="s">
        <v>70</v>
      </c>
      <c r="G18" s="655" t="s">
        <v>1274</v>
      </c>
      <c r="H18" s="655" t="s">
        <v>129</v>
      </c>
      <c r="I18" s="671" t="s">
        <v>1298</v>
      </c>
      <c r="J18" s="663" t="s">
        <v>1298</v>
      </c>
      <c r="K18" s="655"/>
      <c r="L18" s="651" t="s">
        <v>114</v>
      </c>
      <c r="M18" s="655"/>
      <c r="N18" s="655" t="s">
        <v>1282</v>
      </c>
      <c r="O18" s="655"/>
      <c r="P18" s="655">
        <v>1</v>
      </c>
      <c r="Q18" s="648" t="str">
        <f>VLOOKUP(F18,Source!F:F,1,FALSE)</f>
        <v>UMass Amherst</v>
      </c>
    </row>
    <row r="19" spans="1:17" x14ac:dyDescent="0.25">
      <c r="A19" s="646" t="str">
        <f t="shared" si="0"/>
        <v>UMass Amherst2</v>
      </c>
      <c r="B19" s="655" t="s">
        <v>497</v>
      </c>
      <c r="C19" s="655" t="s">
        <v>1286</v>
      </c>
      <c r="D19" s="655" t="s">
        <v>271</v>
      </c>
      <c r="E19" s="655" t="s">
        <v>1296</v>
      </c>
      <c r="F19" s="655" t="s">
        <v>70</v>
      </c>
      <c r="G19" s="655" t="s">
        <v>1275</v>
      </c>
      <c r="H19" s="655" t="s">
        <v>129</v>
      </c>
      <c r="I19" s="671">
        <v>20</v>
      </c>
      <c r="J19" s="664" t="s">
        <v>32</v>
      </c>
      <c r="K19" s="655"/>
      <c r="L19" s="651" t="s">
        <v>114</v>
      </c>
      <c r="M19" s="655"/>
      <c r="N19" s="655" t="s">
        <v>1283</v>
      </c>
      <c r="O19" s="655"/>
      <c r="P19" s="655">
        <v>2</v>
      </c>
      <c r="Q19" s="648" t="str">
        <f>VLOOKUP(F19,Source!F:F,1,FALSE)</f>
        <v>UMass Amherst</v>
      </c>
    </row>
    <row r="20" spans="1:17" x14ac:dyDescent="0.25">
      <c r="A20" s="646" t="str">
        <f t="shared" si="0"/>
        <v>UMass Amherst3</v>
      </c>
      <c r="B20" s="646" t="s">
        <v>497</v>
      </c>
      <c r="C20" s="646" t="s">
        <v>28</v>
      </c>
      <c r="D20" s="646" t="s">
        <v>271</v>
      </c>
      <c r="E20" s="646" t="s">
        <v>1296</v>
      </c>
      <c r="F20" s="646" t="s">
        <v>70</v>
      </c>
      <c r="G20" s="646" t="s">
        <v>1276</v>
      </c>
      <c r="H20" s="646" t="s">
        <v>1277</v>
      </c>
      <c r="I20" s="672">
        <v>14</v>
      </c>
      <c r="J20" s="664" t="s">
        <v>32</v>
      </c>
      <c r="K20" s="646"/>
      <c r="L20" s="651" t="s">
        <v>114</v>
      </c>
      <c r="M20" s="646">
        <v>2017</v>
      </c>
      <c r="N20" s="646"/>
      <c r="O20" s="646"/>
      <c r="P20" s="646">
        <v>3</v>
      </c>
      <c r="Q20" s="648" t="str">
        <f>VLOOKUP(F20,Source!F:F,1,FALSE)</f>
        <v>UMass Amherst</v>
      </c>
    </row>
    <row r="21" spans="1:17" s="648" customFormat="1" x14ac:dyDescent="0.25">
      <c r="A21" s="646" t="str">
        <f t="shared" si="0"/>
        <v>UMass Dartmouth1</v>
      </c>
      <c r="B21" s="646" t="s">
        <v>497</v>
      </c>
      <c r="C21" s="646" t="s">
        <v>28</v>
      </c>
      <c r="D21" s="646" t="s">
        <v>1314</v>
      </c>
      <c r="E21" s="646" t="s">
        <v>1296</v>
      </c>
      <c r="F21" s="646" t="s">
        <v>72</v>
      </c>
      <c r="G21" s="646" t="s">
        <v>1315</v>
      </c>
      <c r="H21" s="646" t="s">
        <v>177</v>
      </c>
      <c r="I21" s="672" t="s">
        <v>782</v>
      </c>
      <c r="J21" s="664"/>
      <c r="K21" s="646"/>
      <c r="L21" s="651" t="s">
        <v>114</v>
      </c>
      <c r="M21" s="646"/>
      <c r="N21" s="646"/>
      <c r="O21" s="646"/>
      <c r="P21" s="646">
        <v>1</v>
      </c>
      <c r="Q21" s="648" t="str">
        <f>VLOOKUP(F21,Source!F:F,1,FALSE)</f>
        <v>UMass Dartmouth</v>
      </c>
    </row>
    <row r="22" spans="1:17" x14ac:dyDescent="0.25">
      <c r="A22" s="646" t="str">
        <f t="shared" si="0"/>
        <v>UMass Lowell1</v>
      </c>
      <c r="B22" s="646" t="s">
        <v>497</v>
      </c>
      <c r="C22" s="646" t="s">
        <v>28</v>
      </c>
      <c r="D22" s="646" t="s">
        <v>271</v>
      </c>
      <c r="E22" s="646" t="s">
        <v>1296</v>
      </c>
      <c r="F22" s="646" t="s">
        <v>73</v>
      </c>
      <c r="G22" s="646" t="s">
        <v>1278</v>
      </c>
      <c r="H22" s="646" t="s">
        <v>1279</v>
      </c>
      <c r="I22" s="672">
        <v>100000</v>
      </c>
      <c r="J22" s="664" t="s">
        <v>1298</v>
      </c>
      <c r="K22" s="646"/>
      <c r="L22" s="651" t="s">
        <v>114</v>
      </c>
      <c r="M22" s="646">
        <v>2017</v>
      </c>
      <c r="N22" s="646" t="s">
        <v>1284</v>
      </c>
      <c r="O22" s="646"/>
      <c r="P22" s="646">
        <v>1</v>
      </c>
      <c r="Q22" s="648" t="str">
        <f>VLOOKUP(F22,Source!F:F,1,FALSE)</f>
        <v>UMass Lowell</v>
      </c>
    </row>
    <row r="23" spans="1:17" x14ac:dyDescent="0.25">
      <c r="A23" s="646" t="str">
        <f t="shared" si="0"/>
        <v>UMass Lowell2</v>
      </c>
      <c r="B23" s="646" t="s">
        <v>497</v>
      </c>
      <c r="C23" s="646" t="s">
        <v>28</v>
      </c>
      <c r="D23" s="646" t="s">
        <v>271</v>
      </c>
      <c r="E23" s="646" t="s">
        <v>1296</v>
      </c>
      <c r="F23" s="646" t="s">
        <v>73</v>
      </c>
      <c r="G23" s="646" t="s">
        <v>1316</v>
      </c>
      <c r="H23" s="646" t="s">
        <v>1279</v>
      </c>
      <c r="I23" s="1110" t="s">
        <v>782</v>
      </c>
      <c r="J23" s="664"/>
      <c r="K23" s="646"/>
      <c r="L23" s="646" t="s">
        <v>114</v>
      </c>
      <c r="M23" s="646"/>
      <c r="N23" s="646"/>
      <c r="O23" s="646"/>
      <c r="P23" s="646">
        <v>2</v>
      </c>
      <c r="Q23" s="648" t="str">
        <f>VLOOKUP(F23,Source!F:F,1,FALSE)</f>
        <v>UMass Lowell</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158"/>
  <sheetViews>
    <sheetView workbookViewId="0">
      <selection activeCell="D17" sqref="D17"/>
    </sheetView>
  </sheetViews>
  <sheetFormatPr defaultColWidth="0" defaultRowHeight="15" zeroHeight="1" x14ac:dyDescent="0.25"/>
  <cols>
    <col min="1" max="1" width="2.140625" style="492" customWidth="1"/>
    <col min="2" max="2" width="14.7109375" style="492" customWidth="1"/>
    <col min="3" max="3" width="32.7109375" style="489" customWidth="1"/>
    <col min="4" max="7" width="23.140625" style="489" customWidth="1"/>
    <col min="8" max="8" width="26.85546875" style="489" customWidth="1"/>
    <col min="9" max="9" width="5.5703125" style="492" customWidth="1"/>
    <col min="10" max="10" width="1.85546875" style="489" hidden="1" customWidth="1"/>
    <col min="11" max="12" width="15.5703125" style="489" hidden="1" customWidth="1"/>
    <col min="13" max="13" width="16.28515625" style="489" hidden="1" customWidth="1"/>
    <col min="14" max="14" width="9.140625" style="489" hidden="1" customWidth="1"/>
    <col min="15" max="21" width="0" style="489" hidden="1" customWidth="1"/>
    <col min="22" max="16384" width="9.140625" style="489" hidden="1"/>
  </cols>
  <sheetData>
    <row r="1" spans="1:19" ht="15" customHeight="1" thickBot="1" x14ac:dyDescent="0.3">
      <c r="B1" s="844" t="s">
        <v>509</v>
      </c>
      <c r="C1" s="844"/>
      <c r="D1" s="844"/>
      <c r="E1" s="844"/>
      <c r="F1" s="844"/>
      <c r="G1" s="844"/>
      <c r="H1" s="844"/>
      <c r="K1" s="517"/>
      <c r="L1" s="517"/>
      <c r="M1" s="517"/>
      <c r="N1" s="517"/>
    </row>
    <row r="2" spans="1:19" ht="15" customHeight="1" x14ac:dyDescent="0.25">
      <c r="B2" s="927" t="s">
        <v>198</v>
      </c>
      <c r="C2" s="921" t="s">
        <v>1229</v>
      </c>
      <c r="D2" s="922"/>
      <c r="E2" s="922"/>
      <c r="F2" s="922"/>
      <c r="G2" s="922"/>
      <c r="H2" s="922"/>
      <c r="J2" s="517"/>
      <c r="K2" s="517"/>
      <c r="L2" s="517"/>
      <c r="M2" s="517"/>
      <c r="N2" s="517"/>
      <c r="O2" s="517"/>
      <c r="P2" s="517"/>
      <c r="Q2" s="517"/>
      <c r="R2" s="517"/>
      <c r="S2" s="517"/>
    </row>
    <row r="3" spans="1:19" ht="15" customHeight="1" x14ac:dyDescent="0.25">
      <c r="B3" s="928"/>
      <c r="C3" s="923"/>
      <c r="D3" s="924"/>
      <c r="E3" s="924"/>
      <c r="F3" s="924"/>
      <c r="G3" s="924"/>
      <c r="H3" s="924"/>
      <c r="J3" s="517"/>
      <c r="K3" s="517"/>
      <c r="L3" s="517"/>
      <c r="M3" s="517"/>
      <c r="N3" s="517"/>
      <c r="O3" s="517"/>
      <c r="P3" s="517"/>
      <c r="Q3" s="517"/>
      <c r="R3" s="517"/>
      <c r="S3" s="517"/>
    </row>
    <row r="4" spans="1:19" ht="15" customHeight="1" x14ac:dyDescent="0.25">
      <c r="B4" s="928"/>
      <c r="C4" s="923"/>
      <c r="D4" s="924"/>
      <c r="E4" s="924"/>
      <c r="F4" s="924"/>
      <c r="G4" s="924"/>
      <c r="H4" s="924"/>
      <c r="J4" s="517"/>
      <c r="K4" s="517"/>
      <c r="L4" s="517"/>
      <c r="M4" s="517"/>
      <c r="N4" s="517"/>
      <c r="O4" s="517"/>
      <c r="P4" s="517"/>
      <c r="Q4" s="517"/>
      <c r="R4" s="517"/>
      <c r="S4" s="517"/>
    </row>
    <row r="5" spans="1:19" ht="15" customHeight="1" thickBot="1" x14ac:dyDescent="0.3">
      <c r="B5" s="928"/>
      <c r="C5" s="923"/>
      <c r="D5" s="924"/>
      <c r="E5" s="924"/>
      <c r="F5" s="924"/>
      <c r="G5" s="924"/>
      <c r="H5" s="924"/>
      <c r="J5" s="517"/>
      <c r="K5" s="517"/>
      <c r="L5" s="517"/>
      <c r="M5" s="517"/>
      <c r="N5" s="517"/>
    </row>
    <row r="6" spans="1:19" ht="15" customHeight="1" x14ac:dyDescent="0.25">
      <c r="B6" s="928"/>
      <c r="C6" s="925" t="s">
        <v>572</v>
      </c>
      <c r="D6" s="926"/>
      <c r="E6" s="926"/>
      <c r="F6" s="926"/>
      <c r="G6" s="926"/>
      <c r="H6" s="926"/>
      <c r="J6" s="517"/>
      <c r="K6" s="517"/>
      <c r="L6" s="517"/>
      <c r="M6" s="517"/>
      <c r="N6" s="517"/>
    </row>
    <row r="7" spans="1:19" s="492" customFormat="1" x14ac:dyDescent="0.25">
      <c r="K7" s="518"/>
      <c r="L7" s="518"/>
      <c r="M7" s="518"/>
      <c r="N7" s="518"/>
      <c r="O7" s="518"/>
    </row>
    <row r="8" spans="1:19" ht="22.5" customHeight="1" thickBot="1" x14ac:dyDescent="0.3">
      <c r="B8" s="912" t="s">
        <v>198</v>
      </c>
      <c r="C8" s="912"/>
      <c r="D8" s="912"/>
      <c r="E8" s="912"/>
      <c r="F8" s="912"/>
      <c r="G8" s="912"/>
      <c r="H8" s="912"/>
      <c r="K8" s="519"/>
      <c r="L8" s="520"/>
      <c r="M8" s="517"/>
      <c r="N8" s="517"/>
      <c r="O8" s="517"/>
    </row>
    <row r="9" spans="1:19" ht="26.25" customHeight="1" thickBot="1" x14ac:dyDescent="0.3">
      <c r="B9" s="521" t="s">
        <v>544</v>
      </c>
      <c r="C9" s="705" t="s">
        <v>1152</v>
      </c>
      <c r="D9" s="705"/>
      <c r="E9" s="705"/>
      <c r="F9" s="705"/>
      <c r="G9" s="705"/>
      <c r="H9" s="705"/>
      <c r="K9" s="312"/>
      <c r="L9" s="522"/>
      <c r="M9" s="517"/>
      <c r="N9" s="517"/>
      <c r="O9" s="517"/>
    </row>
    <row r="10" spans="1:19" ht="26.25" customHeight="1" x14ac:dyDescent="0.25">
      <c r="B10" s="523" t="s">
        <v>543</v>
      </c>
      <c r="C10" s="930" t="s">
        <v>1153</v>
      </c>
      <c r="D10" s="930"/>
      <c r="E10" s="930"/>
      <c r="F10" s="930"/>
      <c r="G10" s="930"/>
      <c r="H10" s="930"/>
      <c r="K10" s="311"/>
      <c r="L10" s="524"/>
      <c r="M10" s="517"/>
      <c r="N10" s="517"/>
      <c r="O10" s="517"/>
    </row>
    <row r="11" spans="1:19" s="492" customFormat="1" x14ac:dyDescent="0.25">
      <c r="K11" s="518"/>
      <c r="L11" s="518"/>
      <c r="M11" s="518"/>
      <c r="N11" s="518"/>
      <c r="O11" s="518"/>
    </row>
    <row r="12" spans="1:19" ht="21" x14ac:dyDescent="0.25">
      <c r="B12" s="936" t="s">
        <v>544</v>
      </c>
      <c r="C12" s="937"/>
      <c r="D12" s="937"/>
      <c r="E12" s="937"/>
      <c r="F12" s="937"/>
      <c r="G12" s="937"/>
      <c r="H12" s="938"/>
      <c r="K12" s="517"/>
      <c r="L12" s="517"/>
      <c r="M12" s="517"/>
      <c r="N12" s="517"/>
      <c r="O12" s="517"/>
    </row>
    <row r="13" spans="1:19" ht="21" customHeight="1" x14ac:dyDescent="0.25">
      <c r="B13" s="937" t="s">
        <v>571</v>
      </c>
      <c r="C13" s="937"/>
      <c r="D13" s="937"/>
      <c r="E13" s="937"/>
      <c r="F13" s="937"/>
      <c r="G13" s="937"/>
      <c r="H13" s="937"/>
      <c r="K13" s="517"/>
      <c r="L13" s="517"/>
      <c r="M13" s="517"/>
      <c r="N13" s="517"/>
      <c r="O13" s="517"/>
    </row>
    <row r="14" spans="1:19" s="13" customFormat="1" ht="19.5" thickBot="1" x14ac:dyDescent="0.35">
      <c r="A14" s="525"/>
      <c r="B14" s="935" t="s">
        <v>545</v>
      </c>
      <c r="C14" s="935"/>
      <c r="D14" s="935"/>
      <c r="E14" s="935"/>
      <c r="F14" s="935"/>
      <c r="G14" s="935"/>
      <c r="H14" s="935"/>
      <c r="I14" s="525"/>
      <c r="K14" s="526"/>
      <c r="L14" s="526"/>
      <c r="M14" s="526"/>
      <c r="N14" s="526"/>
      <c r="O14" s="526"/>
    </row>
    <row r="15" spans="1:19" ht="15" customHeight="1" x14ac:dyDescent="0.25">
      <c r="B15" s="931" t="s">
        <v>221</v>
      </c>
      <c r="C15" s="931"/>
      <c r="D15" s="931" t="s">
        <v>220</v>
      </c>
      <c r="E15" s="931" t="s">
        <v>224</v>
      </c>
      <c r="F15" s="931"/>
      <c r="G15" s="931"/>
      <c r="H15" s="931"/>
    </row>
    <row r="16" spans="1:19" ht="15" customHeight="1" thickBot="1" x14ac:dyDescent="0.3">
      <c r="B16" s="932"/>
      <c r="C16" s="932"/>
      <c r="D16" s="932"/>
      <c r="E16" s="932"/>
      <c r="F16" s="932"/>
      <c r="G16" s="932"/>
      <c r="H16" s="932"/>
    </row>
    <row r="17" spans="1:9" s="528" customFormat="1" ht="16.5" customHeight="1" thickBot="1" x14ac:dyDescent="0.3">
      <c r="A17" s="527"/>
      <c r="B17" s="929" t="s">
        <v>222</v>
      </c>
      <c r="C17" s="929"/>
      <c r="D17" s="304"/>
      <c r="E17" s="933"/>
      <c r="F17" s="934"/>
      <c r="G17" s="934"/>
      <c r="H17" s="934"/>
      <c r="I17" s="527"/>
    </row>
    <row r="18" spans="1:9" s="530" customFormat="1" ht="16.5" customHeight="1" thickBot="1" x14ac:dyDescent="0.3">
      <c r="A18" s="529"/>
      <c r="B18" s="939" t="s">
        <v>225</v>
      </c>
      <c r="C18" s="939"/>
      <c r="D18" s="303">
        <f>SUM(D39:G39)</f>
        <v>0</v>
      </c>
      <c r="E18" s="933"/>
      <c r="F18" s="934"/>
      <c r="G18" s="934"/>
      <c r="H18" s="934"/>
      <c r="I18" s="529"/>
    </row>
    <row r="19" spans="1:9" s="530" customFormat="1" ht="16.5" customHeight="1" thickBot="1" x14ac:dyDescent="0.3">
      <c r="A19" s="529"/>
      <c r="B19" s="939" t="s">
        <v>223</v>
      </c>
      <c r="C19" s="939"/>
      <c r="D19" s="304"/>
      <c r="E19" s="933"/>
      <c r="F19" s="934"/>
      <c r="G19" s="934"/>
      <c r="H19" s="934"/>
      <c r="I19" s="529"/>
    </row>
    <row r="20" spans="1:9" s="532" customFormat="1" ht="16.5" customHeight="1" x14ac:dyDescent="0.25">
      <c r="A20" s="531"/>
      <c r="B20" s="940" t="s">
        <v>729</v>
      </c>
      <c r="C20" s="940"/>
      <c r="D20" s="305"/>
      <c r="E20" s="941"/>
      <c r="F20" s="942"/>
      <c r="G20" s="942"/>
      <c r="H20" s="942"/>
      <c r="I20" s="531"/>
    </row>
    <row r="21" spans="1:9" s="533" customFormat="1" ht="15.75" x14ac:dyDescent="0.25">
      <c r="C21" s="534"/>
      <c r="D21" s="535"/>
      <c r="E21" s="535"/>
      <c r="F21" s="536"/>
      <c r="G21" s="536"/>
      <c r="H21" s="536"/>
    </row>
    <row r="22" spans="1:9" ht="21" customHeight="1" x14ac:dyDescent="0.25">
      <c r="B22" s="943" t="s">
        <v>543</v>
      </c>
      <c r="C22" s="943"/>
      <c r="D22" s="943"/>
      <c r="E22" s="943"/>
      <c r="F22" s="943"/>
      <c r="G22" s="943"/>
      <c r="H22" s="943"/>
    </row>
    <row r="23" spans="1:9" ht="21" customHeight="1" x14ac:dyDescent="0.25">
      <c r="B23" s="944" t="s">
        <v>1228</v>
      </c>
      <c r="C23" s="944"/>
      <c r="D23" s="944"/>
      <c r="E23" s="944"/>
      <c r="F23" s="944"/>
      <c r="G23" s="944"/>
      <c r="H23" s="944"/>
    </row>
    <row r="24" spans="1:9" ht="16.5" thickBot="1" x14ac:dyDescent="0.3">
      <c r="B24" s="935" t="s">
        <v>864</v>
      </c>
      <c r="C24" s="935"/>
      <c r="D24" s="935"/>
      <c r="E24" s="935"/>
      <c r="F24" s="935"/>
      <c r="G24" s="935"/>
      <c r="H24" s="935"/>
    </row>
    <row r="25" spans="1:9" s="528" customFormat="1" ht="30" customHeight="1" thickBot="1" x14ac:dyDescent="0.3">
      <c r="A25" s="527"/>
      <c r="B25" s="945" t="s">
        <v>859</v>
      </c>
      <c r="C25" s="945"/>
      <c r="D25" s="293" t="s">
        <v>860</v>
      </c>
      <c r="E25" s="293" t="s">
        <v>863</v>
      </c>
      <c r="F25" s="293" t="s">
        <v>862</v>
      </c>
      <c r="G25" s="293" t="s">
        <v>861</v>
      </c>
      <c r="H25" s="293" t="s">
        <v>224</v>
      </c>
      <c r="I25" s="527"/>
    </row>
    <row r="26" spans="1:9" s="530" customFormat="1" ht="17.25" customHeight="1" thickBot="1" x14ac:dyDescent="0.3">
      <c r="A26" s="529"/>
      <c r="B26" s="946" t="s">
        <v>37</v>
      </c>
      <c r="C26" s="946"/>
      <c r="D26" s="299"/>
      <c r="E26" s="300"/>
      <c r="F26" s="300"/>
      <c r="G26" s="300"/>
      <c r="H26" s="296"/>
      <c r="I26" s="529"/>
    </row>
    <row r="27" spans="1:9" s="530" customFormat="1" ht="17.25" customHeight="1" thickBot="1" x14ac:dyDescent="0.3">
      <c r="A27" s="529"/>
      <c r="B27" s="946" t="s">
        <v>226</v>
      </c>
      <c r="C27" s="946"/>
      <c r="D27" s="299"/>
      <c r="E27" s="300"/>
      <c r="F27" s="300"/>
      <c r="G27" s="300"/>
      <c r="H27" s="296"/>
      <c r="I27" s="529"/>
    </row>
    <row r="28" spans="1:9" s="530" customFormat="1" ht="17.25" customHeight="1" thickBot="1" x14ac:dyDescent="0.3">
      <c r="A28" s="529"/>
      <c r="B28" s="946" t="s">
        <v>227</v>
      </c>
      <c r="C28" s="946"/>
      <c r="D28" s="299"/>
      <c r="E28" s="300"/>
      <c r="F28" s="300"/>
      <c r="G28" s="300"/>
      <c r="H28" s="296"/>
      <c r="I28" s="529"/>
    </row>
    <row r="29" spans="1:9" s="530" customFormat="1" ht="17.25" customHeight="1" thickBot="1" x14ac:dyDescent="0.3">
      <c r="A29" s="529"/>
      <c r="B29" s="946" t="s">
        <v>228</v>
      </c>
      <c r="C29" s="946"/>
      <c r="D29" s="299"/>
      <c r="E29" s="300"/>
      <c r="F29" s="300"/>
      <c r="G29" s="300"/>
      <c r="H29" s="296"/>
      <c r="I29" s="529"/>
    </row>
    <row r="30" spans="1:9" s="530" customFormat="1" ht="17.25" customHeight="1" thickBot="1" x14ac:dyDescent="0.3">
      <c r="A30" s="529"/>
      <c r="B30" s="946" t="s">
        <v>229</v>
      </c>
      <c r="C30" s="946"/>
      <c r="D30" s="299"/>
      <c r="E30" s="300"/>
      <c r="F30" s="300"/>
      <c r="G30" s="300"/>
      <c r="H30" s="296"/>
      <c r="I30" s="529"/>
    </row>
    <row r="31" spans="1:9" s="530" customFormat="1" ht="17.25" customHeight="1" thickBot="1" x14ac:dyDescent="0.3">
      <c r="A31" s="529"/>
      <c r="B31" s="946" t="s">
        <v>231</v>
      </c>
      <c r="C31" s="946"/>
      <c r="D31" s="299"/>
      <c r="E31" s="300"/>
      <c r="F31" s="300"/>
      <c r="G31" s="300"/>
      <c r="H31" s="296"/>
      <c r="I31" s="529"/>
    </row>
    <row r="32" spans="1:9" s="530" customFormat="1" ht="17.25" customHeight="1" thickBot="1" x14ac:dyDescent="0.3">
      <c r="A32" s="529"/>
      <c r="B32" s="946" t="s">
        <v>234</v>
      </c>
      <c r="C32" s="946"/>
      <c r="D32" s="299"/>
      <c r="E32" s="300"/>
      <c r="F32" s="300"/>
      <c r="G32" s="300"/>
      <c r="H32" s="296"/>
      <c r="I32" s="529"/>
    </row>
    <row r="33" spans="1:9" s="530" customFormat="1" ht="17.25" customHeight="1" thickBot="1" x14ac:dyDescent="0.3">
      <c r="A33" s="529"/>
      <c r="B33" s="946" t="s">
        <v>237</v>
      </c>
      <c r="C33" s="946"/>
      <c r="D33" s="299"/>
      <c r="E33" s="300"/>
      <c r="F33" s="300"/>
      <c r="G33" s="300"/>
      <c r="H33" s="296"/>
      <c r="I33" s="529"/>
    </row>
    <row r="34" spans="1:9" s="530" customFormat="1" ht="17.25" customHeight="1" thickBot="1" x14ac:dyDescent="0.3">
      <c r="A34" s="529"/>
      <c r="B34" s="946" t="s">
        <v>235</v>
      </c>
      <c r="C34" s="946"/>
      <c r="D34" s="299"/>
      <c r="E34" s="300"/>
      <c r="F34" s="300"/>
      <c r="G34" s="300"/>
      <c r="H34" s="296"/>
      <c r="I34" s="529"/>
    </row>
    <row r="35" spans="1:9" s="537" customFormat="1" ht="17.25" customHeight="1" thickBot="1" x14ac:dyDescent="0.3">
      <c r="A35" s="492"/>
      <c r="B35" s="951" t="s">
        <v>236</v>
      </c>
      <c r="C35" s="951"/>
      <c r="D35" s="299"/>
      <c r="E35" s="300"/>
      <c r="F35" s="300"/>
      <c r="G35" s="300"/>
      <c r="H35" s="297"/>
      <c r="I35" s="492"/>
    </row>
    <row r="36" spans="1:9" s="528" customFormat="1" ht="17.25" customHeight="1" thickBot="1" x14ac:dyDescent="0.3">
      <c r="A36" s="527"/>
      <c r="B36" s="952" t="s">
        <v>233</v>
      </c>
      <c r="C36" s="952"/>
      <c r="D36" s="301"/>
      <c r="E36" s="302"/>
      <c r="F36" s="302"/>
      <c r="G36" s="302"/>
      <c r="H36" s="298"/>
      <c r="I36" s="527"/>
    </row>
    <row r="37" spans="1:9" s="530" customFormat="1" ht="17.25" customHeight="1" thickBot="1" x14ac:dyDescent="0.3">
      <c r="A37" s="529"/>
      <c r="B37" s="946" t="s">
        <v>232</v>
      </c>
      <c r="C37" s="946"/>
      <c r="D37" s="299"/>
      <c r="E37" s="300"/>
      <c r="F37" s="300"/>
      <c r="G37" s="300"/>
      <c r="H37" s="296"/>
      <c r="I37" s="529"/>
    </row>
    <row r="38" spans="1:9" s="530" customFormat="1" ht="17.25" customHeight="1" thickBot="1" x14ac:dyDescent="0.3">
      <c r="A38" s="529"/>
      <c r="B38" s="946" t="s">
        <v>93</v>
      </c>
      <c r="C38" s="946"/>
      <c r="D38" s="299"/>
      <c r="E38" s="300"/>
      <c r="F38" s="300"/>
      <c r="G38" s="300"/>
      <c r="H38" s="296"/>
      <c r="I38" s="529"/>
    </row>
    <row r="39" spans="1:9" ht="16.5" customHeight="1" x14ac:dyDescent="0.25">
      <c r="B39" s="953" t="s">
        <v>865</v>
      </c>
      <c r="C39" s="954"/>
      <c r="D39" s="295">
        <f>SUM(D26:D38)</f>
        <v>0</v>
      </c>
      <c r="E39" s="294">
        <f t="shared" ref="E39:G39" si="0">SUM(E26:E38)</f>
        <v>0</v>
      </c>
      <c r="F39" s="294">
        <f t="shared" si="0"/>
        <v>0</v>
      </c>
      <c r="G39" s="294">
        <f t="shared" si="0"/>
        <v>0</v>
      </c>
      <c r="H39" s="538"/>
    </row>
    <row r="40" spans="1:9" s="492" customFormat="1" x14ac:dyDescent="0.25">
      <c r="E40" s="539"/>
      <c r="F40" s="539"/>
      <c r="G40" s="539"/>
    </row>
    <row r="41" spans="1:9" ht="17.25" customHeight="1" x14ac:dyDescent="0.25">
      <c r="B41" s="947" t="s">
        <v>730</v>
      </c>
      <c r="C41" s="947"/>
      <c r="D41" s="947"/>
      <c r="E41" s="947"/>
      <c r="F41" s="947"/>
      <c r="G41" s="947"/>
      <c r="H41" s="947"/>
    </row>
    <row r="42" spans="1:9" ht="15.75" customHeight="1" x14ac:dyDescent="0.25">
      <c r="B42" s="948"/>
      <c r="C42" s="948"/>
      <c r="D42" s="948"/>
      <c r="E42" s="948"/>
      <c r="F42" s="948"/>
      <c r="G42" s="948"/>
      <c r="H42" s="948"/>
    </row>
    <row r="43" spans="1:9" ht="15.75" customHeight="1" x14ac:dyDescent="0.25">
      <c r="B43" s="948"/>
      <c r="C43" s="948"/>
      <c r="D43" s="948"/>
      <c r="E43" s="948"/>
      <c r="F43" s="948"/>
      <c r="G43" s="948"/>
      <c r="H43" s="948"/>
    </row>
    <row r="44" spans="1:9" ht="15.75" customHeight="1" x14ac:dyDescent="0.25">
      <c r="B44" s="948"/>
      <c r="C44" s="948"/>
      <c r="D44" s="948"/>
      <c r="E44" s="948"/>
      <c r="F44" s="948"/>
      <c r="G44" s="948"/>
      <c r="H44" s="948"/>
    </row>
    <row r="45" spans="1:9" ht="15.75" customHeight="1" x14ac:dyDescent="0.25">
      <c r="B45" s="948"/>
      <c r="C45" s="948"/>
      <c r="D45" s="948"/>
      <c r="E45" s="948"/>
      <c r="F45" s="948"/>
      <c r="G45" s="948"/>
      <c r="H45" s="948"/>
    </row>
    <row r="46" spans="1:9" s="492" customFormat="1" x14ac:dyDescent="0.25"/>
    <row r="47" spans="1:9" ht="15.75" x14ac:dyDescent="0.25">
      <c r="B47" s="949" t="s">
        <v>721</v>
      </c>
      <c r="C47" s="949"/>
      <c r="D47" s="949"/>
      <c r="E47" s="949"/>
      <c r="F47" s="949"/>
      <c r="G47" s="949"/>
      <c r="H47" s="949"/>
    </row>
    <row r="48" spans="1:9" x14ac:dyDescent="0.25">
      <c r="B48" s="950"/>
      <c r="C48" s="950"/>
      <c r="D48" s="950"/>
      <c r="E48" s="950"/>
      <c r="F48" s="950"/>
      <c r="G48" s="950"/>
      <c r="H48" s="950"/>
    </row>
    <row r="49" spans="2:8" x14ac:dyDescent="0.25">
      <c r="B49" s="950"/>
      <c r="C49" s="950"/>
      <c r="D49" s="950"/>
      <c r="E49" s="950"/>
      <c r="F49" s="950"/>
      <c r="G49" s="950"/>
      <c r="H49" s="950"/>
    </row>
    <row r="50" spans="2:8" x14ac:dyDescent="0.25">
      <c r="B50" s="950"/>
      <c r="C50" s="950"/>
      <c r="D50" s="950"/>
      <c r="E50" s="950"/>
      <c r="F50" s="950"/>
      <c r="G50" s="950"/>
      <c r="H50" s="950"/>
    </row>
    <row r="51" spans="2:8" ht="18.75" customHeight="1" x14ac:dyDescent="0.25">
      <c r="B51" s="950"/>
      <c r="C51" s="950"/>
      <c r="D51" s="950"/>
      <c r="E51" s="950"/>
      <c r="F51" s="950"/>
      <c r="G51" s="950"/>
      <c r="H51" s="950"/>
    </row>
    <row r="52" spans="2:8" s="492" customFormat="1" ht="14.25" customHeight="1" x14ac:dyDescent="0.25"/>
    <row r="53" spans="2:8" s="492" customFormat="1" x14ac:dyDescent="0.25"/>
    <row r="54" spans="2:8" hidden="1" x14ac:dyDescent="0.25"/>
    <row r="55" spans="2:8" hidden="1" x14ac:dyDescent="0.25"/>
    <row r="56" spans="2:8" hidden="1" x14ac:dyDescent="0.25"/>
    <row r="57" spans="2:8" hidden="1" x14ac:dyDescent="0.25"/>
    <row r="58" spans="2:8" hidden="1" x14ac:dyDescent="0.25"/>
    <row r="59" spans="2:8" hidden="1" x14ac:dyDescent="0.25"/>
    <row r="60" spans="2:8" hidden="1" x14ac:dyDescent="0.25"/>
    <row r="61" spans="2:8" hidden="1" x14ac:dyDescent="0.25"/>
    <row r="62" spans="2:8" hidden="1" x14ac:dyDescent="0.25"/>
    <row r="63" spans="2:8" hidden="1" x14ac:dyDescent="0.25"/>
    <row r="64" spans="2: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t="0.75" hidden="1" customHeight="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t="2.25" hidden="1" customHeight="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s="492" customFormat="1" hidden="1" x14ac:dyDescent="0.25"/>
    <row r="155" s="492" customFormat="1" hidden="1" x14ac:dyDescent="0.25"/>
    <row r="156" s="492" customFormat="1" hidden="1" x14ac:dyDescent="0.25"/>
    <row r="157" s="492" customFormat="1" x14ac:dyDescent="0.25"/>
    <row r="158" s="492" customFormat="1" x14ac:dyDescent="0.25"/>
  </sheetData>
  <sheetProtection password="CC30" sheet="1" objects="1" scenarios="1" selectLockedCells="1"/>
  <mergeCells count="43">
    <mergeCell ref="B41:H41"/>
    <mergeCell ref="B42:H45"/>
    <mergeCell ref="B47:H47"/>
    <mergeCell ref="B48:H51"/>
    <mergeCell ref="B35:C35"/>
    <mergeCell ref="B36:C36"/>
    <mergeCell ref="B37:C37"/>
    <mergeCell ref="B38:C38"/>
    <mergeCell ref="B39:C39"/>
    <mergeCell ref="B30:C30"/>
    <mergeCell ref="B31:C31"/>
    <mergeCell ref="B32:C32"/>
    <mergeCell ref="B33:C33"/>
    <mergeCell ref="B34:C34"/>
    <mergeCell ref="B25:C25"/>
    <mergeCell ref="B26:C26"/>
    <mergeCell ref="B27:C27"/>
    <mergeCell ref="B28:C28"/>
    <mergeCell ref="B29:C29"/>
    <mergeCell ref="B24:H24"/>
    <mergeCell ref="B15:C16"/>
    <mergeCell ref="B12:H12"/>
    <mergeCell ref="B13:H13"/>
    <mergeCell ref="B14:H14"/>
    <mergeCell ref="B18:C18"/>
    <mergeCell ref="B19:C19"/>
    <mergeCell ref="B20:C20"/>
    <mergeCell ref="E18:H18"/>
    <mergeCell ref="E19:H19"/>
    <mergeCell ref="E20:H20"/>
    <mergeCell ref="B22:H22"/>
    <mergeCell ref="B23:H23"/>
    <mergeCell ref="C2:H5"/>
    <mergeCell ref="B1:H1"/>
    <mergeCell ref="C6:H6"/>
    <mergeCell ref="B2:B6"/>
    <mergeCell ref="B17:C17"/>
    <mergeCell ref="B8:H8"/>
    <mergeCell ref="C9:H9"/>
    <mergeCell ref="C10:H10"/>
    <mergeCell ref="D15:D16"/>
    <mergeCell ref="E15:H16"/>
    <mergeCell ref="E17:H17"/>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01"/>
  <sheetViews>
    <sheetView zoomScale="80" zoomScaleNormal="80" workbookViewId="0">
      <selection activeCell="H44" sqref="H44"/>
    </sheetView>
  </sheetViews>
  <sheetFormatPr defaultColWidth="0" defaultRowHeight="15.75" zeroHeight="1" x14ac:dyDescent="0.25"/>
  <cols>
    <col min="1" max="1" width="3.28515625" style="540" customWidth="1"/>
    <col min="2" max="2" width="10.42578125" style="540" customWidth="1"/>
    <col min="3" max="3" width="27" style="540" customWidth="1"/>
    <col min="4" max="4" width="8.7109375" style="540" customWidth="1"/>
    <col min="5" max="5" width="37.140625" style="540" customWidth="1"/>
    <col min="6" max="6" width="31.5703125" style="540" customWidth="1"/>
    <col min="7" max="7" width="14.28515625" style="540" customWidth="1"/>
    <col min="8" max="8" width="13.5703125" style="543" customWidth="1"/>
    <col min="9" max="9" width="23.5703125" style="544" customWidth="1"/>
    <col min="10" max="10" width="9.28515625" style="544" customWidth="1"/>
    <col min="11" max="11" width="32.28515625" style="540" customWidth="1"/>
    <col min="12" max="12" width="8.5703125" style="545" customWidth="1"/>
    <col min="13" max="16384" width="9.140625" style="540" hidden="1"/>
  </cols>
  <sheetData>
    <row r="1" spans="2:19" ht="16.5" thickBot="1" x14ac:dyDescent="0.3">
      <c r="B1" s="955" t="s">
        <v>509</v>
      </c>
      <c r="C1" s="955"/>
      <c r="D1" s="955"/>
      <c r="E1" s="955"/>
      <c r="F1" s="955"/>
      <c r="G1" s="955"/>
      <c r="H1" s="955"/>
      <c r="I1" s="955"/>
      <c r="J1" s="955"/>
      <c r="K1" s="955"/>
      <c r="L1" s="179"/>
    </row>
    <row r="2" spans="2:19" ht="15.75" customHeight="1" x14ac:dyDescent="0.25">
      <c r="B2" s="681" t="s">
        <v>503</v>
      </c>
      <c r="C2" s="681"/>
      <c r="D2" s="681"/>
      <c r="E2" s="956" t="s">
        <v>628</v>
      </c>
      <c r="F2" s="957"/>
      <c r="G2" s="957"/>
      <c r="H2" s="957"/>
      <c r="I2" s="957"/>
      <c r="J2" s="957"/>
      <c r="K2" s="957"/>
      <c r="L2" s="541"/>
      <c r="M2" s="541"/>
      <c r="N2" s="541"/>
      <c r="O2" s="541"/>
      <c r="P2" s="541"/>
      <c r="Q2" s="541"/>
      <c r="R2" s="541"/>
      <c r="S2" s="541"/>
    </row>
    <row r="3" spans="2:19" x14ac:dyDescent="0.25">
      <c r="B3" s="681"/>
      <c r="C3" s="681"/>
      <c r="D3" s="681"/>
      <c r="E3" s="956"/>
      <c r="F3" s="957"/>
      <c r="G3" s="957"/>
      <c r="H3" s="957"/>
      <c r="I3" s="957"/>
      <c r="J3" s="957"/>
      <c r="K3" s="957"/>
      <c r="L3" s="541"/>
      <c r="M3" s="541"/>
      <c r="N3" s="541"/>
      <c r="O3" s="541"/>
      <c r="P3" s="541"/>
      <c r="Q3" s="541"/>
      <c r="R3" s="541"/>
      <c r="S3" s="541"/>
    </row>
    <row r="4" spans="2:19" ht="15.75" customHeight="1" thickBot="1" x14ac:dyDescent="0.3">
      <c r="B4" s="681"/>
      <c r="C4" s="681"/>
      <c r="D4" s="681"/>
      <c r="E4" s="958" t="s">
        <v>629</v>
      </c>
      <c r="F4" s="959"/>
      <c r="G4" s="959"/>
      <c r="H4" s="959"/>
      <c r="I4" s="959"/>
      <c r="J4" s="959"/>
      <c r="K4" s="959"/>
      <c r="L4" s="542"/>
      <c r="M4" s="541"/>
      <c r="N4" s="541"/>
      <c r="O4" s="541"/>
      <c r="P4" s="541"/>
      <c r="Q4" s="541"/>
      <c r="R4" s="541"/>
      <c r="S4" s="541"/>
    </row>
    <row r="5" spans="2:19" ht="18" customHeight="1" x14ac:dyDescent="0.25">
      <c r="B5" s="681"/>
      <c r="C5" s="681"/>
      <c r="D5" s="681"/>
      <c r="E5" s="960" t="s">
        <v>572</v>
      </c>
      <c r="F5" s="961"/>
      <c r="G5" s="961"/>
      <c r="H5" s="961"/>
      <c r="I5" s="961"/>
      <c r="J5" s="961"/>
      <c r="K5" s="961"/>
      <c r="L5" s="541"/>
      <c r="M5" s="541"/>
      <c r="N5" s="541"/>
      <c r="O5" s="541"/>
      <c r="P5" s="541"/>
      <c r="Q5" s="541"/>
      <c r="R5" s="541"/>
      <c r="S5" s="541"/>
    </row>
    <row r="6" spans="2:19" ht="18" customHeight="1" x14ac:dyDescent="0.25"/>
    <row r="7" spans="2:19" s="546" customFormat="1" ht="36.75" hidden="1" customHeight="1" x14ac:dyDescent="0.25">
      <c r="E7" s="963" t="s">
        <v>5</v>
      </c>
      <c r="F7" s="963"/>
      <c r="G7" s="965" t="str">
        <f>'Contact Information'!J9</f>
        <v>Please select your answer from the dropdown</v>
      </c>
      <c r="H7" s="965"/>
      <c r="I7" s="965"/>
      <c r="J7" s="292"/>
      <c r="K7" s="547"/>
      <c r="L7" s="548"/>
    </row>
    <row r="8" spans="2:19" ht="21.75" hidden="1" customHeight="1" x14ac:dyDescent="0.25">
      <c r="H8" s="544"/>
      <c r="I8" s="540"/>
      <c r="J8" s="540"/>
    </row>
    <row r="9" spans="2:19" ht="3.75" customHeight="1" x14ac:dyDescent="0.25">
      <c r="E9" s="545"/>
      <c r="F9" s="549"/>
      <c r="G9" s="549"/>
      <c r="H9" s="549"/>
      <c r="I9" s="550"/>
      <c r="J9" s="550"/>
      <c r="K9" s="549"/>
    </row>
    <row r="10" spans="2:19" s="545" customFormat="1" ht="30.75" customHeight="1" thickBot="1" x14ac:dyDescent="0.3">
      <c r="B10" s="912" t="s">
        <v>503</v>
      </c>
      <c r="C10" s="912"/>
      <c r="D10" s="912"/>
      <c r="E10" s="912"/>
      <c r="F10" s="912"/>
      <c r="G10" s="912"/>
      <c r="H10" s="912"/>
      <c r="I10" s="912"/>
      <c r="J10" s="912"/>
      <c r="K10" s="912"/>
      <c r="L10" s="177"/>
    </row>
    <row r="11" spans="2:19" s="548" customFormat="1" ht="36" customHeight="1" thickBot="1" x14ac:dyDescent="0.3">
      <c r="B11" s="639" t="s">
        <v>544</v>
      </c>
      <c r="C11" s="966" t="s">
        <v>1146</v>
      </c>
      <c r="D11" s="966"/>
      <c r="E11" s="966"/>
      <c r="F11" s="966"/>
      <c r="G11" s="966"/>
      <c r="H11" s="966"/>
      <c r="I11" s="966"/>
      <c r="J11" s="966"/>
      <c r="K11" s="966"/>
      <c r="L11" s="178"/>
    </row>
    <row r="12" spans="2:19" s="548" customFormat="1" ht="36" customHeight="1" x14ac:dyDescent="0.25">
      <c r="B12" s="291" t="s">
        <v>1119</v>
      </c>
      <c r="C12" s="806" t="s">
        <v>1147</v>
      </c>
      <c r="D12" s="806"/>
      <c r="E12" s="806"/>
      <c r="F12" s="806"/>
      <c r="G12" s="806"/>
      <c r="H12" s="806"/>
      <c r="I12" s="806"/>
      <c r="J12" s="806"/>
      <c r="K12" s="806"/>
      <c r="L12" s="178"/>
    </row>
    <row r="13" spans="2:19" ht="20.25" customHeight="1" x14ac:dyDescent="0.25"/>
    <row r="14" spans="2:19" ht="21" x14ac:dyDescent="0.25">
      <c r="B14" s="964" t="s">
        <v>550</v>
      </c>
      <c r="C14" s="964"/>
      <c r="D14" s="964"/>
      <c r="E14" s="964"/>
      <c r="F14" s="964"/>
      <c r="G14" s="964"/>
      <c r="H14" s="964"/>
      <c r="I14" s="964"/>
      <c r="J14" s="964"/>
      <c r="K14" s="964"/>
      <c r="L14" s="175"/>
    </row>
    <row r="15" spans="2:19" ht="18.75" x14ac:dyDescent="0.25">
      <c r="B15" s="899" t="s">
        <v>627</v>
      </c>
      <c r="C15" s="899"/>
      <c r="D15" s="899"/>
      <c r="E15" s="899"/>
      <c r="F15" s="899"/>
      <c r="G15" s="899"/>
      <c r="H15" s="899"/>
      <c r="I15" s="899"/>
      <c r="J15" s="899"/>
      <c r="K15" s="899"/>
      <c r="L15" s="175"/>
    </row>
    <row r="16" spans="2:19" ht="15.75" customHeight="1" thickBot="1" x14ac:dyDescent="0.3">
      <c r="B16" s="900" t="s">
        <v>858</v>
      </c>
      <c r="C16" s="900"/>
      <c r="D16" s="900"/>
      <c r="E16" s="900"/>
      <c r="F16" s="900"/>
      <c r="G16" s="900"/>
      <c r="H16" s="900"/>
      <c r="I16" s="900"/>
      <c r="J16" s="900"/>
      <c r="K16" s="900"/>
      <c r="L16" s="176"/>
    </row>
    <row r="17" spans="2:12" ht="16.5" thickBot="1" x14ac:dyDescent="0.3">
      <c r="B17" s="962" t="s">
        <v>1144</v>
      </c>
      <c r="C17" s="962"/>
      <c r="D17" s="962"/>
      <c r="E17" s="962"/>
      <c r="F17" s="962"/>
      <c r="G17" s="962"/>
      <c r="H17" s="962"/>
      <c r="I17" s="962"/>
      <c r="J17" s="962"/>
      <c r="K17" s="962"/>
      <c r="L17" s="176"/>
    </row>
    <row r="18" spans="2:12" ht="41.25" customHeight="1" thickBot="1" x14ac:dyDescent="0.3">
      <c r="B18" s="283"/>
      <c r="C18" s="979" t="s">
        <v>105</v>
      </c>
      <c r="D18" s="979"/>
      <c r="E18" s="426" t="s">
        <v>106</v>
      </c>
      <c r="F18" s="284" t="s">
        <v>690</v>
      </c>
      <c r="G18" s="284" t="s">
        <v>630</v>
      </c>
      <c r="H18" s="285" t="s">
        <v>694</v>
      </c>
      <c r="I18" s="284" t="s">
        <v>1149</v>
      </c>
      <c r="J18" s="974" t="s">
        <v>709</v>
      </c>
      <c r="K18" s="974"/>
    </row>
    <row r="19" spans="2:12" ht="16.5" thickBot="1" x14ac:dyDescent="0.3">
      <c r="B19" s="551">
        <v>1</v>
      </c>
      <c r="C19" s="973" t="str">
        <f>IFERROR(VLOOKUP($G$7&amp;$B19,'EV Charging Stations source'!A:AB,6,FALSE),"")</f>
        <v/>
      </c>
      <c r="D19" s="973"/>
      <c r="E19" s="552" t="str">
        <f>IFERROR(VLOOKUP($G$7&amp;$B19,'EV Charging Stations source'!A:AB,7,FALSE),"")</f>
        <v/>
      </c>
      <c r="F19" s="553" t="str">
        <f>IFERROR(VLOOKUP($G$7&amp;$B19,'EV Charging Stations source'!A:AB,21,FALSE),"")</f>
        <v/>
      </c>
      <c r="G19" s="553" t="str">
        <f>IFERROR(VLOOKUP($G$7&amp;$B19,'EV Charging Stations source'!A:AB,22,FALSE),"")</f>
        <v/>
      </c>
      <c r="H19" s="554" t="str">
        <f>IFERROR(VLOOKUP($G$7&amp;$B19,'EV Charging Stations source'!A:AB,25,FALSE)," ")</f>
        <v xml:space="preserve"> </v>
      </c>
      <c r="I19" s="553" t="str">
        <f>IFERROR(VLOOKUP($G$7&amp;$B19,'EV Charging Stations source'!A:AB,16,FALSE)," ")</f>
        <v xml:space="preserve"> </v>
      </c>
      <c r="J19" s="971"/>
      <c r="K19" s="972"/>
    </row>
    <row r="20" spans="2:12" ht="16.5" thickBot="1" x14ac:dyDescent="0.3">
      <c r="B20" s="551">
        <v>2</v>
      </c>
      <c r="C20" s="973"/>
      <c r="D20" s="973" t="str">
        <f>IFERROR(VLOOKUP($G$7&amp;$B20,'EV Charging Stations source'!A:AB,6,FALSE),"")</f>
        <v/>
      </c>
      <c r="E20" s="552" t="str">
        <f>IFERROR(VLOOKUP($G$7&amp;$B20,'EV Charging Stations source'!A:AB,7,FALSE),"")</f>
        <v/>
      </c>
      <c r="F20" s="553" t="str">
        <f>IFERROR(VLOOKUP($G$7&amp;$B20,'EV Charging Stations source'!A:AB,21,FALSE),"")</f>
        <v/>
      </c>
      <c r="G20" s="553" t="str">
        <f>IFERROR(VLOOKUP($G$7&amp;$B20,'EV Charging Stations source'!A:AB,22,FALSE),"")</f>
        <v/>
      </c>
      <c r="H20" s="554" t="str">
        <f>IFERROR(VLOOKUP($G$7&amp;$B20,'EV Charging Stations source'!A:AB,25,FALSE)," ")</f>
        <v xml:space="preserve"> </v>
      </c>
      <c r="I20" s="553" t="str">
        <f>IFERROR(VLOOKUP($G$7&amp;$B20,'EV Charging Stations source'!A:AB,16,FALSE)," ")</f>
        <v xml:space="preserve"> </v>
      </c>
      <c r="J20" s="971"/>
      <c r="K20" s="972"/>
    </row>
    <row r="21" spans="2:12" ht="16.5" thickBot="1" x14ac:dyDescent="0.3">
      <c r="B21" s="551">
        <v>3</v>
      </c>
      <c r="C21" s="973"/>
      <c r="D21" s="973" t="str">
        <f>IFERROR(VLOOKUP($G$7&amp;$B21,'EV Charging Stations source'!A:AB,6,FALSE),"")</f>
        <v/>
      </c>
      <c r="E21" s="552" t="str">
        <f>IFERROR(VLOOKUP($G$7&amp;$B21,'EV Charging Stations source'!A:AB,7,FALSE),"")</f>
        <v/>
      </c>
      <c r="F21" s="553" t="str">
        <f>IFERROR(VLOOKUP($G$7&amp;$B21,'EV Charging Stations source'!A:AB,21,FALSE),"")</f>
        <v/>
      </c>
      <c r="G21" s="553" t="str">
        <f>IFERROR(VLOOKUP($G$7&amp;$B21,'EV Charging Stations source'!A:AB,22,FALSE),"")</f>
        <v/>
      </c>
      <c r="H21" s="554" t="str">
        <f>IFERROR(VLOOKUP($G$7&amp;$B21,'EV Charging Stations source'!A:AB,25,FALSE)," ")</f>
        <v xml:space="preserve"> </v>
      </c>
      <c r="I21" s="553" t="str">
        <f>IFERROR(VLOOKUP($G$7&amp;$B21,'EV Charging Stations source'!A:AB,16,FALSE)," ")</f>
        <v xml:space="preserve"> </v>
      </c>
      <c r="J21" s="971"/>
      <c r="K21" s="972"/>
    </row>
    <row r="22" spans="2:12" ht="16.5" thickBot="1" x14ac:dyDescent="0.3">
      <c r="B22" s="551">
        <v>4</v>
      </c>
      <c r="C22" s="973"/>
      <c r="D22" s="973" t="str">
        <f>IFERROR(VLOOKUP($G$7&amp;$B22,'EV Charging Stations source'!A:AB,6,FALSE),"")</f>
        <v/>
      </c>
      <c r="E22" s="552" t="str">
        <f>IFERROR(VLOOKUP($G$7&amp;$B22,'EV Charging Stations source'!A:AB,7,FALSE),"")</f>
        <v/>
      </c>
      <c r="F22" s="553" t="str">
        <f>IFERROR(VLOOKUP($G$7&amp;$B22,'EV Charging Stations source'!A:AB,21,FALSE),"")</f>
        <v/>
      </c>
      <c r="G22" s="553" t="str">
        <f>IFERROR(VLOOKUP($G$7&amp;$B22,'EV Charging Stations source'!A:AB,22,FALSE),"")</f>
        <v/>
      </c>
      <c r="H22" s="554" t="str">
        <f>IFERROR(VLOOKUP($G$7&amp;$B22,'EV Charging Stations source'!A:AB,25,FALSE)," ")</f>
        <v xml:space="preserve"> </v>
      </c>
      <c r="I22" s="553" t="str">
        <f>IFERROR(VLOOKUP($G$7&amp;$B22,'EV Charging Stations source'!A:AB,16,FALSE)," ")</f>
        <v xml:space="preserve"> </v>
      </c>
      <c r="J22" s="971"/>
      <c r="K22" s="972"/>
    </row>
    <row r="23" spans="2:12" ht="16.5" thickBot="1" x14ac:dyDescent="0.3">
      <c r="B23" s="551">
        <v>5</v>
      </c>
      <c r="C23" s="973"/>
      <c r="D23" s="973" t="str">
        <f>IFERROR(VLOOKUP($G$7&amp;$B23,'EV Charging Stations source'!A:AB,6,FALSE),"")</f>
        <v/>
      </c>
      <c r="E23" s="552" t="str">
        <f>IFERROR(VLOOKUP($G$7&amp;$B23,'EV Charging Stations source'!A:AB,7,FALSE),"")</f>
        <v/>
      </c>
      <c r="F23" s="553" t="str">
        <f>IFERROR(VLOOKUP($G$7&amp;$B23,'EV Charging Stations source'!A:AB,21,FALSE),"")</f>
        <v/>
      </c>
      <c r="G23" s="553" t="str">
        <f>IFERROR(VLOOKUP($G$7&amp;$B23,'EV Charging Stations source'!A:AB,22,FALSE),"")</f>
        <v/>
      </c>
      <c r="H23" s="554" t="str">
        <f>IFERROR(VLOOKUP($G$7&amp;$B23,'EV Charging Stations source'!A:AB,25,FALSE)," ")</f>
        <v xml:space="preserve"> </v>
      </c>
      <c r="I23" s="553" t="str">
        <f>IFERROR(VLOOKUP($G$7&amp;$B23,'EV Charging Stations source'!A:AB,16,FALSE)," ")</f>
        <v xml:space="preserve"> </v>
      </c>
      <c r="J23" s="971"/>
      <c r="K23" s="972"/>
    </row>
    <row r="24" spans="2:12" ht="16.5" thickBot="1" x14ac:dyDescent="0.3">
      <c r="B24" s="551">
        <v>6</v>
      </c>
      <c r="C24" s="973"/>
      <c r="D24" s="973" t="str">
        <f>IFERROR(VLOOKUP($G$7&amp;$B24,'EV Charging Stations source'!A:AB,6,FALSE),"")</f>
        <v/>
      </c>
      <c r="E24" s="552" t="str">
        <f>IFERROR(VLOOKUP($G$7&amp;$B24,'EV Charging Stations source'!A:AB,7,FALSE),"")</f>
        <v/>
      </c>
      <c r="F24" s="553" t="str">
        <f>IFERROR(VLOOKUP($G$7&amp;$B24,'EV Charging Stations source'!A:AB,21,FALSE),"")</f>
        <v/>
      </c>
      <c r="G24" s="553" t="str">
        <f>IFERROR(VLOOKUP($G$7&amp;$B24,'EV Charging Stations source'!A:AB,22,FALSE),"")</f>
        <v/>
      </c>
      <c r="H24" s="554" t="str">
        <f>IFERROR(VLOOKUP($G$7&amp;$B24,'EV Charging Stations source'!A:AB,25,FALSE)," ")</f>
        <v xml:space="preserve"> </v>
      </c>
      <c r="I24" s="553" t="str">
        <f>IFERROR(VLOOKUP($G$7&amp;$B24,'EV Charging Stations source'!A:AB,16,FALSE)," ")</f>
        <v xml:space="preserve"> </v>
      </c>
      <c r="J24" s="971"/>
      <c r="K24" s="972"/>
    </row>
    <row r="25" spans="2:12" ht="16.5" thickBot="1" x14ac:dyDescent="0.3">
      <c r="B25" s="551">
        <v>7</v>
      </c>
      <c r="C25" s="973"/>
      <c r="D25" s="973" t="str">
        <f>IFERROR(VLOOKUP($G$7&amp;$B25,'EV Charging Stations source'!A:AB,6,FALSE),"")</f>
        <v/>
      </c>
      <c r="E25" s="552" t="str">
        <f>IFERROR(VLOOKUP($G$7&amp;$B25,'EV Charging Stations source'!A:AB,7,FALSE),"")</f>
        <v/>
      </c>
      <c r="F25" s="553" t="str">
        <f>IFERROR(VLOOKUP($G$7&amp;$B25,'EV Charging Stations source'!A:AB,21,FALSE),"")</f>
        <v/>
      </c>
      <c r="G25" s="553" t="str">
        <f>IFERROR(VLOOKUP($G$7&amp;$B25,'EV Charging Stations source'!A:AB,22,FALSE),"")</f>
        <v/>
      </c>
      <c r="H25" s="554" t="str">
        <f>IFERROR(VLOOKUP($G$7&amp;$B25,'EV Charging Stations source'!A:AB,25,FALSE)," ")</f>
        <v xml:space="preserve"> </v>
      </c>
      <c r="I25" s="553" t="str">
        <f>IFERROR(VLOOKUP($G$7&amp;$B25,'EV Charging Stations source'!A:AB,16,FALSE)," ")</f>
        <v xml:space="preserve"> </v>
      </c>
      <c r="J25" s="971"/>
      <c r="K25" s="972"/>
    </row>
    <row r="26" spans="2:12" ht="16.5" thickBot="1" x14ac:dyDescent="0.3">
      <c r="B26" s="551">
        <v>8</v>
      </c>
      <c r="C26" s="973"/>
      <c r="D26" s="973" t="str">
        <f>IFERROR(VLOOKUP($G$7&amp;$B26,'EV Charging Stations source'!A:AB,6,FALSE),"")</f>
        <v/>
      </c>
      <c r="E26" s="552" t="str">
        <f>IFERROR(VLOOKUP($G$7&amp;$B26,'EV Charging Stations source'!A:AB,7,FALSE),"")</f>
        <v/>
      </c>
      <c r="F26" s="553" t="str">
        <f>IFERROR(VLOOKUP($G$7&amp;$B26,'EV Charging Stations source'!A:AB,21,FALSE),"")</f>
        <v/>
      </c>
      <c r="G26" s="553" t="str">
        <f>IFERROR(VLOOKUP($G$7&amp;$B26,'EV Charging Stations source'!A:AB,22,FALSE),"")</f>
        <v/>
      </c>
      <c r="H26" s="554" t="str">
        <f>IFERROR(VLOOKUP($G$7&amp;$B26,'EV Charging Stations source'!A:AB,25,FALSE)," ")</f>
        <v xml:space="preserve"> </v>
      </c>
      <c r="I26" s="553" t="str">
        <f>IFERROR(VLOOKUP($G$7&amp;$B26,'EV Charging Stations source'!A:AB,16,FALSE)," ")</f>
        <v xml:space="preserve"> </v>
      </c>
      <c r="J26" s="971"/>
      <c r="K26" s="972"/>
    </row>
    <row r="27" spans="2:12" ht="16.5" thickBot="1" x14ac:dyDescent="0.3">
      <c r="B27" s="551">
        <v>9</v>
      </c>
      <c r="C27" s="973"/>
      <c r="D27" s="973" t="str">
        <f>IFERROR(VLOOKUP($G$7&amp;$B27,'EV Charging Stations source'!A:AB,6,FALSE),"")</f>
        <v/>
      </c>
      <c r="E27" s="552" t="str">
        <f>IFERROR(VLOOKUP($G$7&amp;$B27,'EV Charging Stations source'!A:AB,7,FALSE),"")</f>
        <v/>
      </c>
      <c r="F27" s="553" t="str">
        <f>IFERROR(VLOOKUP($G$7&amp;$B27,'EV Charging Stations source'!A:AB,21,FALSE),"")</f>
        <v/>
      </c>
      <c r="G27" s="553" t="str">
        <f>IFERROR(VLOOKUP($G$7&amp;$B27,'EV Charging Stations source'!A:AB,22,FALSE),"")</f>
        <v/>
      </c>
      <c r="H27" s="554" t="str">
        <f>IFERROR(VLOOKUP($G$7&amp;$B27,'EV Charging Stations source'!A:AB,25,FALSE)," ")</f>
        <v xml:space="preserve"> </v>
      </c>
      <c r="I27" s="553" t="str">
        <f>IFERROR(VLOOKUP($G$7&amp;$B27,'EV Charging Stations source'!A:AB,16,FALSE)," ")</f>
        <v xml:space="preserve"> </v>
      </c>
      <c r="J27" s="971"/>
      <c r="K27" s="972"/>
    </row>
    <row r="28" spans="2:12" ht="16.5" thickBot="1" x14ac:dyDescent="0.3">
      <c r="B28" s="551">
        <v>10</v>
      </c>
      <c r="C28" s="973"/>
      <c r="D28" s="973" t="str">
        <f>IFERROR(VLOOKUP($G$7&amp;$B28,'EV Charging Stations source'!A:AB,6,FALSE),"")</f>
        <v/>
      </c>
      <c r="E28" s="552" t="str">
        <f>IFERROR(VLOOKUP($G$7&amp;$B28,'EV Charging Stations source'!A:AB,7,FALSE),"")</f>
        <v/>
      </c>
      <c r="F28" s="553" t="str">
        <f>IFERROR(VLOOKUP($G$7&amp;$B28,'EV Charging Stations source'!A:AB,21,FALSE),"")</f>
        <v/>
      </c>
      <c r="G28" s="553" t="str">
        <f>IFERROR(VLOOKUP($G$7&amp;$B28,'EV Charging Stations source'!A:AB,22,FALSE),"")</f>
        <v/>
      </c>
      <c r="H28" s="554" t="str">
        <f>IFERROR(VLOOKUP($G$7&amp;$B28,'EV Charging Stations source'!A:AB,25,FALSE)," ")</f>
        <v xml:space="preserve"> </v>
      </c>
      <c r="I28" s="553" t="str">
        <f>IFERROR(VLOOKUP($G$7&amp;$B28,'EV Charging Stations source'!A:AB,16,FALSE)," ")</f>
        <v xml:space="preserve"> </v>
      </c>
      <c r="J28" s="971"/>
      <c r="K28" s="972"/>
    </row>
    <row r="29" spans="2:12" ht="16.5" thickBot="1" x14ac:dyDescent="0.3">
      <c r="B29" s="551">
        <v>11</v>
      </c>
      <c r="C29" s="973"/>
      <c r="D29" s="973" t="str">
        <f>IFERROR(VLOOKUP($G$7&amp;$B29,'EV Charging Stations source'!A:AB,6,FALSE),"")</f>
        <v/>
      </c>
      <c r="E29" s="552" t="str">
        <f>IFERROR(VLOOKUP($G$7&amp;$B29,'EV Charging Stations source'!A:AB,7,FALSE),"")</f>
        <v/>
      </c>
      <c r="F29" s="553" t="str">
        <f>IFERROR(VLOOKUP($G$7&amp;$B29,'EV Charging Stations source'!A:AB,21,FALSE),"")</f>
        <v/>
      </c>
      <c r="G29" s="553" t="str">
        <f>IFERROR(VLOOKUP($G$7&amp;$B29,'EV Charging Stations source'!A:AB,22,FALSE),"")</f>
        <v/>
      </c>
      <c r="H29" s="554" t="str">
        <f>IFERROR(VLOOKUP($G$7&amp;$B29,'EV Charging Stations source'!A:AB,25,FALSE)," ")</f>
        <v xml:space="preserve"> </v>
      </c>
      <c r="I29" s="553" t="str">
        <f>IFERROR(VLOOKUP($G$7&amp;$B29,'EV Charging Stations source'!A:AB,16,FALSE)," ")</f>
        <v xml:space="preserve"> </v>
      </c>
      <c r="J29" s="971"/>
      <c r="K29" s="972"/>
    </row>
    <row r="30" spans="2:12" ht="16.5" thickBot="1" x14ac:dyDescent="0.3">
      <c r="B30" s="551">
        <v>12</v>
      </c>
      <c r="C30" s="973"/>
      <c r="D30" s="973" t="str">
        <f>IFERROR(VLOOKUP($G$7&amp;$B30,'EV Charging Stations source'!A:AB,6,FALSE),"")</f>
        <v/>
      </c>
      <c r="E30" s="552" t="str">
        <f>IFERROR(VLOOKUP($G$7&amp;$B30,'EV Charging Stations source'!A:AB,7,FALSE),"")</f>
        <v/>
      </c>
      <c r="F30" s="553" t="str">
        <f>IFERROR(VLOOKUP($G$7&amp;$B30,'EV Charging Stations source'!A:AB,21,FALSE),"")</f>
        <v/>
      </c>
      <c r="G30" s="553" t="str">
        <f>IFERROR(VLOOKUP($G$7&amp;$B30,'EV Charging Stations source'!A:AB,22,FALSE),"")</f>
        <v/>
      </c>
      <c r="H30" s="554" t="str">
        <f>IFERROR(VLOOKUP($G$7&amp;$B30,'EV Charging Stations source'!A:AB,25,FALSE)," ")</f>
        <v xml:space="preserve"> </v>
      </c>
      <c r="I30" s="553" t="str">
        <f>IFERROR(VLOOKUP($G$7&amp;$B30,'EV Charging Stations source'!A:AB,16,FALSE)," ")</f>
        <v xml:space="preserve"> </v>
      </c>
      <c r="J30" s="971"/>
      <c r="K30" s="972"/>
    </row>
    <row r="31" spans="2:12" ht="16.5" thickBot="1" x14ac:dyDescent="0.3">
      <c r="B31" s="551">
        <v>13</v>
      </c>
      <c r="C31" s="973"/>
      <c r="D31" s="973" t="str">
        <f>IFERROR(VLOOKUP($G$7&amp;$B31,'EV Charging Stations source'!A:AB,6,FALSE),"")</f>
        <v/>
      </c>
      <c r="E31" s="552" t="str">
        <f>IFERROR(VLOOKUP($G$7&amp;$B31,'EV Charging Stations source'!A:AB,7,FALSE),"")</f>
        <v/>
      </c>
      <c r="F31" s="553" t="str">
        <f>IFERROR(VLOOKUP($G$7&amp;$B31,'EV Charging Stations source'!A:AB,21,FALSE),"")</f>
        <v/>
      </c>
      <c r="G31" s="553" t="str">
        <f>IFERROR(VLOOKUP($G$7&amp;$B31,'EV Charging Stations source'!A:AB,22,FALSE),"")</f>
        <v/>
      </c>
      <c r="H31" s="554" t="str">
        <f>IFERROR(VLOOKUP($G$7&amp;$B31,'EV Charging Stations source'!A:AB,25,FALSE)," ")</f>
        <v xml:space="preserve"> </v>
      </c>
      <c r="I31" s="553" t="str">
        <f>IFERROR(VLOOKUP($G$7&amp;$B31,'EV Charging Stations source'!A:AB,16,FALSE)," ")</f>
        <v xml:space="preserve"> </v>
      </c>
      <c r="J31" s="971"/>
      <c r="K31" s="972"/>
    </row>
    <row r="32" spans="2:12" ht="16.5" thickBot="1" x14ac:dyDescent="0.3">
      <c r="B32" s="551">
        <v>14</v>
      </c>
      <c r="C32" s="973"/>
      <c r="D32" s="973" t="str">
        <f>IFERROR(VLOOKUP($G$7&amp;$B32,'EV Charging Stations source'!A:AB,6,FALSE),"")</f>
        <v/>
      </c>
      <c r="E32" s="552" t="str">
        <f>IFERROR(VLOOKUP($G$7&amp;$B32,'EV Charging Stations source'!A:AB,7,FALSE),"")</f>
        <v/>
      </c>
      <c r="F32" s="553" t="str">
        <f>IFERROR(VLOOKUP($G$7&amp;$B32,'EV Charging Stations source'!A:AB,21,FALSE),"")</f>
        <v/>
      </c>
      <c r="G32" s="553" t="str">
        <f>IFERROR(VLOOKUP($G$7&amp;$B32,'EV Charging Stations source'!A:AB,22,FALSE),"")</f>
        <v/>
      </c>
      <c r="H32" s="554" t="str">
        <f>IFERROR(VLOOKUP($G$7&amp;$B32,'EV Charging Stations source'!A:AB,25,FALSE)," ")</f>
        <v xml:space="preserve"> </v>
      </c>
      <c r="I32" s="553" t="str">
        <f>IFERROR(VLOOKUP($G$7&amp;$B32,'EV Charging Stations source'!A:AB,16,FALSE)," ")</f>
        <v xml:space="preserve"> </v>
      </c>
      <c r="J32" s="971"/>
      <c r="K32" s="972"/>
    </row>
    <row r="33" spans="2:12" ht="16.5" thickBot="1" x14ac:dyDescent="0.3">
      <c r="B33" s="551">
        <v>15</v>
      </c>
      <c r="C33" s="973"/>
      <c r="D33" s="973" t="str">
        <f>IFERROR(VLOOKUP($G$7&amp;$B33,'EV Charging Stations source'!A:AB,6,FALSE),"")</f>
        <v/>
      </c>
      <c r="E33" s="552" t="str">
        <f>IFERROR(VLOOKUP($G$7&amp;$B33,'EV Charging Stations source'!A:AB,7,FALSE),"")</f>
        <v/>
      </c>
      <c r="F33" s="553" t="str">
        <f>IFERROR(VLOOKUP($G$7&amp;$B33,'EV Charging Stations source'!A:AB,21,FALSE),"")</f>
        <v/>
      </c>
      <c r="G33" s="553" t="str">
        <f>IFERROR(VLOOKUP($G$7&amp;$B33,'EV Charging Stations source'!A:AB,22,FALSE),"")</f>
        <v/>
      </c>
      <c r="H33" s="554" t="str">
        <f>IFERROR(VLOOKUP($G$7&amp;$B33,'EV Charging Stations source'!A:AB,25,FALSE)," ")</f>
        <v xml:space="preserve"> </v>
      </c>
      <c r="I33" s="553" t="str">
        <f>IFERROR(VLOOKUP($G$7&amp;$B33,'EV Charging Stations source'!A:AB,16,FALSE)," ")</f>
        <v xml:space="preserve"> </v>
      </c>
      <c r="J33" s="971"/>
      <c r="K33" s="972"/>
    </row>
    <row r="34" spans="2:12" ht="16.5" thickBot="1" x14ac:dyDescent="0.3">
      <c r="B34" s="551">
        <v>16</v>
      </c>
      <c r="C34" s="973"/>
      <c r="D34" s="973" t="str">
        <f>IFERROR(VLOOKUP($G$7&amp;$B34,'EV Charging Stations source'!A:AB,6,FALSE),"")</f>
        <v/>
      </c>
      <c r="E34" s="552" t="str">
        <f>IFERROR(VLOOKUP($G$7&amp;$B34,'EV Charging Stations source'!A:AB,7,FALSE),"")</f>
        <v/>
      </c>
      <c r="F34" s="553" t="str">
        <f>IFERROR(VLOOKUP($G$7&amp;$B34,'EV Charging Stations source'!A:AB,21,FALSE),"")</f>
        <v/>
      </c>
      <c r="G34" s="553" t="str">
        <f>IFERROR(VLOOKUP($G$7&amp;$B34,'EV Charging Stations source'!A:AB,22,FALSE),"")</f>
        <v/>
      </c>
      <c r="H34" s="554" t="str">
        <f>IFERROR(VLOOKUP($G$7&amp;$B34,'EV Charging Stations source'!A:AB,25,FALSE)," ")</f>
        <v xml:space="preserve"> </v>
      </c>
      <c r="I34" s="553" t="str">
        <f>IFERROR(VLOOKUP($G$7&amp;$B34,'EV Charging Stations source'!A:AB,16,FALSE)," ")</f>
        <v xml:space="preserve"> </v>
      </c>
      <c r="J34" s="971"/>
      <c r="K34" s="972"/>
    </row>
    <row r="35" spans="2:12" ht="16.5" thickBot="1" x14ac:dyDescent="0.3">
      <c r="B35" s="551">
        <v>17</v>
      </c>
      <c r="C35" s="973"/>
      <c r="D35" s="973" t="str">
        <f>IFERROR(VLOOKUP($G$7&amp;$B35,'EV Charging Stations source'!A:AB,6,FALSE),"")</f>
        <v/>
      </c>
      <c r="E35" s="552" t="str">
        <f>IFERROR(VLOOKUP($G$7&amp;$B35,'EV Charging Stations source'!A:AB,7,FALSE),"")</f>
        <v/>
      </c>
      <c r="F35" s="553" t="str">
        <f>IFERROR(VLOOKUP($G$7&amp;$B35,'EV Charging Stations source'!A:AB,21,FALSE),"")</f>
        <v/>
      </c>
      <c r="G35" s="553" t="str">
        <f>IFERROR(VLOOKUP($G$7&amp;$B35,'EV Charging Stations source'!A:AB,22,FALSE),"")</f>
        <v/>
      </c>
      <c r="H35" s="554" t="str">
        <f>IFERROR(VLOOKUP($G$7&amp;$B35,'EV Charging Stations source'!A:AB,25,FALSE)," ")</f>
        <v xml:space="preserve"> </v>
      </c>
      <c r="I35" s="553" t="str">
        <f>IFERROR(VLOOKUP($G$7&amp;$B35,'EV Charging Stations source'!A:AB,16,FALSE)," ")</f>
        <v xml:space="preserve"> </v>
      </c>
      <c r="J35" s="971"/>
      <c r="K35" s="972"/>
    </row>
    <row r="36" spans="2:12" ht="16.5" thickBot="1" x14ac:dyDescent="0.3">
      <c r="B36" s="551">
        <v>18</v>
      </c>
      <c r="C36" s="973"/>
      <c r="D36" s="973" t="str">
        <f>IFERROR(VLOOKUP($G$7&amp;$B36,'EV Charging Stations source'!A:AB,6,FALSE),"")</f>
        <v/>
      </c>
      <c r="E36" s="552" t="str">
        <f>IFERROR(VLOOKUP($G$7&amp;$B36,'EV Charging Stations source'!A:AB,7,FALSE),"")</f>
        <v/>
      </c>
      <c r="F36" s="553" t="str">
        <f>IFERROR(VLOOKUP($G$7&amp;$B36,'EV Charging Stations source'!A:AB,21,FALSE),"")</f>
        <v/>
      </c>
      <c r="G36" s="553" t="str">
        <f>IFERROR(VLOOKUP($G$7&amp;$B36,'EV Charging Stations source'!A:AB,22,FALSE),"")</f>
        <v/>
      </c>
      <c r="H36" s="554" t="str">
        <f>IFERROR(VLOOKUP($G$7&amp;$B36,'EV Charging Stations source'!A:AB,25,FALSE)," ")</f>
        <v xml:space="preserve"> </v>
      </c>
      <c r="I36" s="553" t="str">
        <f>IFERROR(VLOOKUP($G$7&amp;$B36,'EV Charging Stations source'!A:AB,16,FALSE)," ")</f>
        <v xml:space="preserve"> </v>
      </c>
      <c r="J36" s="971"/>
      <c r="K36" s="972"/>
    </row>
    <row r="37" spans="2:12" ht="16.5" thickBot="1" x14ac:dyDescent="0.3">
      <c r="B37" s="551">
        <v>19</v>
      </c>
      <c r="C37" s="973"/>
      <c r="D37" s="973" t="str">
        <f>IFERROR(VLOOKUP($G$7&amp;$B37,'EV Charging Stations source'!A:AB,6,FALSE),"")</f>
        <v/>
      </c>
      <c r="E37" s="552" t="str">
        <f>IFERROR(VLOOKUP($G$7&amp;$B37,'EV Charging Stations source'!A:AB,7,FALSE),"")</f>
        <v/>
      </c>
      <c r="F37" s="553" t="str">
        <f>IFERROR(VLOOKUP($G$7&amp;$B37,'EV Charging Stations source'!A:AB,21,FALSE),"")</f>
        <v/>
      </c>
      <c r="G37" s="553" t="str">
        <f>IFERROR(VLOOKUP($G$7&amp;$B37,'EV Charging Stations source'!A:AB,22,FALSE),"")</f>
        <v/>
      </c>
      <c r="H37" s="554" t="str">
        <f>IFERROR(VLOOKUP($G$7&amp;$B37,'EV Charging Stations source'!A:AB,25,FALSE)," ")</f>
        <v xml:space="preserve"> </v>
      </c>
      <c r="I37" s="553" t="str">
        <f>IFERROR(VLOOKUP($G$7&amp;$B37,'EV Charging Stations source'!A:AB,16,FALSE)," ")</f>
        <v xml:space="preserve"> </v>
      </c>
      <c r="J37" s="971"/>
      <c r="K37" s="972"/>
    </row>
    <row r="38" spans="2:12" ht="16.5" thickBot="1" x14ac:dyDescent="0.3">
      <c r="B38" s="551">
        <v>20</v>
      </c>
      <c r="C38" s="973"/>
      <c r="D38" s="973" t="str">
        <f>IFERROR(VLOOKUP($G$7&amp;$B38,'EV Charging Stations source'!A:AB,6,FALSE),"")</f>
        <v/>
      </c>
      <c r="E38" s="552" t="str">
        <f>IFERROR(VLOOKUP($G$7&amp;$B38,'EV Charging Stations source'!A:AB,7,FALSE),"")</f>
        <v/>
      </c>
      <c r="F38" s="553" t="str">
        <f>IFERROR(VLOOKUP($G$7&amp;$B38,'EV Charging Stations source'!A:AB,21,FALSE),"")</f>
        <v/>
      </c>
      <c r="G38" s="553" t="str">
        <f>IFERROR(VLOOKUP($G$7&amp;$B38,'EV Charging Stations source'!A:AB,22,FALSE),"")</f>
        <v/>
      </c>
      <c r="H38" s="554" t="str">
        <f>IFERROR(VLOOKUP($G$7&amp;$B38,'EV Charging Stations source'!A:AB,25,FALSE)," ")</f>
        <v xml:space="preserve"> </v>
      </c>
      <c r="I38" s="553" t="str">
        <f>IFERROR(VLOOKUP($G$7&amp;$B38,'EV Charging Stations source'!A:AB,16,FALSE)," ")</f>
        <v xml:space="preserve"> </v>
      </c>
      <c r="J38" s="971"/>
      <c r="K38" s="972"/>
    </row>
    <row r="39" spans="2:12" ht="19.5" thickBot="1" x14ac:dyDescent="0.3">
      <c r="B39" s="967" t="s">
        <v>1150</v>
      </c>
      <c r="C39" s="967"/>
      <c r="D39" s="967"/>
      <c r="E39" s="967"/>
      <c r="F39" s="967"/>
      <c r="G39" s="967"/>
      <c r="H39" s="967"/>
      <c r="I39" s="967"/>
      <c r="J39" s="967"/>
      <c r="K39" s="967"/>
      <c r="L39" s="175"/>
    </row>
    <row r="40" spans="2:12" ht="16.5" thickBot="1" x14ac:dyDescent="0.3">
      <c r="B40" s="425"/>
      <c r="C40" s="969"/>
      <c r="D40" s="970"/>
      <c r="E40" s="425"/>
      <c r="F40" s="242" t="s">
        <v>1148</v>
      </c>
      <c r="G40" s="242" t="s">
        <v>1148</v>
      </c>
      <c r="H40" s="425"/>
      <c r="I40" s="242" t="s">
        <v>1148</v>
      </c>
      <c r="J40" s="971"/>
      <c r="K40" s="972"/>
    </row>
    <row r="41" spans="2:12" ht="16.5" thickBot="1" x14ac:dyDescent="0.3">
      <c r="B41" s="425"/>
      <c r="C41" s="969"/>
      <c r="D41" s="970"/>
      <c r="E41" s="425"/>
      <c r="F41" s="242" t="s">
        <v>1148</v>
      </c>
      <c r="G41" s="242" t="s">
        <v>1148</v>
      </c>
      <c r="H41" s="425"/>
      <c r="I41" s="242" t="s">
        <v>1148</v>
      </c>
      <c r="J41" s="971"/>
      <c r="K41" s="972"/>
    </row>
    <row r="42" spans="2:12" ht="16.5" thickBot="1" x14ac:dyDescent="0.3">
      <c r="B42" s="425"/>
      <c r="C42" s="969"/>
      <c r="D42" s="970"/>
      <c r="E42" s="425"/>
      <c r="F42" s="242" t="s">
        <v>1148</v>
      </c>
      <c r="G42" s="242" t="s">
        <v>1148</v>
      </c>
      <c r="H42" s="425"/>
      <c r="I42" s="242" t="s">
        <v>1148</v>
      </c>
      <c r="J42" s="971"/>
      <c r="K42" s="972"/>
    </row>
    <row r="43" spans="2:12" ht="16.5" thickBot="1" x14ac:dyDescent="0.3">
      <c r="B43" s="425"/>
      <c r="C43" s="969"/>
      <c r="D43" s="970"/>
      <c r="E43" s="425"/>
      <c r="F43" s="242" t="s">
        <v>1148</v>
      </c>
      <c r="G43" s="242" t="s">
        <v>1148</v>
      </c>
      <c r="H43" s="425"/>
      <c r="I43" s="242" t="s">
        <v>1148</v>
      </c>
      <c r="J43" s="971"/>
      <c r="K43" s="972"/>
    </row>
    <row r="44" spans="2:12" ht="16.5" thickBot="1" x14ac:dyDescent="0.3">
      <c r="B44" s="425"/>
      <c r="C44" s="969"/>
      <c r="D44" s="970"/>
      <c r="E44" s="425"/>
      <c r="F44" s="242" t="s">
        <v>1148</v>
      </c>
      <c r="G44" s="242" t="s">
        <v>1148</v>
      </c>
      <c r="H44" s="425"/>
      <c r="I44" s="242" t="s">
        <v>1148</v>
      </c>
      <c r="J44" s="971"/>
      <c r="K44" s="972"/>
    </row>
    <row r="45" spans="2:12" ht="23.25" customHeight="1" x14ac:dyDescent="0.25">
      <c r="B45" s="555"/>
      <c r="C45" s="555"/>
      <c r="D45" s="555"/>
      <c r="E45" s="556"/>
      <c r="F45" s="556"/>
      <c r="G45" s="556"/>
      <c r="H45" s="556"/>
      <c r="I45" s="557"/>
      <c r="J45" s="557"/>
      <c r="K45" s="545"/>
      <c r="L45" s="556"/>
    </row>
    <row r="46" spans="2:12" s="546" customFormat="1" ht="23.25" customHeight="1" x14ac:dyDescent="0.25">
      <c r="B46" s="968" t="s">
        <v>1122</v>
      </c>
      <c r="C46" s="968"/>
      <c r="D46" s="968"/>
      <c r="E46" s="968"/>
      <c r="F46" s="968"/>
      <c r="G46" s="968"/>
      <c r="H46" s="968"/>
      <c r="I46" s="968"/>
      <c r="J46" s="968"/>
      <c r="K46" s="968"/>
      <c r="L46" s="182"/>
    </row>
    <row r="47" spans="2:12" s="546" customFormat="1" ht="21" customHeight="1" x14ac:dyDescent="0.25">
      <c r="B47" s="898" t="s">
        <v>1268</v>
      </c>
      <c r="C47" s="898"/>
      <c r="D47" s="898"/>
      <c r="E47" s="898"/>
      <c r="F47" s="898"/>
      <c r="G47" s="898"/>
      <c r="H47" s="898"/>
      <c r="I47" s="898"/>
      <c r="J47" s="898"/>
      <c r="K47" s="898"/>
      <c r="L47" s="182"/>
    </row>
    <row r="48" spans="2:12" ht="18.75" customHeight="1" thickBot="1" x14ac:dyDescent="0.3">
      <c r="B48" s="982" t="s">
        <v>1151</v>
      </c>
      <c r="C48" s="982"/>
      <c r="D48" s="982"/>
      <c r="E48" s="982"/>
      <c r="F48" s="982"/>
      <c r="G48" s="982"/>
      <c r="H48" s="982"/>
      <c r="I48" s="982"/>
      <c r="J48" s="982"/>
      <c r="K48" s="982"/>
      <c r="L48" s="181"/>
    </row>
    <row r="49" spans="1:12" ht="48.75" customHeight="1" thickBot="1" x14ac:dyDescent="0.3">
      <c r="B49" s="426"/>
      <c r="C49" s="979" t="s">
        <v>105</v>
      </c>
      <c r="D49" s="979"/>
      <c r="E49" s="426" t="s">
        <v>106</v>
      </c>
      <c r="F49" s="426" t="s">
        <v>690</v>
      </c>
      <c r="G49" s="284" t="s">
        <v>630</v>
      </c>
      <c r="H49" s="284" t="s">
        <v>631</v>
      </c>
      <c r="I49" s="426" t="s">
        <v>761</v>
      </c>
      <c r="J49" s="426"/>
      <c r="K49" s="426" t="s">
        <v>224</v>
      </c>
    </row>
    <row r="50" spans="1:12" ht="18.75" customHeight="1" thickBot="1" x14ac:dyDescent="0.3">
      <c r="B50" s="425"/>
      <c r="C50" s="969"/>
      <c r="D50" s="970"/>
      <c r="E50" s="425"/>
      <c r="F50" s="242" t="s">
        <v>1148</v>
      </c>
      <c r="G50" s="242" t="s">
        <v>1148</v>
      </c>
      <c r="H50" s="425"/>
      <c r="I50" s="242" t="s">
        <v>1148</v>
      </c>
      <c r="J50" s="425"/>
      <c r="K50" s="425"/>
    </row>
    <row r="51" spans="1:12" ht="16.5" thickBot="1" x14ac:dyDescent="0.3">
      <c r="B51" s="425"/>
      <c r="C51" s="969"/>
      <c r="D51" s="970"/>
      <c r="E51" s="425"/>
      <c r="F51" s="242" t="s">
        <v>1148</v>
      </c>
      <c r="G51" s="242" t="s">
        <v>1148</v>
      </c>
      <c r="H51" s="425"/>
      <c r="I51" s="242" t="s">
        <v>1148</v>
      </c>
      <c r="J51" s="425"/>
      <c r="K51" s="425"/>
    </row>
    <row r="52" spans="1:12" ht="16.5" thickBot="1" x14ac:dyDescent="0.3">
      <c r="B52" s="425"/>
      <c r="C52" s="969"/>
      <c r="D52" s="970"/>
      <c r="E52" s="425"/>
      <c r="F52" s="242" t="s">
        <v>1148</v>
      </c>
      <c r="G52" s="242" t="s">
        <v>1148</v>
      </c>
      <c r="H52" s="425"/>
      <c r="I52" s="242" t="s">
        <v>1148</v>
      </c>
      <c r="J52" s="425"/>
      <c r="K52" s="425"/>
    </row>
    <row r="53" spans="1:12" ht="16.5" thickBot="1" x14ac:dyDescent="0.3">
      <c r="B53" s="425"/>
      <c r="C53" s="969"/>
      <c r="D53" s="970"/>
      <c r="E53" s="425"/>
      <c r="F53" s="242" t="s">
        <v>1148</v>
      </c>
      <c r="G53" s="242" t="s">
        <v>1148</v>
      </c>
      <c r="H53" s="425"/>
      <c r="I53" s="242" t="s">
        <v>1148</v>
      </c>
      <c r="J53" s="425"/>
      <c r="K53" s="425"/>
    </row>
    <row r="54" spans="1:12" ht="16.5" thickBot="1" x14ac:dyDescent="0.3">
      <c r="B54" s="425"/>
      <c r="C54" s="969"/>
      <c r="D54" s="970"/>
      <c r="E54" s="425"/>
      <c r="F54" s="242" t="s">
        <v>1148</v>
      </c>
      <c r="G54" s="242" t="s">
        <v>1148</v>
      </c>
      <c r="H54" s="425"/>
      <c r="I54" s="242" t="s">
        <v>1148</v>
      </c>
      <c r="J54" s="425"/>
      <c r="K54" s="425"/>
    </row>
    <row r="55" spans="1:12" ht="16.5" thickBot="1" x14ac:dyDescent="0.3">
      <c r="B55" s="425"/>
      <c r="C55" s="969"/>
      <c r="D55" s="970"/>
      <c r="E55" s="425"/>
      <c r="F55" s="242" t="s">
        <v>1148</v>
      </c>
      <c r="G55" s="242" t="s">
        <v>1148</v>
      </c>
      <c r="H55" s="425"/>
      <c r="I55" s="242" t="s">
        <v>1148</v>
      </c>
      <c r="J55" s="425"/>
      <c r="K55" s="425"/>
    </row>
    <row r="56" spans="1:12" ht="16.5" thickBot="1" x14ac:dyDescent="0.3">
      <c r="B56" s="425"/>
      <c r="C56" s="969"/>
      <c r="D56" s="970"/>
      <c r="E56" s="425"/>
      <c r="F56" s="242" t="s">
        <v>1148</v>
      </c>
      <c r="G56" s="242" t="s">
        <v>1148</v>
      </c>
      <c r="H56" s="425"/>
      <c r="I56" s="242" t="s">
        <v>1148</v>
      </c>
      <c r="J56" s="425"/>
      <c r="K56" s="425"/>
    </row>
    <row r="57" spans="1:12" ht="16.5" thickBot="1" x14ac:dyDescent="0.3">
      <c r="B57" s="425"/>
      <c r="C57" s="969"/>
      <c r="D57" s="970"/>
      <c r="E57" s="425"/>
      <c r="F57" s="242" t="s">
        <v>1148</v>
      </c>
      <c r="G57" s="242" t="s">
        <v>1148</v>
      </c>
      <c r="H57" s="425"/>
      <c r="I57" s="242" t="s">
        <v>1148</v>
      </c>
      <c r="J57" s="425"/>
      <c r="K57" s="425"/>
    </row>
    <row r="58" spans="1:12" ht="16.5" thickBot="1" x14ac:dyDescent="0.3">
      <c r="B58" s="425"/>
      <c r="C58" s="969"/>
      <c r="D58" s="970"/>
      <c r="E58" s="425"/>
      <c r="F58" s="242" t="s">
        <v>1148</v>
      </c>
      <c r="G58" s="242" t="s">
        <v>1148</v>
      </c>
      <c r="H58" s="425"/>
      <c r="I58" s="242" t="s">
        <v>1148</v>
      </c>
      <c r="J58" s="425"/>
      <c r="K58" s="425"/>
    </row>
    <row r="59" spans="1:12" ht="16.5" thickBot="1" x14ac:dyDescent="0.3">
      <c r="B59" s="425"/>
      <c r="C59" s="969"/>
      <c r="D59" s="970"/>
      <c r="E59" s="425"/>
      <c r="F59" s="242" t="s">
        <v>1148</v>
      </c>
      <c r="G59" s="242" t="s">
        <v>1148</v>
      </c>
      <c r="H59" s="425"/>
      <c r="I59" s="242" t="s">
        <v>1148</v>
      </c>
      <c r="J59" s="425"/>
      <c r="K59" s="425"/>
    </row>
    <row r="60" spans="1:12" ht="0.75" customHeight="1" thickBot="1" x14ac:dyDescent="0.3">
      <c r="F60" s="242" t="s">
        <v>1148</v>
      </c>
    </row>
    <row r="61" spans="1:12" ht="15.75" customHeight="1" x14ac:dyDescent="0.25"/>
    <row r="62" spans="1:12" x14ac:dyDescent="0.25"/>
    <row r="63" spans="1:12" s="19" customFormat="1" ht="23.25" customHeight="1" thickBot="1" x14ac:dyDescent="0.3">
      <c r="A63" s="545"/>
      <c r="B63" s="977" t="s">
        <v>698</v>
      </c>
      <c r="C63" s="977"/>
      <c r="D63" s="977"/>
      <c r="E63" s="977"/>
      <c r="F63" s="977"/>
      <c r="G63" s="977"/>
      <c r="H63" s="978"/>
      <c r="I63" s="975" t="s">
        <v>1148</v>
      </c>
      <c r="J63" s="976"/>
      <c r="K63" s="976"/>
    </row>
    <row r="64" spans="1:12" s="19" customFormat="1" ht="23.25" customHeight="1" x14ac:dyDescent="0.25">
      <c r="A64" s="540"/>
      <c r="B64" s="984" t="str">
        <f>IF(I63="yes","Please provide details or provide attachment/link to this form below","")</f>
        <v/>
      </c>
      <c r="C64" s="984"/>
      <c r="D64" s="984"/>
      <c r="E64" s="984"/>
      <c r="F64" s="984"/>
      <c r="G64" s="984"/>
      <c r="H64" s="984"/>
      <c r="I64" s="984"/>
      <c r="J64" s="984"/>
      <c r="K64" s="984"/>
      <c r="L64" s="545"/>
    </row>
    <row r="65" spans="1:12" s="19" customFormat="1" ht="48.75" customHeight="1" x14ac:dyDescent="0.25">
      <c r="A65" s="540"/>
      <c r="B65" s="983"/>
      <c r="C65" s="983"/>
      <c r="D65" s="983"/>
      <c r="E65" s="983"/>
      <c r="F65" s="983"/>
      <c r="G65" s="983"/>
      <c r="H65" s="983"/>
      <c r="I65" s="983"/>
      <c r="J65" s="983"/>
      <c r="K65" s="983"/>
      <c r="L65" s="545"/>
    </row>
    <row r="66" spans="1:12" x14ac:dyDescent="0.25"/>
    <row r="67" spans="1:12" ht="23.25" customHeight="1" thickBot="1" x14ac:dyDescent="0.3">
      <c r="A67" s="545"/>
      <c r="B67" s="977" t="s">
        <v>699</v>
      </c>
      <c r="C67" s="977"/>
      <c r="D67" s="977"/>
      <c r="E67" s="977"/>
      <c r="F67" s="977"/>
      <c r="G67" s="977"/>
      <c r="H67" s="978"/>
      <c r="I67" s="975" t="s">
        <v>1148</v>
      </c>
      <c r="J67" s="976"/>
      <c r="K67" s="976"/>
      <c r="L67" s="540"/>
    </row>
    <row r="68" spans="1:12" ht="23.25" customHeight="1" x14ac:dyDescent="0.25">
      <c r="B68" s="980" t="str">
        <f>IF(I67="yes","Please list network provider and the % of stations covered below","")</f>
        <v/>
      </c>
      <c r="C68" s="980"/>
      <c r="D68" s="980"/>
      <c r="E68" s="980"/>
      <c r="F68" s="980"/>
      <c r="G68" s="980"/>
      <c r="H68" s="980"/>
      <c r="I68" s="980"/>
      <c r="J68" s="980"/>
      <c r="K68" s="980"/>
    </row>
    <row r="69" spans="1:12" ht="53.25" customHeight="1" x14ac:dyDescent="0.25">
      <c r="B69" s="981"/>
      <c r="C69" s="981"/>
      <c r="D69" s="981"/>
      <c r="E69" s="981"/>
      <c r="F69" s="981"/>
      <c r="G69" s="981"/>
      <c r="H69" s="981"/>
      <c r="I69" s="981"/>
      <c r="J69" s="981"/>
      <c r="K69" s="981"/>
    </row>
    <row r="70" spans="1:12" x14ac:dyDescent="0.25"/>
    <row r="71" spans="1:12" x14ac:dyDescent="0.25"/>
    <row r="72" spans="1:12" x14ac:dyDescent="0.25"/>
    <row r="73" spans="1:12" x14ac:dyDescent="0.25"/>
    <row r="74" spans="1:12" x14ac:dyDescent="0.25"/>
    <row r="75" spans="1:12" x14ac:dyDescent="0.25"/>
    <row r="76" spans="1:12" x14ac:dyDescent="0.25"/>
    <row r="77" spans="1:12" x14ac:dyDescent="0.25"/>
    <row r="78" spans="1:12" x14ac:dyDescent="0.25"/>
    <row r="79" spans="1:12" x14ac:dyDescent="0.25"/>
    <row r="80" spans="1: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sheetData>
  <sheetProtection password="CC30" sheet="1" objects="1" scenarios="1" selectLockedCells="1"/>
  <mergeCells count="89">
    <mergeCell ref="B68:K68"/>
    <mergeCell ref="B69:K69"/>
    <mergeCell ref="B48:K48"/>
    <mergeCell ref="I63:K63"/>
    <mergeCell ref="B63:H63"/>
    <mergeCell ref="C55:D55"/>
    <mergeCell ref="C56:D56"/>
    <mergeCell ref="C57:D57"/>
    <mergeCell ref="C58:D58"/>
    <mergeCell ref="C59:D59"/>
    <mergeCell ref="C50:D50"/>
    <mergeCell ref="C51:D51"/>
    <mergeCell ref="C52:D52"/>
    <mergeCell ref="C53:D53"/>
    <mergeCell ref="B65:K65"/>
    <mergeCell ref="B64:K64"/>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28:D28"/>
    <mergeCell ref="C34:D34"/>
    <mergeCell ref="I67:K67"/>
    <mergeCell ref="B67:H67"/>
    <mergeCell ref="C54:D54"/>
    <mergeCell ref="C49:D49"/>
    <mergeCell ref="J43:K43"/>
    <mergeCell ref="J44:K44"/>
    <mergeCell ref="J35:K35"/>
    <mergeCell ref="J36:K36"/>
    <mergeCell ref="J37:K37"/>
    <mergeCell ref="J38:K38"/>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C19:D19"/>
    <mergeCell ref="C20:D20"/>
    <mergeCell ref="C21:D21"/>
    <mergeCell ref="C22:D22"/>
    <mergeCell ref="C23:D23"/>
    <mergeCell ref="B39:K39"/>
    <mergeCell ref="B46:K46"/>
    <mergeCell ref="B47:K47"/>
    <mergeCell ref="C42:D42"/>
    <mergeCell ref="C43:D43"/>
    <mergeCell ref="C44:D44"/>
    <mergeCell ref="J41:K41"/>
    <mergeCell ref="J42:K42"/>
    <mergeCell ref="C40:D40"/>
    <mergeCell ref="C41:D41"/>
    <mergeCell ref="J40:K40"/>
    <mergeCell ref="B16:K16"/>
    <mergeCell ref="B17:K17"/>
    <mergeCell ref="B10:K10"/>
    <mergeCell ref="B15:K15"/>
    <mergeCell ref="E7:F7"/>
    <mergeCell ref="B14:K14"/>
    <mergeCell ref="G7:I7"/>
    <mergeCell ref="C11:K11"/>
    <mergeCell ref="C12:K12"/>
    <mergeCell ref="B2:D5"/>
    <mergeCell ref="B1:K1"/>
    <mergeCell ref="E2:K3"/>
    <mergeCell ref="E4:K4"/>
    <mergeCell ref="E5:K5"/>
  </mergeCells>
  <conditionalFormatting sqref="B68:K68">
    <cfRule type="expression" dxfId="27" priority="2">
      <formula>$I$67="yes"</formula>
    </cfRule>
  </conditionalFormatting>
  <conditionalFormatting sqref="B64:K64">
    <cfRule type="expression" dxfId="26" priority="1">
      <formula>$I$63="yes"</formula>
    </cfRule>
  </conditionalFormatting>
  <dataValidations count="2">
    <dataValidation type="list" allowBlank="1" showInputMessage="1" showErrorMessage="1" sqref="G45">
      <formula1>$V$1:$V$5</formula1>
    </dataValidation>
    <dataValidation type="list" allowBlank="1" showInputMessage="1" showErrorMessage="1" sqref="H45">
      <formula1>$W$1:$W$4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Source!$AB$1:$AB$4</xm:f>
          </x14:formula1>
          <xm:sqref>I40:I44</xm:sqref>
        </x14:dataValidation>
        <x14:dataValidation type="list" allowBlank="1" showInputMessage="1" showErrorMessage="1">
          <x14:formula1>
            <xm:f>Source!$W$1:$W$5</xm:f>
          </x14:formula1>
          <xm:sqref>F50:F60 F40:F44</xm:sqref>
        </x14:dataValidation>
        <x14:dataValidation type="list" allowBlank="1" showInputMessage="1" showErrorMessage="1">
          <x14:formula1>
            <xm:f>Source!$X$1:$X$4</xm:f>
          </x14:formula1>
          <xm:sqref>G49:G59 G40:G44</xm:sqref>
        </x14:dataValidation>
        <x14:dataValidation type="list" allowBlank="1" showInputMessage="1" showErrorMessage="1">
          <x14:formula1>
            <xm:f>Source!$I$1:$I$3</xm:f>
          </x14:formula1>
          <xm:sqref>K45</xm:sqref>
        </x14:dataValidation>
        <x14:dataValidation type="list" allowBlank="1" showInputMessage="1" showErrorMessage="1">
          <x14:formula1>
            <xm:f>Source!$A$1:$A$9</xm:f>
          </x14:formula1>
          <xm:sqref>I45:J45</xm:sqref>
        </x14:dataValidation>
        <x14:dataValidation type="list" allowBlank="1" showInputMessage="1" showErrorMessage="1">
          <x14:formula1>
            <xm:f>Source!$X$2:$X$4</xm:f>
          </x14:formula1>
          <xm:sqref>G40:G44</xm:sqref>
        </x14:dataValidation>
        <x14:dataValidation type="list" allowBlank="1" showInputMessage="1" showErrorMessage="1">
          <x14:formula1>
            <xm:f>Source!$AB$1:$AB$4</xm:f>
          </x14:formula1>
          <xm:sqref>I50:J59</xm:sqref>
        </x14:dataValidation>
        <x14:dataValidation type="list" allowBlank="1" showInputMessage="1" showErrorMessage="1">
          <x14:formula1>
            <xm:f>Source!$T$1:$T$4</xm:f>
          </x14:formula1>
          <xm:sqref>I63:K63 I67:K67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6"/>
  <sheetViews>
    <sheetView topLeftCell="J1" zoomScale="70" zoomScaleNormal="70" workbookViewId="0">
      <selection activeCell="Y26" sqref="Y26"/>
    </sheetView>
  </sheetViews>
  <sheetFormatPr defaultRowHeight="15" x14ac:dyDescent="0.25"/>
  <cols>
    <col min="1" max="1" width="37" style="157" customWidth="1"/>
    <col min="2" max="3" width="20.28515625" style="149" bestFit="1" customWidth="1"/>
    <col min="4" max="4" width="11.5703125" style="150" bestFit="1" customWidth="1"/>
    <col min="5" max="5" width="37.42578125" style="149" bestFit="1" customWidth="1"/>
    <col min="6" max="6" width="31" style="149" customWidth="1"/>
    <col min="7" max="7" width="37.140625" style="149" customWidth="1"/>
    <col min="8" max="8" width="13.42578125" style="149" bestFit="1" customWidth="1"/>
    <col min="9" max="12" width="9.140625" style="149"/>
    <col min="13" max="13" width="18.85546875" style="149" bestFit="1" customWidth="1"/>
    <col min="14" max="14" width="17.42578125" style="151" customWidth="1"/>
    <col min="15" max="15" width="16.7109375" style="152" bestFit="1" customWidth="1"/>
    <col min="16" max="16" width="19.7109375" style="149" bestFit="1" customWidth="1"/>
    <col min="17" max="17" width="9.140625" style="149"/>
    <col min="18" max="18" width="16" style="149" bestFit="1" customWidth="1"/>
    <col min="19" max="20" width="9.140625" style="149"/>
    <col min="21" max="21" width="17.7109375" style="152" customWidth="1"/>
    <col min="22" max="22" width="19.7109375" style="152" bestFit="1" customWidth="1"/>
    <col min="23" max="23" width="17.7109375" style="152" customWidth="1"/>
    <col min="24" max="24" width="9.140625" style="152"/>
    <col min="25" max="25" width="30.7109375" style="158" bestFit="1" customWidth="1"/>
    <col min="26" max="26" width="18.7109375" style="149" bestFit="1" customWidth="1"/>
    <col min="27" max="27" width="17.7109375" style="149" bestFit="1" customWidth="1"/>
    <col min="28" max="29" width="19.7109375" style="149" bestFit="1" customWidth="1"/>
    <col min="30" max="30" width="9.140625" style="149"/>
    <col min="31" max="31" width="14.42578125" style="145" bestFit="1" customWidth="1"/>
    <col min="32" max="32" width="19.28515625" style="149" bestFit="1" customWidth="1"/>
    <col min="33" max="33" width="9.140625" style="149"/>
    <col min="34" max="34" width="19.140625" style="149" bestFit="1" customWidth="1"/>
    <col min="35" max="35" width="9.140625" style="149"/>
    <col min="36" max="36" width="40.28515625" style="149" bestFit="1" customWidth="1"/>
    <col min="37" max="16384" width="9.140625" style="149"/>
  </cols>
  <sheetData>
    <row r="1" spans="1:36" s="152" customFormat="1" ht="38.25" x14ac:dyDescent="0.25">
      <c r="A1" s="171" t="s">
        <v>762</v>
      </c>
      <c r="B1" s="171" t="s">
        <v>221</v>
      </c>
      <c r="C1" s="171" t="s">
        <v>104</v>
      </c>
      <c r="D1" s="171" t="s">
        <v>753</v>
      </c>
      <c r="E1" s="171" t="s">
        <v>80</v>
      </c>
      <c r="F1" s="171" t="s">
        <v>105</v>
      </c>
      <c r="G1" s="171" t="s">
        <v>106</v>
      </c>
      <c r="H1" s="171" t="s">
        <v>256</v>
      </c>
      <c r="I1" s="171" t="s">
        <v>257</v>
      </c>
      <c r="J1" s="171" t="s">
        <v>632</v>
      </c>
      <c r="K1" s="171" t="s">
        <v>633</v>
      </c>
      <c r="L1" s="171" t="s">
        <v>634</v>
      </c>
      <c r="M1" s="171" t="s">
        <v>635</v>
      </c>
      <c r="N1" s="171" t="s">
        <v>754</v>
      </c>
      <c r="O1" s="171" t="s">
        <v>755</v>
      </c>
      <c r="P1" s="171" t="s">
        <v>761</v>
      </c>
      <c r="Q1" s="159" t="s">
        <v>756</v>
      </c>
      <c r="R1" s="159" t="s">
        <v>757</v>
      </c>
      <c r="S1" s="159" t="s">
        <v>758</v>
      </c>
      <c r="T1" s="159" t="s">
        <v>759</v>
      </c>
      <c r="U1" s="159" t="s">
        <v>690</v>
      </c>
      <c r="V1" s="159" t="s">
        <v>630</v>
      </c>
      <c r="W1" s="171" t="s">
        <v>636</v>
      </c>
      <c r="X1" s="171" t="s">
        <v>637</v>
      </c>
      <c r="Y1" s="172" t="s">
        <v>760</v>
      </c>
      <c r="Z1" s="171" t="s">
        <v>638</v>
      </c>
      <c r="AA1" s="171" t="s">
        <v>498</v>
      </c>
      <c r="AB1" s="147"/>
      <c r="AC1" s="153"/>
      <c r="AD1" s="153"/>
      <c r="AE1" s="139"/>
      <c r="AF1" s="153"/>
      <c r="AG1" s="153"/>
      <c r="AH1" s="153"/>
      <c r="AI1" s="153"/>
    </row>
    <row r="2" spans="1:36" x14ac:dyDescent="0.25">
      <c r="A2" s="160" t="str">
        <f t="shared" ref="A2:A33" si="0">E2&amp;AA2</f>
        <v>Bridgewater State University1</v>
      </c>
      <c r="B2" s="160" t="s">
        <v>696</v>
      </c>
      <c r="C2" s="160" t="s">
        <v>696</v>
      </c>
      <c r="D2" s="160" t="s">
        <v>271</v>
      </c>
      <c r="E2" s="160" t="s">
        <v>48</v>
      </c>
      <c r="F2" s="160" t="s">
        <v>763</v>
      </c>
      <c r="G2" s="160" t="s">
        <v>639</v>
      </c>
      <c r="H2" s="161" t="s">
        <v>115</v>
      </c>
      <c r="I2" s="161" t="s">
        <v>270</v>
      </c>
      <c r="J2" s="162" t="s">
        <v>640</v>
      </c>
      <c r="K2" s="161"/>
      <c r="L2" s="161"/>
      <c r="M2" s="161"/>
      <c r="N2" s="161" t="s">
        <v>764</v>
      </c>
      <c r="O2" s="161" t="s">
        <v>641</v>
      </c>
      <c r="P2" s="161" t="s">
        <v>765</v>
      </c>
      <c r="Q2" s="161"/>
      <c r="R2" s="161">
        <v>1</v>
      </c>
      <c r="S2" s="161"/>
      <c r="T2" s="161">
        <v>1</v>
      </c>
      <c r="U2" s="161" t="s">
        <v>517</v>
      </c>
      <c r="V2" s="161" t="s">
        <v>693</v>
      </c>
      <c r="W2" s="161">
        <v>1</v>
      </c>
      <c r="X2" s="160"/>
      <c r="Y2" s="164" t="s">
        <v>782</v>
      </c>
      <c r="Z2" s="160"/>
      <c r="AA2" s="160">
        <v>1</v>
      </c>
      <c r="AB2" s="147" t="str">
        <f>VLOOKUP(E2,Source!F:F,1,FALSE)</f>
        <v>Bridgewater State University</v>
      </c>
      <c r="AC2" s="150"/>
      <c r="AD2" s="150"/>
      <c r="AE2" s="140"/>
      <c r="AF2" s="150"/>
    </row>
    <row r="3" spans="1:36" x14ac:dyDescent="0.25">
      <c r="A3" s="160" t="str">
        <f t="shared" si="0"/>
        <v>Bridgewater State University2</v>
      </c>
      <c r="B3" s="160" t="s">
        <v>696</v>
      </c>
      <c r="C3" s="160" t="s">
        <v>696</v>
      </c>
      <c r="D3" s="160" t="s">
        <v>271</v>
      </c>
      <c r="E3" s="160" t="s">
        <v>48</v>
      </c>
      <c r="F3" s="160" t="s">
        <v>763</v>
      </c>
      <c r="G3" s="160" t="s">
        <v>639</v>
      </c>
      <c r="H3" s="161" t="s">
        <v>115</v>
      </c>
      <c r="I3" s="161" t="s">
        <v>270</v>
      </c>
      <c r="J3" s="162" t="s">
        <v>640</v>
      </c>
      <c r="K3" s="161"/>
      <c r="L3" s="161"/>
      <c r="M3" s="161"/>
      <c r="N3" s="161" t="s">
        <v>764</v>
      </c>
      <c r="O3" s="161" t="s">
        <v>641</v>
      </c>
      <c r="P3" s="161" t="s">
        <v>765</v>
      </c>
      <c r="Q3" s="161"/>
      <c r="R3" s="161">
        <v>1</v>
      </c>
      <c r="S3" s="161"/>
      <c r="T3" s="161">
        <v>1</v>
      </c>
      <c r="U3" s="161" t="s">
        <v>517</v>
      </c>
      <c r="V3" s="161" t="s">
        <v>693</v>
      </c>
      <c r="W3" s="161">
        <v>1</v>
      </c>
      <c r="X3" s="160"/>
      <c r="Y3" s="164" t="s">
        <v>782</v>
      </c>
      <c r="Z3" s="160"/>
      <c r="AA3" s="160">
        <v>2</v>
      </c>
      <c r="AB3" s="147" t="str">
        <f>VLOOKUP(E3,Source!F:F,1,FALSE)</f>
        <v>Bridgewater State University</v>
      </c>
      <c r="AC3" s="150"/>
      <c r="AD3" s="150"/>
      <c r="AE3" s="140"/>
      <c r="AF3" s="150"/>
    </row>
    <row r="4" spans="1:36" x14ac:dyDescent="0.25">
      <c r="A4" s="160" t="str">
        <f t="shared" si="0"/>
        <v>Bridgewater State University3</v>
      </c>
      <c r="B4" s="160" t="s">
        <v>696</v>
      </c>
      <c r="C4" s="160" t="s">
        <v>696</v>
      </c>
      <c r="D4" s="160" t="s">
        <v>271</v>
      </c>
      <c r="E4" s="160" t="s">
        <v>48</v>
      </c>
      <c r="F4" s="160" t="s">
        <v>763</v>
      </c>
      <c r="G4" s="160" t="s">
        <v>639</v>
      </c>
      <c r="H4" s="161" t="s">
        <v>115</v>
      </c>
      <c r="I4" s="161" t="s">
        <v>270</v>
      </c>
      <c r="J4" s="162" t="s">
        <v>640</v>
      </c>
      <c r="K4" s="161"/>
      <c r="L4" s="161"/>
      <c r="M4" s="161"/>
      <c r="N4" s="161" t="s">
        <v>764</v>
      </c>
      <c r="O4" s="161" t="s">
        <v>641</v>
      </c>
      <c r="P4" s="161" t="s">
        <v>765</v>
      </c>
      <c r="Q4" s="161"/>
      <c r="R4" s="161">
        <v>1</v>
      </c>
      <c r="S4" s="161"/>
      <c r="T4" s="161">
        <v>1</v>
      </c>
      <c r="U4" s="161" t="s">
        <v>517</v>
      </c>
      <c r="V4" s="161" t="s">
        <v>693</v>
      </c>
      <c r="W4" s="161">
        <v>1</v>
      </c>
      <c r="X4" s="160"/>
      <c r="Y4" s="164" t="s">
        <v>782</v>
      </c>
      <c r="Z4" s="160"/>
      <c r="AA4" s="160">
        <v>3</v>
      </c>
      <c r="AB4" s="147" t="str">
        <f>VLOOKUP(E4,Source!F:F,1,FALSE)</f>
        <v>Bridgewater State University</v>
      </c>
      <c r="AC4" s="150"/>
      <c r="AD4" s="150"/>
      <c r="AE4" s="140"/>
      <c r="AF4" s="150"/>
    </row>
    <row r="5" spans="1:36" x14ac:dyDescent="0.25">
      <c r="A5" s="160" t="str">
        <f t="shared" si="0"/>
        <v>Bristol Comm. College1</v>
      </c>
      <c r="B5" s="160" t="s">
        <v>696</v>
      </c>
      <c r="C5" s="160" t="s">
        <v>696</v>
      </c>
      <c r="D5" s="160" t="s">
        <v>271</v>
      </c>
      <c r="E5" s="143" t="s">
        <v>577</v>
      </c>
      <c r="F5" s="160" t="s">
        <v>766</v>
      </c>
      <c r="G5" s="160" t="s">
        <v>642</v>
      </c>
      <c r="H5" s="161" t="s">
        <v>117</v>
      </c>
      <c r="I5" s="161" t="s">
        <v>270</v>
      </c>
      <c r="J5" s="162" t="s">
        <v>643</v>
      </c>
      <c r="K5" s="161"/>
      <c r="L5" s="161"/>
      <c r="M5" s="161"/>
      <c r="N5" s="161" t="s">
        <v>764</v>
      </c>
      <c r="O5" s="161" t="s">
        <v>641</v>
      </c>
      <c r="P5" s="161" t="s">
        <v>765</v>
      </c>
      <c r="Q5" s="161"/>
      <c r="R5" s="161">
        <v>1</v>
      </c>
      <c r="S5" s="161"/>
      <c r="T5" s="161">
        <v>1</v>
      </c>
      <c r="U5" s="161" t="s">
        <v>517</v>
      </c>
      <c r="V5" s="161" t="s">
        <v>767</v>
      </c>
      <c r="W5" s="161">
        <v>2</v>
      </c>
      <c r="X5" s="160"/>
      <c r="Y5" s="164">
        <v>2016</v>
      </c>
      <c r="Z5" s="160" t="s">
        <v>644</v>
      </c>
      <c r="AA5" s="160">
        <v>1</v>
      </c>
      <c r="AB5" s="147" t="str">
        <f>VLOOKUP(E5,Source!F:F,1,FALSE)</f>
        <v>Bristol Comm. College</v>
      </c>
      <c r="AC5" s="150"/>
      <c r="AD5" s="150"/>
      <c r="AE5" s="140"/>
      <c r="AF5" s="150"/>
    </row>
    <row r="6" spans="1:36" x14ac:dyDescent="0.25">
      <c r="A6" s="160" t="str">
        <f t="shared" si="0"/>
        <v>Dept. of Conservation and Recreation1</v>
      </c>
      <c r="B6" s="160" t="s">
        <v>696</v>
      </c>
      <c r="C6" s="160" t="s">
        <v>696</v>
      </c>
      <c r="D6" s="160" t="s">
        <v>724</v>
      </c>
      <c r="E6" s="160" t="s">
        <v>581</v>
      </c>
      <c r="F6" s="160" t="s">
        <v>768</v>
      </c>
      <c r="G6" s="160" t="s">
        <v>769</v>
      </c>
      <c r="H6" s="161" t="s">
        <v>139</v>
      </c>
      <c r="I6" s="161" t="s">
        <v>270</v>
      </c>
      <c r="J6" s="162" t="s">
        <v>645</v>
      </c>
      <c r="K6" s="161"/>
      <c r="L6" s="161"/>
      <c r="M6" s="161"/>
      <c r="N6" s="161" t="s">
        <v>770</v>
      </c>
      <c r="O6" s="161" t="s">
        <v>641</v>
      </c>
      <c r="P6" s="161" t="s">
        <v>765</v>
      </c>
      <c r="Q6" s="161"/>
      <c r="R6" s="161">
        <v>1</v>
      </c>
      <c r="S6" s="161"/>
      <c r="T6" s="161">
        <v>1</v>
      </c>
      <c r="U6" s="161" t="s">
        <v>517</v>
      </c>
      <c r="V6" s="161" t="s">
        <v>767</v>
      </c>
      <c r="W6" s="161">
        <v>2</v>
      </c>
      <c r="X6" s="160"/>
      <c r="Y6" s="164">
        <v>2016</v>
      </c>
      <c r="Z6" s="160" t="s">
        <v>644</v>
      </c>
      <c r="AA6" s="160">
        <v>1</v>
      </c>
      <c r="AB6" s="147" t="str">
        <f>VLOOKUP(E6,Source!F:F,1,FALSE)</f>
        <v>Dept. of Conservation and Recreation</v>
      </c>
      <c r="AC6" s="150"/>
      <c r="AD6" s="150"/>
      <c r="AE6" s="140"/>
      <c r="AF6" s="150"/>
    </row>
    <row r="7" spans="1:36" x14ac:dyDescent="0.25">
      <c r="A7" s="160" t="str">
        <f t="shared" si="0"/>
        <v>Dept. of Conservation and Recreation2</v>
      </c>
      <c r="B7" s="160" t="s">
        <v>696</v>
      </c>
      <c r="C7" s="160" t="s">
        <v>696</v>
      </c>
      <c r="D7" s="160" t="s">
        <v>724</v>
      </c>
      <c r="E7" s="160" t="s">
        <v>581</v>
      </c>
      <c r="F7" s="160" t="s">
        <v>768</v>
      </c>
      <c r="G7" s="160" t="s">
        <v>771</v>
      </c>
      <c r="H7" s="161" t="s">
        <v>139</v>
      </c>
      <c r="I7" s="161" t="s">
        <v>270</v>
      </c>
      <c r="J7" s="162" t="s">
        <v>772</v>
      </c>
      <c r="K7" s="161"/>
      <c r="L7" s="161"/>
      <c r="M7" s="161"/>
      <c r="N7" s="161" t="s">
        <v>770</v>
      </c>
      <c r="O7" s="161" t="s">
        <v>641</v>
      </c>
      <c r="P7" s="161" t="s">
        <v>765</v>
      </c>
      <c r="Q7" s="161"/>
      <c r="R7" s="161">
        <v>1</v>
      </c>
      <c r="S7" s="161"/>
      <c r="T7" s="161">
        <v>1</v>
      </c>
      <c r="U7" s="161" t="s">
        <v>517</v>
      </c>
      <c r="V7" s="161" t="s">
        <v>767</v>
      </c>
      <c r="W7" s="161">
        <v>2</v>
      </c>
      <c r="X7" s="160"/>
      <c r="Y7" s="164">
        <v>2016</v>
      </c>
      <c r="Z7" s="160" t="s">
        <v>773</v>
      </c>
      <c r="AA7" s="160">
        <v>2</v>
      </c>
      <c r="AB7" s="147" t="str">
        <f>VLOOKUP(E7,Source!F:F,1,FALSE)</f>
        <v>Dept. of Conservation and Recreation</v>
      </c>
      <c r="AC7" s="138"/>
      <c r="AD7" s="138"/>
      <c r="AE7" s="142"/>
      <c r="AF7" s="138"/>
      <c r="AG7" s="64"/>
      <c r="AH7" s="64"/>
      <c r="AI7" s="64"/>
      <c r="AJ7" s="64"/>
    </row>
    <row r="8" spans="1:36" s="64" customFormat="1" x14ac:dyDescent="0.25">
      <c r="A8" s="160" t="str">
        <f t="shared" si="0"/>
        <v>Dept. of Public Health1</v>
      </c>
      <c r="B8" s="160" t="s">
        <v>696</v>
      </c>
      <c r="C8" s="160" t="s">
        <v>696</v>
      </c>
      <c r="D8" s="160" t="s">
        <v>725</v>
      </c>
      <c r="E8" s="160" t="s">
        <v>53</v>
      </c>
      <c r="F8" s="160" t="s">
        <v>776</v>
      </c>
      <c r="G8" s="160" t="s">
        <v>777</v>
      </c>
      <c r="H8" s="161" t="s">
        <v>647</v>
      </c>
      <c r="I8" s="161" t="s">
        <v>270</v>
      </c>
      <c r="J8" s="162" t="s">
        <v>648</v>
      </c>
      <c r="K8" s="161"/>
      <c r="L8" s="161" t="s">
        <v>649</v>
      </c>
      <c r="M8" s="161"/>
      <c r="N8" s="161" t="s">
        <v>764</v>
      </c>
      <c r="O8" s="161" t="s">
        <v>641</v>
      </c>
      <c r="P8" s="161" t="s">
        <v>765</v>
      </c>
      <c r="Q8" s="161"/>
      <c r="R8" s="161">
        <v>1</v>
      </c>
      <c r="S8" s="161"/>
      <c r="T8" s="161">
        <v>1</v>
      </c>
      <c r="U8" s="161" t="s">
        <v>517</v>
      </c>
      <c r="V8" s="161" t="s">
        <v>767</v>
      </c>
      <c r="W8" s="161">
        <v>2</v>
      </c>
      <c r="X8" s="160">
        <v>71604</v>
      </c>
      <c r="Y8" s="164">
        <v>2016</v>
      </c>
      <c r="Z8" s="160" t="s">
        <v>644</v>
      </c>
      <c r="AA8" s="160">
        <v>1</v>
      </c>
      <c r="AB8" s="147" t="str">
        <f>VLOOKUP(E8,Source!F:F,1,FALSE)</f>
        <v>Dept. of Public Health</v>
      </c>
      <c r="AC8" s="138"/>
      <c r="AD8" s="138"/>
      <c r="AE8" s="142"/>
      <c r="AF8" s="138"/>
    </row>
    <row r="9" spans="1:36" s="64" customFormat="1" x14ac:dyDescent="0.25">
      <c r="A9" s="160" t="str">
        <f t="shared" si="0"/>
        <v>Dept. of Public Health2</v>
      </c>
      <c r="B9" s="160" t="s">
        <v>696</v>
      </c>
      <c r="C9" s="160" t="s">
        <v>696</v>
      </c>
      <c r="D9" s="160" t="s">
        <v>725</v>
      </c>
      <c r="E9" s="160" t="s">
        <v>53</v>
      </c>
      <c r="F9" s="160" t="s">
        <v>776</v>
      </c>
      <c r="G9" s="160" t="s">
        <v>777</v>
      </c>
      <c r="H9" s="161" t="s">
        <v>647</v>
      </c>
      <c r="I9" s="161" t="s">
        <v>270</v>
      </c>
      <c r="J9" s="162" t="s">
        <v>648</v>
      </c>
      <c r="K9" s="161"/>
      <c r="L9" s="161" t="s">
        <v>649</v>
      </c>
      <c r="M9" s="161"/>
      <c r="N9" s="161" t="s">
        <v>764</v>
      </c>
      <c r="O9" s="161" t="s">
        <v>641</v>
      </c>
      <c r="P9" s="161" t="s">
        <v>765</v>
      </c>
      <c r="Q9" s="161"/>
      <c r="R9" s="161">
        <v>1</v>
      </c>
      <c r="S9" s="161"/>
      <c r="T9" s="161">
        <v>1</v>
      </c>
      <c r="U9" s="161" t="s">
        <v>517</v>
      </c>
      <c r="V9" s="161" t="s">
        <v>767</v>
      </c>
      <c r="W9" s="161">
        <v>2</v>
      </c>
      <c r="X9" s="160">
        <v>71604</v>
      </c>
      <c r="Y9" s="164">
        <v>2016</v>
      </c>
      <c r="Z9" s="160" t="s">
        <v>644</v>
      </c>
      <c r="AA9" s="160">
        <v>2</v>
      </c>
      <c r="AB9" s="147" t="str">
        <f>VLOOKUP(E9,Source!F:F,1,FALSE)</f>
        <v>Dept. of Public Health</v>
      </c>
      <c r="AC9" s="141"/>
      <c r="AD9" s="150"/>
      <c r="AE9" s="140"/>
      <c r="AF9" s="150"/>
      <c r="AG9" s="149"/>
      <c r="AH9" s="149"/>
      <c r="AI9" s="149"/>
      <c r="AJ9" s="149"/>
    </row>
    <row r="10" spans="1:36" s="64" customFormat="1" x14ac:dyDescent="0.25">
      <c r="A10" s="160" t="str">
        <f t="shared" si="0"/>
        <v>Dept. of Public Health3</v>
      </c>
      <c r="B10" s="160" t="s">
        <v>696</v>
      </c>
      <c r="C10" s="160" t="s">
        <v>696</v>
      </c>
      <c r="D10" s="160" t="s">
        <v>725</v>
      </c>
      <c r="E10" s="160" t="s">
        <v>53</v>
      </c>
      <c r="F10" s="160" t="s">
        <v>776</v>
      </c>
      <c r="G10" s="160" t="s">
        <v>777</v>
      </c>
      <c r="H10" s="161" t="s">
        <v>647</v>
      </c>
      <c r="I10" s="161" t="s">
        <v>270</v>
      </c>
      <c r="J10" s="162" t="s">
        <v>648</v>
      </c>
      <c r="K10" s="161"/>
      <c r="L10" s="161" t="s">
        <v>649</v>
      </c>
      <c r="M10" s="161"/>
      <c r="N10" s="161" t="s">
        <v>764</v>
      </c>
      <c r="O10" s="161" t="s">
        <v>641</v>
      </c>
      <c r="P10" s="161" t="s">
        <v>765</v>
      </c>
      <c r="Q10" s="161"/>
      <c r="R10" s="161">
        <v>1</v>
      </c>
      <c r="S10" s="161"/>
      <c r="T10" s="161">
        <v>1</v>
      </c>
      <c r="U10" s="161" t="s">
        <v>517</v>
      </c>
      <c r="V10" s="161" t="s">
        <v>767</v>
      </c>
      <c r="W10" s="161">
        <v>2</v>
      </c>
      <c r="X10" s="160">
        <v>71604</v>
      </c>
      <c r="Y10" s="164">
        <v>2016</v>
      </c>
      <c r="Z10" s="160" t="s">
        <v>644</v>
      </c>
      <c r="AA10" s="160">
        <v>3</v>
      </c>
      <c r="AB10" s="147" t="str">
        <f>VLOOKUP(E10,Source!F:F,1,FALSE)</f>
        <v>Dept. of Public Health</v>
      </c>
      <c r="AC10" s="141"/>
      <c r="AD10" s="150"/>
      <c r="AE10" s="140"/>
      <c r="AF10" s="150"/>
      <c r="AG10" s="149"/>
      <c r="AH10" s="149"/>
      <c r="AI10" s="149"/>
      <c r="AJ10" s="149"/>
    </row>
    <row r="11" spans="1:36" x14ac:dyDescent="0.25">
      <c r="A11" s="160" t="str">
        <f t="shared" si="0"/>
        <v>Div. of Capital Asset Management1</v>
      </c>
      <c r="B11" s="160" t="s">
        <v>696</v>
      </c>
      <c r="C11" s="160" t="s">
        <v>696</v>
      </c>
      <c r="D11" s="160" t="s">
        <v>725</v>
      </c>
      <c r="E11" s="160" t="s">
        <v>582</v>
      </c>
      <c r="F11" s="160" t="s">
        <v>774</v>
      </c>
      <c r="G11" s="160" t="s">
        <v>614</v>
      </c>
      <c r="H11" s="161" t="s">
        <v>130</v>
      </c>
      <c r="I11" s="161" t="s">
        <v>270</v>
      </c>
      <c r="J11" s="162" t="s">
        <v>646</v>
      </c>
      <c r="K11" s="161"/>
      <c r="L11" s="161"/>
      <c r="M11" s="161"/>
      <c r="N11" s="161" t="s">
        <v>775</v>
      </c>
      <c r="O11" s="161" t="s">
        <v>641</v>
      </c>
      <c r="P11" s="161"/>
      <c r="Q11" s="161"/>
      <c r="R11" s="161">
        <v>1</v>
      </c>
      <c r="S11" s="161"/>
      <c r="T11" s="161">
        <v>1</v>
      </c>
      <c r="U11" s="161" t="s">
        <v>517</v>
      </c>
      <c r="V11" s="161" t="s">
        <v>767</v>
      </c>
      <c r="W11" s="161">
        <v>2</v>
      </c>
      <c r="X11" s="160"/>
      <c r="Y11" s="164" t="s">
        <v>782</v>
      </c>
      <c r="Z11" s="160" t="s">
        <v>644</v>
      </c>
      <c r="AA11" s="160">
        <v>1</v>
      </c>
      <c r="AB11" s="147" t="str">
        <f>VLOOKUP(E11,Source!F:F,1,FALSE)</f>
        <v>Div. of Capital Asset Management</v>
      </c>
      <c r="AC11" s="141"/>
      <c r="AD11" s="150"/>
      <c r="AE11" s="140"/>
      <c r="AF11" s="150"/>
    </row>
    <row r="12" spans="1:36" s="150" customFormat="1" x14ac:dyDescent="0.25">
      <c r="A12" s="160" t="str">
        <f t="shared" si="0"/>
        <v>Div. of Capital Asset Management2</v>
      </c>
      <c r="B12" s="160" t="s">
        <v>696</v>
      </c>
      <c r="C12" s="160" t="s">
        <v>696</v>
      </c>
      <c r="D12" s="160" t="s">
        <v>725</v>
      </c>
      <c r="E12" s="160" t="s">
        <v>582</v>
      </c>
      <c r="F12" s="148" t="s">
        <v>851</v>
      </c>
      <c r="G12" s="160" t="s">
        <v>780</v>
      </c>
      <c r="H12" s="161" t="s">
        <v>119</v>
      </c>
      <c r="I12" s="161" t="s">
        <v>270</v>
      </c>
      <c r="J12" s="162" t="s">
        <v>781</v>
      </c>
      <c r="K12" s="161"/>
      <c r="L12" s="161"/>
      <c r="M12" s="161"/>
      <c r="N12" s="161" t="s">
        <v>775</v>
      </c>
      <c r="O12" s="161" t="s">
        <v>641</v>
      </c>
      <c r="P12" s="161"/>
      <c r="Q12" s="161"/>
      <c r="R12" s="161">
        <v>1</v>
      </c>
      <c r="S12" s="161"/>
      <c r="T12" s="161">
        <v>1</v>
      </c>
      <c r="U12" s="161" t="s">
        <v>517</v>
      </c>
      <c r="V12" s="161" t="s">
        <v>767</v>
      </c>
      <c r="W12" s="161">
        <v>2</v>
      </c>
      <c r="X12" s="160"/>
      <c r="Y12" s="164" t="s">
        <v>782</v>
      </c>
      <c r="Z12" s="160" t="s">
        <v>782</v>
      </c>
      <c r="AA12" s="160">
        <v>2</v>
      </c>
      <c r="AB12" s="147" t="str">
        <f>VLOOKUP(E12,Source!F:F,1,FALSE)</f>
        <v>Div. of Capital Asset Management</v>
      </c>
      <c r="AC12" s="141"/>
      <c r="AE12" s="140"/>
    </row>
    <row r="13" spans="1:36" x14ac:dyDescent="0.25">
      <c r="A13" s="160" t="str">
        <f t="shared" si="0"/>
        <v>Greenfield Community College1</v>
      </c>
      <c r="B13" s="160" t="s">
        <v>696</v>
      </c>
      <c r="C13" s="160" t="s">
        <v>696</v>
      </c>
      <c r="D13" s="160" t="s">
        <v>725</v>
      </c>
      <c r="E13" s="160" t="s">
        <v>58</v>
      </c>
      <c r="F13" s="160" t="s">
        <v>778</v>
      </c>
      <c r="G13" s="160" t="s">
        <v>615</v>
      </c>
      <c r="H13" s="161" t="s">
        <v>152</v>
      </c>
      <c r="I13" s="161" t="s">
        <v>270</v>
      </c>
      <c r="J13" s="162" t="s">
        <v>650</v>
      </c>
      <c r="K13" s="161"/>
      <c r="L13" s="161" t="s">
        <v>649</v>
      </c>
      <c r="M13" s="161"/>
      <c r="N13" s="161" t="s">
        <v>775</v>
      </c>
      <c r="O13" s="161" t="s">
        <v>641</v>
      </c>
      <c r="P13" s="161" t="s">
        <v>765</v>
      </c>
      <c r="Q13" s="161"/>
      <c r="R13" s="161">
        <v>1</v>
      </c>
      <c r="S13" s="161"/>
      <c r="T13" s="161">
        <v>1</v>
      </c>
      <c r="U13" s="161" t="s">
        <v>517</v>
      </c>
      <c r="V13" s="161" t="s">
        <v>693</v>
      </c>
      <c r="W13" s="161">
        <v>1</v>
      </c>
      <c r="X13" s="160">
        <v>72329</v>
      </c>
      <c r="Y13" s="164">
        <v>2015</v>
      </c>
      <c r="Z13" s="160" t="s">
        <v>644</v>
      </c>
      <c r="AA13" s="160">
        <v>1</v>
      </c>
      <c r="AB13" s="147" t="e">
        <f>VLOOKUP(E13,Source!F:F,1,FALSE)</f>
        <v>#N/A</v>
      </c>
      <c r="AC13" s="141"/>
      <c r="AD13" s="150"/>
      <c r="AE13" s="140"/>
      <c r="AF13" s="150"/>
    </row>
    <row r="14" spans="1:36" x14ac:dyDescent="0.25">
      <c r="A14" s="160" t="str">
        <f t="shared" si="0"/>
        <v>Holyoke Comm. College1</v>
      </c>
      <c r="B14" s="160" t="s">
        <v>696</v>
      </c>
      <c r="C14" s="160" t="s">
        <v>696</v>
      </c>
      <c r="D14" s="160" t="s">
        <v>725</v>
      </c>
      <c r="E14" s="160" t="s">
        <v>59</v>
      </c>
      <c r="F14" s="160" t="s">
        <v>779</v>
      </c>
      <c r="G14" s="160" t="s">
        <v>651</v>
      </c>
      <c r="H14" s="161" t="s">
        <v>208</v>
      </c>
      <c r="I14" s="161" t="s">
        <v>270</v>
      </c>
      <c r="J14" s="162" t="s">
        <v>652</v>
      </c>
      <c r="K14" s="161"/>
      <c r="L14" s="161"/>
      <c r="M14" s="161"/>
      <c r="N14" s="161" t="s">
        <v>770</v>
      </c>
      <c r="O14" s="161" t="s">
        <v>641</v>
      </c>
      <c r="P14" s="161" t="s">
        <v>765</v>
      </c>
      <c r="Q14" s="161"/>
      <c r="R14" s="161">
        <v>1</v>
      </c>
      <c r="S14" s="161"/>
      <c r="T14" s="161">
        <v>1</v>
      </c>
      <c r="U14" s="161" t="s">
        <v>517</v>
      </c>
      <c r="V14" s="161" t="s">
        <v>767</v>
      </c>
      <c r="W14" s="161">
        <v>2</v>
      </c>
      <c r="X14" s="160"/>
      <c r="Y14" s="164">
        <v>2016</v>
      </c>
      <c r="Z14" s="160" t="s">
        <v>644</v>
      </c>
      <c r="AA14" s="160">
        <v>1</v>
      </c>
      <c r="AB14" s="147" t="str">
        <f>VLOOKUP(E14,Source!F:F,1,FALSE)</f>
        <v>Holyoke Comm. College</v>
      </c>
      <c r="AC14" s="141"/>
      <c r="AD14" s="150"/>
      <c r="AE14" s="140"/>
      <c r="AF14" s="150"/>
      <c r="AG14" s="146"/>
      <c r="AH14" s="146"/>
      <c r="AI14" s="146"/>
    </row>
    <row r="15" spans="1:36" x14ac:dyDescent="0.25">
      <c r="A15" s="160" t="str">
        <f t="shared" si="0"/>
        <v>Mass. College of Art &amp; Design1</v>
      </c>
      <c r="B15" s="160" t="s">
        <v>696</v>
      </c>
      <c r="C15" s="160" t="s">
        <v>696</v>
      </c>
      <c r="D15" s="160" t="s">
        <v>271</v>
      </c>
      <c r="E15" s="160" t="s">
        <v>62</v>
      </c>
      <c r="F15" s="148" t="s">
        <v>852</v>
      </c>
      <c r="G15" s="160" t="s">
        <v>842</v>
      </c>
      <c r="H15" s="161" t="s">
        <v>119</v>
      </c>
      <c r="I15" s="161" t="s">
        <v>270</v>
      </c>
      <c r="J15" s="162" t="s">
        <v>843</v>
      </c>
      <c r="K15" s="161"/>
      <c r="L15" s="161"/>
      <c r="M15" s="161"/>
      <c r="N15" s="161" t="s">
        <v>775</v>
      </c>
      <c r="O15" s="161" t="s">
        <v>641</v>
      </c>
      <c r="P15" s="161" t="s">
        <v>765</v>
      </c>
      <c r="Q15" s="161">
        <v>1</v>
      </c>
      <c r="R15" s="161"/>
      <c r="S15" s="161"/>
      <c r="T15" s="161">
        <v>1</v>
      </c>
      <c r="U15" s="161" t="s">
        <v>516</v>
      </c>
      <c r="V15" s="161" t="s">
        <v>693</v>
      </c>
      <c r="W15" s="161">
        <v>1</v>
      </c>
      <c r="X15" s="160"/>
      <c r="Y15" s="164" t="s">
        <v>782</v>
      </c>
      <c r="Z15" s="160" t="s">
        <v>726</v>
      </c>
      <c r="AA15" s="160">
        <v>1</v>
      </c>
      <c r="AB15" s="147" t="str">
        <f>VLOOKUP(E15,Source!F:F,1,FALSE)</f>
        <v>Mass. College of Art &amp; Design</v>
      </c>
      <c r="AC15" s="141"/>
      <c r="AD15" s="150"/>
      <c r="AE15" s="140"/>
      <c r="AF15" s="150"/>
    </row>
    <row r="16" spans="1:36" x14ac:dyDescent="0.25">
      <c r="A16" s="160" t="str">
        <f t="shared" si="0"/>
        <v>Mass. College of Art &amp; Design2</v>
      </c>
      <c r="B16" s="160" t="s">
        <v>696</v>
      </c>
      <c r="C16" s="160" t="s">
        <v>696</v>
      </c>
      <c r="D16" s="160" t="s">
        <v>271</v>
      </c>
      <c r="E16" s="160" t="s">
        <v>62</v>
      </c>
      <c r="F16" s="148" t="s">
        <v>852</v>
      </c>
      <c r="G16" s="160" t="s">
        <v>842</v>
      </c>
      <c r="H16" s="161" t="s">
        <v>119</v>
      </c>
      <c r="I16" s="161" t="s">
        <v>270</v>
      </c>
      <c r="J16" s="162" t="s">
        <v>843</v>
      </c>
      <c r="K16" s="161"/>
      <c r="L16" s="161"/>
      <c r="M16" s="161"/>
      <c r="N16" s="161" t="s">
        <v>775</v>
      </c>
      <c r="O16" s="161" t="s">
        <v>641</v>
      </c>
      <c r="P16" s="161" t="s">
        <v>765</v>
      </c>
      <c r="Q16" s="161">
        <v>1</v>
      </c>
      <c r="R16" s="161"/>
      <c r="S16" s="161"/>
      <c r="T16" s="161">
        <v>1</v>
      </c>
      <c r="U16" s="161" t="s">
        <v>516</v>
      </c>
      <c r="V16" s="161" t="s">
        <v>693</v>
      </c>
      <c r="W16" s="161">
        <v>1</v>
      </c>
      <c r="X16" s="160"/>
      <c r="Y16" s="164" t="s">
        <v>782</v>
      </c>
      <c r="Z16" s="160" t="s">
        <v>726</v>
      </c>
      <c r="AA16" s="160">
        <v>2</v>
      </c>
      <c r="AB16" s="147" t="str">
        <f>VLOOKUP(E16,Source!F:F,1,FALSE)</f>
        <v>Mass. College of Art &amp; Design</v>
      </c>
      <c r="AC16" s="150"/>
      <c r="AD16" s="150"/>
      <c r="AE16" s="140"/>
      <c r="AF16" s="150"/>
    </row>
    <row r="17" spans="1:34" x14ac:dyDescent="0.25">
      <c r="A17" s="160" t="str">
        <f t="shared" si="0"/>
        <v>Mass. College of Liberal Arts1</v>
      </c>
      <c r="B17" s="160" t="s">
        <v>696</v>
      </c>
      <c r="C17" s="160" t="s">
        <v>696</v>
      </c>
      <c r="D17" s="160" t="s">
        <v>783</v>
      </c>
      <c r="E17" s="160" t="s">
        <v>584</v>
      </c>
      <c r="F17" s="160" t="s">
        <v>784</v>
      </c>
      <c r="G17" s="160" t="s">
        <v>616</v>
      </c>
      <c r="H17" s="161" t="s">
        <v>156</v>
      </c>
      <c r="I17" s="161" t="s">
        <v>270</v>
      </c>
      <c r="J17" s="162" t="s">
        <v>653</v>
      </c>
      <c r="K17" s="161"/>
      <c r="L17" s="161" t="s">
        <v>649</v>
      </c>
      <c r="M17" s="161"/>
      <c r="N17" s="161" t="s">
        <v>764</v>
      </c>
      <c r="O17" s="161" t="s">
        <v>641</v>
      </c>
      <c r="P17" s="161" t="s">
        <v>765</v>
      </c>
      <c r="Q17" s="161"/>
      <c r="R17" s="161">
        <v>1</v>
      </c>
      <c r="S17" s="161"/>
      <c r="T17" s="161">
        <v>1</v>
      </c>
      <c r="U17" s="161" t="s">
        <v>517</v>
      </c>
      <c r="V17" s="161" t="s">
        <v>693</v>
      </c>
      <c r="W17" s="161">
        <v>1</v>
      </c>
      <c r="X17" s="160">
        <v>61293</v>
      </c>
      <c r="Y17" s="164" t="s">
        <v>782</v>
      </c>
      <c r="Z17" s="160" t="s">
        <v>644</v>
      </c>
      <c r="AA17" s="160">
        <v>1</v>
      </c>
      <c r="AB17" s="147" t="str">
        <f>VLOOKUP(E17,Source!F:F,1,FALSE)</f>
        <v>Mass. College of Liberal Arts</v>
      </c>
      <c r="AC17" s="150"/>
      <c r="AD17" s="150"/>
      <c r="AE17" s="140"/>
      <c r="AF17" s="150"/>
    </row>
    <row r="18" spans="1:34" x14ac:dyDescent="0.25">
      <c r="A18" s="160" t="str">
        <f t="shared" si="0"/>
        <v>MassDEP - leased1</v>
      </c>
      <c r="B18" s="160" t="s">
        <v>696</v>
      </c>
      <c r="C18" s="160" t="s">
        <v>696</v>
      </c>
      <c r="D18" s="160" t="s">
        <v>723</v>
      </c>
      <c r="E18" s="160" t="s">
        <v>593</v>
      </c>
      <c r="F18" s="160" t="s">
        <v>785</v>
      </c>
      <c r="G18" s="160" t="s">
        <v>786</v>
      </c>
      <c r="H18" s="161" t="s">
        <v>181</v>
      </c>
      <c r="I18" s="161" t="s">
        <v>270</v>
      </c>
      <c r="J18" s="162" t="s">
        <v>654</v>
      </c>
      <c r="K18" s="161"/>
      <c r="L18" s="161" t="s">
        <v>649</v>
      </c>
      <c r="M18" s="161"/>
      <c r="N18" s="161" t="s">
        <v>764</v>
      </c>
      <c r="O18" s="161" t="s">
        <v>641</v>
      </c>
      <c r="P18" s="161" t="s">
        <v>765</v>
      </c>
      <c r="Q18" s="161"/>
      <c r="R18" s="161">
        <v>1</v>
      </c>
      <c r="S18" s="161"/>
      <c r="T18" s="161">
        <v>1</v>
      </c>
      <c r="U18" s="161" t="s">
        <v>517</v>
      </c>
      <c r="V18" s="161" t="s">
        <v>767</v>
      </c>
      <c r="W18" s="161">
        <v>2</v>
      </c>
      <c r="X18" s="160">
        <v>64110</v>
      </c>
      <c r="Y18" s="165">
        <v>2014</v>
      </c>
      <c r="Z18" s="160" t="s">
        <v>644</v>
      </c>
      <c r="AA18" s="160">
        <v>1</v>
      </c>
      <c r="AB18" s="147" t="str">
        <f>VLOOKUP(E18,Source!F:F,1,FALSE)</f>
        <v>MassDEP - leased</v>
      </c>
      <c r="AC18" s="150"/>
      <c r="AD18" s="150"/>
      <c r="AE18" s="140"/>
      <c r="AF18" s="150"/>
    </row>
    <row r="19" spans="1:34" x14ac:dyDescent="0.25">
      <c r="A19" s="160" t="str">
        <f t="shared" si="0"/>
        <v>MassDEP - leased2</v>
      </c>
      <c r="B19" s="160" t="s">
        <v>696</v>
      </c>
      <c r="C19" s="160" t="s">
        <v>696</v>
      </c>
      <c r="D19" s="160" t="s">
        <v>723</v>
      </c>
      <c r="E19" s="160" t="s">
        <v>593</v>
      </c>
      <c r="F19" s="160" t="s">
        <v>787</v>
      </c>
      <c r="G19" s="160" t="s">
        <v>788</v>
      </c>
      <c r="H19" s="161" t="s">
        <v>655</v>
      </c>
      <c r="I19" s="161" t="s">
        <v>270</v>
      </c>
      <c r="J19" s="162" t="s">
        <v>656</v>
      </c>
      <c r="K19" s="161"/>
      <c r="L19" s="161"/>
      <c r="M19" s="161"/>
      <c r="N19" s="161" t="s">
        <v>770</v>
      </c>
      <c r="O19" s="161" t="s">
        <v>641</v>
      </c>
      <c r="P19" s="161" t="s">
        <v>765</v>
      </c>
      <c r="Q19" s="161"/>
      <c r="R19" s="161">
        <v>1</v>
      </c>
      <c r="S19" s="161"/>
      <c r="T19" s="161">
        <v>1</v>
      </c>
      <c r="U19" s="161" t="s">
        <v>517</v>
      </c>
      <c r="V19" s="161" t="s">
        <v>767</v>
      </c>
      <c r="W19" s="161">
        <v>2</v>
      </c>
      <c r="X19" s="160"/>
      <c r="Y19" s="165">
        <v>2016</v>
      </c>
      <c r="Z19" s="160" t="s">
        <v>644</v>
      </c>
      <c r="AA19" s="160">
        <v>2</v>
      </c>
      <c r="AB19" s="147" t="str">
        <f>VLOOKUP(E19,Source!F:F,1,FALSE)</f>
        <v>MassDEP - leased</v>
      </c>
      <c r="AC19" s="150"/>
      <c r="AD19" s="150"/>
      <c r="AE19" s="140"/>
      <c r="AF19" s="150"/>
      <c r="AG19" s="144"/>
      <c r="AH19" s="144"/>
    </row>
    <row r="20" spans="1:34" x14ac:dyDescent="0.25">
      <c r="A20" s="160" t="str">
        <f t="shared" si="0"/>
        <v>MassDEP - leased3</v>
      </c>
      <c r="B20" s="160" t="s">
        <v>696</v>
      </c>
      <c r="C20" s="160" t="s">
        <v>696</v>
      </c>
      <c r="D20" s="160" t="s">
        <v>723</v>
      </c>
      <c r="E20" s="160" t="s">
        <v>593</v>
      </c>
      <c r="F20" s="160" t="s">
        <v>789</v>
      </c>
      <c r="G20" s="160" t="s">
        <v>790</v>
      </c>
      <c r="H20" s="161" t="s">
        <v>657</v>
      </c>
      <c r="I20" s="161" t="s">
        <v>270</v>
      </c>
      <c r="J20" s="162" t="s">
        <v>658</v>
      </c>
      <c r="K20" s="161"/>
      <c r="L20" s="161"/>
      <c r="M20" s="161"/>
      <c r="N20" s="161" t="s">
        <v>770</v>
      </c>
      <c r="O20" s="161" t="s">
        <v>641</v>
      </c>
      <c r="P20" s="161" t="s">
        <v>765</v>
      </c>
      <c r="Q20" s="161"/>
      <c r="R20" s="161">
        <v>1</v>
      </c>
      <c r="S20" s="161"/>
      <c r="T20" s="161">
        <v>1</v>
      </c>
      <c r="U20" s="161" t="s">
        <v>517</v>
      </c>
      <c r="V20" s="161" t="s">
        <v>767</v>
      </c>
      <c r="W20" s="161">
        <v>2</v>
      </c>
      <c r="X20" s="160"/>
      <c r="Y20" s="164" t="s">
        <v>782</v>
      </c>
      <c r="Z20" s="160" t="s">
        <v>644</v>
      </c>
      <c r="AA20" s="160">
        <v>3</v>
      </c>
      <c r="AB20" s="147" t="str">
        <f>VLOOKUP(E20,Source!F:F,1,FALSE)</f>
        <v>MassDEP - leased</v>
      </c>
      <c r="AC20" s="150"/>
      <c r="AD20" s="150"/>
      <c r="AE20" s="140"/>
      <c r="AF20" s="150"/>
    </row>
    <row r="21" spans="1:34" x14ac:dyDescent="0.25">
      <c r="A21" s="160" t="str">
        <f t="shared" si="0"/>
        <v>MassDOT - Highway &amp; Turnpike Divisions1</v>
      </c>
      <c r="B21" s="160" t="s">
        <v>696</v>
      </c>
      <c r="C21" s="160" t="s">
        <v>696</v>
      </c>
      <c r="D21" s="160" t="s">
        <v>396</v>
      </c>
      <c r="E21" s="143" t="s">
        <v>589</v>
      </c>
      <c r="F21" s="148" t="s">
        <v>853</v>
      </c>
      <c r="G21" s="160" t="s">
        <v>850</v>
      </c>
      <c r="H21" s="161" t="s">
        <v>170</v>
      </c>
      <c r="I21" s="161" t="s">
        <v>270</v>
      </c>
      <c r="J21" s="162"/>
      <c r="K21" s="161"/>
      <c r="L21" s="161"/>
      <c r="M21" s="161"/>
      <c r="N21" s="161" t="s">
        <v>775</v>
      </c>
      <c r="O21" s="161" t="s">
        <v>641</v>
      </c>
      <c r="P21" s="161" t="s">
        <v>791</v>
      </c>
      <c r="Q21" s="161"/>
      <c r="R21" s="161">
        <v>1</v>
      </c>
      <c r="S21" s="161"/>
      <c r="T21" s="161">
        <v>1</v>
      </c>
      <c r="U21" s="161" t="s">
        <v>517</v>
      </c>
      <c r="V21" s="161" t="s">
        <v>767</v>
      </c>
      <c r="W21" s="161">
        <v>2</v>
      </c>
      <c r="X21" s="160"/>
      <c r="Y21" s="164">
        <v>2013</v>
      </c>
      <c r="Z21" s="160" t="s">
        <v>644</v>
      </c>
      <c r="AA21" s="160">
        <v>1</v>
      </c>
      <c r="AB21" s="147" t="str">
        <f>VLOOKUP(E21,Source!F:F,1,FALSE)</f>
        <v>MassDOT - Highway &amp; Turnpike Divisions</v>
      </c>
      <c r="AC21" s="150"/>
      <c r="AD21" s="150"/>
      <c r="AE21" s="140"/>
      <c r="AF21" s="150"/>
    </row>
    <row r="22" spans="1:34" x14ac:dyDescent="0.25">
      <c r="A22" s="160" t="str">
        <f t="shared" si="0"/>
        <v>MassDOT - Highway &amp; Turnpike Divisions2</v>
      </c>
      <c r="B22" s="160" t="s">
        <v>696</v>
      </c>
      <c r="C22" s="160" t="s">
        <v>696</v>
      </c>
      <c r="D22" s="160" t="s">
        <v>396</v>
      </c>
      <c r="E22" s="143" t="s">
        <v>589</v>
      </c>
      <c r="F22" s="160" t="s">
        <v>792</v>
      </c>
      <c r="G22" s="160" t="s">
        <v>659</v>
      </c>
      <c r="H22" s="161" t="s">
        <v>660</v>
      </c>
      <c r="I22" s="161" t="s">
        <v>270</v>
      </c>
      <c r="J22" s="162" t="s">
        <v>661</v>
      </c>
      <c r="K22" s="161"/>
      <c r="L22" s="161"/>
      <c r="M22" s="161"/>
      <c r="N22" s="161" t="s">
        <v>775</v>
      </c>
      <c r="O22" s="161" t="s">
        <v>641</v>
      </c>
      <c r="P22" s="161" t="s">
        <v>791</v>
      </c>
      <c r="Q22" s="161"/>
      <c r="R22" s="161">
        <v>1</v>
      </c>
      <c r="S22" s="161"/>
      <c r="T22" s="161">
        <v>1</v>
      </c>
      <c r="U22" s="161" t="s">
        <v>517</v>
      </c>
      <c r="V22" s="161" t="s">
        <v>693</v>
      </c>
      <c r="W22" s="161">
        <v>1</v>
      </c>
      <c r="X22" s="160"/>
      <c r="Y22" s="164">
        <v>2012</v>
      </c>
      <c r="Z22" s="160" t="s">
        <v>644</v>
      </c>
      <c r="AA22" s="160">
        <v>2</v>
      </c>
      <c r="AB22" s="147" t="str">
        <f>VLOOKUP(E22,Source!F:F,1,FALSE)</f>
        <v>MassDOT - Highway &amp; Turnpike Divisions</v>
      </c>
      <c r="AC22" s="150"/>
      <c r="AD22" s="150"/>
      <c r="AE22" s="140"/>
      <c r="AF22" s="150"/>
    </row>
    <row r="23" spans="1:34" x14ac:dyDescent="0.25">
      <c r="A23" s="160" t="str">
        <f t="shared" si="0"/>
        <v>MassDOT - Highway &amp; Turnpike Divisions3</v>
      </c>
      <c r="B23" s="160" t="s">
        <v>696</v>
      </c>
      <c r="C23" s="160" t="s">
        <v>696</v>
      </c>
      <c r="D23" s="160" t="s">
        <v>396</v>
      </c>
      <c r="E23" s="143" t="s">
        <v>589</v>
      </c>
      <c r="F23" s="160" t="s">
        <v>792</v>
      </c>
      <c r="G23" s="160" t="s">
        <v>659</v>
      </c>
      <c r="H23" s="161" t="s">
        <v>660</v>
      </c>
      <c r="I23" s="161" t="s">
        <v>270</v>
      </c>
      <c r="J23" s="162" t="s">
        <v>661</v>
      </c>
      <c r="K23" s="161"/>
      <c r="L23" s="161"/>
      <c r="M23" s="161"/>
      <c r="N23" s="161" t="s">
        <v>775</v>
      </c>
      <c r="O23" s="161" t="s">
        <v>641</v>
      </c>
      <c r="P23" s="161" t="s">
        <v>791</v>
      </c>
      <c r="Q23" s="161"/>
      <c r="R23" s="161">
        <v>1</v>
      </c>
      <c r="S23" s="161"/>
      <c r="T23" s="161">
        <v>1</v>
      </c>
      <c r="U23" s="161" t="s">
        <v>517</v>
      </c>
      <c r="V23" s="161" t="s">
        <v>693</v>
      </c>
      <c r="W23" s="161">
        <v>1</v>
      </c>
      <c r="X23" s="160"/>
      <c r="Y23" s="164">
        <v>2012</v>
      </c>
      <c r="Z23" s="160" t="s">
        <v>644</v>
      </c>
      <c r="AA23" s="160">
        <v>3</v>
      </c>
      <c r="AB23" s="147" t="str">
        <f>VLOOKUP(E23,Source!F:F,1,FALSE)</f>
        <v>MassDOT - Highway &amp; Turnpike Divisions</v>
      </c>
      <c r="AC23" s="150"/>
      <c r="AD23" s="150"/>
      <c r="AE23" s="140"/>
      <c r="AF23" s="150"/>
    </row>
    <row r="24" spans="1:34" x14ac:dyDescent="0.25">
      <c r="A24" s="160" t="str">
        <f t="shared" si="0"/>
        <v>MassDOT - Highway &amp; Turnpike Divisions4</v>
      </c>
      <c r="B24" s="160" t="s">
        <v>696</v>
      </c>
      <c r="C24" s="160" t="s">
        <v>696</v>
      </c>
      <c r="D24" s="160" t="s">
        <v>396</v>
      </c>
      <c r="E24" s="143" t="s">
        <v>589</v>
      </c>
      <c r="F24" s="160" t="s">
        <v>793</v>
      </c>
      <c r="G24" s="160" t="s">
        <v>662</v>
      </c>
      <c r="H24" s="161" t="s">
        <v>119</v>
      </c>
      <c r="I24" s="161" t="s">
        <v>270</v>
      </c>
      <c r="J24" s="162" t="s">
        <v>663</v>
      </c>
      <c r="K24" s="161"/>
      <c r="L24" s="161"/>
      <c r="M24" s="161"/>
      <c r="N24" s="161" t="s">
        <v>775</v>
      </c>
      <c r="O24" s="161" t="s">
        <v>641</v>
      </c>
      <c r="P24" s="161" t="s">
        <v>791</v>
      </c>
      <c r="Q24" s="161"/>
      <c r="R24" s="161">
        <v>1</v>
      </c>
      <c r="S24" s="161"/>
      <c r="T24" s="161">
        <v>1</v>
      </c>
      <c r="U24" s="161" t="s">
        <v>517</v>
      </c>
      <c r="V24" s="161" t="s">
        <v>767</v>
      </c>
      <c r="W24" s="161">
        <v>2</v>
      </c>
      <c r="X24" s="160"/>
      <c r="Y24" s="164">
        <v>2013</v>
      </c>
      <c r="Z24" s="160" t="s">
        <v>644</v>
      </c>
      <c r="AA24" s="160">
        <v>4</v>
      </c>
      <c r="AB24" s="147" t="str">
        <f>VLOOKUP(E24,Source!F:F,1,FALSE)</f>
        <v>MassDOT - Highway &amp; Turnpike Divisions</v>
      </c>
      <c r="AC24" s="150"/>
      <c r="AD24" s="150"/>
      <c r="AE24" s="140"/>
      <c r="AF24" s="150"/>
    </row>
    <row r="25" spans="1:34" x14ac:dyDescent="0.25">
      <c r="A25" s="160" t="str">
        <f t="shared" si="0"/>
        <v>MassDOT - Highway &amp; Turnpike Divisions5</v>
      </c>
      <c r="B25" s="160" t="s">
        <v>696</v>
      </c>
      <c r="C25" s="160" t="s">
        <v>696</v>
      </c>
      <c r="D25" s="160" t="s">
        <v>396</v>
      </c>
      <c r="E25" s="143" t="s">
        <v>589</v>
      </c>
      <c r="F25" s="148" t="s">
        <v>794</v>
      </c>
      <c r="G25" s="160" t="s">
        <v>664</v>
      </c>
      <c r="H25" s="161" t="s">
        <v>119</v>
      </c>
      <c r="I25" s="161" t="s">
        <v>270</v>
      </c>
      <c r="J25" s="162" t="s">
        <v>665</v>
      </c>
      <c r="K25" s="161"/>
      <c r="L25" s="161"/>
      <c r="M25" s="161"/>
      <c r="N25" s="161" t="s">
        <v>775</v>
      </c>
      <c r="O25" s="161" t="s">
        <v>641</v>
      </c>
      <c r="P25" s="161" t="s">
        <v>791</v>
      </c>
      <c r="Q25" s="161"/>
      <c r="R25" s="161">
        <v>1</v>
      </c>
      <c r="S25" s="161"/>
      <c r="T25" s="161">
        <v>1</v>
      </c>
      <c r="U25" s="161" t="s">
        <v>517</v>
      </c>
      <c r="V25" s="161" t="s">
        <v>693</v>
      </c>
      <c r="W25" s="161">
        <v>1</v>
      </c>
      <c r="X25" s="160"/>
      <c r="Y25" s="164">
        <v>2013</v>
      </c>
      <c r="Z25" s="160" t="s">
        <v>644</v>
      </c>
      <c r="AA25" s="160">
        <v>5</v>
      </c>
      <c r="AB25" s="147" t="str">
        <f>VLOOKUP(E25,Source!F:F,1,FALSE)</f>
        <v>MassDOT - Highway &amp; Turnpike Divisions</v>
      </c>
      <c r="AC25" s="150"/>
      <c r="AD25" s="150"/>
      <c r="AE25" s="140"/>
      <c r="AF25" s="150"/>
    </row>
    <row r="26" spans="1:34" x14ac:dyDescent="0.25">
      <c r="A26" s="160" t="str">
        <f t="shared" si="0"/>
        <v>MassDOT - Highway &amp; Turnpike Divisions6</v>
      </c>
      <c r="B26" s="160" t="s">
        <v>696</v>
      </c>
      <c r="C26" s="160" t="s">
        <v>696</v>
      </c>
      <c r="D26" s="160" t="s">
        <v>396</v>
      </c>
      <c r="E26" s="143" t="s">
        <v>589</v>
      </c>
      <c r="F26" s="148" t="s">
        <v>794</v>
      </c>
      <c r="G26" s="160" t="s">
        <v>664</v>
      </c>
      <c r="H26" s="161" t="s">
        <v>119</v>
      </c>
      <c r="I26" s="161" t="s">
        <v>270</v>
      </c>
      <c r="J26" s="162" t="s">
        <v>665</v>
      </c>
      <c r="K26" s="161"/>
      <c r="L26" s="161"/>
      <c r="M26" s="161"/>
      <c r="N26" s="161" t="s">
        <v>775</v>
      </c>
      <c r="O26" s="161" t="s">
        <v>641</v>
      </c>
      <c r="P26" s="161" t="s">
        <v>791</v>
      </c>
      <c r="Q26" s="161"/>
      <c r="R26" s="161">
        <v>1</v>
      </c>
      <c r="S26" s="161"/>
      <c r="T26" s="161">
        <v>1</v>
      </c>
      <c r="U26" s="161" t="s">
        <v>517</v>
      </c>
      <c r="V26" s="161" t="s">
        <v>693</v>
      </c>
      <c r="W26" s="161">
        <v>1</v>
      </c>
      <c r="X26" s="160"/>
      <c r="Y26" s="164">
        <v>2013</v>
      </c>
      <c r="Z26" s="160" t="s">
        <v>644</v>
      </c>
      <c r="AA26" s="160">
        <v>6</v>
      </c>
      <c r="AB26" s="147" t="str">
        <f>VLOOKUP(E26,Source!F:F,1,FALSE)</f>
        <v>MassDOT - Highway &amp; Turnpike Divisions</v>
      </c>
      <c r="AC26" s="150"/>
      <c r="AD26" s="150"/>
      <c r="AE26" s="140"/>
      <c r="AF26" s="150"/>
    </row>
    <row r="27" spans="1:34" x14ac:dyDescent="0.25">
      <c r="A27" s="160" t="str">
        <f t="shared" si="0"/>
        <v>MassDOT - Highway &amp; Turnpike Divisions7</v>
      </c>
      <c r="B27" s="160" t="s">
        <v>696</v>
      </c>
      <c r="C27" s="160" t="s">
        <v>696</v>
      </c>
      <c r="D27" s="160" t="s">
        <v>396</v>
      </c>
      <c r="E27" s="143" t="s">
        <v>589</v>
      </c>
      <c r="F27" s="148" t="s">
        <v>794</v>
      </c>
      <c r="G27" s="160" t="s">
        <v>664</v>
      </c>
      <c r="H27" s="161" t="s">
        <v>119</v>
      </c>
      <c r="I27" s="161" t="s">
        <v>270</v>
      </c>
      <c r="J27" s="162" t="s">
        <v>665</v>
      </c>
      <c r="K27" s="161"/>
      <c r="L27" s="161"/>
      <c r="M27" s="161"/>
      <c r="N27" s="161" t="s">
        <v>775</v>
      </c>
      <c r="O27" s="161" t="s">
        <v>641</v>
      </c>
      <c r="P27" s="161" t="s">
        <v>791</v>
      </c>
      <c r="Q27" s="161"/>
      <c r="R27" s="161">
        <v>1</v>
      </c>
      <c r="S27" s="161"/>
      <c r="T27" s="161">
        <v>1</v>
      </c>
      <c r="U27" s="161" t="s">
        <v>517</v>
      </c>
      <c r="V27" s="161" t="s">
        <v>693</v>
      </c>
      <c r="W27" s="161">
        <v>1</v>
      </c>
      <c r="X27" s="160"/>
      <c r="Y27" s="164">
        <v>2013</v>
      </c>
      <c r="Z27" s="160" t="s">
        <v>644</v>
      </c>
      <c r="AA27" s="160">
        <v>7</v>
      </c>
      <c r="AB27" s="147" t="str">
        <f>VLOOKUP(E27,Source!F:F,1,FALSE)</f>
        <v>MassDOT - Highway &amp; Turnpike Divisions</v>
      </c>
      <c r="AC27" s="150"/>
      <c r="AD27" s="150"/>
      <c r="AE27" s="140"/>
      <c r="AF27" s="150"/>
    </row>
    <row r="28" spans="1:34" x14ac:dyDescent="0.25">
      <c r="A28" s="160" t="str">
        <f t="shared" si="0"/>
        <v>MassDOT - Highway &amp; Turnpike Divisions8</v>
      </c>
      <c r="B28" s="160" t="s">
        <v>696</v>
      </c>
      <c r="C28" s="160" t="s">
        <v>696</v>
      </c>
      <c r="D28" s="160" t="s">
        <v>396</v>
      </c>
      <c r="E28" s="143" t="s">
        <v>589</v>
      </c>
      <c r="F28" s="148" t="s">
        <v>794</v>
      </c>
      <c r="G28" s="160" t="s">
        <v>664</v>
      </c>
      <c r="H28" s="161" t="s">
        <v>119</v>
      </c>
      <c r="I28" s="161" t="s">
        <v>270</v>
      </c>
      <c r="J28" s="162" t="s">
        <v>665</v>
      </c>
      <c r="K28" s="161"/>
      <c r="L28" s="161"/>
      <c r="M28" s="161"/>
      <c r="N28" s="161" t="s">
        <v>775</v>
      </c>
      <c r="O28" s="161" t="s">
        <v>641</v>
      </c>
      <c r="P28" s="161" t="s">
        <v>791</v>
      </c>
      <c r="Q28" s="161"/>
      <c r="R28" s="161">
        <v>1</v>
      </c>
      <c r="S28" s="161"/>
      <c r="T28" s="161">
        <v>1</v>
      </c>
      <c r="U28" s="161" t="s">
        <v>517</v>
      </c>
      <c r="V28" s="161" t="s">
        <v>693</v>
      </c>
      <c r="W28" s="161">
        <v>1</v>
      </c>
      <c r="X28" s="160"/>
      <c r="Y28" s="164">
        <v>2013</v>
      </c>
      <c r="Z28" s="160" t="s">
        <v>644</v>
      </c>
      <c r="AA28" s="160">
        <v>8</v>
      </c>
      <c r="AB28" s="147" t="str">
        <f>VLOOKUP(E28,Source!F:F,1,FALSE)</f>
        <v>MassDOT - Highway &amp; Turnpike Divisions</v>
      </c>
      <c r="AC28" s="150"/>
      <c r="AD28" s="150"/>
      <c r="AE28" s="140"/>
      <c r="AF28" s="150"/>
    </row>
    <row r="29" spans="1:34" x14ac:dyDescent="0.25">
      <c r="A29" s="160" t="str">
        <f t="shared" si="0"/>
        <v>MassDOT - Highway &amp; Turnpike Divisions9</v>
      </c>
      <c r="B29" s="160" t="s">
        <v>696</v>
      </c>
      <c r="C29" s="160" t="s">
        <v>696</v>
      </c>
      <c r="D29" s="160" t="s">
        <v>396</v>
      </c>
      <c r="E29" s="143" t="s">
        <v>589</v>
      </c>
      <c r="F29" s="148" t="s">
        <v>794</v>
      </c>
      <c r="G29" s="160" t="s">
        <v>664</v>
      </c>
      <c r="H29" s="161" t="s">
        <v>119</v>
      </c>
      <c r="I29" s="161" t="s">
        <v>270</v>
      </c>
      <c r="J29" s="162" t="s">
        <v>665</v>
      </c>
      <c r="K29" s="161"/>
      <c r="L29" s="161"/>
      <c r="M29" s="161"/>
      <c r="N29" s="161" t="s">
        <v>775</v>
      </c>
      <c r="O29" s="161" t="s">
        <v>641</v>
      </c>
      <c r="P29" s="161" t="s">
        <v>791</v>
      </c>
      <c r="Q29" s="161"/>
      <c r="R29" s="161">
        <v>1</v>
      </c>
      <c r="S29" s="161"/>
      <c r="T29" s="161">
        <v>1</v>
      </c>
      <c r="U29" s="161" t="s">
        <v>517</v>
      </c>
      <c r="V29" s="161" t="s">
        <v>693</v>
      </c>
      <c r="W29" s="161">
        <v>1</v>
      </c>
      <c r="X29" s="160"/>
      <c r="Y29" s="164">
        <v>2013</v>
      </c>
      <c r="Z29" s="160" t="s">
        <v>644</v>
      </c>
      <c r="AA29" s="160">
        <v>9</v>
      </c>
      <c r="AB29" s="147" t="str">
        <f>VLOOKUP(E29,Source!F:F,1,FALSE)</f>
        <v>MassDOT - Highway &amp; Turnpike Divisions</v>
      </c>
      <c r="AC29" s="150"/>
      <c r="AD29" s="150"/>
      <c r="AE29" s="140"/>
      <c r="AF29" s="150"/>
    </row>
    <row r="30" spans="1:34" x14ac:dyDescent="0.25">
      <c r="A30" s="160" t="str">
        <f t="shared" si="0"/>
        <v>MassDOT - Highway &amp; Turnpike Divisions10</v>
      </c>
      <c r="B30" s="160" t="s">
        <v>696</v>
      </c>
      <c r="C30" s="160" t="s">
        <v>696</v>
      </c>
      <c r="D30" s="160" t="s">
        <v>396</v>
      </c>
      <c r="E30" s="143" t="s">
        <v>589</v>
      </c>
      <c r="F30" s="160" t="s">
        <v>795</v>
      </c>
      <c r="G30" s="160" t="s">
        <v>796</v>
      </c>
      <c r="H30" s="161" t="s">
        <v>667</v>
      </c>
      <c r="I30" s="161" t="s">
        <v>270</v>
      </c>
      <c r="J30" s="162" t="s">
        <v>668</v>
      </c>
      <c r="K30" s="161"/>
      <c r="L30" s="161"/>
      <c r="M30" s="161"/>
      <c r="N30" s="161" t="s">
        <v>770</v>
      </c>
      <c r="O30" s="161" t="s">
        <v>641</v>
      </c>
      <c r="P30" s="161" t="s">
        <v>791</v>
      </c>
      <c r="Q30" s="161"/>
      <c r="R30" s="161">
        <v>1</v>
      </c>
      <c r="S30" s="161"/>
      <c r="T30" s="161">
        <v>1</v>
      </c>
      <c r="U30" s="161" t="s">
        <v>517</v>
      </c>
      <c r="V30" s="161" t="s">
        <v>693</v>
      </c>
      <c r="W30" s="161">
        <v>1</v>
      </c>
      <c r="X30" s="160"/>
      <c r="Y30" s="164">
        <v>2013</v>
      </c>
      <c r="Z30" s="160" t="s">
        <v>644</v>
      </c>
      <c r="AA30" s="160">
        <v>10</v>
      </c>
      <c r="AB30" s="147" t="str">
        <f>VLOOKUP(E30,Source!F:F,1,FALSE)</f>
        <v>MassDOT - Highway &amp; Turnpike Divisions</v>
      </c>
      <c r="AC30" s="150"/>
      <c r="AD30" s="150"/>
      <c r="AE30" s="140"/>
      <c r="AF30" s="150"/>
    </row>
    <row r="31" spans="1:34" x14ac:dyDescent="0.25">
      <c r="A31" s="160" t="str">
        <f t="shared" si="0"/>
        <v>MassDOT - Highway &amp; Turnpike Divisions11</v>
      </c>
      <c r="B31" s="160" t="s">
        <v>696</v>
      </c>
      <c r="C31" s="160" t="s">
        <v>696</v>
      </c>
      <c r="D31" s="160" t="s">
        <v>396</v>
      </c>
      <c r="E31" s="143" t="s">
        <v>589</v>
      </c>
      <c r="F31" s="160" t="s">
        <v>795</v>
      </c>
      <c r="G31" s="160" t="s">
        <v>796</v>
      </c>
      <c r="H31" s="161" t="s">
        <v>667</v>
      </c>
      <c r="I31" s="161" t="s">
        <v>270</v>
      </c>
      <c r="J31" s="162" t="s">
        <v>668</v>
      </c>
      <c r="K31" s="161"/>
      <c r="L31" s="161"/>
      <c r="M31" s="161"/>
      <c r="N31" s="161" t="s">
        <v>770</v>
      </c>
      <c r="O31" s="161" t="s">
        <v>641</v>
      </c>
      <c r="P31" s="161" t="s">
        <v>791</v>
      </c>
      <c r="Q31" s="161"/>
      <c r="R31" s="161">
        <v>1</v>
      </c>
      <c r="S31" s="161"/>
      <c r="T31" s="161">
        <v>1</v>
      </c>
      <c r="U31" s="161" t="s">
        <v>517</v>
      </c>
      <c r="V31" s="161" t="s">
        <v>693</v>
      </c>
      <c r="W31" s="161">
        <v>1</v>
      </c>
      <c r="X31" s="160"/>
      <c r="Y31" s="164">
        <v>2013</v>
      </c>
      <c r="Z31" s="160" t="s">
        <v>644</v>
      </c>
      <c r="AA31" s="160">
        <v>11</v>
      </c>
      <c r="AB31" s="147" t="str">
        <f>VLOOKUP(E31,Source!F:F,1,FALSE)</f>
        <v>MassDOT - Highway &amp; Turnpike Divisions</v>
      </c>
      <c r="AC31" s="150"/>
      <c r="AD31" s="150"/>
      <c r="AE31" s="140"/>
      <c r="AF31" s="150"/>
    </row>
    <row r="32" spans="1:34" x14ac:dyDescent="0.25">
      <c r="A32" s="160" t="str">
        <f t="shared" si="0"/>
        <v>MassDOT - Highway &amp; Turnpike Divisions12</v>
      </c>
      <c r="B32" s="160" t="s">
        <v>696</v>
      </c>
      <c r="C32" s="160" t="s">
        <v>696</v>
      </c>
      <c r="D32" s="160" t="s">
        <v>396</v>
      </c>
      <c r="E32" s="143" t="s">
        <v>589</v>
      </c>
      <c r="F32" s="160" t="s">
        <v>797</v>
      </c>
      <c r="G32" s="160" t="s">
        <v>798</v>
      </c>
      <c r="H32" s="161" t="s">
        <v>181</v>
      </c>
      <c r="I32" s="161" t="s">
        <v>270</v>
      </c>
      <c r="J32" s="162" t="s">
        <v>799</v>
      </c>
      <c r="K32" s="161"/>
      <c r="L32" s="161"/>
      <c r="M32" s="161"/>
      <c r="N32" s="161" t="s">
        <v>764</v>
      </c>
      <c r="O32" s="161" t="s">
        <v>641</v>
      </c>
      <c r="P32" s="161" t="s">
        <v>791</v>
      </c>
      <c r="Q32" s="161"/>
      <c r="R32" s="161">
        <v>1</v>
      </c>
      <c r="S32" s="161"/>
      <c r="T32" s="161">
        <v>1</v>
      </c>
      <c r="U32" s="161" t="s">
        <v>517</v>
      </c>
      <c r="V32" s="161" t="s">
        <v>767</v>
      </c>
      <c r="W32" s="161">
        <v>2</v>
      </c>
      <c r="X32" s="160"/>
      <c r="Y32" s="164">
        <v>2012</v>
      </c>
      <c r="Z32" s="160" t="s">
        <v>644</v>
      </c>
      <c r="AA32" s="160">
        <v>12</v>
      </c>
      <c r="AB32" s="147" t="str">
        <f>VLOOKUP(E32,Source!F:F,1,FALSE)</f>
        <v>MassDOT - Highway &amp; Turnpike Divisions</v>
      </c>
      <c r="AC32" s="150"/>
      <c r="AD32" s="150"/>
      <c r="AE32" s="140"/>
      <c r="AF32" s="150"/>
    </row>
    <row r="33" spans="1:35" x14ac:dyDescent="0.25">
      <c r="A33" s="160" t="str">
        <f t="shared" si="0"/>
        <v>MassDOT - Highway &amp; Turnpike Divisions13</v>
      </c>
      <c r="B33" s="160" t="s">
        <v>696</v>
      </c>
      <c r="C33" s="160" t="s">
        <v>696</v>
      </c>
      <c r="D33" s="160" t="s">
        <v>396</v>
      </c>
      <c r="E33" s="143" t="s">
        <v>589</v>
      </c>
      <c r="F33" s="148" t="s">
        <v>854</v>
      </c>
      <c r="G33" s="160" t="s">
        <v>830</v>
      </c>
      <c r="H33" s="161" t="s">
        <v>600</v>
      </c>
      <c r="I33" s="161" t="s">
        <v>270</v>
      </c>
      <c r="J33" s="162" t="s">
        <v>831</v>
      </c>
      <c r="K33" s="161"/>
      <c r="L33" s="161"/>
      <c r="M33" s="161"/>
      <c r="N33" s="161" t="s">
        <v>775</v>
      </c>
      <c r="O33" s="161" t="s">
        <v>641</v>
      </c>
      <c r="P33" s="161" t="s">
        <v>832</v>
      </c>
      <c r="Q33" s="161"/>
      <c r="R33" s="161"/>
      <c r="S33" s="161">
        <v>1</v>
      </c>
      <c r="T33" s="161">
        <v>1</v>
      </c>
      <c r="U33" s="161" t="s">
        <v>691</v>
      </c>
      <c r="V33" s="161" t="s">
        <v>693</v>
      </c>
      <c r="W33" s="167">
        <v>1</v>
      </c>
      <c r="X33" s="160"/>
      <c r="Y33" s="164">
        <v>2017</v>
      </c>
      <c r="Z33" s="160" t="s">
        <v>692</v>
      </c>
      <c r="AA33" s="160">
        <v>13</v>
      </c>
      <c r="AB33" s="147" t="str">
        <f>VLOOKUP(E33,Source!F:F,1,FALSE)</f>
        <v>MassDOT - Highway &amp; Turnpike Divisions</v>
      </c>
      <c r="AC33" s="150"/>
      <c r="AD33" s="150"/>
      <c r="AE33" s="140"/>
      <c r="AF33" s="150"/>
    </row>
    <row r="34" spans="1:35" x14ac:dyDescent="0.25">
      <c r="A34" s="160" t="str">
        <f t="shared" ref="A34:A65" si="1">E34&amp;AA34</f>
        <v>MassDOT - Highway &amp; Turnpike Divisions14</v>
      </c>
      <c r="B34" s="160" t="s">
        <v>696</v>
      </c>
      <c r="C34" s="160" t="s">
        <v>696</v>
      </c>
      <c r="D34" s="160" t="s">
        <v>396</v>
      </c>
      <c r="E34" s="143" t="s">
        <v>589</v>
      </c>
      <c r="F34" s="148" t="s">
        <v>854</v>
      </c>
      <c r="G34" s="160" t="s">
        <v>833</v>
      </c>
      <c r="H34" s="161" t="s">
        <v>145</v>
      </c>
      <c r="I34" s="161" t="s">
        <v>270</v>
      </c>
      <c r="J34" s="162" t="s">
        <v>669</v>
      </c>
      <c r="K34" s="161"/>
      <c r="L34" s="161"/>
      <c r="M34" s="161"/>
      <c r="N34" s="161" t="s">
        <v>775</v>
      </c>
      <c r="O34" s="161" t="s">
        <v>641</v>
      </c>
      <c r="P34" s="161" t="s">
        <v>832</v>
      </c>
      <c r="Q34" s="161"/>
      <c r="R34" s="161"/>
      <c r="S34" s="161">
        <v>1</v>
      </c>
      <c r="T34" s="161">
        <v>1</v>
      </c>
      <c r="U34" s="161" t="s">
        <v>691</v>
      </c>
      <c r="V34" s="161" t="s">
        <v>693</v>
      </c>
      <c r="W34" s="161">
        <v>1</v>
      </c>
      <c r="X34" s="160"/>
      <c r="Y34" s="164">
        <v>2017</v>
      </c>
      <c r="Z34" s="160"/>
      <c r="AA34" s="160">
        <v>14</v>
      </c>
      <c r="AB34" s="147" t="str">
        <f>VLOOKUP(E34,Source!F:F,1,FALSE)</f>
        <v>MassDOT - Highway &amp; Turnpike Divisions</v>
      </c>
      <c r="AC34" s="150"/>
      <c r="AD34" s="150"/>
      <c r="AE34" s="140"/>
      <c r="AF34" s="150"/>
    </row>
    <row r="35" spans="1:35" x14ac:dyDescent="0.25">
      <c r="A35" s="160" t="str">
        <f t="shared" si="1"/>
        <v>MassDOT - Highway &amp; Turnpike Divisions15</v>
      </c>
      <c r="B35" s="160" t="s">
        <v>696</v>
      </c>
      <c r="C35" s="160" t="s">
        <v>696</v>
      </c>
      <c r="D35" s="160" t="s">
        <v>396</v>
      </c>
      <c r="E35" s="143" t="s">
        <v>589</v>
      </c>
      <c r="F35" s="148" t="s">
        <v>855</v>
      </c>
      <c r="G35" s="160" t="s">
        <v>834</v>
      </c>
      <c r="H35" s="161" t="s">
        <v>835</v>
      </c>
      <c r="I35" s="161" t="s">
        <v>270</v>
      </c>
      <c r="J35" s="162" t="s">
        <v>836</v>
      </c>
      <c r="K35" s="161"/>
      <c r="L35" s="161"/>
      <c r="M35" s="161"/>
      <c r="N35" s="161" t="s">
        <v>775</v>
      </c>
      <c r="O35" s="161" t="s">
        <v>641</v>
      </c>
      <c r="P35" s="161" t="s">
        <v>791</v>
      </c>
      <c r="Q35" s="161"/>
      <c r="R35" s="161">
        <v>1</v>
      </c>
      <c r="S35" s="161"/>
      <c r="T35" s="161">
        <v>1</v>
      </c>
      <c r="U35" s="161" t="s">
        <v>517</v>
      </c>
      <c r="V35" s="161" t="s">
        <v>767</v>
      </c>
      <c r="W35" s="161">
        <v>2</v>
      </c>
      <c r="X35" s="160"/>
      <c r="Y35" s="164">
        <v>2017</v>
      </c>
      <c r="Z35" s="160"/>
      <c r="AA35" s="160">
        <v>15</v>
      </c>
      <c r="AB35" s="147" t="str">
        <f>VLOOKUP(E35,Source!F:F,1,FALSE)</f>
        <v>MassDOT - Highway &amp; Turnpike Divisions</v>
      </c>
      <c r="AC35" s="150"/>
      <c r="AD35" s="150"/>
      <c r="AE35" s="140"/>
      <c r="AF35" s="150"/>
    </row>
    <row r="36" spans="1:35" s="151" customFormat="1" x14ac:dyDescent="0.25">
      <c r="A36" s="160" t="str">
        <f t="shared" si="1"/>
        <v>MassDOT - Highway &amp; Turnpike Divisions16</v>
      </c>
      <c r="B36" s="160" t="s">
        <v>696</v>
      </c>
      <c r="C36" s="160" t="s">
        <v>696</v>
      </c>
      <c r="D36" s="160" t="s">
        <v>396</v>
      </c>
      <c r="E36" s="143" t="s">
        <v>589</v>
      </c>
      <c r="F36" s="148" t="s">
        <v>855</v>
      </c>
      <c r="G36" s="160" t="s">
        <v>834</v>
      </c>
      <c r="H36" s="161" t="s">
        <v>835</v>
      </c>
      <c r="I36" s="161" t="s">
        <v>270</v>
      </c>
      <c r="J36" s="162" t="s">
        <v>836</v>
      </c>
      <c r="K36" s="161"/>
      <c r="L36" s="161"/>
      <c r="M36" s="161"/>
      <c r="N36" s="161" t="s">
        <v>775</v>
      </c>
      <c r="O36" s="161" t="s">
        <v>641</v>
      </c>
      <c r="P36" s="161" t="s">
        <v>791</v>
      </c>
      <c r="Q36" s="161"/>
      <c r="R36" s="161">
        <v>1</v>
      </c>
      <c r="S36" s="161"/>
      <c r="T36" s="161">
        <v>1</v>
      </c>
      <c r="U36" s="161" t="s">
        <v>517</v>
      </c>
      <c r="V36" s="161" t="s">
        <v>767</v>
      </c>
      <c r="W36" s="161">
        <v>2</v>
      </c>
      <c r="X36" s="160"/>
      <c r="Y36" s="164">
        <v>2017</v>
      </c>
      <c r="Z36" s="160"/>
      <c r="AA36" s="160">
        <v>16</v>
      </c>
      <c r="AB36" s="147" t="str">
        <f>VLOOKUP(E36,Source!F:F,1,FALSE)</f>
        <v>MassDOT - Highway &amp; Turnpike Divisions</v>
      </c>
      <c r="AE36" s="140"/>
    </row>
    <row r="37" spans="1:35" x14ac:dyDescent="0.25">
      <c r="A37" s="160" t="str">
        <f t="shared" si="1"/>
        <v>MassDOT - Highway &amp; Turnpike Divisions17</v>
      </c>
      <c r="B37" s="160" t="s">
        <v>696</v>
      </c>
      <c r="C37" s="160" t="s">
        <v>696</v>
      </c>
      <c r="D37" s="160" t="s">
        <v>396</v>
      </c>
      <c r="E37" s="143" t="s">
        <v>589</v>
      </c>
      <c r="F37" s="148" t="s">
        <v>856</v>
      </c>
      <c r="G37" s="160" t="s">
        <v>837</v>
      </c>
      <c r="H37" s="161" t="s">
        <v>838</v>
      </c>
      <c r="I37" s="161" t="s">
        <v>270</v>
      </c>
      <c r="J37" s="162" t="s">
        <v>839</v>
      </c>
      <c r="K37" s="161"/>
      <c r="L37" s="161"/>
      <c r="M37" s="161"/>
      <c r="N37" s="161" t="s">
        <v>775</v>
      </c>
      <c r="O37" s="161" t="s">
        <v>641</v>
      </c>
      <c r="P37" s="161" t="s">
        <v>765</v>
      </c>
      <c r="Q37" s="161"/>
      <c r="R37" s="161"/>
      <c r="S37" s="161">
        <v>1</v>
      </c>
      <c r="T37" s="161">
        <v>1</v>
      </c>
      <c r="U37" s="161" t="s">
        <v>691</v>
      </c>
      <c r="V37" s="161" t="s">
        <v>693</v>
      </c>
      <c r="W37" s="167">
        <v>1</v>
      </c>
      <c r="X37" s="160"/>
      <c r="Y37" s="164">
        <v>2017</v>
      </c>
      <c r="Z37" s="160" t="s">
        <v>692</v>
      </c>
      <c r="AA37" s="160">
        <v>17</v>
      </c>
      <c r="AB37" s="147" t="str">
        <f>VLOOKUP(E37,Source!F:F,1,FALSE)</f>
        <v>MassDOT - Highway &amp; Turnpike Divisions</v>
      </c>
      <c r="AC37" s="150"/>
      <c r="AD37" s="150"/>
      <c r="AE37" s="140"/>
      <c r="AF37" s="150"/>
    </row>
    <row r="38" spans="1:35" x14ac:dyDescent="0.25">
      <c r="A38" s="160" t="str">
        <f t="shared" si="1"/>
        <v>MassDOT - Highway &amp; Turnpike Divisions18</v>
      </c>
      <c r="B38" s="160" t="s">
        <v>696</v>
      </c>
      <c r="C38" s="160" t="s">
        <v>696</v>
      </c>
      <c r="D38" s="160" t="s">
        <v>396</v>
      </c>
      <c r="E38" s="143" t="s">
        <v>589</v>
      </c>
      <c r="F38" s="148" t="s">
        <v>856</v>
      </c>
      <c r="G38" s="160" t="s">
        <v>840</v>
      </c>
      <c r="H38" s="161" t="s">
        <v>838</v>
      </c>
      <c r="I38" s="161" t="s">
        <v>270</v>
      </c>
      <c r="J38" s="162" t="s">
        <v>841</v>
      </c>
      <c r="K38" s="161"/>
      <c r="L38" s="161"/>
      <c r="M38" s="161"/>
      <c r="N38" s="161" t="s">
        <v>775</v>
      </c>
      <c r="O38" s="161" t="s">
        <v>641</v>
      </c>
      <c r="P38" s="161" t="s">
        <v>765</v>
      </c>
      <c r="Q38" s="161"/>
      <c r="R38" s="161"/>
      <c r="S38" s="161">
        <v>1</v>
      </c>
      <c r="T38" s="161">
        <v>1</v>
      </c>
      <c r="U38" s="161" t="s">
        <v>691</v>
      </c>
      <c r="V38" s="161" t="s">
        <v>693</v>
      </c>
      <c r="W38" s="167">
        <v>1</v>
      </c>
      <c r="X38" s="160"/>
      <c r="Y38" s="164">
        <v>2017</v>
      </c>
      <c r="Z38" s="160" t="s">
        <v>692</v>
      </c>
      <c r="AA38" s="160">
        <v>18</v>
      </c>
      <c r="AB38" s="147" t="str">
        <f>VLOOKUP(E38,Source!F:F,1,FALSE)</f>
        <v>MassDOT - Highway &amp; Turnpike Divisions</v>
      </c>
      <c r="AC38" s="150"/>
      <c r="AD38" s="150"/>
      <c r="AE38" s="140"/>
      <c r="AF38" s="150"/>
    </row>
    <row r="39" spans="1:35" x14ac:dyDescent="0.25">
      <c r="A39" s="160" t="str">
        <f t="shared" si="1"/>
        <v>MassDOT - Highway &amp; Turnpike Divisions19</v>
      </c>
      <c r="B39" s="160" t="s">
        <v>696</v>
      </c>
      <c r="C39" s="160" t="s">
        <v>696</v>
      </c>
      <c r="D39" s="160" t="s">
        <v>396</v>
      </c>
      <c r="E39" s="143" t="s">
        <v>589</v>
      </c>
      <c r="F39" s="148" t="s">
        <v>857</v>
      </c>
      <c r="G39" s="160" t="s">
        <v>844</v>
      </c>
      <c r="H39" s="161" t="s">
        <v>845</v>
      </c>
      <c r="I39" s="161" t="s">
        <v>270</v>
      </c>
      <c r="J39" s="162" t="s">
        <v>846</v>
      </c>
      <c r="K39" s="161"/>
      <c r="L39" s="161"/>
      <c r="M39" s="161"/>
      <c r="N39" s="161" t="s">
        <v>764</v>
      </c>
      <c r="O39" s="161" t="s">
        <v>641</v>
      </c>
      <c r="P39" s="161" t="s">
        <v>832</v>
      </c>
      <c r="Q39" s="161"/>
      <c r="R39" s="161"/>
      <c r="S39" s="161">
        <v>1</v>
      </c>
      <c r="T39" s="161">
        <v>1</v>
      </c>
      <c r="U39" s="161" t="s">
        <v>691</v>
      </c>
      <c r="V39" s="161" t="s">
        <v>693</v>
      </c>
      <c r="W39" s="161">
        <v>1</v>
      </c>
      <c r="X39" s="160"/>
      <c r="Y39" s="164">
        <v>2018</v>
      </c>
      <c r="Z39" s="160"/>
      <c r="AA39" s="160">
        <v>19</v>
      </c>
      <c r="AB39" s="147" t="str">
        <f>VLOOKUP(E39,Source!F:F,1,FALSE)</f>
        <v>MassDOT - Highway &amp; Turnpike Divisions</v>
      </c>
      <c r="AC39" s="150"/>
      <c r="AD39" s="150"/>
      <c r="AE39" s="140"/>
      <c r="AF39" s="150"/>
    </row>
    <row r="40" spans="1:35" s="150" customFormat="1" x14ac:dyDescent="0.25">
      <c r="A40" s="160" t="str">
        <f t="shared" si="1"/>
        <v>MassDOT - Highway &amp; Turnpike Divisions20</v>
      </c>
      <c r="B40" s="160" t="s">
        <v>696</v>
      </c>
      <c r="C40" s="160" t="s">
        <v>696</v>
      </c>
      <c r="D40" s="160" t="s">
        <v>396</v>
      </c>
      <c r="E40" s="143" t="s">
        <v>589</v>
      </c>
      <c r="F40" s="148" t="s">
        <v>857</v>
      </c>
      <c r="G40" s="160" t="s">
        <v>847</v>
      </c>
      <c r="H40" s="161" t="s">
        <v>845</v>
      </c>
      <c r="I40" s="161" t="s">
        <v>270</v>
      </c>
      <c r="J40" s="162" t="s">
        <v>848</v>
      </c>
      <c r="K40" s="161"/>
      <c r="L40" s="161"/>
      <c r="M40" s="161"/>
      <c r="N40" s="161" t="s">
        <v>764</v>
      </c>
      <c r="O40" s="161" t="s">
        <v>641</v>
      </c>
      <c r="P40" s="161" t="s">
        <v>832</v>
      </c>
      <c r="Q40" s="161"/>
      <c r="R40" s="161"/>
      <c r="S40" s="161">
        <v>1</v>
      </c>
      <c r="T40" s="161">
        <v>1</v>
      </c>
      <c r="U40" s="161" t="s">
        <v>691</v>
      </c>
      <c r="V40" s="161" t="s">
        <v>693</v>
      </c>
      <c r="W40" s="161">
        <v>1</v>
      </c>
      <c r="X40" s="160"/>
      <c r="Y40" s="164">
        <v>2018</v>
      </c>
      <c r="Z40" s="160"/>
      <c r="AA40" s="160">
        <v>20</v>
      </c>
      <c r="AB40" s="147" t="str">
        <f>VLOOKUP(E40,Source!F:F,1,FALSE)</f>
        <v>MassDOT - Highway &amp; Turnpike Divisions</v>
      </c>
      <c r="AE40" s="140"/>
    </row>
    <row r="41" spans="1:35" s="150" customFormat="1" x14ac:dyDescent="0.25">
      <c r="A41" s="160" t="str">
        <f t="shared" si="1"/>
        <v>MassPort Authority1</v>
      </c>
      <c r="B41" s="160" t="s">
        <v>696</v>
      </c>
      <c r="C41" s="160" t="s">
        <v>696</v>
      </c>
      <c r="D41" s="160" t="s">
        <v>800</v>
      </c>
      <c r="E41" s="160" t="s">
        <v>79</v>
      </c>
      <c r="F41" s="160" t="s">
        <v>800</v>
      </c>
      <c r="G41" s="160" t="s">
        <v>801</v>
      </c>
      <c r="H41" s="161" t="s">
        <v>145</v>
      </c>
      <c r="I41" s="161" t="s">
        <v>270</v>
      </c>
      <c r="J41" s="162" t="s">
        <v>669</v>
      </c>
      <c r="K41" s="161">
        <v>1701</v>
      </c>
      <c r="L41" s="161"/>
      <c r="M41" s="161" t="s">
        <v>670</v>
      </c>
      <c r="N41" s="161" t="s">
        <v>775</v>
      </c>
      <c r="O41" s="161" t="s">
        <v>641</v>
      </c>
      <c r="P41" s="161" t="s">
        <v>765</v>
      </c>
      <c r="Q41" s="161"/>
      <c r="R41" s="166">
        <v>1</v>
      </c>
      <c r="S41" s="166"/>
      <c r="T41" s="161">
        <v>1</v>
      </c>
      <c r="U41" s="161" t="s">
        <v>517</v>
      </c>
      <c r="V41" s="161" t="s">
        <v>767</v>
      </c>
      <c r="W41" s="161">
        <v>2</v>
      </c>
      <c r="X41" s="160"/>
      <c r="Y41" s="165">
        <v>2015</v>
      </c>
      <c r="Z41" s="160" t="s">
        <v>644</v>
      </c>
      <c r="AA41" s="160">
        <v>1</v>
      </c>
      <c r="AB41" s="147" t="str">
        <f>VLOOKUP(E41,Source!F:F,1,FALSE)</f>
        <v>MassPort Authority</v>
      </c>
      <c r="AE41" s="140"/>
    </row>
    <row r="42" spans="1:35" s="150" customFormat="1" x14ac:dyDescent="0.25">
      <c r="A42" s="160" t="str">
        <f t="shared" si="1"/>
        <v>MassPort Authority2</v>
      </c>
      <c r="B42" s="160" t="s">
        <v>696</v>
      </c>
      <c r="C42" s="160" t="s">
        <v>696</v>
      </c>
      <c r="D42" s="160" t="s">
        <v>800</v>
      </c>
      <c r="E42" s="160" t="s">
        <v>79</v>
      </c>
      <c r="F42" s="160" t="s">
        <v>800</v>
      </c>
      <c r="G42" s="160" t="s">
        <v>802</v>
      </c>
      <c r="H42" s="161" t="s">
        <v>145</v>
      </c>
      <c r="I42" s="161" t="s">
        <v>270</v>
      </c>
      <c r="J42" s="162" t="s">
        <v>669</v>
      </c>
      <c r="K42" s="161">
        <v>1701</v>
      </c>
      <c r="L42" s="161"/>
      <c r="M42" s="161" t="s">
        <v>670</v>
      </c>
      <c r="N42" s="161" t="s">
        <v>775</v>
      </c>
      <c r="O42" s="161" t="s">
        <v>641</v>
      </c>
      <c r="P42" s="161" t="s">
        <v>765</v>
      </c>
      <c r="Q42" s="161"/>
      <c r="R42" s="166">
        <v>1</v>
      </c>
      <c r="S42" s="166"/>
      <c r="T42" s="161">
        <v>1</v>
      </c>
      <c r="U42" s="161" t="s">
        <v>517</v>
      </c>
      <c r="V42" s="161" t="s">
        <v>767</v>
      </c>
      <c r="W42" s="161">
        <v>2</v>
      </c>
      <c r="X42" s="160"/>
      <c r="Y42" s="165">
        <v>2015</v>
      </c>
      <c r="Z42" s="160" t="s">
        <v>644</v>
      </c>
      <c r="AA42" s="160">
        <v>2</v>
      </c>
      <c r="AB42" s="147" t="str">
        <f>VLOOKUP(E42,Source!F:F,1,FALSE)</f>
        <v>MassPort Authority</v>
      </c>
      <c r="AC42" s="156"/>
      <c r="AD42" s="156"/>
      <c r="AE42" s="140"/>
      <c r="AF42" s="156"/>
    </row>
    <row r="43" spans="1:35" s="150" customFormat="1" x14ac:dyDescent="0.25">
      <c r="A43" s="160" t="str">
        <f t="shared" si="1"/>
        <v>MassPort Authority3</v>
      </c>
      <c r="B43" s="160" t="s">
        <v>696</v>
      </c>
      <c r="C43" s="160" t="s">
        <v>696</v>
      </c>
      <c r="D43" s="160" t="s">
        <v>800</v>
      </c>
      <c r="E43" s="160" t="s">
        <v>79</v>
      </c>
      <c r="F43" s="160" t="s">
        <v>849</v>
      </c>
      <c r="G43" s="160" t="s">
        <v>803</v>
      </c>
      <c r="H43" s="161" t="s">
        <v>119</v>
      </c>
      <c r="I43" s="161" t="s">
        <v>270</v>
      </c>
      <c r="J43" s="162" t="s">
        <v>671</v>
      </c>
      <c r="K43" s="161"/>
      <c r="L43" s="161"/>
      <c r="M43" s="161"/>
      <c r="N43" s="161" t="s">
        <v>775</v>
      </c>
      <c r="O43" s="161" t="s">
        <v>641</v>
      </c>
      <c r="P43" s="161" t="s">
        <v>765</v>
      </c>
      <c r="Q43" s="161"/>
      <c r="R43" s="166">
        <v>1</v>
      </c>
      <c r="S43" s="166"/>
      <c r="T43" s="161">
        <v>1</v>
      </c>
      <c r="U43" s="161" t="s">
        <v>517</v>
      </c>
      <c r="V43" s="161" t="s">
        <v>767</v>
      </c>
      <c r="W43" s="161">
        <v>2</v>
      </c>
      <c r="X43" s="160"/>
      <c r="Y43" s="165">
        <v>2012</v>
      </c>
      <c r="Z43" s="160" t="s">
        <v>644</v>
      </c>
      <c r="AA43" s="160">
        <v>3</v>
      </c>
      <c r="AB43" s="147" t="str">
        <f>VLOOKUP(E43,Source!F:F,1,FALSE)</f>
        <v>MassPort Authority</v>
      </c>
      <c r="AE43" s="140"/>
      <c r="AG43" s="156"/>
      <c r="AH43" s="155"/>
      <c r="AI43" s="155"/>
    </row>
    <row r="44" spans="1:35" s="150" customFormat="1" x14ac:dyDescent="0.25">
      <c r="A44" s="160" t="str">
        <f t="shared" si="1"/>
        <v>MassPort Authority4</v>
      </c>
      <c r="B44" s="160" t="s">
        <v>696</v>
      </c>
      <c r="C44" s="160" t="s">
        <v>696</v>
      </c>
      <c r="D44" s="160" t="s">
        <v>800</v>
      </c>
      <c r="E44" s="160" t="s">
        <v>79</v>
      </c>
      <c r="F44" s="160" t="s">
        <v>849</v>
      </c>
      <c r="G44" s="160" t="s">
        <v>804</v>
      </c>
      <c r="H44" s="161" t="s">
        <v>119</v>
      </c>
      <c r="I44" s="161" t="s">
        <v>270</v>
      </c>
      <c r="J44" s="162" t="s">
        <v>671</v>
      </c>
      <c r="K44" s="161"/>
      <c r="L44" s="161"/>
      <c r="M44" s="161"/>
      <c r="N44" s="161" t="s">
        <v>775</v>
      </c>
      <c r="O44" s="161" t="s">
        <v>641</v>
      </c>
      <c r="P44" s="161" t="s">
        <v>765</v>
      </c>
      <c r="Q44" s="161"/>
      <c r="R44" s="166">
        <v>1</v>
      </c>
      <c r="S44" s="166"/>
      <c r="T44" s="161">
        <v>1</v>
      </c>
      <c r="U44" s="161" t="s">
        <v>517</v>
      </c>
      <c r="V44" s="161" t="s">
        <v>767</v>
      </c>
      <c r="W44" s="161">
        <v>2</v>
      </c>
      <c r="X44" s="160"/>
      <c r="Y44" s="165">
        <v>2012</v>
      </c>
      <c r="Z44" s="160" t="s">
        <v>644</v>
      </c>
      <c r="AA44" s="160">
        <v>4</v>
      </c>
      <c r="AB44" s="147" t="str">
        <f>VLOOKUP(E44,Source!F:F,1,FALSE)</f>
        <v>MassPort Authority</v>
      </c>
      <c r="AE44" s="140"/>
    </row>
    <row r="45" spans="1:35" s="150" customFormat="1" x14ac:dyDescent="0.25">
      <c r="A45" s="160" t="str">
        <f t="shared" si="1"/>
        <v>MassPort Authority5</v>
      </c>
      <c r="B45" s="160" t="s">
        <v>696</v>
      </c>
      <c r="C45" s="160" t="s">
        <v>696</v>
      </c>
      <c r="D45" s="160" t="s">
        <v>800</v>
      </c>
      <c r="E45" s="160" t="s">
        <v>79</v>
      </c>
      <c r="F45" s="160" t="s">
        <v>849</v>
      </c>
      <c r="G45" s="160" t="s">
        <v>805</v>
      </c>
      <c r="H45" s="161" t="s">
        <v>119</v>
      </c>
      <c r="I45" s="161" t="s">
        <v>270</v>
      </c>
      <c r="J45" s="162" t="s">
        <v>671</v>
      </c>
      <c r="K45" s="161"/>
      <c r="L45" s="161"/>
      <c r="M45" s="161"/>
      <c r="N45" s="161" t="s">
        <v>775</v>
      </c>
      <c r="O45" s="161" t="s">
        <v>641</v>
      </c>
      <c r="P45" s="161" t="s">
        <v>765</v>
      </c>
      <c r="Q45" s="161"/>
      <c r="R45" s="166">
        <v>1</v>
      </c>
      <c r="S45" s="166"/>
      <c r="T45" s="161">
        <v>1</v>
      </c>
      <c r="U45" s="161" t="s">
        <v>517</v>
      </c>
      <c r="V45" s="161" t="s">
        <v>767</v>
      </c>
      <c r="W45" s="161">
        <v>2</v>
      </c>
      <c r="X45" s="160"/>
      <c r="Y45" s="165">
        <v>2012</v>
      </c>
      <c r="Z45" s="160" t="s">
        <v>644</v>
      </c>
      <c r="AA45" s="160">
        <v>5</v>
      </c>
      <c r="AB45" s="147" t="str">
        <f>VLOOKUP(E45,Source!F:F,1,FALSE)</f>
        <v>MassPort Authority</v>
      </c>
      <c r="AE45" s="140"/>
    </row>
    <row r="46" spans="1:35" s="150" customFormat="1" x14ac:dyDescent="0.25">
      <c r="A46" s="160" t="str">
        <f t="shared" si="1"/>
        <v>MassPort Authority6</v>
      </c>
      <c r="B46" s="160" t="s">
        <v>696</v>
      </c>
      <c r="C46" s="160" t="s">
        <v>696</v>
      </c>
      <c r="D46" s="160" t="s">
        <v>800</v>
      </c>
      <c r="E46" s="160" t="s">
        <v>79</v>
      </c>
      <c r="F46" s="160" t="s">
        <v>849</v>
      </c>
      <c r="G46" s="160" t="s">
        <v>806</v>
      </c>
      <c r="H46" s="161" t="s">
        <v>119</v>
      </c>
      <c r="I46" s="161" t="s">
        <v>270</v>
      </c>
      <c r="J46" s="162" t="s">
        <v>671</v>
      </c>
      <c r="K46" s="161"/>
      <c r="L46" s="161"/>
      <c r="M46" s="161"/>
      <c r="N46" s="161" t="s">
        <v>775</v>
      </c>
      <c r="O46" s="161" t="s">
        <v>641</v>
      </c>
      <c r="P46" s="161" t="s">
        <v>765</v>
      </c>
      <c r="Q46" s="161"/>
      <c r="R46" s="166">
        <v>1</v>
      </c>
      <c r="S46" s="166"/>
      <c r="T46" s="161">
        <v>1</v>
      </c>
      <c r="U46" s="161" t="s">
        <v>517</v>
      </c>
      <c r="V46" s="161" t="s">
        <v>767</v>
      </c>
      <c r="W46" s="161">
        <v>2</v>
      </c>
      <c r="X46" s="160"/>
      <c r="Y46" s="165">
        <v>2012</v>
      </c>
      <c r="Z46" s="160" t="s">
        <v>644</v>
      </c>
      <c r="AA46" s="160">
        <v>6</v>
      </c>
      <c r="AB46" s="147" t="str">
        <f>VLOOKUP(E46,Source!F:F,1,FALSE)</f>
        <v>MassPort Authority</v>
      </c>
      <c r="AE46" s="140"/>
    </row>
    <row r="47" spans="1:35" s="150" customFormat="1" x14ac:dyDescent="0.25">
      <c r="A47" s="160" t="str">
        <f t="shared" si="1"/>
        <v>MassPort Authority7</v>
      </c>
      <c r="B47" s="160" t="s">
        <v>696</v>
      </c>
      <c r="C47" s="160" t="s">
        <v>696</v>
      </c>
      <c r="D47" s="160" t="s">
        <v>800</v>
      </c>
      <c r="E47" s="160" t="s">
        <v>79</v>
      </c>
      <c r="F47" s="160" t="s">
        <v>849</v>
      </c>
      <c r="G47" s="163" t="s">
        <v>807</v>
      </c>
      <c r="H47" s="161" t="s">
        <v>119</v>
      </c>
      <c r="I47" s="161" t="s">
        <v>270</v>
      </c>
      <c r="J47" s="162" t="s">
        <v>671</v>
      </c>
      <c r="K47" s="161"/>
      <c r="L47" s="161"/>
      <c r="M47" s="161"/>
      <c r="N47" s="161" t="s">
        <v>775</v>
      </c>
      <c r="O47" s="161" t="s">
        <v>641</v>
      </c>
      <c r="P47" s="161" t="s">
        <v>765</v>
      </c>
      <c r="Q47" s="161"/>
      <c r="R47" s="166">
        <v>1</v>
      </c>
      <c r="S47" s="166"/>
      <c r="T47" s="161">
        <v>1</v>
      </c>
      <c r="U47" s="161" t="s">
        <v>517</v>
      </c>
      <c r="V47" s="161" t="s">
        <v>767</v>
      </c>
      <c r="W47" s="161">
        <v>2</v>
      </c>
      <c r="X47" s="160"/>
      <c r="Y47" s="164" t="s">
        <v>782</v>
      </c>
      <c r="Z47" s="160"/>
      <c r="AA47" s="160">
        <v>7</v>
      </c>
      <c r="AB47" s="147" t="str">
        <f>VLOOKUP(E47,Source!F:F,1,FALSE)</f>
        <v>MassPort Authority</v>
      </c>
      <c r="AE47" s="140"/>
    </row>
    <row r="48" spans="1:35" s="150" customFormat="1" x14ac:dyDescent="0.25">
      <c r="A48" s="160" t="str">
        <f t="shared" si="1"/>
        <v>MassPort Authority8</v>
      </c>
      <c r="B48" s="160" t="s">
        <v>696</v>
      </c>
      <c r="C48" s="160" t="s">
        <v>696</v>
      </c>
      <c r="D48" s="160" t="s">
        <v>800</v>
      </c>
      <c r="E48" s="160" t="s">
        <v>79</v>
      </c>
      <c r="F48" s="160" t="s">
        <v>849</v>
      </c>
      <c r="G48" s="163" t="s">
        <v>808</v>
      </c>
      <c r="H48" s="161" t="s">
        <v>119</v>
      </c>
      <c r="I48" s="161" t="s">
        <v>270</v>
      </c>
      <c r="J48" s="162" t="s">
        <v>671</v>
      </c>
      <c r="K48" s="161"/>
      <c r="L48" s="161"/>
      <c r="M48" s="161"/>
      <c r="N48" s="161" t="s">
        <v>775</v>
      </c>
      <c r="O48" s="161" t="s">
        <v>641</v>
      </c>
      <c r="P48" s="161" t="s">
        <v>765</v>
      </c>
      <c r="Q48" s="161"/>
      <c r="R48" s="166">
        <v>1</v>
      </c>
      <c r="S48" s="166"/>
      <c r="T48" s="161">
        <v>1</v>
      </c>
      <c r="U48" s="161" t="s">
        <v>517</v>
      </c>
      <c r="V48" s="161" t="s">
        <v>767</v>
      </c>
      <c r="W48" s="161">
        <v>2</v>
      </c>
      <c r="X48" s="160"/>
      <c r="Y48" s="164" t="s">
        <v>782</v>
      </c>
      <c r="Z48" s="160"/>
      <c r="AA48" s="160">
        <v>8</v>
      </c>
      <c r="AB48" s="147" t="str">
        <f>VLOOKUP(E48,Source!F:F,1,FALSE)</f>
        <v>MassPort Authority</v>
      </c>
      <c r="AE48" s="140"/>
    </row>
    <row r="49" spans="1:34" s="150" customFormat="1" x14ac:dyDescent="0.25">
      <c r="A49" s="160" t="str">
        <f t="shared" si="1"/>
        <v>MassPort Authority9</v>
      </c>
      <c r="B49" s="160" t="s">
        <v>696</v>
      </c>
      <c r="C49" s="160" t="s">
        <v>696</v>
      </c>
      <c r="D49" s="160" t="s">
        <v>800</v>
      </c>
      <c r="E49" s="160" t="s">
        <v>79</v>
      </c>
      <c r="F49" s="160" t="s">
        <v>849</v>
      </c>
      <c r="G49" s="163" t="s">
        <v>809</v>
      </c>
      <c r="H49" s="161" t="s">
        <v>119</v>
      </c>
      <c r="I49" s="161" t="s">
        <v>270</v>
      </c>
      <c r="J49" s="162" t="s">
        <v>671</v>
      </c>
      <c r="K49" s="161"/>
      <c r="L49" s="161"/>
      <c r="M49" s="161"/>
      <c r="N49" s="161" t="s">
        <v>775</v>
      </c>
      <c r="O49" s="161" t="s">
        <v>641</v>
      </c>
      <c r="P49" s="161" t="s">
        <v>765</v>
      </c>
      <c r="Q49" s="161"/>
      <c r="R49" s="166">
        <v>1</v>
      </c>
      <c r="S49" s="166"/>
      <c r="T49" s="161">
        <v>1</v>
      </c>
      <c r="U49" s="161" t="s">
        <v>517</v>
      </c>
      <c r="V49" s="161" t="s">
        <v>767</v>
      </c>
      <c r="W49" s="161">
        <v>2</v>
      </c>
      <c r="X49" s="160"/>
      <c r="Y49" s="164" t="s">
        <v>782</v>
      </c>
      <c r="Z49" s="160"/>
      <c r="AA49" s="160">
        <v>9</v>
      </c>
      <c r="AB49" s="147" t="str">
        <f>VLOOKUP(E49,Source!F:F,1,FALSE)</f>
        <v>MassPort Authority</v>
      </c>
      <c r="AE49" s="140"/>
    </row>
    <row r="50" spans="1:34" s="150" customFormat="1" x14ac:dyDescent="0.25">
      <c r="A50" s="160" t="str">
        <f t="shared" si="1"/>
        <v>MassPort Authority10</v>
      </c>
      <c r="B50" s="160" t="s">
        <v>696</v>
      </c>
      <c r="C50" s="160" t="s">
        <v>696</v>
      </c>
      <c r="D50" s="160" t="s">
        <v>800</v>
      </c>
      <c r="E50" s="160" t="s">
        <v>79</v>
      </c>
      <c r="F50" s="160" t="s">
        <v>849</v>
      </c>
      <c r="G50" s="163" t="s">
        <v>810</v>
      </c>
      <c r="H50" s="161" t="s">
        <v>119</v>
      </c>
      <c r="I50" s="161" t="s">
        <v>270</v>
      </c>
      <c r="J50" s="162" t="s">
        <v>671</v>
      </c>
      <c r="K50" s="161"/>
      <c r="L50" s="161"/>
      <c r="M50" s="161"/>
      <c r="N50" s="161" t="s">
        <v>775</v>
      </c>
      <c r="O50" s="161" t="s">
        <v>641</v>
      </c>
      <c r="P50" s="161" t="s">
        <v>765</v>
      </c>
      <c r="Q50" s="161"/>
      <c r="R50" s="166">
        <v>1</v>
      </c>
      <c r="S50" s="166"/>
      <c r="T50" s="161">
        <v>1</v>
      </c>
      <c r="U50" s="161" t="s">
        <v>517</v>
      </c>
      <c r="V50" s="161" t="s">
        <v>767</v>
      </c>
      <c r="W50" s="161">
        <v>2</v>
      </c>
      <c r="X50" s="160"/>
      <c r="Y50" s="164" t="s">
        <v>782</v>
      </c>
      <c r="Z50" s="160"/>
      <c r="AA50" s="160">
        <v>10</v>
      </c>
      <c r="AB50" s="147" t="str">
        <f>VLOOKUP(E50,Source!F:F,1,FALSE)</f>
        <v>MassPort Authority</v>
      </c>
      <c r="AE50" s="140"/>
    </row>
    <row r="51" spans="1:34" s="150" customFormat="1" x14ac:dyDescent="0.25">
      <c r="A51" s="160" t="str">
        <f t="shared" si="1"/>
        <v>MassPort Authority11</v>
      </c>
      <c r="B51" s="160" t="s">
        <v>696</v>
      </c>
      <c r="C51" s="160" t="s">
        <v>696</v>
      </c>
      <c r="D51" s="160" t="s">
        <v>800</v>
      </c>
      <c r="E51" s="160" t="s">
        <v>79</v>
      </c>
      <c r="F51" s="160" t="s">
        <v>849</v>
      </c>
      <c r="G51" s="160" t="s">
        <v>811</v>
      </c>
      <c r="H51" s="161" t="s">
        <v>119</v>
      </c>
      <c r="I51" s="161" t="s">
        <v>270</v>
      </c>
      <c r="J51" s="162" t="s">
        <v>671</v>
      </c>
      <c r="K51" s="161"/>
      <c r="L51" s="161"/>
      <c r="M51" s="161"/>
      <c r="N51" s="161" t="s">
        <v>775</v>
      </c>
      <c r="O51" s="161" t="s">
        <v>641</v>
      </c>
      <c r="P51" s="161" t="s">
        <v>765</v>
      </c>
      <c r="Q51" s="161"/>
      <c r="R51" s="166">
        <v>1</v>
      </c>
      <c r="S51" s="166"/>
      <c r="T51" s="161">
        <v>1</v>
      </c>
      <c r="U51" s="161" t="s">
        <v>517</v>
      </c>
      <c r="V51" s="161" t="s">
        <v>767</v>
      </c>
      <c r="W51" s="161">
        <v>2</v>
      </c>
      <c r="X51" s="160"/>
      <c r="Y51" s="165">
        <v>2012</v>
      </c>
      <c r="Z51" s="160" t="s">
        <v>644</v>
      </c>
      <c r="AA51" s="160">
        <v>11</v>
      </c>
      <c r="AB51" s="147" t="str">
        <f>VLOOKUP(E51,Source!F:F,1,FALSE)</f>
        <v>MassPort Authority</v>
      </c>
      <c r="AE51" s="140"/>
    </row>
    <row r="52" spans="1:34" s="150" customFormat="1" x14ac:dyDescent="0.25">
      <c r="A52" s="160" t="str">
        <f t="shared" si="1"/>
        <v>MassPort Authority12</v>
      </c>
      <c r="B52" s="160" t="s">
        <v>696</v>
      </c>
      <c r="C52" s="160" t="s">
        <v>696</v>
      </c>
      <c r="D52" s="160" t="s">
        <v>800</v>
      </c>
      <c r="E52" s="160" t="s">
        <v>79</v>
      </c>
      <c r="F52" s="160" t="s">
        <v>849</v>
      </c>
      <c r="G52" s="160" t="s">
        <v>812</v>
      </c>
      <c r="H52" s="161" t="s">
        <v>119</v>
      </c>
      <c r="I52" s="161" t="s">
        <v>270</v>
      </c>
      <c r="J52" s="162" t="s">
        <v>813</v>
      </c>
      <c r="K52" s="161"/>
      <c r="L52" s="161"/>
      <c r="M52" s="161"/>
      <c r="N52" s="161" t="s">
        <v>775</v>
      </c>
      <c r="O52" s="161" t="s">
        <v>641</v>
      </c>
      <c r="P52" s="161" t="s">
        <v>765</v>
      </c>
      <c r="Q52" s="161"/>
      <c r="R52" s="166">
        <v>1</v>
      </c>
      <c r="S52" s="166"/>
      <c r="T52" s="161">
        <v>1</v>
      </c>
      <c r="U52" s="161" t="s">
        <v>517</v>
      </c>
      <c r="V52" s="161" t="s">
        <v>767</v>
      </c>
      <c r="W52" s="161">
        <v>2</v>
      </c>
      <c r="X52" s="160"/>
      <c r="Y52" s="165">
        <v>2012</v>
      </c>
      <c r="Z52" s="160" t="s">
        <v>644</v>
      </c>
      <c r="AA52" s="160">
        <v>12</v>
      </c>
      <c r="AB52" s="147" t="str">
        <f>VLOOKUP(E52,Source!F:F,1,FALSE)</f>
        <v>MassPort Authority</v>
      </c>
      <c r="AC52" s="141"/>
      <c r="AE52" s="140"/>
    </row>
    <row r="53" spans="1:34" s="150" customFormat="1" x14ac:dyDescent="0.25">
      <c r="A53" s="160" t="str">
        <f t="shared" si="1"/>
        <v>MassPort Authority13</v>
      </c>
      <c r="B53" s="160" t="s">
        <v>696</v>
      </c>
      <c r="C53" s="160" t="s">
        <v>696</v>
      </c>
      <c r="D53" s="160" t="s">
        <v>800</v>
      </c>
      <c r="E53" s="160" t="s">
        <v>79</v>
      </c>
      <c r="F53" s="160" t="s">
        <v>849</v>
      </c>
      <c r="G53" s="160" t="s">
        <v>672</v>
      </c>
      <c r="H53" s="161" t="s">
        <v>119</v>
      </c>
      <c r="I53" s="161" t="s">
        <v>270</v>
      </c>
      <c r="J53" s="162" t="s">
        <v>671</v>
      </c>
      <c r="K53" s="161"/>
      <c r="L53" s="161"/>
      <c r="M53" s="161"/>
      <c r="N53" s="161" t="s">
        <v>775</v>
      </c>
      <c r="O53" s="161" t="s">
        <v>641</v>
      </c>
      <c r="P53" s="161" t="s">
        <v>765</v>
      </c>
      <c r="Q53" s="161"/>
      <c r="R53" s="166">
        <v>1</v>
      </c>
      <c r="S53" s="166"/>
      <c r="T53" s="161">
        <v>1</v>
      </c>
      <c r="U53" s="161" t="s">
        <v>517</v>
      </c>
      <c r="V53" s="161" t="s">
        <v>767</v>
      </c>
      <c r="W53" s="161">
        <v>2</v>
      </c>
      <c r="X53" s="160"/>
      <c r="Y53" s="164" t="s">
        <v>782</v>
      </c>
      <c r="Z53" s="160"/>
      <c r="AA53" s="160">
        <v>13</v>
      </c>
      <c r="AB53" s="147" t="str">
        <f>VLOOKUP(E53,Source!F:F,1,FALSE)</f>
        <v>MassPort Authority</v>
      </c>
      <c r="AC53" s="141"/>
      <c r="AE53" s="140"/>
    </row>
    <row r="54" spans="1:34" s="150" customFormat="1" x14ac:dyDescent="0.25">
      <c r="A54" s="160" t="str">
        <f t="shared" si="1"/>
        <v>MassPort Authority14</v>
      </c>
      <c r="B54" s="160" t="s">
        <v>696</v>
      </c>
      <c r="C54" s="160" t="s">
        <v>696</v>
      </c>
      <c r="D54" s="160" t="s">
        <v>800</v>
      </c>
      <c r="E54" s="160" t="s">
        <v>79</v>
      </c>
      <c r="F54" s="160" t="s">
        <v>849</v>
      </c>
      <c r="G54" s="160" t="s">
        <v>674</v>
      </c>
      <c r="H54" s="161" t="s">
        <v>119</v>
      </c>
      <c r="I54" s="161" t="s">
        <v>270</v>
      </c>
      <c r="J54" s="162" t="s">
        <v>671</v>
      </c>
      <c r="K54" s="161"/>
      <c r="L54" s="161"/>
      <c r="M54" s="161"/>
      <c r="N54" s="161" t="s">
        <v>775</v>
      </c>
      <c r="O54" s="161" t="s">
        <v>641</v>
      </c>
      <c r="P54" s="161" t="s">
        <v>765</v>
      </c>
      <c r="Q54" s="161"/>
      <c r="R54" s="166">
        <v>1</v>
      </c>
      <c r="S54" s="166"/>
      <c r="T54" s="161">
        <v>1</v>
      </c>
      <c r="U54" s="161" t="s">
        <v>517</v>
      </c>
      <c r="V54" s="161" t="s">
        <v>767</v>
      </c>
      <c r="W54" s="161">
        <v>2</v>
      </c>
      <c r="X54" s="160"/>
      <c r="Y54" s="164" t="s">
        <v>782</v>
      </c>
      <c r="Z54" s="160"/>
      <c r="AA54" s="160">
        <v>14</v>
      </c>
      <c r="AB54" s="147" t="str">
        <f>VLOOKUP(E54,Source!F:F,1,FALSE)</f>
        <v>MassPort Authority</v>
      </c>
      <c r="AE54" s="140"/>
      <c r="AG54" s="156"/>
      <c r="AH54" s="156"/>
    </row>
    <row r="55" spans="1:34" s="150" customFormat="1" x14ac:dyDescent="0.25">
      <c r="A55" s="160" t="str">
        <f t="shared" si="1"/>
        <v>MassPort Authority15</v>
      </c>
      <c r="B55" s="160" t="s">
        <v>696</v>
      </c>
      <c r="C55" s="160" t="s">
        <v>696</v>
      </c>
      <c r="D55" s="160" t="s">
        <v>800</v>
      </c>
      <c r="E55" s="160" t="s">
        <v>79</v>
      </c>
      <c r="F55" s="160" t="s">
        <v>849</v>
      </c>
      <c r="G55" s="160" t="s">
        <v>673</v>
      </c>
      <c r="H55" s="161" t="s">
        <v>119</v>
      </c>
      <c r="I55" s="161" t="s">
        <v>270</v>
      </c>
      <c r="J55" s="162" t="s">
        <v>671</v>
      </c>
      <c r="K55" s="161">
        <v>2128</v>
      </c>
      <c r="L55" s="161"/>
      <c r="M55" s="161" t="s">
        <v>670</v>
      </c>
      <c r="N55" s="161" t="s">
        <v>775</v>
      </c>
      <c r="O55" s="161" t="s">
        <v>641</v>
      </c>
      <c r="P55" s="161" t="s">
        <v>765</v>
      </c>
      <c r="Q55" s="161"/>
      <c r="R55" s="166">
        <v>1</v>
      </c>
      <c r="S55" s="166"/>
      <c r="T55" s="161">
        <v>1</v>
      </c>
      <c r="U55" s="161" t="s">
        <v>517</v>
      </c>
      <c r="V55" s="161" t="s">
        <v>693</v>
      </c>
      <c r="W55" s="161">
        <v>1</v>
      </c>
      <c r="X55" s="160"/>
      <c r="Y55" s="164" t="s">
        <v>782</v>
      </c>
      <c r="Z55" s="160"/>
      <c r="AA55" s="160">
        <v>15</v>
      </c>
      <c r="AB55" s="147" t="str">
        <f>VLOOKUP(E55,Source!F:F,1,FALSE)</f>
        <v>MassPort Authority</v>
      </c>
      <c r="AC55" s="141"/>
      <c r="AE55" s="140"/>
    </row>
    <row r="56" spans="1:34" s="150" customFormat="1" x14ac:dyDescent="0.25">
      <c r="A56" s="160" t="str">
        <f t="shared" si="1"/>
        <v>Quinsigamond Comm. College1</v>
      </c>
      <c r="B56" s="160" t="s">
        <v>696</v>
      </c>
      <c r="C56" s="160" t="s">
        <v>696</v>
      </c>
      <c r="D56" s="160" t="s">
        <v>271</v>
      </c>
      <c r="E56" s="160" t="s">
        <v>66</v>
      </c>
      <c r="F56" s="160" t="s">
        <v>814</v>
      </c>
      <c r="G56" s="160" t="s">
        <v>675</v>
      </c>
      <c r="H56" s="161" t="s">
        <v>181</v>
      </c>
      <c r="I56" s="161" t="s">
        <v>270</v>
      </c>
      <c r="J56" s="162" t="s">
        <v>654</v>
      </c>
      <c r="K56" s="161"/>
      <c r="L56" s="161"/>
      <c r="M56" s="161"/>
      <c r="N56" s="161" t="s">
        <v>764</v>
      </c>
      <c r="O56" s="161" t="s">
        <v>641</v>
      </c>
      <c r="P56" s="161" t="s">
        <v>765</v>
      </c>
      <c r="Q56" s="161"/>
      <c r="R56" s="166">
        <v>1</v>
      </c>
      <c r="S56" s="166"/>
      <c r="T56" s="161">
        <v>1</v>
      </c>
      <c r="U56" s="161" t="s">
        <v>517</v>
      </c>
      <c r="V56" s="161" t="s">
        <v>767</v>
      </c>
      <c r="W56" s="161">
        <v>2</v>
      </c>
      <c r="X56" s="160"/>
      <c r="Y56" s="165">
        <v>2014</v>
      </c>
      <c r="Z56" s="160" t="s">
        <v>644</v>
      </c>
      <c r="AA56" s="160">
        <v>1</v>
      </c>
      <c r="AB56" s="147" t="str">
        <f>VLOOKUP(E56,Source!F:F,1,FALSE)</f>
        <v>Quinsigamond Comm. College</v>
      </c>
      <c r="AC56" s="141"/>
      <c r="AE56" s="140"/>
    </row>
    <row r="57" spans="1:34" s="150" customFormat="1" x14ac:dyDescent="0.25">
      <c r="A57" s="160" t="str">
        <f t="shared" si="1"/>
        <v>Quinsigamond Comm. College2</v>
      </c>
      <c r="B57" s="160" t="s">
        <v>696</v>
      </c>
      <c r="C57" s="160" t="s">
        <v>696</v>
      </c>
      <c r="D57" s="160" t="s">
        <v>271</v>
      </c>
      <c r="E57" s="160" t="s">
        <v>66</v>
      </c>
      <c r="F57" s="160" t="s">
        <v>814</v>
      </c>
      <c r="G57" s="160" t="s">
        <v>676</v>
      </c>
      <c r="H57" s="161" t="s">
        <v>181</v>
      </c>
      <c r="I57" s="161" t="s">
        <v>270</v>
      </c>
      <c r="J57" s="162" t="s">
        <v>677</v>
      </c>
      <c r="K57" s="161"/>
      <c r="L57" s="161"/>
      <c r="M57" s="161"/>
      <c r="N57" s="161" t="s">
        <v>764</v>
      </c>
      <c r="O57" s="161" t="s">
        <v>641</v>
      </c>
      <c r="P57" s="161" t="s">
        <v>765</v>
      </c>
      <c r="Q57" s="161"/>
      <c r="R57" s="166">
        <v>1</v>
      </c>
      <c r="S57" s="166"/>
      <c r="T57" s="161">
        <v>1</v>
      </c>
      <c r="U57" s="161" t="s">
        <v>517</v>
      </c>
      <c r="V57" s="161" t="s">
        <v>767</v>
      </c>
      <c r="W57" s="161">
        <v>2</v>
      </c>
      <c r="X57" s="160"/>
      <c r="Y57" s="165">
        <v>2013</v>
      </c>
      <c r="Z57" s="160" t="s">
        <v>644</v>
      </c>
      <c r="AA57" s="160">
        <v>2</v>
      </c>
      <c r="AB57" s="147" t="str">
        <f>VLOOKUP(E57,Source!F:F,1,FALSE)</f>
        <v>Quinsigamond Comm. College</v>
      </c>
      <c r="AC57" s="141"/>
      <c r="AE57" s="140"/>
    </row>
    <row r="58" spans="1:34" s="150" customFormat="1" x14ac:dyDescent="0.25">
      <c r="A58" s="160" t="str">
        <f t="shared" si="1"/>
        <v>Roxbury Comm. College1</v>
      </c>
      <c r="B58" s="160" t="s">
        <v>696</v>
      </c>
      <c r="C58" s="160" t="s">
        <v>696</v>
      </c>
      <c r="D58" s="160" t="s">
        <v>271</v>
      </c>
      <c r="E58" s="160" t="s">
        <v>67</v>
      </c>
      <c r="F58" s="160" t="s">
        <v>815</v>
      </c>
      <c r="G58" s="160" t="s">
        <v>678</v>
      </c>
      <c r="H58" s="161" t="s">
        <v>119</v>
      </c>
      <c r="I58" s="161" t="s">
        <v>270</v>
      </c>
      <c r="J58" s="162" t="s">
        <v>666</v>
      </c>
      <c r="K58" s="161"/>
      <c r="L58" s="161"/>
      <c r="M58" s="161"/>
      <c r="N58" s="161" t="s">
        <v>775</v>
      </c>
      <c r="O58" s="161" t="s">
        <v>641</v>
      </c>
      <c r="P58" s="161" t="s">
        <v>765</v>
      </c>
      <c r="Q58" s="161"/>
      <c r="R58" s="166">
        <v>1</v>
      </c>
      <c r="S58" s="166"/>
      <c r="T58" s="161">
        <v>1</v>
      </c>
      <c r="U58" s="161" t="s">
        <v>517</v>
      </c>
      <c r="V58" s="161" t="s">
        <v>767</v>
      </c>
      <c r="W58" s="161">
        <v>2</v>
      </c>
      <c r="X58" s="160"/>
      <c r="Y58" s="164">
        <v>2017</v>
      </c>
      <c r="Z58" s="160" t="s">
        <v>644</v>
      </c>
      <c r="AA58" s="160">
        <v>1</v>
      </c>
      <c r="AB58" s="147" t="str">
        <f>VLOOKUP(E58,Source!F:F,1,FALSE)</f>
        <v>Roxbury Comm. College</v>
      </c>
      <c r="AC58" s="141"/>
      <c r="AE58" s="140"/>
    </row>
    <row r="59" spans="1:34" s="150" customFormat="1" x14ac:dyDescent="0.25">
      <c r="A59" s="160" t="str">
        <f t="shared" si="1"/>
        <v>Roxbury Comm. College2</v>
      </c>
      <c r="B59" s="160" t="s">
        <v>696</v>
      </c>
      <c r="C59" s="160" t="s">
        <v>696</v>
      </c>
      <c r="D59" s="160" t="s">
        <v>271</v>
      </c>
      <c r="E59" s="160" t="s">
        <v>67</v>
      </c>
      <c r="F59" s="160" t="s">
        <v>815</v>
      </c>
      <c r="G59" s="160" t="s">
        <v>678</v>
      </c>
      <c r="H59" s="161" t="s">
        <v>119</v>
      </c>
      <c r="I59" s="161" t="s">
        <v>270</v>
      </c>
      <c r="J59" s="162" t="s">
        <v>666</v>
      </c>
      <c r="K59" s="161"/>
      <c r="L59" s="161"/>
      <c r="M59" s="161"/>
      <c r="N59" s="161" t="s">
        <v>775</v>
      </c>
      <c r="O59" s="161" t="s">
        <v>641</v>
      </c>
      <c r="P59" s="161" t="s">
        <v>765</v>
      </c>
      <c r="Q59" s="161"/>
      <c r="R59" s="166">
        <v>1</v>
      </c>
      <c r="S59" s="166"/>
      <c r="T59" s="161">
        <v>1</v>
      </c>
      <c r="U59" s="161" t="s">
        <v>517</v>
      </c>
      <c r="V59" s="161" t="s">
        <v>767</v>
      </c>
      <c r="W59" s="161">
        <v>2</v>
      </c>
      <c r="X59" s="160"/>
      <c r="Y59" s="164">
        <v>2017</v>
      </c>
      <c r="Z59" s="160" t="s">
        <v>644</v>
      </c>
      <c r="AA59" s="160">
        <v>2</v>
      </c>
      <c r="AB59" s="147" t="str">
        <f>VLOOKUP(E59,Source!F:F,1,FALSE)</f>
        <v>Roxbury Comm. College</v>
      </c>
      <c r="AC59" s="141"/>
      <c r="AE59" s="140"/>
    </row>
    <row r="60" spans="1:34" s="150" customFormat="1" x14ac:dyDescent="0.25">
      <c r="A60" s="160" t="str">
        <f t="shared" si="1"/>
        <v>Roxbury Comm. College3</v>
      </c>
      <c r="B60" s="160" t="s">
        <v>696</v>
      </c>
      <c r="C60" s="160" t="s">
        <v>696</v>
      </c>
      <c r="D60" s="160" t="s">
        <v>271</v>
      </c>
      <c r="E60" s="160" t="s">
        <v>67</v>
      </c>
      <c r="F60" s="160" t="s">
        <v>815</v>
      </c>
      <c r="G60" s="160" t="s">
        <v>678</v>
      </c>
      <c r="H60" s="161" t="s">
        <v>119</v>
      </c>
      <c r="I60" s="161" t="s">
        <v>270</v>
      </c>
      <c r="J60" s="162" t="s">
        <v>666</v>
      </c>
      <c r="K60" s="161"/>
      <c r="L60" s="161"/>
      <c r="M60" s="161"/>
      <c r="N60" s="161" t="s">
        <v>775</v>
      </c>
      <c r="O60" s="161" t="s">
        <v>641</v>
      </c>
      <c r="P60" s="161" t="s">
        <v>765</v>
      </c>
      <c r="Q60" s="161"/>
      <c r="R60" s="166">
        <v>1</v>
      </c>
      <c r="S60" s="166"/>
      <c r="T60" s="161">
        <v>1</v>
      </c>
      <c r="U60" s="161" t="s">
        <v>517</v>
      </c>
      <c r="V60" s="161" t="s">
        <v>767</v>
      </c>
      <c r="W60" s="161">
        <v>2</v>
      </c>
      <c r="X60" s="160"/>
      <c r="Y60" s="164">
        <v>2017</v>
      </c>
      <c r="Z60" s="160" t="s">
        <v>644</v>
      </c>
      <c r="AA60" s="160">
        <v>3</v>
      </c>
      <c r="AB60" s="147" t="str">
        <f>VLOOKUP(E60,Source!F:F,1,FALSE)</f>
        <v>Roxbury Comm. College</v>
      </c>
      <c r="AC60" s="141"/>
      <c r="AE60" s="140"/>
    </row>
    <row r="61" spans="1:34" x14ac:dyDescent="0.25">
      <c r="A61" s="160" t="str">
        <f t="shared" si="1"/>
        <v>Salem State University1</v>
      </c>
      <c r="B61" s="160" t="s">
        <v>696</v>
      </c>
      <c r="C61" s="160" t="s">
        <v>696</v>
      </c>
      <c r="D61" s="160" t="s">
        <v>271</v>
      </c>
      <c r="E61" s="160" t="s">
        <v>68</v>
      </c>
      <c r="F61" s="160" t="s">
        <v>816</v>
      </c>
      <c r="G61" s="160" t="s">
        <v>679</v>
      </c>
      <c r="H61" s="161" t="s">
        <v>176</v>
      </c>
      <c r="I61" s="161" t="s">
        <v>270</v>
      </c>
      <c r="J61" s="162" t="s">
        <v>680</v>
      </c>
      <c r="K61" s="161"/>
      <c r="L61" s="161"/>
      <c r="M61" s="161"/>
      <c r="N61" s="161" t="s">
        <v>764</v>
      </c>
      <c r="O61" s="161" t="s">
        <v>641</v>
      </c>
      <c r="P61" s="161" t="s">
        <v>765</v>
      </c>
      <c r="Q61" s="161"/>
      <c r="R61" s="166">
        <v>1</v>
      </c>
      <c r="S61" s="166"/>
      <c r="T61" s="161">
        <v>1</v>
      </c>
      <c r="U61" s="161" t="s">
        <v>517</v>
      </c>
      <c r="V61" s="161" t="s">
        <v>767</v>
      </c>
      <c r="W61" s="161">
        <v>2</v>
      </c>
      <c r="X61" s="160"/>
      <c r="Y61" s="164" t="s">
        <v>782</v>
      </c>
      <c r="Z61" s="160"/>
      <c r="AA61" s="160">
        <v>1</v>
      </c>
      <c r="AB61" s="147" t="str">
        <f>VLOOKUP(E61,Source!F:F,1,FALSE)</f>
        <v>Salem State University</v>
      </c>
      <c r="AC61" s="141"/>
      <c r="AD61" s="150"/>
      <c r="AE61" s="140"/>
      <c r="AF61" s="150"/>
    </row>
    <row r="62" spans="1:34" x14ac:dyDescent="0.25">
      <c r="A62" s="160" t="str">
        <f t="shared" si="1"/>
        <v>Salem State University2</v>
      </c>
      <c r="B62" s="160" t="s">
        <v>696</v>
      </c>
      <c r="C62" s="160" t="s">
        <v>696</v>
      </c>
      <c r="D62" s="160" t="s">
        <v>271</v>
      </c>
      <c r="E62" s="160" t="s">
        <v>68</v>
      </c>
      <c r="F62" s="160" t="s">
        <v>816</v>
      </c>
      <c r="G62" s="160" t="s">
        <v>681</v>
      </c>
      <c r="H62" s="161" t="s">
        <v>176</v>
      </c>
      <c r="I62" s="161" t="s">
        <v>270</v>
      </c>
      <c r="J62" s="162" t="s">
        <v>680</v>
      </c>
      <c r="K62" s="161"/>
      <c r="L62" s="161"/>
      <c r="M62" s="161"/>
      <c r="N62" s="161" t="s">
        <v>764</v>
      </c>
      <c r="O62" s="161" t="s">
        <v>641</v>
      </c>
      <c r="P62" s="161" t="s">
        <v>765</v>
      </c>
      <c r="Q62" s="161"/>
      <c r="R62" s="166">
        <v>1</v>
      </c>
      <c r="S62" s="166"/>
      <c r="T62" s="161">
        <v>1</v>
      </c>
      <c r="U62" s="161" t="s">
        <v>517</v>
      </c>
      <c r="V62" s="161" t="s">
        <v>693</v>
      </c>
      <c r="W62" s="161">
        <v>1</v>
      </c>
      <c r="X62" s="160"/>
      <c r="Y62" s="164" t="s">
        <v>782</v>
      </c>
      <c r="Z62" s="160"/>
      <c r="AA62" s="160">
        <v>2</v>
      </c>
      <c r="AB62" s="147" t="str">
        <f>VLOOKUP(E62,Source!F:F,1,FALSE)</f>
        <v>Salem State University</v>
      </c>
      <c r="AC62" s="150"/>
      <c r="AD62" s="150"/>
      <c r="AE62" s="140"/>
      <c r="AF62" s="150"/>
    </row>
    <row r="63" spans="1:34" x14ac:dyDescent="0.25">
      <c r="A63" s="160" t="str">
        <f t="shared" si="1"/>
        <v>Salem State University3</v>
      </c>
      <c r="B63" s="160" t="s">
        <v>696</v>
      </c>
      <c r="C63" s="160" t="s">
        <v>696</v>
      </c>
      <c r="D63" s="160" t="s">
        <v>271</v>
      </c>
      <c r="E63" s="160" t="s">
        <v>68</v>
      </c>
      <c r="F63" s="160" t="s">
        <v>816</v>
      </c>
      <c r="G63" s="160" t="s">
        <v>681</v>
      </c>
      <c r="H63" s="161" t="s">
        <v>176</v>
      </c>
      <c r="I63" s="161" t="s">
        <v>270</v>
      </c>
      <c r="J63" s="162" t="s">
        <v>680</v>
      </c>
      <c r="K63" s="161"/>
      <c r="L63" s="161"/>
      <c r="M63" s="161"/>
      <c r="N63" s="161" t="s">
        <v>764</v>
      </c>
      <c r="O63" s="161" t="s">
        <v>641</v>
      </c>
      <c r="P63" s="161" t="s">
        <v>765</v>
      </c>
      <c r="Q63" s="161"/>
      <c r="R63" s="166">
        <v>1</v>
      </c>
      <c r="S63" s="166"/>
      <c r="T63" s="161">
        <v>1</v>
      </c>
      <c r="U63" s="161" t="s">
        <v>517</v>
      </c>
      <c r="V63" s="161" t="s">
        <v>767</v>
      </c>
      <c r="W63" s="161">
        <v>2</v>
      </c>
      <c r="X63" s="160"/>
      <c r="Y63" s="164" t="s">
        <v>782</v>
      </c>
      <c r="Z63" s="160"/>
      <c r="AA63" s="160">
        <v>3</v>
      </c>
      <c r="AB63" s="147" t="str">
        <f>VLOOKUP(E63,Source!F:F,1,FALSE)</f>
        <v>Salem State University</v>
      </c>
      <c r="AC63" s="141"/>
      <c r="AD63" s="150"/>
      <c r="AE63" s="140"/>
      <c r="AF63" s="150"/>
    </row>
    <row r="64" spans="1:34" x14ac:dyDescent="0.25">
      <c r="A64" s="160" t="str">
        <f t="shared" si="1"/>
        <v>Salem State University4</v>
      </c>
      <c r="B64" s="160" t="s">
        <v>696</v>
      </c>
      <c r="C64" s="160" t="s">
        <v>696</v>
      </c>
      <c r="D64" s="160" t="s">
        <v>271</v>
      </c>
      <c r="E64" s="160" t="s">
        <v>68</v>
      </c>
      <c r="F64" s="160" t="s">
        <v>816</v>
      </c>
      <c r="G64" s="160" t="s">
        <v>681</v>
      </c>
      <c r="H64" s="161" t="s">
        <v>176</v>
      </c>
      <c r="I64" s="161" t="s">
        <v>270</v>
      </c>
      <c r="J64" s="162" t="s">
        <v>680</v>
      </c>
      <c r="K64" s="161"/>
      <c r="L64" s="161"/>
      <c r="M64" s="161"/>
      <c r="N64" s="161" t="s">
        <v>764</v>
      </c>
      <c r="O64" s="161" t="s">
        <v>641</v>
      </c>
      <c r="P64" s="161" t="s">
        <v>765</v>
      </c>
      <c r="Q64" s="161"/>
      <c r="R64" s="166">
        <v>1</v>
      </c>
      <c r="S64" s="166"/>
      <c r="T64" s="161">
        <v>1</v>
      </c>
      <c r="U64" s="161" t="s">
        <v>517</v>
      </c>
      <c r="V64" s="161" t="s">
        <v>767</v>
      </c>
      <c r="W64" s="161">
        <v>2</v>
      </c>
      <c r="X64" s="160"/>
      <c r="Y64" s="164" t="s">
        <v>782</v>
      </c>
      <c r="Z64" s="160"/>
      <c r="AA64" s="160">
        <v>4</v>
      </c>
      <c r="AB64" s="147" t="str">
        <f>VLOOKUP(E64,Source!F:F,1,FALSE)</f>
        <v>Salem State University</v>
      </c>
      <c r="AC64" s="150"/>
      <c r="AD64" s="150"/>
      <c r="AE64" s="142"/>
      <c r="AF64" s="150"/>
    </row>
    <row r="65" spans="1:32" x14ac:dyDescent="0.25">
      <c r="A65" s="160" t="str">
        <f t="shared" si="1"/>
        <v>UMass Amherst1</v>
      </c>
      <c r="B65" s="160" t="s">
        <v>696</v>
      </c>
      <c r="C65" s="160" t="s">
        <v>696</v>
      </c>
      <c r="D65" s="160" t="s">
        <v>458</v>
      </c>
      <c r="E65" s="160" t="s">
        <v>70</v>
      </c>
      <c r="F65" s="160" t="s">
        <v>817</v>
      </c>
      <c r="G65" s="160" t="s">
        <v>617</v>
      </c>
      <c r="H65" s="161" t="s">
        <v>129</v>
      </c>
      <c r="I65" s="161" t="s">
        <v>270</v>
      </c>
      <c r="J65" s="162" t="s">
        <v>682</v>
      </c>
      <c r="K65" s="161"/>
      <c r="L65" s="161" t="s">
        <v>649</v>
      </c>
      <c r="M65" s="161"/>
      <c r="N65" s="161" t="s">
        <v>775</v>
      </c>
      <c r="O65" s="161" t="s">
        <v>641</v>
      </c>
      <c r="P65" s="161" t="s">
        <v>765</v>
      </c>
      <c r="Q65" s="161"/>
      <c r="R65" s="161">
        <v>1</v>
      </c>
      <c r="S65" s="161"/>
      <c r="T65" s="161">
        <v>1</v>
      </c>
      <c r="U65" s="161" t="s">
        <v>517</v>
      </c>
      <c r="V65" s="161" t="s">
        <v>767</v>
      </c>
      <c r="W65" s="161">
        <v>2</v>
      </c>
      <c r="X65" s="160">
        <v>61273</v>
      </c>
      <c r="Y65" s="164">
        <v>2014</v>
      </c>
      <c r="Z65" s="160" t="s">
        <v>644</v>
      </c>
      <c r="AA65" s="160">
        <v>1</v>
      </c>
      <c r="AB65" s="147" t="str">
        <f>VLOOKUP(E65,Source!F:F,1,FALSE)</f>
        <v>UMass Amherst</v>
      </c>
      <c r="AC65" s="150"/>
      <c r="AD65" s="150"/>
      <c r="AE65" s="142"/>
      <c r="AF65" s="150"/>
    </row>
    <row r="66" spans="1:32" x14ac:dyDescent="0.25">
      <c r="A66" s="160" t="str">
        <f t="shared" ref="A66:A96" si="2">E66&amp;AA66</f>
        <v>UMass Amherst2</v>
      </c>
      <c r="B66" s="160" t="s">
        <v>696</v>
      </c>
      <c r="C66" s="160" t="s">
        <v>696</v>
      </c>
      <c r="D66" s="160" t="s">
        <v>458</v>
      </c>
      <c r="E66" s="160" t="s">
        <v>70</v>
      </c>
      <c r="F66" s="160" t="s">
        <v>817</v>
      </c>
      <c r="G66" s="160" t="s">
        <v>617</v>
      </c>
      <c r="H66" s="161" t="s">
        <v>129</v>
      </c>
      <c r="I66" s="161" t="s">
        <v>270</v>
      </c>
      <c r="J66" s="162" t="s">
        <v>682</v>
      </c>
      <c r="K66" s="161"/>
      <c r="L66" s="161" t="s">
        <v>649</v>
      </c>
      <c r="M66" s="161"/>
      <c r="N66" s="161" t="s">
        <v>775</v>
      </c>
      <c r="O66" s="161" t="s">
        <v>641</v>
      </c>
      <c r="P66" s="161" t="s">
        <v>765</v>
      </c>
      <c r="Q66" s="161"/>
      <c r="R66" s="161">
        <v>1</v>
      </c>
      <c r="S66" s="161"/>
      <c r="T66" s="161">
        <v>1</v>
      </c>
      <c r="U66" s="161" t="s">
        <v>517</v>
      </c>
      <c r="V66" s="161" t="s">
        <v>767</v>
      </c>
      <c r="W66" s="161">
        <v>2</v>
      </c>
      <c r="X66" s="160">
        <v>61273</v>
      </c>
      <c r="Y66" s="164">
        <v>2014</v>
      </c>
      <c r="Z66" s="160" t="s">
        <v>644</v>
      </c>
      <c r="AA66" s="160">
        <v>2</v>
      </c>
      <c r="AB66" s="147" t="str">
        <f>VLOOKUP(E66,Source!F:F,1,FALSE)</f>
        <v>UMass Amherst</v>
      </c>
      <c r="AC66" s="150"/>
      <c r="AD66" s="150"/>
      <c r="AE66" s="140"/>
      <c r="AF66" s="150"/>
    </row>
    <row r="67" spans="1:32" x14ac:dyDescent="0.25">
      <c r="A67" s="160" t="str">
        <f t="shared" si="2"/>
        <v>UMass Amherst3</v>
      </c>
      <c r="B67" s="160" t="s">
        <v>696</v>
      </c>
      <c r="C67" s="160" t="s">
        <v>696</v>
      </c>
      <c r="D67" s="160" t="s">
        <v>458</v>
      </c>
      <c r="E67" s="160" t="s">
        <v>70</v>
      </c>
      <c r="F67" s="160" t="s">
        <v>817</v>
      </c>
      <c r="G67" s="160" t="s">
        <v>722</v>
      </c>
      <c r="H67" s="161" t="s">
        <v>129</v>
      </c>
      <c r="I67" s="161" t="s">
        <v>270</v>
      </c>
      <c r="J67" s="162" t="s">
        <v>682</v>
      </c>
      <c r="K67" s="161"/>
      <c r="L67" s="161"/>
      <c r="M67" s="161"/>
      <c r="N67" s="161" t="s">
        <v>775</v>
      </c>
      <c r="O67" s="161" t="s">
        <v>641</v>
      </c>
      <c r="P67" s="161" t="s">
        <v>765</v>
      </c>
      <c r="Q67" s="161"/>
      <c r="R67" s="161">
        <v>1</v>
      </c>
      <c r="S67" s="161"/>
      <c r="T67" s="161">
        <v>1</v>
      </c>
      <c r="U67" s="161" t="s">
        <v>517</v>
      </c>
      <c r="V67" s="161" t="s">
        <v>767</v>
      </c>
      <c r="W67" s="161">
        <v>2</v>
      </c>
      <c r="X67" s="160"/>
      <c r="Y67" s="164">
        <v>2016</v>
      </c>
      <c r="Z67" s="160"/>
      <c r="AA67" s="160">
        <v>3</v>
      </c>
      <c r="AB67" s="147" t="str">
        <f>VLOOKUP(E67,Source!F:F,1,FALSE)</f>
        <v>UMass Amherst</v>
      </c>
      <c r="AC67" s="150"/>
      <c r="AD67" s="150"/>
      <c r="AE67" s="140"/>
      <c r="AF67" s="150"/>
    </row>
    <row r="68" spans="1:32" x14ac:dyDescent="0.25">
      <c r="A68" s="160" t="str">
        <f t="shared" si="2"/>
        <v>UMass Amherst4</v>
      </c>
      <c r="B68" s="160" t="s">
        <v>696</v>
      </c>
      <c r="C68" s="160" t="s">
        <v>696</v>
      </c>
      <c r="D68" s="160" t="s">
        <v>458</v>
      </c>
      <c r="E68" s="160" t="s">
        <v>70</v>
      </c>
      <c r="F68" s="160" t="s">
        <v>817</v>
      </c>
      <c r="G68" s="160" t="s">
        <v>684</v>
      </c>
      <c r="H68" s="161" t="s">
        <v>129</v>
      </c>
      <c r="I68" s="161" t="s">
        <v>270</v>
      </c>
      <c r="J68" s="162" t="s">
        <v>682</v>
      </c>
      <c r="K68" s="161"/>
      <c r="L68" s="161" t="s">
        <v>649</v>
      </c>
      <c r="M68" s="161"/>
      <c r="N68" s="161" t="s">
        <v>775</v>
      </c>
      <c r="O68" s="161" t="s">
        <v>641</v>
      </c>
      <c r="P68" s="161" t="s">
        <v>765</v>
      </c>
      <c r="Q68" s="161"/>
      <c r="R68" s="161">
        <v>1</v>
      </c>
      <c r="S68" s="161"/>
      <c r="T68" s="161">
        <v>1</v>
      </c>
      <c r="U68" s="161" t="s">
        <v>517</v>
      </c>
      <c r="V68" s="161" t="s">
        <v>767</v>
      </c>
      <c r="W68" s="161">
        <v>2</v>
      </c>
      <c r="X68" s="160">
        <v>71556</v>
      </c>
      <c r="Y68" s="164">
        <v>2015</v>
      </c>
      <c r="Z68" s="160" t="s">
        <v>644</v>
      </c>
      <c r="AA68" s="160">
        <v>4</v>
      </c>
      <c r="AB68" s="147" t="str">
        <f>VLOOKUP(E68,Source!F:F,1,FALSE)</f>
        <v>UMass Amherst</v>
      </c>
      <c r="AC68" s="150"/>
      <c r="AD68" s="150"/>
      <c r="AE68" s="140"/>
      <c r="AF68" s="150"/>
    </row>
    <row r="69" spans="1:32" x14ac:dyDescent="0.25">
      <c r="A69" s="160" t="str">
        <f t="shared" si="2"/>
        <v>UMass Amherst5</v>
      </c>
      <c r="B69" s="160" t="s">
        <v>696</v>
      </c>
      <c r="C69" s="160" t="s">
        <v>696</v>
      </c>
      <c r="D69" s="160" t="s">
        <v>458</v>
      </c>
      <c r="E69" s="160" t="s">
        <v>70</v>
      </c>
      <c r="F69" s="160" t="s">
        <v>817</v>
      </c>
      <c r="G69" s="160" t="s">
        <v>683</v>
      </c>
      <c r="H69" s="161" t="s">
        <v>129</v>
      </c>
      <c r="I69" s="161" t="s">
        <v>270</v>
      </c>
      <c r="J69" s="162" t="s">
        <v>682</v>
      </c>
      <c r="K69" s="161">
        <v>1003</v>
      </c>
      <c r="L69" s="161"/>
      <c r="M69" s="161" t="s">
        <v>670</v>
      </c>
      <c r="N69" s="161" t="s">
        <v>775</v>
      </c>
      <c r="O69" s="161" t="s">
        <v>641</v>
      </c>
      <c r="P69" s="161"/>
      <c r="Q69" s="161"/>
      <c r="R69" s="166"/>
      <c r="S69" s="166">
        <v>1</v>
      </c>
      <c r="T69" s="161">
        <v>1</v>
      </c>
      <c r="U69" s="161" t="s">
        <v>691</v>
      </c>
      <c r="V69" s="161" t="s">
        <v>693</v>
      </c>
      <c r="W69" s="161">
        <v>1</v>
      </c>
      <c r="X69" s="160"/>
      <c r="Y69" s="164">
        <v>2015</v>
      </c>
      <c r="Z69" s="160" t="s">
        <v>692</v>
      </c>
      <c r="AA69" s="160">
        <v>5</v>
      </c>
      <c r="AB69" s="147" t="str">
        <f>VLOOKUP(E69,Source!F:F,1,FALSE)</f>
        <v>UMass Amherst</v>
      </c>
      <c r="AC69" s="150"/>
      <c r="AD69" s="150"/>
      <c r="AE69" s="142"/>
      <c r="AF69" s="150"/>
    </row>
    <row r="70" spans="1:32" x14ac:dyDescent="0.25">
      <c r="A70" s="160" t="str">
        <f t="shared" si="2"/>
        <v>UMass Amherst6</v>
      </c>
      <c r="B70" s="160" t="s">
        <v>696</v>
      </c>
      <c r="C70" s="160" t="s">
        <v>696</v>
      </c>
      <c r="D70" s="160" t="s">
        <v>458</v>
      </c>
      <c r="E70" s="160" t="s">
        <v>70</v>
      </c>
      <c r="F70" s="160" t="s">
        <v>817</v>
      </c>
      <c r="G70" s="160" t="s">
        <v>818</v>
      </c>
      <c r="H70" s="161" t="s">
        <v>129</v>
      </c>
      <c r="I70" s="161" t="s">
        <v>270</v>
      </c>
      <c r="J70" s="162" t="s">
        <v>682</v>
      </c>
      <c r="K70" s="161"/>
      <c r="L70" s="161" t="s">
        <v>649</v>
      </c>
      <c r="M70" s="161"/>
      <c r="N70" s="161" t="s">
        <v>775</v>
      </c>
      <c r="O70" s="161" t="s">
        <v>641</v>
      </c>
      <c r="P70" s="161" t="s">
        <v>765</v>
      </c>
      <c r="Q70" s="161"/>
      <c r="R70" s="161"/>
      <c r="S70" s="161">
        <v>1</v>
      </c>
      <c r="T70" s="161">
        <v>1</v>
      </c>
      <c r="U70" s="161" t="s">
        <v>691</v>
      </c>
      <c r="V70" s="161" t="s">
        <v>693</v>
      </c>
      <c r="W70" s="161">
        <v>1</v>
      </c>
      <c r="X70" s="160">
        <v>65376</v>
      </c>
      <c r="Y70" s="164">
        <v>2016</v>
      </c>
      <c r="Z70" s="160"/>
      <c r="AA70" s="160">
        <v>6</v>
      </c>
      <c r="AB70" s="147" t="str">
        <f>VLOOKUP(E70,Source!F:F,1,FALSE)</f>
        <v>UMass Amherst</v>
      </c>
      <c r="AC70" s="154"/>
      <c r="AD70" s="154"/>
      <c r="AE70" s="142"/>
      <c r="AF70" s="150"/>
    </row>
    <row r="71" spans="1:32" x14ac:dyDescent="0.25">
      <c r="A71" s="160" t="str">
        <f t="shared" si="2"/>
        <v>UMass Amherst7</v>
      </c>
      <c r="B71" s="160" t="s">
        <v>696</v>
      </c>
      <c r="C71" s="160" t="s">
        <v>696</v>
      </c>
      <c r="D71" s="160" t="s">
        <v>458</v>
      </c>
      <c r="E71" s="160" t="s">
        <v>70</v>
      </c>
      <c r="F71" s="160" t="s">
        <v>817</v>
      </c>
      <c r="G71" s="160" t="s">
        <v>819</v>
      </c>
      <c r="H71" s="161" t="s">
        <v>129</v>
      </c>
      <c r="I71" s="161" t="s">
        <v>270</v>
      </c>
      <c r="J71" s="162" t="s">
        <v>682</v>
      </c>
      <c r="K71" s="161"/>
      <c r="L71" s="161" t="s">
        <v>649</v>
      </c>
      <c r="M71" s="161"/>
      <c r="N71" s="161" t="s">
        <v>775</v>
      </c>
      <c r="O71" s="161" t="s">
        <v>641</v>
      </c>
      <c r="P71" s="161" t="s">
        <v>765</v>
      </c>
      <c r="Q71" s="161"/>
      <c r="R71" s="161">
        <v>1</v>
      </c>
      <c r="S71" s="161"/>
      <c r="T71" s="161">
        <v>1</v>
      </c>
      <c r="U71" s="161" t="s">
        <v>517</v>
      </c>
      <c r="V71" s="161" t="s">
        <v>767</v>
      </c>
      <c r="W71" s="161">
        <v>2</v>
      </c>
      <c r="X71" s="160">
        <v>72511</v>
      </c>
      <c r="Y71" s="164">
        <v>2014</v>
      </c>
      <c r="Z71" s="160" t="s">
        <v>644</v>
      </c>
      <c r="AA71" s="160">
        <v>7</v>
      </c>
      <c r="AB71" s="147" t="str">
        <f>VLOOKUP(E71,Source!F:F,1,FALSE)</f>
        <v>UMass Amherst</v>
      </c>
      <c r="AC71" s="150"/>
      <c r="AD71" s="150"/>
      <c r="AE71" s="142"/>
      <c r="AF71" s="150"/>
    </row>
    <row r="72" spans="1:32" x14ac:dyDescent="0.25">
      <c r="A72" s="160" t="str">
        <f t="shared" si="2"/>
        <v>UMass Amherst8</v>
      </c>
      <c r="B72" s="160" t="s">
        <v>696</v>
      </c>
      <c r="C72" s="160" t="s">
        <v>696</v>
      </c>
      <c r="D72" s="160" t="s">
        <v>458</v>
      </c>
      <c r="E72" s="160" t="s">
        <v>70</v>
      </c>
      <c r="F72" s="160" t="s">
        <v>817</v>
      </c>
      <c r="G72" s="160" t="s">
        <v>819</v>
      </c>
      <c r="H72" s="161" t="s">
        <v>129</v>
      </c>
      <c r="I72" s="161" t="s">
        <v>270</v>
      </c>
      <c r="J72" s="162" t="s">
        <v>682</v>
      </c>
      <c r="K72" s="161"/>
      <c r="L72" s="161" t="s">
        <v>649</v>
      </c>
      <c r="M72" s="161"/>
      <c r="N72" s="161" t="s">
        <v>775</v>
      </c>
      <c r="O72" s="161" t="s">
        <v>641</v>
      </c>
      <c r="P72" s="161" t="s">
        <v>765</v>
      </c>
      <c r="Q72" s="161"/>
      <c r="R72" s="161">
        <v>1</v>
      </c>
      <c r="S72" s="161"/>
      <c r="T72" s="161">
        <v>1</v>
      </c>
      <c r="U72" s="161" t="s">
        <v>517</v>
      </c>
      <c r="V72" s="161" t="s">
        <v>767</v>
      </c>
      <c r="W72" s="161">
        <v>2</v>
      </c>
      <c r="X72" s="160">
        <v>72511</v>
      </c>
      <c r="Y72" s="164">
        <v>2014</v>
      </c>
      <c r="Z72" s="160" t="s">
        <v>644</v>
      </c>
      <c r="AA72" s="160">
        <v>8</v>
      </c>
      <c r="AB72" s="147" t="str">
        <f>VLOOKUP(E72,Source!F:F,1,FALSE)</f>
        <v>UMass Amherst</v>
      </c>
      <c r="AC72" s="141"/>
      <c r="AD72" s="150"/>
      <c r="AE72" s="140"/>
      <c r="AF72" s="150"/>
    </row>
    <row r="73" spans="1:32" x14ac:dyDescent="0.25">
      <c r="A73" s="160" t="str">
        <f t="shared" si="2"/>
        <v>UMass Amherst9</v>
      </c>
      <c r="B73" s="160" t="s">
        <v>696</v>
      </c>
      <c r="C73" s="160" t="s">
        <v>696</v>
      </c>
      <c r="D73" s="160" t="s">
        <v>458</v>
      </c>
      <c r="E73" s="160" t="s">
        <v>70</v>
      </c>
      <c r="F73" s="160" t="s">
        <v>817</v>
      </c>
      <c r="G73" s="160" t="s">
        <v>820</v>
      </c>
      <c r="H73" s="161" t="s">
        <v>129</v>
      </c>
      <c r="I73" s="161" t="s">
        <v>270</v>
      </c>
      <c r="J73" s="162" t="s">
        <v>682</v>
      </c>
      <c r="K73" s="161"/>
      <c r="L73" s="161" t="s">
        <v>649</v>
      </c>
      <c r="M73" s="161"/>
      <c r="N73" s="161" t="s">
        <v>775</v>
      </c>
      <c r="O73" s="161" t="s">
        <v>641</v>
      </c>
      <c r="P73" s="161" t="s">
        <v>765</v>
      </c>
      <c r="Q73" s="161"/>
      <c r="R73" s="161">
        <v>1</v>
      </c>
      <c r="S73" s="161"/>
      <c r="T73" s="161">
        <v>1</v>
      </c>
      <c r="U73" s="161" t="s">
        <v>517</v>
      </c>
      <c r="V73" s="161" t="s">
        <v>767</v>
      </c>
      <c r="W73" s="161">
        <v>2</v>
      </c>
      <c r="X73" s="160">
        <v>72511</v>
      </c>
      <c r="Y73" s="164">
        <v>2016</v>
      </c>
      <c r="Z73" s="160" t="s">
        <v>644</v>
      </c>
      <c r="AA73" s="160">
        <v>9</v>
      </c>
      <c r="AB73" s="147" t="str">
        <f>VLOOKUP(E73,Source!F:F,1,FALSE)</f>
        <v>UMass Amherst</v>
      </c>
      <c r="AC73" s="150"/>
      <c r="AD73" s="150"/>
      <c r="AE73" s="140"/>
      <c r="AF73" s="150"/>
    </row>
    <row r="74" spans="1:32" x14ac:dyDescent="0.25">
      <c r="A74" s="160" t="str">
        <f t="shared" si="2"/>
        <v>UMass Amherst10</v>
      </c>
      <c r="B74" s="160" t="s">
        <v>696</v>
      </c>
      <c r="C74" s="160" t="s">
        <v>696</v>
      </c>
      <c r="D74" s="160" t="s">
        <v>458</v>
      </c>
      <c r="E74" s="160" t="s">
        <v>70</v>
      </c>
      <c r="F74" s="160" t="s">
        <v>817</v>
      </c>
      <c r="G74" s="160" t="s">
        <v>820</v>
      </c>
      <c r="H74" s="161" t="s">
        <v>129</v>
      </c>
      <c r="I74" s="161" t="s">
        <v>270</v>
      </c>
      <c r="J74" s="162" t="s">
        <v>682</v>
      </c>
      <c r="K74" s="161"/>
      <c r="L74" s="161" t="s">
        <v>649</v>
      </c>
      <c r="M74" s="161"/>
      <c r="N74" s="161" t="s">
        <v>775</v>
      </c>
      <c r="O74" s="161" t="s">
        <v>641</v>
      </c>
      <c r="P74" s="161" t="s">
        <v>765</v>
      </c>
      <c r="Q74" s="161"/>
      <c r="R74" s="161">
        <v>1</v>
      </c>
      <c r="S74" s="161"/>
      <c r="T74" s="161">
        <v>1</v>
      </c>
      <c r="U74" s="161" t="s">
        <v>517</v>
      </c>
      <c r="V74" s="161" t="s">
        <v>767</v>
      </c>
      <c r="W74" s="161">
        <v>2</v>
      </c>
      <c r="X74" s="160">
        <v>72511</v>
      </c>
      <c r="Y74" s="164">
        <v>2016</v>
      </c>
      <c r="Z74" s="160" t="s">
        <v>644</v>
      </c>
      <c r="AA74" s="160">
        <v>10</v>
      </c>
      <c r="AB74" s="147" t="str">
        <f>VLOOKUP(E74,Source!F:F,1,FALSE)</f>
        <v>UMass Amherst</v>
      </c>
      <c r="AC74" s="150"/>
      <c r="AD74" s="150"/>
      <c r="AE74" s="140"/>
      <c r="AF74" s="150"/>
    </row>
    <row r="75" spans="1:32" x14ac:dyDescent="0.25">
      <c r="A75" s="160" t="str">
        <f t="shared" si="2"/>
        <v>UMass Dartmouth1</v>
      </c>
      <c r="B75" s="160" t="s">
        <v>696</v>
      </c>
      <c r="C75" s="160" t="s">
        <v>696</v>
      </c>
      <c r="D75" s="160" t="s">
        <v>458</v>
      </c>
      <c r="E75" s="160" t="s">
        <v>72</v>
      </c>
      <c r="F75" s="160" t="s">
        <v>821</v>
      </c>
      <c r="G75" s="160" t="s">
        <v>685</v>
      </c>
      <c r="H75" s="161" t="s">
        <v>177</v>
      </c>
      <c r="I75" s="161" t="s">
        <v>270</v>
      </c>
      <c r="J75" s="162" t="s">
        <v>822</v>
      </c>
      <c r="K75" s="161"/>
      <c r="L75" s="161"/>
      <c r="M75" s="161"/>
      <c r="N75" s="161" t="s">
        <v>775</v>
      </c>
      <c r="O75" s="161" t="s">
        <v>641</v>
      </c>
      <c r="P75" s="161" t="s">
        <v>765</v>
      </c>
      <c r="Q75" s="161"/>
      <c r="R75" s="166">
        <v>1</v>
      </c>
      <c r="S75" s="166"/>
      <c r="T75" s="161">
        <v>1</v>
      </c>
      <c r="U75" s="161" t="s">
        <v>517</v>
      </c>
      <c r="V75" s="161" t="s">
        <v>767</v>
      </c>
      <c r="W75" s="161">
        <v>2</v>
      </c>
      <c r="X75" s="160"/>
      <c r="Y75" s="164">
        <v>2016</v>
      </c>
      <c r="Z75" s="160" t="s">
        <v>644</v>
      </c>
      <c r="AA75" s="160">
        <v>1</v>
      </c>
      <c r="AB75" s="147" t="str">
        <f>VLOOKUP(E75,Source!F:F,1,FALSE)</f>
        <v>UMass Dartmouth</v>
      </c>
      <c r="AC75" s="150"/>
      <c r="AD75" s="150"/>
      <c r="AE75" s="140"/>
      <c r="AF75" s="150"/>
    </row>
    <row r="76" spans="1:32" x14ac:dyDescent="0.25">
      <c r="A76" s="160" t="str">
        <f t="shared" si="2"/>
        <v>UMass Dartmouth2</v>
      </c>
      <c r="B76" s="160" t="s">
        <v>696</v>
      </c>
      <c r="C76" s="160" t="s">
        <v>696</v>
      </c>
      <c r="D76" s="160" t="s">
        <v>458</v>
      </c>
      <c r="E76" s="160" t="s">
        <v>72</v>
      </c>
      <c r="F76" s="160" t="s">
        <v>821</v>
      </c>
      <c r="G76" s="160" t="s">
        <v>826</v>
      </c>
      <c r="H76" s="161" t="s">
        <v>827</v>
      </c>
      <c r="I76" s="161" t="s">
        <v>270</v>
      </c>
      <c r="J76" s="162"/>
      <c r="K76" s="161"/>
      <c r="L76" s="161"/>
      <c r="M76" s="161"/>
      <c r="N76" s="161" t="s">
        <v>775</v>
      </c>
      <c r="O76" s="161" t="s">
        <v>641</v>
      </c>
      <c r="P76" s="161" t="s">
        <v>765</v>
      </c>
      <c r="Q76" s="161"/>
      <c r="R76" s="166">
        <v>1</v>
      </c>
      <c r="S76" s="166"/>
      <c r="T76" s="161">
        <v>1</v>
      </c>
      <c r="U76" s="161" t="s">
        <v>517</v>
      </c>
      <c r="V76" s="161" t="s">
        <v>767</v>
      </c>
      <c r="W76" s="161">
        <v>2</v>
      </c>
      <c r="X76" s="160"/>
      <c r="Y76" s="164">
        <v>2017</v>
      </c>
      <c r="Z76" s="160"/>
      <c r="AA76" s="160">
        <v>2</v>
      </c>
      <c r="AB76" s="147" t="str">
        <f>VLOOKUP(E76,Source!F:F,1,FALSE)</f>
        <v>UMass Dartmouth</v>
      </c>
      <c r="AC76" s="150"/>
      <c r="AD76" s="150"/>
      <c r="AE76" s="140"/>
      <c r="AF76" s="150"/>
    </row>
    <row r="77" spans="1:32" x14ac:dyDescent="0.25">
      <c r="A77" s="160" t="str">
        <f t="shared" si="2"/>
        <v>UMass Dartmouth3</v>
      </c>
      <c r="B77" s="160" t="s">
        <v>696</v>
      </c>
      <c r="C77" s="160" t="s">
        <v>696</v>
      </c>
      <c r="D77" s="160" t="s">
        <v>458</v>
      </c>
      <c r="E77" s="160" t="s">
        <v>72</v>
      </c>
      <c r="F77" s="160" t="s">
        <v>821</v>
      </c>
      <c r="G77" s="160" t="s">
        <v>826</v>
      </c>
      <c r="H77" s="161" t="s">
        <v>827</v>
      </c>
      <c r="I77" s="161" t="s">
        <v>270</v>
      </c>
      <c r="J77" s="162"/>
      <c r="K77" s="161"/>
      <c r="L77" s="161"/>
      <c r="M77" s="161"/>
      <c r="N77" s="161" t="s">
        <v>775</v>
      </c>
      <c r="O77" s="161" t="s">
        <v>641</v>
      </c>
      <c r="P77" s="161" t="s">
        <v>765</v>
      </c>
      <c r="Q77" s="161"/>
      <c r="R77" s="166">
        <v>1</v>
      </c>
      <c r="S77" s="166"/>
      <c r="T77" s="161">
        <v>1</v>
      </c>
      <c r="U77" s="161" t="s">
        <v>517</v>
      </c>
      <c r="V77" s="161" t="s">
        <v>767</v>
      </c>
      <c r="W77" s="161">
        <v>2</v>
      </c>
      <c r="X77" s="160"/>
      <c r="Y77" s="164">
        <v>2017</v>
      </c>
      <c r="Z77" s="160"/>
      <c r="AA77" s="160">
        <v>3</v>
      </c>
      <c r="AB77" s="147" t="str">
        <f>VLOOKUP(E77,Source!F:F,1,FALSE)</f>
        <v>UMass Dartmouth</v>
      </c>
      <c r="AC77" s="150"/>
      <c r="AD77" s="150"/>
      <c r="AE77" s="140"/>
      <c r="AF77" s="150"/>
    </row>
    <row r="78" spans="1:32" x14ac:dyDescent="0.25">
      <c r="A78" s="160" t="str">
        <f t="shared" si="2"/>
        <v>UMass Dartmouth4</v>
      </c>
      <c r="B78" s="160" t="s">
        <v>696</v>
      </c>
      <c r="C78" s="160" t="s">
        <v>696</v>
      </c>
      <c r="D78" s="160" t="s">
        <v>458</v>
      </c>
      <c r="E78" s="160" t="s">
        <v>72</v>
      </c>
      <c r="F78" s="160" t="s">
        <v>821</v>
      </c>
      <c r="G78" s="160" t="s">
        <v>826</v>
      </c>
      <c r="H78" s="161" t="s">
        <v>827</v>
      </c>
      <c r="I78" s="161" t="s">
        <v>270</v>
      </c>
      <c r="J78" s="162"/>
      <c r="K78" s="161"/>
      <c r="L78" s="161"/>
      <c r="M78" s="161"/>
      <c r="N78" s="161" t="s">
        <v>775</v>
      </c>
      <c r="O78" s="161" t="s">
        <v>641</v>
      </c>
      <c r="P78" s="161" t="s">
        <v>765</v>
      </c>
      <c r="Q78" s="161"/>
      <c r="R78" s="166">
        <v>1</v>
      </c>
      <c r="S78" s="166"/>
      <c r="T78" s="161">
        <v>1</v>
      </c>
      <c r="U78" s="161" t="s">
        <v>517</v>
      </c>
      <c r="V78" s="161" t="s">
        <v>767</v>
      </c>
      <c r="W78" s="161">
        <v>2</v>
      </c>
      <c r="X78" s="160"/>
      <c r="Y78" s="164">
        <v>2017</v>
      </c>
      <c r="Z78" s="160"/>
      <c r="AA78" s="160">
        <v>4</v>
      </c>
      <c r="AB78" s="147" t="str">
        <f>VLOOKUP(E78,Source!F:F,1,FALSE)</f>
        <v>UMass Dartmouth</v>
      </c>
      <c r="AC78" s="150"/>
      <c r="AD78" s="150"/>
      <c r="AE78" s="140"/>
      <c r="AF78" s="150"/>
    </row>
    <row r="79" spans="1:32" x14ac:dyDescent="0.25">
      <c r="A79" s="160" t="str">
        <f t="shared" si="2"/>
        <v>UMass Lowell1</v>
      </c>
      <c r="B79" s="160" t="s">
        <v>696</v>
      </c>
      <c r="C79" s="160" t="s">
        <v>696</v>
      </c>
      <c r="D79" s="160" t="s">
        <v>458</v>
      </c>
      <c r="E79" s="160" t="s">
        <v>73</v>
      </c>
      <c r="F79" s="160" t="s">
        <v>823</v>
      </c>
      <c r="G79" s="160" t="s">
        <v>824</v>
      </c>
      <c r="H79" s="161" t="s">
        <v>179</v>
      </c>
      <c r="I79" s="161" t="s">
        <v>270</v>
      </c>
      <c r="J79" s="162" t="s">
        <v>686</v>
      </c>
      <c r="K79" s="161"/>
      <c r="L79" s="161" t="s">
        <v>649</v>
      </c>
      <c r="M79" s="161"/>
      <c r="N79" s="161" t="s">
        <v>764</v>
      </c>
      <c r="O79" s="161" t="s">
        <v>641</v>
      </c>
      <c r="P79" s="161" t="s">
        <v>765</v>
      </c>
      <c r="Q79" s="161"/>
      <c r="R79" s="161">
        <v>1</v>
      </c>
      <c r="S79" s="161"/>
      <c r="T79" s="161">
        <v>1</v>
      </c>
      <c r="U79" s="161" t="s">
        <v>517</v>
      </c>
      <c r="V79" s="161" t="s">
        <v>767</v>
      </c>
      <c r="W79" s="161">
        <v>2</v>
      </c>
      <c r="X79" s="160">
        <v>65004</v>
      </c>
      <c r="Y79" s="164">
        <v>2015</v>
      </c>
      <c r="Z79" s="160" t="s">
        <v>644</v>
      </c>
      <c r="AA79" s="160">
        <v>1</v>
      </c>
      <c r="AB79" s="147" t="str">
        <f>VLOOKUP(E79,Source!F:F,1,FALSE)</f>
        <v>UMass Lowell</v>
      </c>
      <c r="AC79" s="150"/>
      <c r="AD79" s="150"/>
      <c r="AE79" s="140"/>
      <c r="AF79" s="150"/>
    </row>
    <row r="80" spans="1:32" x14ac:dyDescent="0.25">
      <c r="A80" s="160" t="str">
        <f t="shared" si="2"/>
        <v>UMass Lowell2</v>
      </c>
      <c r="B80" s="160" t="s">
        <v>696</v>
      </c>
      <c r="C80" s="160" t="s">
        <v>696</v>
      </c>
      <c r="D80" s="160" t="s">
        <v>458</v>
      </c>
      <c r="E80" s="160" t="s">
        <v>73</v>
      </c>
      <c r="F80" s="160" t="s">
        <v>823</v>
      </c>
      <c r="G80" s="160" t="s">
        <v>825</v>
      </c>
      <c r="H80" s="161" t="s">
        <v>179</v>
      </c>
      <c r="I80" s="161" t="s">
        <v>270</v>
      </c>
      <c r="J80" s="162" t="s">
        <v>686</v>
      </c>
      <c r="K80" s="161"/>
      <c r="L80" s="161"/>
      <c r="M80" s="161"/>
      <c r="N80" s="161" t="s">
        <v>764</v>
      </c>
      <c r="O80" s="161" t="s">
        <v>641</v>
      </c>
      <c r="P80" s="161" t="s">
        <v>765</v>
      </c>
      <c r="Q80" s="161"/>
      <c r="R80" s="161">
        <v>1</v>
      </c>
      <c r="S80" s="161"/>
      <c r="T80" s="161">
        <v>1</v>
      </c>
      <c r="U80" s="161" t="s">
        <v>517</v>
      </c>
      <c r="V80" s="161" t="s">
        <v>767</v>
      </c>
      <c r="W80" s="161">
        <v>2</v>
      </c>
      <c r="X80" s="160"/>
      <c r="Y80" s="164">
        <v>2016</v>
      </c>
      <c r="Z80" s="160" t="s">
        <v>644</v>
      </c>
      <c r="AA80" s="160">
        <v>2</v>
      </c>
      <c r="AB80" s="147" t="str">
        <f>VLOOKUP(E80,Source!F:F,1,FALSE)</f>
        <v>UMass Lowell</v>
      </c>
      <c r="AC80" s="150"/>
      <c r="AD80" s="150"/>
      <c r="AE80" s="140"/>
      <c r="AF80" s="150"/>
    </row>
    <row r="81" spans="1:28" x14ac:dyDescent="0.25">
      <c r="A81" s="160" t="str">
        <f t="shared" si="2"/>
        <v>UMass Lowell3</v>
      </c>
      <c r="B81" s="160" t="s">
        <v>696</v>
      </c>
      <c r="C81" s="160" t="s">
        <v>696</v>
      </c>
      <c r="D81" s="160" t="s">
        <v>458</v>
      </c>
      <c r="E81" s="160" t="s">
        <v>73</v>
      </c>
      <c r="F81" s="160" t="s">
        <v>823</v>
      </c>
      <c r="G81" s="160" t="s">
        <v>618</v>
      </c>
      <c r="H81" s="161" t="s">
        <v>179</v>
      </c>
      <c r="I81" s="161" t="s">
        <v>270</v>
      </c>
      <c r="J81" s="162" t="s">
        <v>686</v>
      </c>
      <c r="K81" s="161"/>
      <c r="L81" s="161"/>
      <c r="M81" s="161"/>
      <c r="N81" s="161" t="s">
        <v>764</v>
      </c>
      <c r="O81" s="161" t="s">
        <v>641</v>
      </c>
      <c r="P81" s="161" t="s">
        <v>765</v>
      </c>
      <c r="Q81" s="161"/>
      <c r="R81" s="161">
        <v>1</v>
      </c>
      <c r="S81" s="161"/>
      <c r="T81" s="161">
        <v>1</v>
      </c>
      <c r="U81" s="161" t="s">
        <v>517</v>
      </c>
      <c r="V81" s="161" t="s">
        <v>767</v>
      </c>
      <c r="W81" s="161">
        <v>2</v>
      </c>
      <c r="X81" s="160"/>
      <c r="Y81" s="164">
        <v>2016</v>
      </c>
      <c r="Z81" s="160" t="s">
        <v>644</v>
      </c>
      <c r="AA81" s="160">
        <v>3</v>
      </c>
      <c r="AB81" s="147" t="str">
        <f>VLOOKUP(E81,Source!F:F,1,FALSE)</f>
        <v>UMass Lowell</v>
      </c>
    </row>
    <row r="82" spans="1:28" x14ac:dyDescent="0.25">
      <c r="A82" s="160" t="str">
        <f t="shared" si="2"/>
        <v>UMass Lowell4</v>
      </c>
      <c r="B82" s="160" t="s">
        <v>696</v>
      </c>
      <c r="C82" s="160" t="s">
        <v>696</v>
      </c>
      <c r="D82" s="160" t="s">
        <v>458</v>
      </c>
      <c r="E82" s="160" t="s">
        <v>73</v>
      </c>
      <c r="F82" s="160" t="s">
        <v>823</v>
      </c>
      <c r="G82" s="160" t="s">
        <v>619</v>
      </c>
      <c r="H82" s="161" t="s">
        <v>179</v>
      </c>
      <c r="I82" s="161" t="s">
        <v>270</v>
      </c>
      <c r="J82" s="162" t="s">
        <v>686</v>
      </c>
      <c r="K82" s="161">
        <v>1854</v>
      </c>
      <c r="L82" s="161"/>
      <c r="M82" s="161" t="s">
        <v>670</v>
      </c>
      <c r="N82" s="161" t="s">
        <v>764</v>
      </c>
      <c r="O82" s="161" t="s">
        <v>641</v>
      </c>
      <c r="P82" s="161" t="s">
        <v>765</v>
      </c>
      <c r="Q82" s="161"/>
      <c r="R82" s="166">
        <v>1</v>
      </c>
      <c r="S82" s="166"/>
      <c r="T82" s="161">
        <v>1</v>
      </c>
      <c r="U82" s="161" t="s">
        <v>517</v>
      </c>
      <c r="V82" s="161" t="s">
        <v>767</v>
      </c>
      <c r="W82" s="161">
        <v>2</v>
      </c>
      <c r="X82" s="160"/>
      <c r="Y82" s="164">
        <v>2015</v>
      </c>
      <c r="Z82" s="160" t="s">
        <v>644</v>
      </c>
      <c r="AA82" s="160">
        <v>4</v>
      </c>
      <c r="AB82" s="147" t="str">
        <f>VLOOKUP(E82,Source!F:F,1,FALSE)</f>
        <v>UMass Lowell</v>
      </c>
    </row>
    <row r="83" spans="1:28" x14ac:dyDescent="0.25">
      <c r="A83" s="160" t="str">
        <f t="shared" si="2"/>
        <v>UMass Lowell5</v>
      </c>
      <c r="B83" s="160" t="s">
        <v>696</v>
      </c>
      <c r="C83" s="160" t="s">
        <v>696</v>
      </c>
      <c r="D83" s="160" t="s">
        <v>458</v>
      </c>
      <c r="E83" s="160" t="s">
        <v>73</v>
      </c>
      <c r="F83" s="160" t="s">
        <v>823</v>
      </c>
      <c r="G83" s="160" t="s">
        <v>619</v>
      </c>
      <c r="H83" s="161" t="s">
        <v>179</v>
      </c>
      <c r="I83" s="161" t="s">
        <v>270</v>
      </c>
      <c r="J83" s="162" t="s">
        <v>686</v>
      </c>
      <c r="K83" s="161"/>
      <c r="L83" s="161"/>
      <c r="M83" s="161"/>
      <c r="N83" s="161" t="s">
        <v>764</v>
      </c>
      <c r="O83" s="161" t="s">
        <v>641</v>
      </c>
      <c r="P83" s="161" t="s">
        <v>765</v>
      </c>
      <c r="Q83" s="161"/>
      <c r="R83" s="166">
        <v>1</v>
      </c>
      <c r="S83" s="166"/>
      <c r="T83" s="161">
        <v>1</v>
      </c>
      <c r="U83" s="161" t="s">
        <v>517</v>
      </c>
      <c r="V83" s="161" t="s">
        <v>767</v>
      </c>
      <c r="W83" s="161">
        <v>2</v>
      </c>
      <c r="X83" s="160"/>
      <c r="Y83" s="164">
        <v>2017</v>
      </c>
      <c r="Z83" s="160" t="s">
        <v>644</v>
      </c>
      <c r="AA83" s="160">
        <v>5</v>
      </c>
      <c r="AB83" s="147" t="str">
        <f>VLOOKUP(E83,Source!F:F,1,FALSE)</f>
        <v>UMass Lowell</v>
      </c>
    </row>
    <row r="84" spans="1:28" x14ac:dyDescent="0.25">
      <c r="A84" s="160" t="str">
        <f t="shared" si="2"/>
        <v>UMass Lowell6</v>
      </c>
      <c r="B84" s="160" t="s">
        <v>696</v>
      </c>
      <c r="C84" s="160" t="s">
        <v>696</v>
      </c>
      <c r="D84" s="160" t="s">
        <v>458</v>
      </c>
      <c r="E84" s="160" t="s">
        <v>73</v>
      </c>
      <c r="F84" s="160" t="s">
        <v>823</v>
      </c>
      <c r="G84" s="160" t="s">
        <v>824</v>
      </c>
      <c r="H84" s="161" t="s">
        <v>179</v>
      </c>
      <c r="I84" s="161" t="s">
        <v>270</v>
      </c>
      <c r="J84" s="162" t="s">
        <v>686</v>
      </c>
      <c r="K84" s="161"/>
      <c r="L84" s="161"/>
      <c r="M84" s="161"/>
      <c r="N84" s="161" t="s">
        <v>764</v>
      </c>
      <c r="O84" s="161" t="s">
        <v>641</v>
      </c>
      <c r="P84" s="161" t="s">
        <v>765</v>
      </c>
      <c r="Q84" s="161"/>
      <c r="R84" s="166">
        <v>1</v>
      </c>
      <c r="S84" s="166"/>
      <c r="T84" s="161">
        <v>1</v>
      </c>
      <c r="U84" s="161" t="s">
        <v>517</v>
      </c>
      <c r="V84" s="161" t="s">
        <v>767</v>
      </c>
      <c r="W84" s="161">
        <v>2</v>
      </c>
      <c r="X84" s="160"/>
      <c r="Y84" s="164">
        <v>2017</v>
      </c>
      <c r="Z84" s="160" t="s">
        <v>644</v>
      </c>
      <c r="AA84" s="160">
        <v>6</v>
      </c>
      <c r="AB84" s="147" t="str">
        <f>VLOOKUP(E84,Source!F:F,1,FALSE)</f>
        <v>UMass Lowell</v>
      </c>
    </row>
    <row r="85" spans="1:28" x14ac:dyDescent="0.25">
      <c r="A85" s="160" t="str">
        <f t="shared" si="2"/>
        <v>UMass Medical1</v>
      </c>
      <c r="B85" s="160" t="s">
        <v>696</v>
      </c>
      <c r="C85" s="160" t="s">
        <v>696</v>
      </c>
      <c r="D85" s="160" t="s">
        <v>458</v>
      </c>
      <c r="E85" s="160" t="s">
        <v>74</v>
      </c>
      <c r="F85" s="160" t="s">
        <v>828</v>
      </c>
      <c r="G85" s="160" t="s">
        <v>687</v>
      </c>
      <c r="H85" s="161" t="s">
        <v>181</v>
      </c>
      <c r="I85" s="161" t="s">
        <v>270</v>
      </c>
      <c r="J85" s="162" t="s">
        <v>688</v>
      </c>
      <c r="K85" s="161"/>
      <c r="L85" s="161"/>
      <c r="M85" s="161"/>
      <c r="N85" s="161" t="s">
        <v>764</v>
      </c>
      <c r="O85" s="161" t="s">
        <v>641</v>
      </c>
      <c r="P85" s="161" t="s">
        <v>765</v>
      </c>
      <c r="Q85" s="161"/>
      <c r="R85" s="166">
        <v>1</v>
      </c>
      <c r="S85" s="166"/>
      <c r="T85" s="161">
        <v>1</v>
      </c>
      <c r="U85" s="161" t="s">
        <v>517</v>
      </c>
      <c r="V85" s="161" t="s">
        <v>693</v>
      </c>
      <c r="W85" s="161">
        <v>1</v>
      </c>
      <c r="X85" s="160"/>
      <c r="Y85" s="164">
        <v>2014</v>
      </c>
      <c r="Z85" s="160" t="s">
        <v>644</v>
      </c>
      <c r="AA85" s="160">
        <v>1</v>
      </c>
      <c r="AB85" s="147" t="str">
        <f>VLOOKUP(E85,Source!F:F,1,FALSE)</f>
        <v>UMass Medical</v>
      </c>
    </row>
    <row r="86" spans="1:28" x14ac:dyDescent="0.25">
      <c r="A86" s="160" t="str">
        <f t="shared" si="2"/>
        <v>UMass Medical2</v>
      </c>
      <c r="B86" s="160" t="s">
        <v>696</v>
      </c>
      <c r="C86" s="160" t="s">
        <v>696</v>
      </c>
      <c r="D86" s="160" t="s">
        <v>458</v>
      </c>
      <c r="E86" s="160" t="s">
        <v>74</v>
      </c>
      <c r="F86" s="160" t="s">
        <v>828</v>
      </c>
      <c r="G86" s="160" t="s">
        <v>687</v>
      </c>
      <c r="H86" s="161" t="s">
        <v>181</v>
      </c>
      <c r="I86" s="161" t="s">
        <v>270</v>
      </c>
      <c r="J86" s="162" t="s">
        <v>688</v>
      </c>
      <c r="K86" s="161"/>
      <c r="L86" s="161"/>
      <c r="M86" s="161"/>
      <c r="N86" s="161" t="s">
        <v>764</v>
      </c>
      <c r="O86" s="161" t="s">
        <v>641</v>
      </c>
      <c r="P86" s="161" t="s">
        <v>765</v>
      </c>
      <c r="Q86" s="161"/>
      <c r="R86" s="166">
        <v>1</v>
      </c>
      <c r="S86" s="166"/>
      <c r="T86" s="161">
        <v>1</v>
      </c>
      <c r="U86" s="161" t="s">
        <v>517</v>
      </c>
      <c r="V86" s="161" t="s">
        <v>693</v>
      </c>
      <c r="W86" s="161">
        <v>1</v>
      </c>
      <c r="X86" s="160"/>
      <c r="Y86" s="164">
        <v>2014</v>
      </c>
      <c r="Z86" s="160" t="s">
        <v>644</v>
      </c>
      <c r="AA86" s="160">
        <v>2</v>
      </c>
      <c r="AB86" s="147" t="str">
        <f>VLOOKUP(E86,Source!F:F,1,FALSE)</f>
        <v>UMass Medical</v>
      </c>
    </row>
    <row r="87" spans="1:28" x14ac:dyDescent="0.25">
      <c r="A87" s="160" t="str">
        <f t="shared" si="2"/>
        <v>UMass Medical3</v>
      </c>
      <c r="B87" s="160" t="s">
        <v>696</v>
      </c>
      <c r="C87" s="160" t="s">
        <v>696</v>
      </c>
      <c r="D87" s="160" t="s">
        <v>458</v>
      </c>
      <c r="E87" s="160" t="s">
        <v>74</v>
      </c>
      <c r="F87" s="160" t="s">
        <v>828</v>
      </c>
      <c r="G87" s="160" t="s">
        <v>687</v>
      </c>
      <c r="H87" s="161" t="s">
        <v>181</v>
      </c>
      <c r="I87" s="161" t="s">
        <v>270</v>
      </c>
      <c r="J87" s="162" t="s">
        <v>688</v>
      </c>
      <c r="K87" s="161"/>
      <c r="L87" s="161"/>
      <c r="M87" s="161"/>
      <c r="N87" s="161" t="s">
        <v>764</v>
      </c>
      <c r="O87" s="161" t="s">
        <v>641</v>
      </c>
      <c r="P87" s="161" t="s">
        <v>765</v>
      </c>
      <c r="Q87" s="161">
        <v>1</v>
      </c>
      <c r="R87" s="161"/>
      <c r="S87" s="161"/>
      <c r="T87" s="161">
        <v>1</v>
      </c>
      <c r="U87" s="161" t="s">
        <v>516</v>
      </c>
      <c r="V87" s="161" t="s">
        <v>693</v>
      </c>
      <c r="W87" s="161">
        <v>1</v>
      </c>
      <c r="X87" s="160"/>
      <c r="Y87" s="164">
        <v>2014</v>
      </c>
      <c r="Z87" s="160" t="s">
        <v>726</v>
      </c>
      <c r="AA87" s="160">
        <v>3</v>
      </c>
      <c r="AB87" s="147" t="str">
        <f>VLOOKUP(E87,Source!F:F,1,FALSE)</f>
        <v>UMass Medical</v>
      </c>
    </row>
    <row r="88" spans="1:28" x14ac:dyDescent="0.25">
      <c r="A88" s="160" t="str">
        <f t="shared" si="2"/>
        <v>UMass Medical4</v>
      </c>
      <c r="B88" s="160" t="s">
        <v>696</v>
      </c>
      <c r="C88" s="160" t="s">
        <v>696</v>
      </c>
      <c r="D88" s="160" t="s">
        <v>458</v>
      </c>
      <c r="E88" s="160" t="s">
        <v>74</v>
      </c>
      <c r="F88" s="160" t="s">
        <v>828</v>
      </c>
      <c r="G88" s="160" t="s">
        <v>687</v>
      </c>
      <c r="H88" s="161" t="s">
        <v>181</v>
      </c>
      <c r="I88" s="161" t="s">
        <v>270</v>
      </c>
      <c r="J88" s="162" t="s">
        <v>688</v>
      </c>
      <c r="K88" s="161"/>
      <c r="L88" s="161"/>
      <c r="M88" s="161"/>
      <c r="N88" s="161" t="s">
        <v>764</v>
      </c>
      <c r="O88" s="161" t="s">
        <v>641</v>
      </c>
      <c r="P88" s="161" t="s">
        <v>765</v>
      </c>
      <c r="Q88" s="161">
        <v>1</v>
      </c>
      <c r="R88" s="161"/>
      <c r="S88" s="161"/>
      <c r="T88" s="161">
        <v>1</v>
      </c>
      <c r="U88" s="161" t="s">
        <v>516</v>
      </c>
      <c r="V88" s="161" t="s">
        <v>693</v>
      </c>
      <c r="W88" s="161">
        <v>1</v>
      </c>
      <c r="X88" s="160"/>
      <c r="Y88" s="164">
        <v>2014</v>
      </c>
      <c r="Z88" s="160" t="s">
        <v>726</v>
      </c>
      <c r="AA88" s="160">
        <v>4</v>
      </c>
      <c r="AB88" s="147" t="str">
        <f>VLOOKUP(E88,Source!F:F,1,FALSE)</f>
        <v>UMass Medical</v>
      </c>
    </row>
    <row r="89" spans="1:28" x14ac:dyDescent="0.25">
      <c r="A89" s="160" t="str">
        <f t="shared" si="2"/>
        <v>UMass Medical5</v>
      </c>
      <c r="B89" s="160" t="s">
        <v>696</v>
      </c>
      <c r="C89" s="160" t="s">
        <v>696</v>
      </c>
      <c r="D89" s="160" t="s">
        <v>458</v>
      </c>
      <c r="E89" s="160" t="s">
        <v>74</v>
      </c>
      <c r="F89" s="160" t="s">
        <v>828</v>
      </c>
      <c r="G89" s="160" t="s">
        <v>687</v>
      </c>
      <c r="H89" s="161" t="s">
        <v>181</v>
      </c>
      <c r="I89" s="161" t="s">
        <v>270</v>
      </c>
      <c r="J89" s="162" t="s">
        <v>688</v>
      </c>
      <c r="K89" s="161"/>
      <c r="L89" s="161"/>
      <c r="M89" s="161"/>
      <c r="N89" s="161" t="s">
        <v>764</v>
      </c>
      <c r="O89" s="161" t="s">
        <v>641</v>
      </c>
      <c r="P89" s="161" t="s">
        <v>765</v>
      </c>
      <c r="Q89" s="161"/>
      <c r="R89" s="161">
        <v>1</v>
      </c>
      <c r="S89" s="161"/>
      <c r="T89" s="161">
        <v>1</v>
      </c>
      <c r="U89" s="161" t="s">
        <v>517</v>
      </c>
      <c r="V89" s="161" t="s">
        <v>693</v>
      </c>
      <c r="W89" s="161">
        <v>1</v>
      </c>
      <c r="X89" s="160"/>
      <c r="Y89" s="164">
        <v>2015</v>
      </c>
      <c r="Z89" s="160" t="s">
        <v>727</v>
      </c>
      <c r="AA89" s="160">
        <v>5</v>
      </c>
      <c r="AB89" s="147" t="str">
        <f>VLOOKUP(E89,Source!F:F,1,FALSE)</f>
        <v>UMass Medical</v>
      </c>
    </row>
    <row r="90" spans="1:28" x14ac:dyDescent="0.25">
      <c r="A90" s="160" t="str">
        <f t="shared" si="2"/>
        <v>UMass Medical6</v>
      </c>
      <c r="B90" s="160" t="s">
        <v>696</v>
      </c>
      <c r="C90" s="160" t="s">
        <v>696</v>
      </c>
      <c r="D90" s="160" t="s">
        <v>458</v>
      </c>
      <c r="E90" s="160" t="s">
        <v>74</v>
      </c>
      <c r="F90" s="160" t="s">
        <v>828</v>
      </c>
      <c r="G90" s="160" t="s">
        <v>687</v>
      </c>
      <c r="H90" s="161" t="s">
        <v>181</v>
      </c>
      <c r="I90" s="161" t="s">
        <v>270</v>
      </c>
      <c r="J90" s="162" t="s">
        <v>688</v>
      </c>
      <c r="K90" s="161"/>
      <c r="L90" s="161"/>
      <c r="M90" s="161"/>
      <c r="N90" s="161" t="s">
        <v>764</v>
      </c>
      <c r="O90" s="161" t="s">
        <v>641</v>
      </c>
      <c r="P90" s="161" t="s">
        <v>765</v>
      </c>
      <c r="Q90" s="161"/>
      <c r="R90" s="161">
        <v>1</v>
      </c>
      <c r="S90" s="161"/>
      <c r="T90" s="161">
        <v>1</v>
      </c>
      <c r="U90" s="161" t="s">
        <v>517</v>
      </c>
      <c r="V90" s="161" t="s">
        <v>693</v>
      </c>
      <c r="W90" s="161">
        <v>1</v>
      </c>
      <c r="X90" s="160"/>
      <c r="Y90" s="164">
        <v>2016</v>
      </c>
      <c r="Z90" s="160" t="s">
        <v>727</v>
      </c>
      <c r="AA90" s="160">
        <v>6</v>
      </c>
      <c r="AB90" s="147" t="str">
        <f>VLOOKUP(E90,Source!F:F,1,FALSE)</f>
        <v>UMass Medical</v>
      </c>
    </row>
    <row r="91" spans="1:28" x14ac:dyDescent="0.25">
      <c r="A91" s="160" t="str">
        <f t="shared" si="2"/>
        <v>UMass Medical7</v>
      </c>
      <c r="B91" s="160" t="s">
        <v>696</v>
      </c>
      <c r="C91" s="160" t="s">
        <v>696</v>
      </c>
      <c r="D91" s="160" t="s">
        <v>458</v>
      </c>
      <c r="E91" s="160" t="s">
        <v>74</v>
      </c>
      <c r="F91" s="160" t="s">
        <v>828</v>
      </c>
      <c r="G91" s="160" t="s">
        <v>687</v>
      </c>
      <c r="H91" s="161" t="s">
        <v>181</v>
      </c>
      <c r="I91" s="161" t="s">
        <v>270</v>
      </c>
      <c r="J91" s="162" t="s">
        <v>688</v>
      </c>
      <c r="K91" s="161"/>
      <c r="L91" s="161"/>
      <c r="M91" s="161"/>
      <c r="N91" s="161" t="s">
        <v>764</v>
      </c>
      <c r="O91" s="161" t="s">
        <v>641</v>
      </c>
      <c r="P91" s="161" t="s">
        <v>765</v>
      </c>
      <c r="Q91" s="161"/>
      <c r="R91" s="161">
        <v>1</v>
      </c>
      <c r="S91" s="161"/>
      <c r="T91" s="161">
        <v>1</v>
      </c>
      <c r="U91" s="161" t="s">
        <v>517</v>
      </c>
      <c r="V91" s="161" t="s">
        <v>693</v>
      </c>
      <c r="W91" s="161">
        <v>1</v>
      </c>
      <c r="X91" s="160"/>
      <c r="Y91" s="164">
        <v>2017</v>
      </c>
      <c r="Z91" s="160" t="s">
        <v>727</v>
      </c>
      <c r="AA91" s="160">
        <v>7</v>
      </c>
      <c r="AB91" s="147" t="str">
        <f>VLOOKUP(E91,Source!F:F,1,FALSE)</f>
        <v>UMass Medical</v>
      </c>
    </row>
    <row r="92" spans="1:28" x14ac:dyDescent="0.25">
      <c r="A92" s="160" t="str">
        <f t="shared" si="2"/>
        <v>UMass Medical8</v>
      </c>
      <c r="B92" s="160" t="s">
        <v>696</v>
      </c>
      <c r="C92" s="160" t="s">
        <v>696</v>
      </c>
      <c r="D92" s="160" t="s">
        <v>458</v>
      </c>
      <c r="E92" s="160" t="s">
        <v>74</v>
      </c>
      <c r="F92" s="160" t="s">
        <v>828</v>
      </c>
      <c r="G92" s="160" t="s">
        <v>687</v>
      </c>
      <c r="H92" s="161" t="s">
        <v>181</v>
      </c>
      <c r="I92" s="161" t="s">
        <v>270</v>
      </c>
      <c r="J92" s="162" t="s">
        <v>688</v>
      </c>
      <c r="K92" s="161"/>
      <c r="L92" s="161"/>
      <c r="M92" s="161"/>
      <c r="N92" s="161" t="s">
        <v>764</v>
      </c>
      <c r="O92" s="161" t="s">
        <v>641</v>
      </c>
      <c r="P92" s="161" t="s">
        <v>765</v>
      </c>
      <c r="Q92" s="161">
        <v>1</v>
      </c>
      <c r="R92" s="161"/>
      <c r="S92" s="161"/>
      <c r="T92" s="161">
        <v>1</v>
      </c>
      <c r="U92" s="161" t="s">
        <v>516</v>
      </c>
      <c r="V92" s="161" t="s">
        <v>693</v>
      </c>
      <c r="W92" s="161">
        <v>1</v>
      </c>
      <c r="X92" s="160"/>
      <c r="Y92" s="164">
        <v>2017</v>
      </c>
      <c r="Z92" s="160" t="s">
        <v>726</v>
      </c>
      <c r="AA92" s="160">
        <v>8</v>
      </c>
      <c r="AB92" s="147" t="str">
        <f>VLOOKUP(E92,Source!F:F,1,FALSE)</f>
        <v>UMass Medical</v>
      </c>
    </row>
    <row r="93" spans="1:28" x14ac:dyDescent="0.25">
      <c r="A93" s="160" t="str">
        <f t="shared" si="2"/>
        <v>UMass Medical9</v>
      </c>
      <c r="B93" s="160" t="s">
        <v>696</v>
      </c>
      <c r="C93" s="160" t="s">
        <v>696</v>
      </c>
      <c r="D93" s="160" t="s">
        <v>458</v>
      </c>
      <c r="E93" s="160" t="s">
        <v>74</v>
      </c>
      <c r="F93" s="160" t="s">
        <v>828</v>
      </c>
      <c r="G93" s="160" t="s">
        <v>687</v>
      </c>
      <c r="H93" s="161" t="s">
        <v>181</v>
      </c>
      <c r="I93" s="161" t="s">
        <v>270</v>
      </c>
      <c r="J93" s="162" t="s">
        <v>688</v>
      </c>
      <c r="K93" s="161"/>
      <c r="L93" s="161"/>
      <c r="M93" s="161"/>
      <c r="N93" s="161" t="s">
        <v>764</v>
      </c>
      <c r="O93" s="161" t="s">
        <v>641</v>
      </c>
      <c r="P93" s="161" t="s">
        <v>765</v>
      </c>
      <c r="Q93" s="161">
        <v>1</v>
      </c>
      <c r="R93" s="161"/>
      <c r="S93" s="161"/>
      <c r="T93" s="161">
        <v>1</v>
      </c>
      <c r="U93" s="161" t="s">
        <v>516</v>
      </c>
      <c r="V93" s="161" t="s">
        <v>693</v>
      </c>
      <c r="W93" s="161">
        <v>1</v>
      </c>
      <c r="X93" s="160"/>
      <c r="Y93" s="164">
        <v>2017</v>
      </c>
      <c r="Z93" s="160" t="s">
        <v>726</v>
      </c>
      <c r="AA93" s="160">
        <v>9</v>
      </c>
      <c r="AB93" s="147" t="str">
        <f>VLOOKUP(E93,Source!F:F,1,FALSE)</f>
        <v>UMass Medical</v>
      </c>
    </row>
    <row r="94" spans="1:28" x14ac:dyDescent="0.25">
      <c r="A94" s="160" t="str">
        <f t="shared" si="2"/>
        <v>UMass Medical10</v>
      </c>
      <c r="B94" s="160" t="s">
        <v>696</v>
      </c>
      <c r="C94" s="160" t="s">
        <v>696</v>
      </c>
      <c r="D94" s="160" t="s">
        <v>458</v>
      </c>
      <c r="E94" s="160" t="s">
        <v>74</v>
      </c>
      <c r="F94" s="160" t="s">
        <v>828</v>
      </c>
      <c r="G94" s="160" t="s">
        <v>687</v>
      </c>
      <c r="H94" s="161" t="s">
        <v>181</v>
      </c>
      <c r="I94" s="161" t="s">
        <v>270</v>
      </c>
      <c r="J94" s="162" t="s">
        <v>688</v>
      </c>
      <c r="K94" s="161"/>
      <c r="L94" s="161"/>
      <c r="M94" s="161"/>
      <c r="N94" s="161" t="s">
        <v>764</v>
      </c>
      <c r="O94" s="161" t="s">
        <v>641</v>
      </c>
      <c r="P94" s="161" t="s">
        <v>765</v>
      </c>
      <c r="Q94" s="161">
        <v>1</v>
      </c>
      <c r="R94" s="161"/>
      <c r="S94" s="161"/>
      <c r="T94" s="161">
        <v>1</v>
      </c>
      <c r="U94" s="161" t="s">
        <v>516</v>
      </c>
      <c r="V94" s="161" t="s">
        <v>693</v>
      </c>
      <c r="W94" s="161">
        <v>1</v>
      </c>
      <c r="X94" s="160"/>
      <c r="Y94" s="164">
        <v>2017</v>
      </c>
      <c r="Z94" s="160" t="s">
        <v>726</v>
      </c>
      <c r="AA94" s="160">
        <v>10</v>
      </c>
      <c r="AB94" s="147" t="str">
        <f>VLOOKUP(E94,Source!F:F,1,FALSE)</f>
        <v>UMass Medical</v>
      </c>
    </row>
    <row r="95" spans="1:28" x14ac:dyDescent="0.25">
      <c r="A95" s="160" t="str">
        <f t="shared" si="2"/>
        <v>UMass Medical11</v>
      </c>
      <c r="B95" s="168" t="s">
        <v>696</v>
      </c>
      <c r="C95" s="168" t="s">
        <v>696</v>
      </c>
      <c r="D95" s="168" t="s">
        <v>458</v>
      </c>
      <c r="E95" s="168" t="s">
        <v>74</v>
      </c>
      <c r="F95" s="168" t="s">
        <v>828</v>
      </c>
      <c r="G95" s="168" t="s">
        <v>687</v>
      </c>
      <c r="H95" s="169" t="s">
        <v>181</v>
      </c>
      <c r="I95" s="169" t="s">
        <v>270</v>
      </c>
      <c r="J95" s="170" t="s">
        <v>688</v>
      </c>
      <c r="K95" s="169"/>
      <c r="L95" s="169"/>
      <c r="M95" s="169"/>
      <c r="N95" s="169" t="s">
        <v>764</v>
      </c>
      <c r="O95" s="169" t="s">
        <v>641</v>
      </c>
      <c r="P95" s="169" t="s">
        <v>765</v>
      </c>
      <c r="Q95" s="169">
        <v>1</v>
      </c>
      <c r="R95" s="169"/>
      <c r="S95" s="169"/>
      <c r="T95" s="169">
        <v>1</v>
      </c>
      <c r="U95" s="169" t="s">
        <v>516</v>
      </c>
      <c r="V95" s="169" t="s">
        <v>693</v>
      </c>
      <c r="W95" s="169">
        <v>1</v>
      </c>
      <c r="X95" s="168"/>
      <c r="Y95" s="173">
        <v>2017</v>
      </c>
      <c r="Z95" s="168" t="s">
        <v>726</v>
      </c>
      <c r="AA95" s="160">
        <v>11</v>
      </c>
      <c r="AB95" s="147" t="str">
        <f>VLOOKUP(E95,Source!F:F,1,FALSE)</f>
        <v>UMass Medical</v>
      </c>
    </row>
    <row r="96" spans="1:28" x14ac:dyDescent="0.25">
      <c r="A96" s="160" t="str">
        <f t="shared" si="2"/>
        <v>Worcester State University1</v>
      </c>
      <c r="B96" s="160" t="s">
        <v>696</v>
      </c>
      <c r="C96" s="160" t="s">
        <v>696</v>
      </c>
      <c r="D96" s="160" t="s">
        <v>271</v>
      </c>
      <c r="E96" s="160" t="s">
        <v>76</v>
      </c>
      <c r="F96" s="160" t="s">
        <v>829</v>
      </c>
      <c r="G96" s="160" t="s">
        <v>620</v>
      </c>
      <c r="H96" s="161" t="s">
        <v>181</v>
      </c>
      <c r="I96" s="161" t="s">
        <v>270</v>
      </c>
      <c r="J96" s="162" t="s">
        <v>689</v>
      </c>
      <c r="K96" s="161"/>
      <c r="L96" s="161" t="s">
        <v>649</v>
      </c>
      <c r="M96" s="161"/>
      <c r="N96" s="161" t="s">
        <v>764</v>
      </c>
      <c r="O96" s="161" t="s">
        <v>641</v>
      </c>
      <c r="P96" s="161" t="s">
        <v>765</v>
      </c>
      <c r="Q96" s="161"/>
      <c r="R96" s="161">
        <v>1</v>
      </c>
      <c r="S96" s="161"/>
      <c r="T96" s="161">
        <v>1</v>
      </c>
      <c r="U96" s="161" t="s">
        <v>517</v>
      </c>
      <c r="V96" s="161" t="s">
        <v>767</v>
      </c>
      <c r="W96" s="161">
        <v>2</v>
      </c>
      <c r="X96" s="160">
        <v>68169</v>
      </c>
      <c r="Y96" s="165">
        <v>2015</v>
      </c>
      <c r="Z96" s="160" t="s">
        <v>644</v>
      </c>
      <c r="AA96" s="160">
        <v>1</v>
      </c>
      <c r="AB96" s="147" t="str">
        <f>VLOOKUP(E96,Source!F:F,1,FALSE)</f>
        <v>Worcester State University</v>
      </c>
    </row>
  </sheetData>
  <autoFilter ref="A1:AB96"/>
  <sortState ref="E2:AH78">
    <sortCondition ref="E1"/>
  </sortState>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Source!$I$1:$I$3</xm:f>
          </x14:formula1>
          <xm:sqref>O2:O80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P46"/>
  <sheetViews>
    <sheetView showGridLines="0" workbookViewId="0">
      <selection activeCell="B11" sqref="B11"/>
    </sheetView>
  </sheetViews>
  <sheetFormatPr defaultColWidth="0" defaultRowHeight="15.75" zeroHeight="1" x14ac:dyDescent="0.25"/>
  <cols>
    <col min="1" max="1" width="3.5703125" style="484" customWidth="1"/>
    <col min="2" max="2" width="22.28515625" style="484" customWidth="1"/>
    <col min="3" max="3" width="13" style="484" bestFit="1" customWidth="1"/>
    <col min="4" max="4" width="35.85546875" style="484" customWidth="1"/>
    <col min="5" max="5" width="16.42578125" style="484" customWidth="1"/>
    <col min="6" max="6" width="20.42578125" style="484" customWidth="1"/>
    <col min="7" max="7" width="20" style="484" customWidth="1"/>
    <col min="8" max="8" width="20.28515625" style="484" customWidth="1"/>
    <col min="9" max="9" width="16.140625" style="484" customWidth="1"/>
    <col min="10" max="10" width="9.5703125" style="484" customWidth="1"/>
    <col min="11" max="16" width="0" style="484" hidden="1" customWidth="1"/>
    <col min="17" max="16384" width="9.140625" style="484" hidden="1"/>
  </cols>
  <sheetData>
    <row r="1" spans="1:16" s="15" customFormat="1" ht="16.5" thickBot="1" x14ac:dyDescent="0.3">
      <c r="B1" s="844" t="s">
        <v>509</v>
      </c>
      <c r="C1" s="844"/>
      <c r="D1" s="844"/>
      <c r="E1" s="844"/>
      <c r="F1" s="844"/>
      <c r="G1" s="844"/>
      <c r="H1" s="844"/>
      <c r="I1" s="844"/>
    </row>
    <row r="2" spans="1:16" s="15" customFormat="1" ht="15.75" customHeight="1" x14ac:dyDescent="0.25">
      <c r="B2" s="814" t="s">
        <v>184</v>
      </c>
      <c r="C2" s="988" t="s">
        <v>1159</v>
      </c>
      <c r="D2" s="676"/>
      <c r="E2" s="676"/>
      <c r="F2" s="676"/>
      <c r="G2" s="676"/>
      <c r="H2" s="676"/>
      <c r="I2" s="676"/>
      <c r="J2" s="563"/>
      <c r="K2" s="563"/>
      <c r="L2" s="563"/>
      <c r="M2" s="563"/>
      <c r="N2" s="563"/>
      <c r="O2" s="563"/>
      <c r="P2" s="563"/>
    </row>
    <row r="3" spans="1:16" s="15" customFormat="1" ht="24" customHeight="1" x14ac:dyDescent="0.25">
      <c r="B3" s="814"/>
      <c r="C3" s="989"/>
      <c r="D3" s="990"/>
      <c r="E3" s="990"/>
      <c r="F3" s="990"/>
      <c r="G3" s="990"/>
      <c r="H3" s="990"/>
      <c r="I3" s="990"/>
      <c r="J3" s="563"/>
      <c r="K3" s="563"/>
      <c r="L3" s="563"/>
      <c r="M3" s="563"/>
      <c r="N3" s="563"/>
      <c r="O3" s="563"/>
      <c r="P3" s="563"/>
    </row>
    <row r="4" spans="1:16" s="15" customFormat="1" x14ac:dyDescent="0.25"/>
    <row r="5" spans="1:16" s="15" customFormat="1" ht="21.75" thickBot="1" x14ac:dyDescent="0.3">
      <c r="B5" s="912" t="s">
        <v>186</v>
      </c>
      <c r="C5" s="912"/>
      <c r="D5" s="912"/>
      <c r="E5" s="912"/>
      <c r="F5" s="912"/>
      <c r="G5" s="912"/>
      <c r="H5" s="912"/>
      <c r="I5" s="912"/>
    </row>
    <row r="6" spans="1:16" s="13" customFormat="1" ht="12" customHeight="1" x14ac:dyDescent="0.3">
      <c r="B6" s="865" t="s">
        <v>185</v>
      </c>
      <c r="C6" s="865" t="s">
        <v>87</v>
      </c>
      <c r="D6" s="866" t="s">
        <v>192</v>
      </c>
      <c r="E6" s="866" t="s">
        <v>187</v>
      </c>
      <c r="F6" s="931" t="s">
        <v>1160</v>
      </c>
      <c r="G6" s="931" t="s">
        <v>1161</v>
      </c>
      <c r="H6" s="931" t="s">
        <v>1162</v>
      </c>
      <c r="I6" s="866" t="s">
        <v>188</v>
      </c>
    </row>
    <row r="7" spans="1:16" s="13" customFormat="1" ht="13.5" customHeight="1" x14ac:dyDescent="0.3">
      <c r="B7" s="865"/>
      <c r="C7" s="865"/>
      <c r="D7" s="866"/>
      <c r="E7" s="866"/>
      <c r="F7" s="866"/>
      <c r="G7" s="866"/>
      <c r="H7" s="866"/>
      <c r="I7" s="866"/>
    </row>
    <row r="8" spans="1:16" s="13" customFormat="1" ht="15" customHeight="1" x14ac:dyDescent="0.3">
      <c r="B8" s="865"/>
      <c r="C8" s="865"/>
      <c r="D8" s="866"/>
      <c r="E8" s="866"/>
      <c r="F8" s="866"/>
      <c r="G8" s="866"/>
      <c r="H8" s="866"/>
      <c r="I8" s="866"/>
    </row>
    <row r="9" spans="1:16" s="13" customFormat="1" ht="12" customHeight="1" thickBot="1" x14ac:dyDescent="0.35">
      <c r="B9" s="987"/>
      <c r="C9" s="987"/>
      <c r="D9" s="932"/>
      <c r="E9" s="932"/>
      <c r="F9" s="932"/>
      <c r="G9" s="932"/>
      <c r="H9" s="932"/>
      <c r="I9" s="932"/>
    </row>
    <row r="10" spans="1:16" s="15" customFormat="1" ht="15.75" customHeight="1" thickBot="1" x14ac:dyDescent="0.3">
      <c r="B10" s="986" t="s">
        <v>1158</v>
      </c>
      <c r="C10" s="986"/>
      <c r="D10" s="986"/>
      <c r="E10" s="986"/>
      <c r="F10" s="986"/>
      <c r="G10" s="986"/>
      <c r="H10" s="986"/>
      <c r="I10" s="986"/>
    </row>
    <row r="11" spans="1:16" s="565" customFormat="1" ht="15.75" customHeight="1" thickBot="1" x14ac:dyDescent="0.3">
      <c r="A11" s="564"/>
      <c r="B11" s="558"/>
      <c r="C11" s="559"/>
      <c r="D11" s="559"/>
      <c r="E11" s="560">
        <v>0</v>
      </c>
      <c r="F11" s="561"/>
      <c r="G11" s="561"/>
      <c r="H11" s="561"/>
      <c r="I11" s="562">
        <v>0</v>
      </c>
      <c r="J11" s="564"/>
    </row>
    <row r="12" spans="1:16" s="565" customFormat="1" ht="15.75" customHeight="1" thickBot="1" x14ac:dyDescent="0.3">
      <c r="A12" s="564"/>
      <c r="B12" s="558"/>
      <c r="C12" s="559"/>
      <c r="D12" s="559"/>
      <c r="E12" s="560">
        <v>0</v>
      </c>
      <c r="F12" s="561"/>
      <c r="G12" s="561"/>
      <c r="H12" s="561"/>
      <c r="I12" s="562">
        <v>0</v>
      </c>
      <c r="J12" s="564"/>
    </row>
    <row r="13" spans="1:16" s="565" customFormat="1" ht="15.75" customHeight="1" thickBot="1" x14ac:dyDescent="0.3">
      <c r="A13" s="564"/>
      <c r="B13" s="558"/>
      <c r="C13" s="559"/>
      <c r="D13" s="559"/>
      <c r="E13" s="560">
        <v>0</v>
      </c>
      <c r="F13" s="561"/>
      <c r="G13" s="561"/>
      <c r="H13" s="561"/>
      <c r="I13" s="562">
        <v>0</v>
      </c>
      <c r="J13" s="564"/>
    </row>
    <row r="14" spans="1:16" s="565" customFormat="1" ht="15.75" customHeight="1" thickBot="1" x14ac:dyDescent="0.3">
      <c r="A14" s="564"/>
      <c r="B14" s="558"/>
      <c r="C14" s="559"/>
      <c r="D14" s="559"/>
      <c r="E14" s="560">
        <v>0</v>
      </c>
      <c r="F14" s="561"/>
      <c r="G14" s="561"/>
      <c r="H14" s="561"/>
      <c r="I14" s="562">
        <v>0</v>
      </c>
      <c r="J14" s="564"/>
    </row>
    <row r="15" spans="1:16" s="565" customFormat="1" ht="15.75" customHeight="1" thickBot="1" x14ac:dyDescent="0.3">
      <c r="A15" s="564"/>
      <c r="B15" s="558"/>
      <c r="C15" s="559"/>
      <c r="D15" s="559"/>
      <c r="E15" s="560">
        <v>0</v>
      </c>
      <c r="F15" s="561"/>
      <c r="G15" s="561"/>
      <c r="H15" s="561"/>
      <c r="I15" s="562">
        <v>0</v>
      </c>
      <c r="J15" s="564"/>
    </row>
    <row r="16" spans="1:16" s="565" customFormat="1" ht="15.75" customHeight="1" thickBot="1" x14ac:dyDescent="0.3">
      <c r="A16" s="564"/>
      <c r="B16" s="558"/>
      <c r="C16" s="559"/>
      <c r="D16" s="559"/>
      <c r="E16" s="560">
        <v>0</v>
      </c>
      <c r="F16" s="561"/>
      <c r="G16" s="561"/>
      <c r="H16" s="561"/>
      <c r="I16" s="562">
        <v>0</v>
      </c>
      <c r="J16" s="564"/>
    </row>
    <row r="17" spans="1:14" s="565" customFormat="1" ht="15.75" customHeight="1" thickBot="1" x14ac:dyDescent="0.3">
      <c r="A17" s="564"/>
      <c r="B17" s="558"/>
      <c r="C17" s="559"/>
      <c r="D17" s="559"/>
      <c r="E17" s="560">
        <v>0</v>
      </c>
      <c r="F17" s="561"/>
      <c r="G17" s="561"/>
      <c r="H17" s="561"/>
      <c r="I17" s="562">
        <v>0</v>
      </c>
      <c r="J17" s="564"/>
    </row>
    <row r="18" spans="1:14" s="565" customFormat="1" ht="15.75" customHeight="1" thickBot="1" x14ac:dyDescent="0.3">
      <c r="A18" s="564"/>
      <c r="B18" s="558"/>
      <c r="C18" s="559"/>
      <c r="D18" s="559"/>
      <c r="E18" s="560">
        <v>0</v>
      </c>
      <c r="F18" s="561"/>
      <c r="G18" s="561"/>
      <c r="H18" s="561"/>
      <c r="I18" s="562">
        <v>0</v>
      </c>
      <c r="J18" s="564"/>
    </row>
    <row r="19" spans="1:14" s="565" customFormat="1" ht="15.75" customHeight="1" thickBot="1" x14ac:dyDescent="0.3">
      <c r="A19" s="564"/>
      <c r="B19" s="558"/>
      <c r="C19" s="559"/>
      <c r="D19" s="559"/>
      <c r="E19" s="560">
        <v>0</v>
      </c>
      <c r="F19" s="561"/>
      <c r="G19" s="561"/>
      <c r="H19" s="561"/>
      <c r="I19" s="562">
        <v>0</v>
      </c>
      <c r="J19" s="564"/>
    </row>
    <row r="20" spans="1:14" s="565" customFormat="1" ht="15.75" customHeight="1" thickBot="1" x14ac:dyDescent="0.3">
      <c r="A20" s="564"/>
      <c r="B20" s="558"/>
      <c r="C20" s="559"/>
      <c r="D20" s="559"/>
      <c r="E20" s="560">
        <v>0</v>
      </c>
      <c r="F20" s="561"/>
      <c r="G20" s="561"/>
      <c r="H20" s="561"/>
      <c r="I20" s="562">
        <v>0</v>
      </c>
      <c r="J20" s="564"/>
    </row>
    <row r="21" spans="1:14" s="565" customFormat="1" ht="15.75" customHeight="1" thickBot="1" x14ac:dyDescent="0.3">
      <c r="A21" s="564"/>
      <c r="B21" s="558"/>
      <c r="C21" s="559"/>
      <c r="D21" s="559"/>
      <c r="E21" s="560">
        <v>0</v>
      </c>
      <c r="F21" s="561"/>
      <c r="G21" s="561"/>
      <c r="H21" s="561"/>
      <c r="I21" s="562">
        <v>0</v>
      </c>
      <c r="J21" s="564"/>
    </row>
    <row r="22" spans="1:14" s="565" customFormat="1" ht="15.75" customHeight="1" thickBot="1" x14ac:dyDescent="0.3">
      <c r="A22" s="564"/>
      <c r="B22" s="558"/>
      <c r="C22" s="559"/>
      <c r="D22" s="559"/>
      <c r="E22" s="560">
        <v>0</v>
      </c>
      <c r="F22" s="561"/>
      <c r="G22" s="561"/>
      <c r="H22" s="561"/>
      <c r="I22" s="562">
        <v>0</v>
      </c>
      <c r="J22" s="564"/>
    </row>
    <row r="23" spans="1:14" s="565" customFormat="1" ht="15.75" customHeight="1" thickBot="1" x14ac:dyDescent="0.3">
      <c r="A23" s="564"/>
      <c r="B23" s="558"/>
      <c r="C23" s="559"/>
      <c r="D23" s="559"/>
      <c r="E23" s="560">
        <v>0</v>
      </c>
      <c r="F23" s="561"/>
      <c r="G23" s="561"/>
      <c r="H23" s="561"/>
      <c r="I23" s="562">
        <v>0</v>
      </c>
      <c r="J23" s="564"/>
    </row>
    <row r="24" spans="1:14" s="565" customFormat="1" ht="15.75" customHeight="1" thickBot="1" x14ac:dyDescent="0.3">
      <c r="A24" s="564"/>
      <c r="B24" s="558"/>
      <c r="C24" s="559"/>
      <c r="D24" s="559"/>
      <c r="E24" s="560">
        <v>0</v>
      </c>
      <c r="F24" s="561"/>
      <c r="G24" s="561"/>
      <c r="H24" s="561"/>
      <c r="I24" s="562">
        <v>0</v>
      </c>
      <c r="J24" s="564"/>
    </row>
    <row r="25" spans="1:14" s="565" customFormat="1" ht="15.75" customHeight="1" thickBot="1" x14ac:dyDescent="0.3">
      <c r="A25" s="564"/>
      <c r="B25" s="558"/>
      <c r="C25" s="559"/>
      <c r="D25" s="559"/>
      <c r="E25" s="560">
        <v>0</v>
      </c>
      <c r="F25" s="561"/>
      <c r="G25" s="561"/>
      <c r="H25" s="561"/>
      <c r="I25" s="562">
        <v>0</v>
      </c>
      <c r="J25" s="564"/>
    </row>
    <row r="26" spans="1:14" s="565" customFormat="1" ht="15.75" customHeight="1" thickBot="1" x14ac:dyDescent="0.3">
      <c r="A26" s="564"/>
      <c r="B26" s="558"/>
      <c r="C26" s="559"/>
      <c r="D26" s="559"/>
      <c r="E26" s="560">
        <v>0</v>
      </c>
      <c r="F26" s="561"/>
      <c r="G26" s="561"/>
      <c r="H26" s="561"/>
      <c r="I26" s="562">
        <v>0</v>
      </c>
      <c r="J26" s="564"/>
    </row>
    <row r="27" spans="1:14" s="565" customFormat="1" ht="15.75" customHeight="1" thickBot="1" x14ac:dyDescent="0.3">
      <c r="A27" s="564"/>
      <c r="B27" s="558"/>
      <c r="C27" s="559"/>
      <c r="D27" s="559"/>
      <c r="E27" s="560">
        <v>0</v>
      </c>
      <c r="F27" s="561"/>
      <c r="G27" s="561"/>
      <c r="H27" s="561"/>
      <c r="I27" s="562">
        <v>0</v>
      </c>
      <c r="J27" s="566"/>
    </row>
    <row r="28" spans="1:14" s="565" customFormat="1" ht="15.75" customHeight="1" thickBot="1" x14ac:dyDescent="0.3">
      <c r="A28" s="564"/>
      <c r="B28" s="558"/>
      <c r="C28" s="559"/>
      <c r="D28" s="559"/>
      <c r="E28" s="560">
        <v>0</v>
      </c>
      <c r="F28" s="561"/>
      <c r="G28" s="561"/>
      <c r="H28" s="561"/>
      <c r="I28" s="562">
        <v>0</v>
      </c>
      <c r="J28" s="566"/>
    </row>
    <row r="29" spans="1:14" s="565" customFormat="1" ht="15.75" customHeight="1" thickBot="1" x14ac:dyDescent="0.3">
      <c r="A29" s="564"/>
      <c r="B29" s="558"/>
      <c r="C29" s="559"/>
      <c r="D29" s="559"/>
      <c r="E29" s="560">
        <v>0</v>
      </c>
      <c r="F29" s="561"/>
      <c r="G29" s="561"/>
      <c r="H29" s="561"/>
      <c r="I29" s="562">
        <v>0</v>
      </c>
      <c r="J29" s="566"/>
    </row>
    <row r="30" spans="1:14" s="565" customFormat="1" ht="15.75" customHeight="1" thickBot="1" x14ac:dyDescent="0.3">
      <c r="A30" s="564"/>
      <c r="B30" s="558"/>
      <c r="C30" s="559"/>
      <c r="D30" s="559"/>
      <c r="E30" s="560"/>
      <c r="F30" s="561"/>
      <c r="G30" s="561"/>
      <c r="H30" s="561"/>
      <c r="I30" s="562"/>
      <c r="J30" s="566"/>
    </row>
    <row r="31" spans="1:14" s="569" customFormat="1" ht="13.5" customHeight="1" x14ac:dyDescent="0.25">
      <c r="A31" s="566"/>
      <c r="B31" s="566"/>
      <c r="C31" s="566"/>
      <c r="D31" s="566"/>
      <c r="E31" s="567"/>
      <c r="F31" s="568"/>
      <c r="G31" s="568"/>
      <c r="H31" s="568"/>
      <c r="I31" s="567"/>
      <c r="J31" s="566"/>
    </row>
    <row r="32" spans="1:14" s="565" customFormat="1" ht="15.75" customHeight="1" thickBot="1" x14ac:dyDescent="0.3">
      <c r="B32" s="985" t="s">
        <v>737</v>
      </c>
      <c r="C32" s="985"/>
      <c r="D32" s="985"/>
      <c r="E32" s="985"/>
      <c r="F32" s="985"/>
      <c r="G32" s="985"/>
      <c r="H32" s="985"/>
      <c r="I32" s="985"/>
      <c r="J32" s="570"/>
      <c r="K32" s="571"/>
      <c r="L32" s="571"/>
      <c r="M32" s="571"/>
      <c r="N32" s="572"/>
    </row>
    <row r="33" spans="2:14" s="565" customFormat="1" ht="15.75" customHeight="1" x14ac:dyDescent="0.25">
      <c r="B33" s="761"/>
      <c r="C33" s="761"/>
      <c r="D33" s="761"/>
      <c r="E33" s="761"/>
      <c r="F33" s="761"/>
      <c r="G33" s="761"/>
      <c r="H33" s="761"/>
      <c r="I33" s="761"/>
      <c r="J33" s="573"/>
      <c r="K33" s="574"/>
      <c r="L33" s="574"/>
      <c r="M33" s="574"/>
      <c r="N33" s="575"/>
    </row>
    <row r="34" spans="2:14" s="565" customFormat="1" ht="15.75" customHeight="1" x14ac:dyDescent="0.25">
      <c r="B34" s="761"/>
      <c r="C34" s="761"/>
      <c r="D34" s="761"/>
      <c r="E34" s="761"/>
      <c r="F34" s="761"/>
      <c r="G34" s="761"/>
      <c r="H34" s="761"/>
      <c r="I34" s="761"/>
      <c r="J34" s="573"/>
      <c r="K34" s="576"/>
      <c r="L34" s="576"/>
      <c r="M34" s="576"/>
      <c r="N34" s="577"/>
    </row>
    <row r="35" spans="2:14" s="565" customFormat="1" ht="15.75" customHeight="1" x14ac:dyDescent="0.25">
      <c r="B35" s="761"/>
      <c r="C35" s="761"/>
      <c r="D35" s="761"/>
      <c r="E35" s="761"/>
      <c r="F35" s="761"/>
      <c r="G35" s="761"/>
      <c r="H35" s="761"/>
      <c r="I35" s="761"/>
      <c r="J35" s="573"/>
      <c r="K35" s="576"/>
      <c r="L35" s="576"/>
      <c r="M35" s="576"/>
      <c r="N35" s="577"/>
    </row>
    <row r="36" spans="2:14" s="565" customFormat="1" ht="15.75" customHeight="1" x14ac:dyDescent="0.25">
      <c r="B36" s="761"/>
      <c r="C36" s="761"/>
      <c r="D36" s="761"/>
      <c r="E36" s="761"/>
      <c r="F36" s="761"/>
      <c r="G36" s="761"/>
      <c r="H36" s="761"/>
      <c r="I36" s="761"/>
      <c r="J36" s="573"/>
      <c r="K36" s="576"/>
      <c r="L36" s="576"/>
      <c r="M36" s="576"/>
      <c r="N36" s="577"/>
    </row>
    <row r="37" spans="2:14" s="566" customFormat="1" x14ac:dyDescent="0.25">
      <c r="B37" s="573"/>
      <c r="C37" s="573"/>
      <c r="D37" s="573"/>
      <c r="E37" s="573"/>
      <c r="F37" s="573"/>
      <c r="G37" s="573"/>
      <c r="H37" s="573"/>
      <c r="I37" s="573"/>
      <c r="J37" s="573"/>
      <c r="K37" s="573"/>
      <c r="L37" s="573"/>
      <c r="M37" s="573"/>
      <c r="N37" s="573"/>
    </row>
    <row r="38" spans="2:14" s="566" customFormat="1" ht="12" hidden="1" customHeight="1" x14ac:dyDescent="0.25"/>
    <row r="39" spans="2:14" ht="0.75" hidden="1" customHeight="1" x14ac:dyDescent="0.25"/>
    <row r="40" spans="2:14" ht="15.75" hidden="1" customHeight="1" x14ac:dyDescent="0.25"/>
    <row r="41" spans="2:14" ht="15.75" hidden="1" customHeight="1" x14ac:dyDescent="0.25"/>
    <row r="42" spans="2:14" ht="15.75" hidden="1" customHeight="1" x14ac:dyDescent="0.25"/>
    <row r="43" spans="2:14" hidden="1" x14ac:dyDescent="0.25"/>
    <row r="44" spans="2:14" hidden="1" x14ac:dyDescent="0.25"/>
    <row r="45" spans="2:14" hidden="1" x14ac:dyDescent="0.25"/>
    <row r="46" spans="2:14" x14ac:dyDescent="0.25"/>
  </sheetData>
  <sheetProtection password="CC30" sheet="1" objects="1" scenarios="1" selectLockedCells="1"/>
  <mergeCells count="15">
    <mergeCell ref="B1:I1"/>
    <mergeCell ref="B32:I32"/>
    <mergeCell ref="B33:I36"/>
    <mergeCell ref="B2:B3"/>
    <mergeCell ref="I6:I9"/>
    <mergeCell ref="B5:I5"/>
    <mergeCell ref="B10:I10"/>
    <mergeCell ref="E6:E9"/>
    <mergeCell ref="B6:B9"/>
    <mergeCell ref="C6:C9"/>
    <mergeCell ref="D6:D9"/>
    <mergeCell ref="C2:I3"/>
    <mergeCell ref="F6:F9"/>
    <mergeCell ref="G6:G9"/>
    <mergeCell ref="H6:H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17"/>
  <sheetViews>
    <sheetView workbookViewId="0">
      <selection activeCell="F18" sqref="F18:G18"/>
    </sheetView>
  </sheetViews>
  <sheetFormatPr defaultColWidth="0" defaultRowHeight="15" zeroHeight="1" x14ac:dyDescent="0.25"/>
  <cols>
    <col min="1" max="1" width="4.140625" style="489" customWidth="1"/>
    <col min="2" max="2" width="2.85546875" style="489" customWidth="1"/>
    <col min="3" max="5" width="9.140625" style="489" customWidth="1"/>
    <col min="6" max="6" width="29.5703125" style="489" customWidth="1"/>
    <col min="7" max="8" width="9.140625" style="489" customWidth="1"/>
    <col min="9" max="9" width="29.5703125" style="489" customWidth="1"/>
    <col min="10" max="12" width="9.140625" style="489" customWidth="1"/>
    <col min="13" max="13" width="10.28515625" style="489" customWidth="1"/>
    <col min="14" max="14" width="11.7109375" style="489" customWidth="1"/>
    <col min="15" max="15" width="5.5703125" style="489" customWidth="1"/>
    <col min="16" max="16" width="9.140625" style="489" hidden="1" customWidth="1"/>
    <col min="17" max="17" width="13.28515625" style="489" hidden="1" customWidth="1"/>
    <col min="18" max="28" width="0" style="489" hidden="1" customWidth="1"/>
    <col min="29" max="16384" width="9.140625" style="489" hidden="1"/>
  </cols>
  <sheetData>
    <row r="1" spans="1:15" ht="15.75" thickBot="1" x14ac:dyDescent="0.3">
      <c r="A1" s="492"/>
      <c r="B1" s="844" t="s">
        <v>509</v>
      </c>
      <c r="C1" s="844"/>
      <c r="D1" s="844"/>
      <c r="E1" s="844"/>
      <c r="F1" s="844"/>
      <c r="G1" s="844"/>
      <c r="H1" s="844"/>
      <c r="I1" s="844"/>
      <c r="J1" s="844"/>
      <c r="K1" s="844"/>
      <c r="L1" s="844"/>
      <c r="M1" s="844"/>
      <c r="N1" s="844"/>
      <c r="O1" s="492"/>
    </row>
    <row r="2" spans="1:15" ht="15" customHeight="1" x14ac:dyDescent="0.25">
      <c r="A2" s="492"/>
      <c r="B2" s="814" t="s">
        <v>537</v>
      </c>
      <c r="C2" s="814"/>
      <c r="D2" s="814"/>
      <c r="E2" s="1003" t="s">
        <v>1259</v>
      </c>
      <c r="F2" s="1004"/>
      <c r="G2" s="1004"/>
      <c r="H2" s="1004"/>
      <c r="I2" s="1004"/>
      <c r="J2" s="1004"/>
      <c r="K2" s="1004"/>
      <c r="L2" s="1004"/>
      <c r="M2" s="1004"/>
      <c r="N2" s="1004"/>
      <c r="O2" s="492"/>
    </row>
    <row r="3" spans="1:15" ht="15" customHeight="1" x14ac:dyDescent="0.25">
      <c r="A3" s="492"/>
      <c r="B3" s="814"/>
      <c r="C3" s="814"/>
      <c r="D3" s="814"/>
      <c r="E3" s="1005"/>
      <c r="F3" s="1006"/>
      <c r="G3" s="1006"/>
      <c r="H3" s="1006"/>
      <c r="I3" s="1006"/>
      <c r="J3" s="1006"/>
      <c r="K3" s="1006"/>
      <c r="L3" s="1006"/>
      <c r="M3" s="1006"/>
      <c r="N3" s="1006"/>
      <c r="O3" s="492"/>
    </row>
    <row r="4" spans="1:15" ht="15" customHeight="1" thickBot="1" x14ac:dyDescent="0.3">
      <c r="A4" s="492"/>
      <c r="B4" s="814"/>
      <c r="C4" s="814"/>
      <c r="D4" s="814"/>
      <c r="E4" s="1007"/>
      <c r="F4" s="1008"/>
      <c r="G4" s="1008"/>
      <c r="H4" s="1008"/>
      <c r="I4" s="1008"/>
      <c r="J4" s="1008"/>
      <c r="K4" s="1008"/>
      <c r="L4" s="1008"/>
      <c r="M4" s="1008"/>
      <c r="N4" s="1008"/>
      <c r="O4" s="492"/>
    </row>
    <row r="5" spans="1:15" ht="15.75" customHeight="1" x14ac:dyDescent="0.25">
      <c r="A5" s="492"/>
      <c r="B5" s="814"/>
      <c r="C5" s="814"/>
      <c r="D5" s="814"/>
      <c r="E5" s="578" t="s">
        <v>572</v>
      </c>
      <c r="F5" s="579"/>
      <c r="G5" s="579"/>
      <c r="H5" s="579"/>
      <c r="I5" s="579"/>
      <c r="J5" s="579"/>
      <c r="K5" s="579"/>
      <c r="L5" s="579"/>
      <c r="M5" s="579"/>
      <c r="N5" s="579"/>
      <c r="O5" s="492"/>
    </row>
    <row r="6" spans="1:15" x14ac:dyDescent="0.25">
      <c r="A6" s="492"/>
      <c r="B6" s="213"/>
      <c r="C6" s="213"/>
      <c r="D6" s="213"/>
      <c r="E6" s="213"/>
      <c r="F6" s="213"/>
      <c r="G6" s="213"/>
      <c r="H6" s="213"/>
      <c r="I6" s="213"/>
      <c r="J6" s="213"/>
      <c r="K6" s="213"/>
      <c r="L6" s="213"/>
      <c r="M6" s="213"/>
      <c r="N6" s="213"/>
      <c r="O6" s="492"/>
    </row>
    <row r="7" spans="1:15" ht="21.75" thickBot="1" x14ac:dyDescent="0.3">
      <c r="A7" s="492"/>
      <c r="B7" s="1002" t="s">
        <v>537</v>
      </c>
      <c r="C7" s="1002"/>
      <c r="D7" s="1002"/>
      <c r="E7" s="1002"/>
      <c r="F7" s="1002"/>
      <c r="G7" s="1002"/>
      <c r="H7" s="1002"/>
      <c r="I7" s="1002"/>
      <c r="J7" s="1002"/>
      <c r="K7" s="1002"/>
      <c r="L7" s="1002"/>
      <c r="M7" s="1002"/>
      <c r="N7" s="1002"/>
      <c r="O7" s="492"/>
    </row>
    <row r="8" spans="1:15" ht="30.75" customHeight="1" x14ac:dyDescent="0.25">
      <c r="A8" s="492"/>
      <c r="B8" s="1019" t="s">
        <v>1256</v>
      </c>
      <c r="C8" s="1020"/>
      <c r="D8" s="1020"/>
      <c r="E8" s="1020"/>
      <c r="F8" s="1020"/>
      <c r="G8" s="1020"/>
      <c r="H8" s="1020"/>
      <c r="I8" s="1020"/>
      <c r="J8" s="1020"/>
      <c r="K8" s="1020"/>
      <c r="L8" s="1020"/>
      <c r="M8" s="1020"/>
      <c r="N8" s="1020"/>
      <c r="O8" s="492"/>
    </row>
    <row r="9" spans="1:15" s="580" customFormat="1" ht="19.5" customHeight="1" x14ac:dyDescent="0.25">
      <c r="A9" s="533"/>
      <c r="B9" s="533"/>
      <c r="C9" s="533"/>
      <c r="D9" s="533"/>
      <c r="E9" s="533"/>
      <c r="F9" s="533"/>
      <c r="G9" s="533"/>
      <c r="H9" s="533"/>
      <c r="I9" s="533"/>
      <c r="J9" s="533"/>
      <c r="K9" s="533"/>
      <c r="L9" s="533"/>
      <c r="M9" s="533"/>
      <c r="N9" s="533"/>
      <c r="O9" s="533"/>
    </row>
    <row r="10" spans="1:15" s="583" customFormat="1" ht="30" hidden="1" customHeight="1" x14ac:dyDescent="0.25">
      <c r="A10" s="208"/>
      <c r="B10" s="547"/>
      <c r="C10" s="547"/>
      <c r="D10" s="547"/>
      <c r="E10" s="547"/>
      <c r="F10" s="1024" t="s">
        <v>5</v>
      </c>
      <c r="G10" s="1024"/>
      <c r="H10" s="1024"/>
      <c r="I10" s="1025" t="str">
        <f>'Contact Information'!J9</f>
        <v>Please select your answer from the dropdown</v>
      </c>
      <c r="J10" s="1026"/>
      <c r="K10" s="1027"/>
      <c r="L10" s="581"/>
      <c r="M10" s="581"/>
      <c r="N10" s="581"/>
      <c r="O10" s="582"/>
    </row>
    <row r="11" spans="1:15" s="580" customFormat="1" ht="8.25" hidden="1" customHeight="1" x14ac:dyDescent="0.25">
      <c r="A11" s="533"/>
      <c r="B11" s="584"/>
      <c r="C11" s="585"/>
      <c r="D11" s="585"/>
      <c r="E11" s="585"/>
      <c r="F11" s="585"/>
      <c r="G11" s="585"/>
      <c r="H11" s="585"/>
      <c r="I11" s="585"/>
      <c r="J11" s="585"/>
      <c r="K11" s="585"/>
      <c r="L11" s="585"/>
      <c r="M11" s="585"/>
      <c r="N11" s="585"/>
      <c r="O11" s="533"/>
    </row>
    <row r="12" spans="1:15" x14ac:dyDescent="0.25">
      <c r="A12" s="492"/>
      <c r="B12" s="586"/>
      <c r="C12" s="586"/>
      <c r="D12" s="1009" t="s">
        <v>538</v>
      </c>
      <c r="E12" s="1009"/>
      <c r="F12" s="1009" t="s">
        <v>539</v>
      </c>
      <c r="G12" s="1009"/>
      <c r="H12" s="1009" t="s">
        <v>540</v>
      </c>
      <c r="I12" s="1009"/>
      <c r="J12" s="1009" t="s">
        <v>224</v>
      </c>
      <c r="K12" s="1009"/>
      <c r="L12" s="1009"/>
      <c r="M12" s="1009"/>
      <c r="N12" s="586"/>
      <c r="O12" s="492"/>
    </row>
    <row r="13" spans="1:15" ht="15.75" thickBot="1" x14ac:dyDescent="0.3">
      <c r="A13" s="492"/>
      <c r="B13" s="586"/>
      <c r="C13" s="586"/>
      <c r="D13" s="1013">
        <v>2013</v>
      </c>
      <c r="E13" s="1014"/>
      <c r="F13" s="1015" t="str">
        <f>IFERROR(VLOOKUP($I$10&amp;$D13,'Source Water'!$A:H,5,FALSE)," ")</f>
        <v xml:space="preserve"> </v>
      </c>
      <c r="G13" s="1016"/>
      <c r="H13" s="1017" t="str">
        <f>IFERROR(VLOOKUP($I$10&amp;$D13,'Source Water'!$A:H,6,FALSE)," ")</f>
        <v xml:space="preserve"> </v>
      </c>
      <c r="I13" s="1018"/>
      <c r="J13" s="1010"/>
      <c r="K13" s="1010"/>
      <c r="L13" s="1010"/>
      <c r="M13" s="1010"/>
      <c r="N13" s="586"/>
      <c r="O13" s="492"/>
    </row>
    <row r="14" spans="1:15" ht="15.75" thickBot="1" x14ac:dyDescent="0.3">
      <c r="A14" s="492"/>
      <c r="B14" s="586"/>
      <c r="C14" s="586"/>
      <c r="D14" s="1011">
        <v>2014</v>
      </c>
      <c r="E14" s="1012"/>
      <c r="F14" s="993" t="str">
        <f>IFERROR(VLOOKUP($I$10&amp;$D14,'Source Water'!$A:H,5,FALSE)," ")</f>
        <v xml:space="preserve"> </v>
      </c>
      <c r="G14" s="994"/>
      <c r="H14" s="996" t="str">
        <f>IFERROR(VLOOKUP($I$10&amp;$D14,'Source Water'!$A:H,6,FALSE)," ")</f>
        <v xml:space="preserve"> </v>
      </c>
      <c r="I14" s="997"/>
      <c r="J14" s="995"/>
      <c r="K14" s="995"/>
      <c r="L14" s="995"/>
      <c r="M14" s="995"/>
      <c r="N14" s="586"/>
      <c r="O14" s="492"/>
    </row>
    <row r="15" spans="1:15" ht="15.75" thickBot="1" x14ac:dyDescent="0.3">
      <c r="A15" s="492"/>
      <c r="B15" s="586"/>
      <c r="C15" s="586"/>
      <c r="D15" s="1011">
        <v>2015</v>
      </c>
      <c r="E15" s="1012"/>
      <c r="F15" s="993" t="str">
        <f>IFERROR(VLOOKUP($I$10&amp;$D15,'Source Water'!$A:H,5,FALSE)," ")</f>
        <v xml:space="preserve"> </v>
      </c>
      <c r="G15" s="994"/>
      <c r="H15" s="996" t="str">
        <f>IFERROR(VLOOKUP($I$10&amp;$D15,'Source Water'!$A:H,6,FALSE)," ")</f>
        <v xml:space="preserve"> </v>
      </c>
      <c r="I15" s="997"/>
      <c r="J15" s="995"/>
      <c r="K15" s="995"/>
      <c r="L15" s="995"/>
      <c r="M15" s="995"/>
      <c r="N15" s="586"/>
      <c r="O15" s="492"/>
    </row>
    <row r="16" spans="1:15" ht="15.75" thickBot="1" x14ac:dyDescent="0.3">
      <c r="A16" s="492"/>
      <c r="B16" s="586"/>
      <c r="C16" s="586"/>
      <c r="D16" s="1011">
        <v>2016</v>
      </c>
      <c r="E16" s="1012"/>
      <c r="F16" s="993" t="str">
        <f>IFERROR(VLOOKUP($I$10&amp;$D16,'Source Water'!$A:H,5,FALSE)," ")</f>
        <v xml:space="preserve"> </v>
      </c>
      <c r="G16" s="994"/>
      <c r="H16" s="996" t="str">
        <f>IFERROR(VLOOKUP($I$10&amp;$D16,'Source Water'!$A:H,6,FALSE)," ")</f>
        <v xml:space="preserve"> </v>
      </c>
      <c r="I16" s="997"/>
      <c r="J16" s="995"/>
      <c r="K16" s="995"/>
      <c r="L16" s="995"/>
      <c r="M16" s="995"/>
      <c r="N16" s="586"/>
      <c r="O16" s="492"/>
    </row>
    <row r="17" spans="1:15" ht="15.75" thickBot="1" x14ac:dyDescent="0.3">
      <c r="A17" s="492"/>
      <c r="B17" s="586"/>
      <c r="C17" s="586"/>
      <c r="D17" s="1011">
        <v>2017</v>
      </c>
      <c r="E17" s="1012"/>
      <c r="F17" s="993" t="str">
        <f>IFERROR(VLOOKUP($I$10&amp;$D17,'Source Water'!$A:H,5,FALSE)," ")</f>
        <v xml:space="preserve"> </v>
      </c>
      <c r="G17" s="994"/>
      <c r="H17" s="996" t="str">
        <f>IFERROR(VLOOKUP($I$10&amp;$D17,'Source Water'!$A:H,6,FALSE)," ")</f>
        <v xml:space="preserve"> </v>
      </c>
      <c r="I17" s="997"/>
      <c r="J17" s="995"/>
      <c r="K17" s="995"/>
      <c r="L17" s="995"/>
      <c r="M17" s="995"/>
      <c r="N17" s="586"/>
      <c r="O17" s="492"/>
    </row>
    <row r="18" spans="1:15" x14ac:dyDescent="0.25">
      <c r="A18" s="492"/>
      <c r="B18" s="586"/>
      <c r="C18" s="586"/>
      <c r="D18" s="1011">
        <v>2018</v>
      </c>
      <c r="E18" s="1012"/>
      <c r="F18" s="998"/>
      <c r="G18" s="999"/>
      <c r="H18" s="1000"/>
      <c r="I18" s="1001"/>
      <c r="J18" s="995"/>
      <c r="K18" s="995"/>
      <c r="L18" s="995"/>
      <c r="M18" s="995"/>
      <c r="N18" s="586"/>
      <c r="O18" s="492"/>
    </row>
    <row r="19" spans="1:15" ht="19.5" customHeight="1" x14ac:dyDescent="0.25">
      <c r="A19" s="492"/>
      <c r="B19" s="586"/>
      <c r="C19" s="586"/>
      <c r="D19" s="536"/>
      <c r="E19" s="536"/>
      <c r="F19" s="587"/>
      <c r="G19" s="587"/>
      <c r="H19" s="588"/>
      <c r="I19" s="588"/>
      <c r="J19" s="536"/>
      <c r="K19" s="536"/>
      <c r="L19" s="536"/>
      <c r="M19" s="536"/>
      <c r="N19" s="586"/>
      <c r="O19" s="492"/>
    </row>
    <row r="20" spans="1:15" ht="33" customHeight="1" x14ac:dyDescent="0.25">
      <c r="A20" s="492"/>
      <c r="B20" s="1023" t="s">
        <v>1257</v>
      </c>
      <c r="C20" s="1023"/>
      <c r="D20" s="1023"/>
      <c r="E20" s="1023"/>
      <c r="F20" s="1023"/>
      <c r="G20" s="1023"/>
      <c r="H20" s="1023"/>
      <c r="I20" s="1023"/>
      <c r="J20" s="1023"/>
      <c r="K20" s="1023"/>
      <c r="L20" s="1023"/>
      <c r="M20" s="1023"/>
      <c r="N20" s="1023"/>
      <c r="O20" s="492"/>
    </row>
    <row r="21" spans="1:15" s="492" customFormat="1" ht="19.5" customHeight="1" x14ac:dyDescent="0.25">
      <c r="B21" s="589"/>
      <c r="C21" s="589"/>
      <c r="D21" s="589"/>
      <c r="E21" s="589"/>
      <c r="F21" s="589"/>
      <c r="G21" s="589"/>
      <c r="H21" s="589"/>
      <c r="I21" s="589"/>
      <c r="J21" s="589"/>
      <c r="K21" s="589"/>
      <c r="L21" s="589"/>
      <c r="M21" s="589"/>
      <c r="N21" s="589"/>
    </row>
    <row r="22" spans="1:15" x14ac:dyDescent="0.25">
      <c r="A22" s="492"/>
      <c r="B22" s="586"/>
      <c r="C22" s="586"/>
      <c r="D22" s="1009" t="s">
        <v>538</v>
      </c>
      <c r="E22" s="1009"/>
      <c r="F22" s="1009" t="s">
        <v>539</v>
      </c>
      <c r="G22" s="1009"/>
      <c r="H22" s="1009" t="s">
        <v>540</v>
      </c>
      <c r="I22" s="1009"/>
      <c r="J22" s="1009" t="s">
        <v>224</v>
      </c>
      <c r="K22" s="1009"/>
      <c r="L22" s="1009"/>
      <c r="M22" s="1009"/>
      <c r="N22" s="589"/>
      <c r="O22" s="492"/>
    </row>
    <row r="23" spans="1:15" ht="15.75" thickBot="1" x14ac:dyDescent="0.3">
      <c r="A23" s="492"/>
      <c r="B23" s="586"/>
      <c r="C23" s="586"/>
      <c r="D23" s="1013">
        <v>2013</v>
      </c>
      <c r="E23" s="1014"/>
      <c r="F23" s="1022"/>
      <c r="G23" s="1022"/>
      <c r="H23" s="1000"/>
      <c r="I23" s="1001"/>
      <c r="J23" s="1010"/>
      <c r="K23" s="1010"/>
      <c r="L23" s="1010"/>
      <c r="M23" s="1010"/>
      <c r="N23" s="586"/>
      <c r="O23" s="492"/>
    </row>
    <row r="24" spans="1:15" ht="15.75" thickBot="1" x14ac:dyDescent="0.3">
      <c r="A24" s="492"/>
      <c r="B24" s="586"/>
      <c r="C24" s="586"/>
      <c r="D24" s="1011">
        <v>2014</v>
      </c>
      <c r="E24" s="1012"/>
      <c r="F24" s="1021"/>
      <c r="G24" s="1021"/>
      <c r="H24" s="991"/>
      <c r="I24" s="992"/>
      <c r="J24" s="995"/>
      <c r="K24" s="995"/>
      <c r="L24" s="995"/>
      <c r="M24" s="995"/>
      <c r="N24" s="586"/>
      <c r="O24" s="492"/>
    </row>
    <row r="25" spans="1:15" ht="15.75" thickBot="1" x14ac:dyDescent="0.3">
      <c r="A25" s="492"/>
      <c r="B25" s="586"/>
      <c r="C25" s="586"/>
      <c r="D25" s="1011">
        <v>2015</v>
      </c>
      <c r="E25" s="1012"/>
      <c r="F25" s="1021"/>
      <c r="G25" s="1021"/>
      <c r="H25" s="991"/>
      <c r="I25" s="992"/>
      <c r="J25" s="995"/>
      <c r="K25" s="995"/>
      <c r="L25" s="995"/>
      <c r="M25" s="995"/>
      <c r="N25" s="586"/>
      <c r="O25" s="492"/>
    </row>
    <row r="26" spans="1:15" ht="15.75" thickBot="1" x14ac:dyDescent="0.3">
      <c r="A26" s="492"/>
      <c r="B26" s="586"/>
      <c r="C26" s="586"/>
      <c r="D26" s="1011">
        <v>2016</v>
      </c>
      <c r="E26" s="1012"/>
      <c r="F26" s="1021"/>
      <c r="G26" s="1021"/>
      <c r="H26" s="432"/>
      <c r="I26" s="433"/>
      <c r="J26" s="995"/>
      <c r="K26" s="995"/>
      <c r="L26" s="995"/>
      <c r="M26" s="995"/>
      <c r="N26" s="586"/>
      <c r="O26" s="492"/>
    </row>
    <row r="27" spans="1:15" ht="15.75" thickBot="1" x14ac:dyDescent="0.3">
      <c r="A27" s="492"/>
      <c r="B27" s="586"/>
      <c r="C27" s="586"/>
      <c r="D27" s="1011">
        <v>2017</v>
      </c>
      <c r="E27" s="1012"/>
      <c r="F27" s="1021"/>
      <c r="G27" s="1021"/>
      <c r="H27" s="991"/>
      <c r="I27" s="992"/>
      <c r="J27" s="995"/>
      <c r="K27" s="995"/>
      <c r="L27" s="995"/>
      <c r="M27" s="995"/>
      <c r="N27" s="586"/>
      <c r="O27" s="492"/>
    </row>
    <row r="28" spans="1:15" x14ac:dyDescent="0.25">
      <c r="A28" s="492"/>
      <c r="B28" s="586"/>
      <c r="C28" s="586"/>
      <c r="D28" s="1011">
        <v>2018</v>
      </c>
      <c r="E28" s="1012"/>
      <c r="F28" s="1021"/>
      <c r="G28" s="1021"/>
      <c r="H28" s="991"/>
      <c r="I28" s="992"/>
      <c r="J28" s="995"/>
      <c r="K28" s="995"/>
      <c r="L28" s="995"/>
      <c r="M28" s="995"/>
      <c r="N28" s="586"/>
      <c r="O28" s="492"/>
    </row>
    <row r="29" spans="1:15" ht="19.5" customHeight="1" x14ac:dyDescent="0.25">
      <c r="A29" s="533"/>
      <c r="B29" s="536"/>
      <c r="C29" s="536"/>
      <c r="D29" s="536"/>
      <c r="E29" s="536"/>
      <c r="F29" s="590"/>
      <c r="G29" s="590"/>
      <c r="H29" s="536"/>
      <c r="I29" s="536"/>
      <c r="J29" s="536"/>
      <c r="K29" s="536"/>
      <c r="L29" s="536"/>
      <c r="M29" s="536"/>
      <c r="N29" s="536"/>
      <c r="O29" s="533"/>
    </row>
    <row r="30" spans="1:15" s="592" customFormat="1" ht="27.75" customHeight="1" x14ac:dyDescent="0.25">
      <c r="A30" s="591"/>
      <c r="B30" s="1031" t="s">
        <v>710</v>
      </c>
      <c r="C30" s="1031"/>
      <c r="D30" s="1031"/>
      <c r="E30" s="1031"/>
      <c r="F30" s="1031"/>
      <c r="G30" s="1031"/>
      <c r="H30" s="1031"/>
      <c r="I30" s="1031"/>
      <c r="J30" s="1030" t="s">
        <v>1148</v>
      </c>
      <c r="K30" s="1030"/>
      <c r="L30" s="1030"/>
      <c r="M30" s="1030"/>
      <c r="N30" s="1030"/>
      <c r="O30" s="591"/>
    </row>
    <row r="31" spans="1:15" s="592" customFormat="1" x14ac:dyDescent="0.25">
      <c r="A31" s="591"/>
      <c r="B31" s="1028" t="str">
        <f>IF(J30="yes","Please provide details below","")</f>
        <v/>
      </c>
      <c r="C31" s="1028"/>
      <c r="D31" s="1028"/>
      <c r="E31" s="1028"/>
      <c r="F31" s="1028"/>
      <c r="G31" s="1028"/>
      <c r="H31" s="1028"/>
      <c r="I31" s="1028"/>
      <c r="J31" s="1028"/>
      <c r="K31" s="1028"/>
      <c r="L31" s="1028"/>
      <c r="M31" s="1028"/>
      <c r="N31" s="1028"/>
      <c r="O31" s="591"/>
    </row>
    <row r="32" spans="1:15" s="592" customFormat="1" ht="19.5" customHeight="1" x14ac:dyDescent="0.25">
      <c r="A32" s="591"/>
      <c r="B32" s="1029"/>
      <c r="C32" s="1029"/>
      <c r="D32" s="1029"/>
      <c r="E32" s="1029"/>
      <c r="F32" s="1029"/>
      <c r="G32" s="1029"/>
      <c r="H32" s="1029"/>
      <c r="I32" s="1029"/>
      <c r="J32" s="1029"/>
      <c r="K32" s="1029"/>
      <c r="L32" s="1029"/>
      <c r="M32" s="1029"/>
      <c r="N32" s="1029"/>
      <c r="O32" s="591"/>
    </row>
    <row r="33" spans="1:15" s="592" customFormat="1" ht="19.5" customHeight="1" x14ac:dyDescent="0.25">
      <c r="A33" s="591"/>
      <c r="B33" s="1029"/>
      <c r="C33" s="1029"/>
      <c r="D33" s="1029"/>
      <c r="E33" s="1029"/>
      <c r="F33" s="1029"/>
      <c r="G33" s="1029"/>
      <c r="H33" s="1029"/>
      <c r="I33" s="1029"/>
      <c r="J33" s="1029"/>
      <c r="K33" s="1029"/>
      <c r="L33" s="1029"/>
      <c r="M33" s="1029"/>
      <c r="N33" s="1029"/>
      <c r="O33" s="591"/>
    </row>
    <row r="34" spans="1:15" s="533" customFormat="1" ht="28.5" customHeight="1" x14ac:dyDescent="0.25">
      <c r="B34" s="492"/>
      <c r="C34" s="492"/>
      <c r="D34" s="492"/>
      <c r="E34" s="492"/>
      <c r="F34" s="492"/>
      <c r="G34" s="492"/>
      <c r="H34" s="492"/>
      <c r="I34" s="492"/>
      <c r="J34" s="492"/>
      <c r="K34" s="492"/>
      <c r="L34" s="492"/>
      <c r="M34" s="492"/>
      <c r="N34" s="492"/>
    </row>
    <row r="35" spans="1:15" s="593" customFormat="1" ht="15" hidden="1" customHeight="1" x14ac:dyDescent="0.25">
      <c r="B35" s="594"/>
      <c r="C35" s="595"/>
      <c r="D35" s="595"/>
      <c r="E35" s="595"/>
      <c r="F35" s="595"/>
      <c r="G35" s="595"/>
      <c r="H35" s="595"/>
      <c r="I35" s="595"/>
      <c r="J35" s="595"/>
      <c r="K35" s="595"/>
      <c r="L35" s="595"/>
      <c r="M35" s="595"/>
      <c r="N35" s="596"/>
    </row>
    <row r="36" spans="1:15" ht="15" hidden="1" customHeight="1" x14ac:dyDescent="0.25">
      <c r="B36" s="597"/>
      <c r="C36" s="598"/>
      <c r="D36" s="598"/>
      <c r="E36" s="598"/>
      <c r="F36" s="598"/>
      <c r="G36" s="598"/>
      <c r="H36" s="598"/>
      <c r="I36" s="598"/>
      <c r="J36" s="598"/>
      <c r="K36" s="598"/>
      <c r="L36" s="598"/>
      <c r="M36" s="598"/>
      <c r="N36" s="599"/>
    </row>
    <row r="37" spans="1:15" ht="15" hidden="1" customHeight="1" x14ac:dyDescent="0.25">
      <c r="B37" s="597"/>
      <c r="C37" s="598"/>
      <c r="D37" s="598"/>
      <c r="E37" s="598"/>
      <c r="F37" s="598"/>
      <c r="G37" s="598"/>
      <c r="H37" s="598"/>
      <c r="I37" s="598"/>
      <c r="J37" s="598"/>
      <c r="K37" s="598"/>
      <c r="L37" s="598"/>
      <c r="M37" s="598"/>
      <c r="N37" s="599"/>
    </row>
    <row r="38" spans="1:15" ht="15" hidden="1" customHeight="1" x14ac:dyDescent="0.25">
      <c r="B38" s="600"/>
      <c r="C38" s="601"/>
      <c r="D38" s="601"/>
      <c r="E38" s="601"/>
      <c r="F38" s="601"/>
      <c r="G38" s="601"/>
      <c r="H38" s="601"/>
      <c r="I38" s="601"/>
      <c r="J38" s="601"/>
      <c r="K38" s="601"/>
      <c r="L38" s="601"/>
      <c r="M38" s="601"/>
      <c r="N38" s="602"/>
    </row>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spans="1:15" ht="15" hidden="1" customHeight="1" x14ac:dyDescent="0.25"/>
    <row r="98" spans="1:15" ht="15" hidden="1" customHeight="1" x14ac:dyDescent="0.25"/>
    <row r="99" spans="1:15" ht="15" hidden="1" customHeight="1" x14ac:dyDescent="0.25"/>
    <row r="100" spans="1:15" ht="15" hidden="1" customHeight="1" x14ac:dyDescent="0.25"/>
    <row r="101" spans="1:15" ht="15" hidden="1" customHeight="1" x14ac:dyDescent="0.25"/>
    <row r="102" spans="1:15" ht="15" hidden="1" customHeight="1" x14ac:dyDescent="0.25"/>
    <row r="103" spans="1:15" ht="15" hidden="1" customHeight="1" x14ac:dyDescent="0.25"/>
    <row r="104" spans="1:15" ht="0" hidden="1" customHeight="1" x14ac:dyDescent="0.25"/>
    <row r="105" spans="1:15" ht="0" hidden="1" customHeight="1" x14ac:dyDescent="0.25">
      <c r="B105" s="492"/>
      <c r="C105" s="492"/>
      <c r="D105" s="492"/>
      <c r="E105" s="492"/>
      <c r="F105" s="492"/>
      <c r="G105" s="492"/>
      <c r="H105" s="492"/>
      <c r="I105" s="492"/>
      <c r="J105" s="492"/>
      <c r="K105" s="492"/>
      <c r="L105" s="492"/>
      <c r="M105" s="492"/>
      <c r="N105" s="492"/>
    </row>
    <row r="106" spans="1:15" hidden="1" x14ac:dyDescent="0.25">
      <c r="A106" s="492"/>
      <c r="B106" s="492"/>
      <c r="C106" s="492"/>
      <c r="D106" s="492"/>
      <c r="E106" s="492"/>
      <c r="F106" s="492"/>
      <c r="G106" s="492"/>
      <c r="H106" s="492"/>
      <c r="I106" s="492"/>
      <c r="J106" s="492"/>
      <c r="K106" s="492"/>
      <c r="L106" s="492"/>
      <c r="M106" s="492"/>
      <c r="N106" s="492"/>
    </row>
    <row r="107" spans="1:15" hidden="1" x14ac:dyDescent="0.25">
      <c r="A107" s="492"/>
      <c r="B107" s="492"/>
      <c r="C107" s="492"/>
      <c r="D107" s="492"/>
      <c r="E107" s="492"/>
      <c r="F107" s="492"/>
      <c r="G107" s="492"/>
      <c r="H107" s="492"/>
      <c r="I107" s="492"/>
      <c r="J107" s="492"/>
      <c r="K107" s="492"/>
      <c r="L107" s="492"/>
      <c r="M107" s="492"/>
      <c r="N107" s="492"/>
      <c r="O107" s="492"/>
    </row>
    <row r="108" spans="1:15" hidden="1" x14ac:dyDescent="0.25">
      <c r="A108" s="492"/>
      <c r="B108" s="492"/>
      <c r="C108" s="492"/>
      <c r="D108" s="492"/>
      <c r="E108" s="492"/>
      <c r="F108" s="492"/>
      <c r="G108" s="492"/>
      <c r="H108" s="492"/>
      <c r="I108" s="492"/>
      <c r="J108" s="492"/>
      <c r="K108" s="492"/>
      <c r="L108" s="492"/>
      <c r="M108" s="492"/>
      <c r="N108" s="492"/>
      <c r="O108" s="492"/>
    </row>
    <row r="109" spans="1:15" hidden="1" x14ac:dyDescent="0.25">
      <c r="A109" s="492"/>
      <c r="B109" s="492"/>
      <c r="C109" s="492"/>
      <c r="D109" s="492"/>
      <c r="E109" s="492"/>
      <c r="F109" s="492"/>
      <c r="G109" s="492"/>
      <c r="H109" s="492"/>
      <c r="I109" s="492"/>
      <c r="J109" s="492"/>
      <c r="K109" s="492"/>
      <c r="L109" s="492"/>
      <c r="M109" s="492"/>
      <c r="N109" s="492"/>
      <c r="O109" s="492"/>
    </row>
    <row r="110" spans="1:15" hidden="1" x14ac:dyDescent="0.25">
      <c r="A110" s="492"/>
      <c r="B110" s="492"/>
      <c r="C110" s="492"/>
      <c r="D110" s="492"/>
      <c r="E110" s="492"/>
      <c r="F110" s="492"/>
      <c r="G110" s="492"/>
      <c r="H110" s="492"/>
      <c r="I110" s="492"/>
      <c r="J110" s="492"/>
      <c r="K110" s="492"/>
      <c r="L110" s="492"/>
      <c r="M110" s="492"/>
      <c r="N110" s="492"/>
      <c r="O110" s="492"/>
    </row>
    <row r="111" spans="1:15" hidden="1" x14ac:dyDescent="0.25">
      <c r="A111" s="492"/>
      <c r="B111" s="492"/>
      <c r="C111" s="492"/>
      <c r="D111" s="492"/>
      <c r="E111" s="492"/>
      <c r="F111" s="492"/>
      <c r="G111" s="492"/>
      <c r="H111" s="492"/>
      <c r="I111" s="492"/>
      <c r="J111" s="492"/>
      <c r="K111" s="492"/>
      <c r="L111" s="492"/>
      <c r="M111" s="492"/>
      <c r="N111" s="492"/>
      <c r="O111" s="492"/>
    </row>
    <row r="112" spans="1:15" hidden="1" x14ac:dyDescent="0.25">
      <c r="A112" s="492"/>
      <c r="B112" s="492"/>
      <c r="C112" s="492"/>
      <c r="D112" s="492"/>
      <c r="E112" s="492"/>
      <c r="F112" s="492"/>
      <c r="G112" s="492"/>
      <c r="H112" s="492"/>
      <c r="I112" s="492"/>
      <c r="J112" s="492"/>
      <c r="K112" s="492"/>
      <c r="L112" s="492"/>
      <c r="M112" s="492"/>
      <c r="N112" s="492"/>
      <c r="O112" s="492"/>
    </row>
    <row r="113" spans="1:15" hidden="1" x14ac:dyDescent="0.25">
      <c r="A113" s="492"/>
      <c r="O113" s="492"/>
    </row>
    <row r="114" spans="1:15" hidden="1" x14ac:dyDescent="0.25"/>
    <row r="115" spans="1:15" hidden="1" x14ac:dyDescent="0.25"/>
    <row r="116" spans="1:15" hidden="1" x14ac:dyDescent="0.25"/>
    <row r="117" spans="1:15" hidden="1" x14ac:dyDescent="0.25"/>
  </sheetData>
  <sheetProtection password="CC30" sheet="1" objects="1" scenarios="1" selectLockedCells="1"/>
  <mergeCells count="67">
    <mergeCell ref="B31:N31"/>
    <mergeCell ref="B32:N33"/>
    <mergeCell ref="D28:E28"/>
    <mergeCell ref="F28:G28"/>
    <mergeCell ref="H28:I28"/>
    <mergeCell ref="J28:M28"/>
    <mergeCell ref="J30:N30"/>
    <mergeCell ref="B30:I30"/>
    <mergeCell ref="D23:E23"/>
    <mergeCell ref="D24:E24"/>
    <mergeCell ref="D25:E25"/>
    <mergeCell ref="D26:E26"/>
    <mergeCell ref="F10:H10"/>
    <mergeCell ref="D12:E12"/>
    <mergeCell ref="F12:G12"/>
    <mergeCell ref="H12:I12"/>
    <mergeCell ref="D15:E15"/>
    <mergeCell ref="F15:G15"/>
    <mergeCell ref="H15:I15"/>
    <mergeCell ref="I10:K10"/>
    <mergeCell ref="D16:E16"/>
    <mergeCell ref="D17:E17"/>
    <mergeCell ref="B8:N8"/>
    <mergeCell ref="J17:M17"/>
    <mergeCell ref="F27:G27"/>
    <mergeCell ref="J23:M23"/>
    <mergeCell ref="F23:G23"/>
    <mergeCell ref="F24:G24"/>
    <mergeCell ref="F25:G25"/>
    <mergeCell ref="F26:G26"/>
    <mergeCell ref="B20:N20"/>
    <mergeCell ref="D18:E18"/>
    <mergeCell ref="J27:M27"/>
    <mergeCell ref="D22:E22"/>
    <mergeCell ref="F22:G22"/>
    <mergeCell ref="H22:I22"/>
    <mergeCell ref="J22:M22"/>
    <mergeCell ref="D27:E27"/>
    <mergeCell ref="B1:N1"/>
    <mergeCell ref="B7:N7"/>
    <mergeCell ref="B2:D5"/>
    <mergeCell ref="E2:N4"/>
    <mergeCell ref="H16:I16"/>
    <mergeCell ref="J12:M12"/>
    <mergeCell ref="J15:M15"/>
    <mergeCell ref="J16:M16"/>
    <mergeCell ref="J14:M14"/>
    <mergeCell ref="J13:M13"/>
    <mergeCell ref="D14:E14"/>
    <mergeCell ref="D13:E13"/>
    <mergeCell ref="F14:G14"/>
    <mergeCell ref="F13:G13"/>
    <mergeCell ref="H14:I14"/>
    <mergeCell ref="H13:I13"/>
    <mergeCell ref="H27:I27"/>
    <mergeCell ref="F16:G16"/>
    <mergeCell ref="J18:M18"/>
    <mergeCell ref="J24:M24"/>
    <mergeCell ref="J25:M25"/>
    <mergeCell ref="J26:M26"/>
    <mergeCell ref="F17:G17"/>
    <mergeCell ref="H17:I17"/>
    <mergeCell ref="F18:G18"/>
    <mergeCell ref="H18:I18"/>
    <mergeCell ref="H23:I23"/>
    <mergeCell ref="H24:I24"/>
    <mergeCell ref="H25:I25"/>
  </mergeCells>
  <conditionalFormatting sqref="B31:N31 B32">
    <cfRule type="expression" dxfId="25" priority="1">
      <formula>$J$30="yes"</formula>
    </cfRule>
  </conditionalFormatting>
  <dataValidations count="1">
    <dataValidation type="list" allowBlank="1" showInputMessage="1" showErrorMessage="1" sqref="B10">
      <formula1>AgencyCampus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Source!$T$1:$T$4</xm:f>
          </x14:formula1>
          <xm:sqref>J30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workbookViewId="0">
      <selection activeCell="E30" sqref="E30"/>
    </sheetView>
  </sheetViews>
  <sheetFormatPr defaultRowHeight="15" x14ac:dyDescent="0.25"/>
  <cols>
    <col min="1" max="1" width="31" style="132" bestFit="1" customWidth="1"/>
    <col min="2" max="2" width="9.7109375" bestFit="1" customWidth="1"/>
    <col min="3" max="3" width="14.7109375" customWidth="1"/>
    <col min="4" max="4" width="36.42578125" customWidth="1"/>
    <col min="5" max="5" width="19" style="193" bestFit="1" customWidth="1"/>
    <col min="6" max="6" width="12.7109375" style="189" bestFit="1" customWidth="1"/>
    <col min="7" max="7" width="12.7109375" style="132" customWidth="1"/>
    <col min="11" max="11" width="15.28515625" bestFit="1" customWidth="1"/>
  </cols>
  <sheetData>
    <row r="1" spans="1:11" x14ac:dyDescent="0.25">
      <c r="A1" s="135" t="s">
        <v>736</v>
      </c>
      <c r="B1" s="133" t="s">
        <v>732</v>
      </c>
      <c r="C1" s="133" t="s">
        <v>733</v>
      </c>
      <c r="D1" s="133" t="s">
        <v>80</v>
      </c>
      <c r="E1" s="195" t="s">
        <v>539</v>
      </c>
      <c r="F1" s="196" t="s">
        <v>734</v>
      </c>
      <c r="G1" s="133" t="s">
        <v>498</v>
      </c>
    </row>
    <row r="2" spans="1:11" x14ac:dyDescent="0.25">
      <c r="A2" s="194" t="str">
        <f t="shared" ref="A2:A33" si="0">D2&amp;G2</f>
        <v>Bridgewater State University2013</v>
      </c>
      <c r="B2" s="134">
        <v>2013</v>
      </c>
      <c r="C2" s="136" t="s">
        <v>271</v>
      </c>
      <c r="D2" s="136" t="s">
        <v>48</v>
      </c>
      <c r="E2" s="191">
        <v>3824448</v>
      </c>
      <c r="F2" s="187">
        <v>451713</v>
      </c>
      <c r="G2" s="134">
        <v>2013</v>
      </c>
      <c r="H2" t="str">
        <f>VLOOKUP(D2,Source!F:F,1,FALSE)</f>
        <v>Bridgewater State University</v>
      </c>
    </row>
    <row r="3" spans="1:11" x14ac:dyDescent="0.25">
      <c r="A3" s="194" t="str">
        <f t="shared" si="0"/>
        <v>Bridgewater State University2014</v>
      </c>
      <c r="B3" s="134">
        <v>2014</v>
      </c>
      <c r="C3" s="136" t="s">
        <v>271</v>
      </c>
      <c r="D3" s="136" t="s">
        <v>48</v>
      </c>
      <c r="E3" s="191">
        <v>32893340</v>
      </c>
      <c r="F3" s="187">
        <v>550109</v>
      </c>
      <c r="G3" s="134">
        <v>2014</v>
      </c>
      <c r="H3" s="132" t="str">
        <f>VLOOKUP(D3,Source!F:F,1,FALSE)</f>
        <v>Bridgewater State University</v>
      </c>
    </row>
    <row r="4" spans="1:11" x14ac:dyDescent="0.25">
      <c r="A4" s="194" t="str">
        <f t="shared" si="0"/>
        <v>Bridgewater State University2015</v>
      </c>
      <c r="B4" s="134">
        <v>2015</v>
      </c>
      <c r="C4" s="136" t="s">
        <v>271</v>
      </c>
      <c r="D4" s="136" t="s">
        <v>48</v>
      </c>
      <c r="E4" s="191">
        <v>29569820</v>
      </c>
      <c r="F4" s="187">
        <v>489407</v>
      </c>
      <c r="G4" s="134">
        <v>2015</v>
      </c>
      <c r="H4" s="132" t="str">
        <f>VLOOKUP(D4,Source!F:F,1,FALSE)</f>
        <v>Bridgewater State University</v>
      </c>
    </row>
    <row r="5" spans="1:11" x14ac:dyDescent="0.25">
      <c r="A5" s="194" t="str">
        <f t="shared" si="0"/>
        <v>Bridgewater State University2016</v>
      </c>
      <c r="B5" s="134">
        <v>2016</v>
      </c>
      <c r="C5" s="136" t="s">
        <v>271</v>
      </c>
      <c r="D5" s="136" t="s">
        <v>48</v>
      </c>
      <c r="E5" s="191">
        <v>26859254.030000001</v>
      </c>
      <c r="F5" s="187">
        <v>495001.42</v>
      </c>
      <c r="G5" s="134">
        <v>2016</v>
      </c>
      <c r="H5" s="132" t="str">
        <f>VLOOKUP(D5,Source!F:F,1,FALSE)</f>
        <v>Bridgewater State University</v>
      </c>
    </row>
    <row r="6" spans="1:11" x14ac:dyDescent="0.25">
      <c r="A6" s="194" t="str">
        <f t="shared" si="0"/>
        <v>Bridgewater State University2017</v>
      </c>
      <c r="B6" s="134">
        <v>2017</v>
      </c>
      <c r="C6" s="136" t="s">
        <v>271</v>
      </c>
      <c r="D6" s="136" t="s">
        <v>48</v>
      </c>
      <c r="E6" s="191">
        <v>31196085.190000001</v>
      </c>
      <c r="F6" s="187">
        <v>537727.76</v>
      </c>
      <c r="G6" s="134">
        <v>2017</v>
      </c>
      <c r="H6" s="132" t="str">
        <f>VLOOKUP(D6,Source!F:F,1,FALSE)</f>
        <v>Bridgewater State University</v>
      </c>
    </row>
    <row r="7" spans="1:11" x14ac:dyDescent="0.25">
      <c r="A7" s="194" t="str">
        <f t="shared" si="0"/>
        <v>Bristol Comm. College2013</v>
      </c>
      <c r="B7" s="134">
        <v>2013</v>
      </c>
      <c r="C7" s="136" t="s">
        <v>271</v>
      </c>
      <c r="D7" s="136" t="s">
        <v>577</v>
      </c>
      <c r="E7" s="191">
        <v>2994244</v>
      </c>
      <c r="F7" s="187">
        <v>9154.75</v>
      </c>
      <c r="G7" s="134">
        <v>2013</v>
      </c>
      <c r="H7" s="132" t="str">
        <f>VLOOKUP(D7,Source!F:F,1,FALSE)</f>
        <v>Bristol Comm. College</v>
      </c>
    </row>
    <row r="8" spans="1:11" x14ac:dyDescent="0.25">
      <c r="A8" s="194" t="str">
        <f t="shared" si="0"/>
        <v>Bristol Comm. College2014</v>
      </c>
      <c r="B8" s="134">
        <v>2014</v>
      </c>
      <c r="C8" s="136" t="s">
        <v>271</v>
      </c>
      <c r="D8" s="136" t="s">
        <v>577</v>
      </c>
      <c r="E8" s="191">
        <v>2831928</v>
      </c>
      <c r="F8" s="187">
        <v>9494.65</v>
      </c>
      <c r="G8" s="134">
        <v>2014</v>
      </c>
      <c r="H8" s="132" t="str">
        <f>VLOOKUP(D8,Source!F:F,1,FALSE)</f>
        <v>Bristol Comm. College</v>
      </c>
    </row>
    <row r="9" spans="1:11" x14ac:dyDescent="0.25">
      <c r="A9" s="194" t="str">
        <f t="shared" si="0"/>
        <v>Bristol Comm. College2015</v>
      </c>
      <c r="B9" s="134">
        <v>2015</v>
      </c>
      <c r="C9" s="136" t="s">
        <v>271</v>
      </c>
      <c r="D9" s="136" t="s">
        <v>577</v>
      </c>
      <c r="E9" s="191">
        <v>2809488</v>
      </c>
      <c r="F9" s="187">
        <v>10667</v>
      </c>
      <c r="G9" s="134">
        <v>2015</v>
      </c>
      <c r="H9" s="132" t="str">
        <f>VLOOKUP(D9,Source!F:F,1,FALSE)</f>
        <v>Bristol Comm. College</v>
      </c>
    </row>
    <row r="10" spans="1:11" x14ac:dyDescent="0.25">
      <c r="A10" s="194" t="str">
        <f t="shared" si="0"/>
        <v>Bristol Comm. College2016</v>
      </c>
      <c r="B10" s="134">
        <v>2016</v>
      </c>
      <c r="C10" s="136" t="s">
        <v>271</v>
      </c>
      <c r="D10" s="136" t="s">
        <v>577</v>
      </c>
      <c r="E10" s="191">
        <v>3173000</v>
      </c>
      <c r="F10" s="187">
        <v>11342</v>
      </c>
      <c r="G10" s="134">
        <v>2016</v>
      </c>
      <c r="H10" s="132" t="str">
        <f>VLOOKUP(D10,Source!F:F,1,FALSE)</f>
        <v>Bristol Comm. College</v>
      </c>
    </row>
    <row r="11" spans="1:11" x14ac:dyDescent="0.25">
      <c r="A11" s="194" t="str">
        <f t="shared" si="0"/>
        <v>Bristol Comm. College2017</v>
      </c>
      <c r="B11" s="134">
        <v>2017</v>
      </c>
      <c r="C11" s="136" t="s">
        <v>271</v>
      </c>
      <c r="D11" s="136" t="s">
        <v>577</v>
      </c>
      <c r="E11" s="191">
        <v>2699719</v>
      </c>
      <c r="F11" s="187">
        <v>12606.35</v>
      </c>
      <c r="G11" s="134">
        <v>2017</v>
      </c>
      <c r="H11" s="132" t="str">
        <f>VLOOKUP(D11,Source!F:F,1,FALSE)</f>
        <v>Bristol Comm. College</v>
      </c>
    </row>
    <row r="12" spans="1:11" x14ac:dyDescent="0.25">
      <c r="A12" s="194" t="str">
        <f t="shared" si="0"/>
        <v>Bunker Hill Comm. College2016</v>
      </c>
      <c r="B12" s="134">
        <v>2016</v>
      </c>
      <c r="C12" s="136" t="s">
        <v>271</v>
      </c>
      <c r="D12" s="136" t="s">
        <v>578</v>
      </c>
      <c r="E12" s="191">
        <v>1687015</v>
      </c>
      <c r="F12" s="187">
        <v>252208</v>
      </c>
      <c r="G12" s="134">
        <v>2016</v>
      </c>
      <c r="H12" s="132" t="str">
        <f>VLOOKUP(D12,Source!F:F,1,FALSE)</f>
        <v>Bunker Hill Comm. College</v>
      </c>
    </row>
    <row r="13" spans="1:11" x14ac:dyDescent="0.25">
      <c r="A13" s="194" t="str">
        <f t="shared" si="0"/>
        <v>Bunker Hill Comm. College2017</v>
      </c>
      <c r="B13" s="134">
        <v>2017</v>
      </c>
      <c r="C13" s="136" t="s">
        <v>271</v>
      </c>
      <c r="D13" s="136" t="s">
        <v>578</v>
      </c>
      <c r="E13" s="191">
        <v>1409910</v>
      </c>
      <c r="F13" s="187">
        <v>210781</v>
      </c>
      <c r="G13" s="134">
        <v>2017</v>
      </c>
      <c r="H13" s="132" t="str">
        <f>VLOOKUP(D13,Source!F:F,1,FALSE)</f>
        <v>Bunker Hill Comm. College</v>
      </c>
      <c r="K13" s="190"/>
    </row>
    <row r="14" spans="1:11" x14ac:dyDescent="0.25">
      <c r="A14" s="194" t="str">
        <f t="shared" si="0"/>
        <v>Cape Cod Comm. College2013</v>
      </c>
      <c r="B14" s="134">
        <v>2013</v>
      </c>
      <c r="C14" s="136" t="s">
        <v>271</v>
      </c>
      <c r="D14" s="136" t="s">
        <v>579</v>
      </c>
      <c r="E14" s="191">
        <v>1641000</v>
      </c>
      <c r="F14" s="187">
        <v>6015.95</v>
      </c>
      <c r="G14" s="134">
        <v>2013</v>
      </c>
      <c r="H14" s="132" t="str">
        <f>VLOOKUP(D14,Source!F:F,1,FALSE)</f>
        <v>Cape Cod Comm. College</v>
      </c>
    </row>
    <row r="15" spans="1:11" x14ac:dyDescent="0.25">
      <c r="A15" s="194" t="str">
        <f t="shared" si="0"/>
        <v>Cape Cod Comm. College2014</v>
      </c>
      <c r="B15" s="134">
        <v>2014</v>
      </c>
      <c r="C15" s="136" t="s">
        <v>271</v>
      </c>
      <c r="D15" s="136" t="s">
        <v>579</v>
      </c>
      <c r="E15" s="191">
        <v>1577000</v>
      </c>
      <c r="F15" s="187">
        <v>5530.65</v>
      </c>
      <c r="G15" s="134">
        <v>2014</v>
      </c>
      <c r="H15" s="132" t="str">
        <f>VLOOKUP(D15,Source!F:F,1,FALSE)</f>
        <v>Cape Cod Comm. College</v>
      </c>
    </row>
    <row r="16" spans="1:11" x14ac:dyDescent="0.25">
      <c r="A16" s="194" t="str">
        <f t="shared" si="0"/>
        <v>Cape Cod Comm. College2015</v>
      </c>
      <c r="B16" s="134">
        <v>2015</v>
      </c>
      <c r="C16" s="136" t="s">
        <v>271</v>
      </c>
      <c r="D16" s="136" t="s">
        <v>579</v>
      </c>
      <c r="E16" s="191">
        <v>1638000</v>
      </c>
      <c r="F16" s="187">
        <v>6284.1</v>
      </c>
      <c r="G16" s="134">
        <v>2015</v>
      </c>
      <c r="H16" s="132" t="str">
        <f>VLOOKUP(D16,Source!F:F,1,FALSE)</f>
        <v>Cape Cod Comm. College</v>
      </c>
    </row>
    <row r="17" spans="1:8" x14ac:dyDescent="0.25">
      <c r="A17" s="194" t="str">
        <f t="shared" si="0"/>
        <v>Cape Cod Comm. College2016</v>
      </c>
      <c r="B17" s="134">
        <v>2016</v>
      </c>
      <c r="C17" s="136" t="s">
        <v>271</v>
      </c>
      <c r="D17" s="136" t="s">
        <v>579</v>
      </c>
      <c r="E17" s="191">
        <v>1652000</v>
      </c>
      <c r="F17" s="187">
        <v>6089.4</v>
      </c>
      <c r="G17" s="134">
        <v>2016</v>
      </c>
      <c r="H17" s="132" t="str">
        <f>VLOOKUP(D17,Source!F:F,1,FALSE)</f>
        <v>Cape Cod Comm. College</v>
      </c>
    </row>
    <row r="18" spans="1:8" x14ac:dyDescent="0.25">
      <c r="A18" s="194" t="str">
        <f t="shared" si="0"/>
        <v>Cape Cod Comm. College2017</v>
      </c>
      <c r="B18" s="134">
        <v>2017</v>
      </c>
      <c r="C18" s="136" t="s">
        <v>271</v>
      </c>
      <c r="D18" s="136" t="s">
        <v>579</v>
      </c>
      <c r="E18" s="191">
        <v>1146000</v>
      </c>
      <c r="F18" s="188">
        <v>4090</v>
      </c>
      <c r="G18" s="134">
        <v>2017</v>
      </c>
      <c r="H18" s="132" t="str">
        <f>VLOOKUP(D18,Source!F:F,1,FALSE)</f>
        <v>Cape Cod Comm. College</v>
      </c>
    </row>
    <row r="19" spans="1:8" x14ac:dyDescent="0.25">
      <c r="A19" s="194" t="str">
        <f t="shared" si="0"/>
        <v>Dept. of Correction2016</v>
      </c>
      <c r="B19" s="134">
        <v>2016</v>
      </c>
      <c r="C19" s="136" t="s">
        <v>313</v>
      </c>
      <c r="D19" s="136" t="s">
        <v>49</v>
      </c>
      <c r="E19" s="191">
        <v>7725439.1689999998</v>
      </c>
      <c r="F19" s="187">
        <v>0</v>
      </c>
      <c r="G19" s="134">
        <v>2016</v>
      </c>
      <c r="H19" s="132" t="str">
        <f>VLOOKUP(D19,Source!F:F,1,FALSE)</f>
        <v>Dept. of Correction</v>
      </c>
    </row>
    <row r="20" spans="1:8" x14ac:dyDescent="0.25">
      <c r="A20" s="194" t="str">
        <f t="shared" si="0"/>
        <v>Dept. of Fire Services2013</v>
      </c>
      <c r="B20" s="134">
        <v>2013</v>
      </c>
      <c r="C20" s="136" t="s">
        <v>313</v>
      </c>
      <c r="D20" s="136" t="s">
        <v>51</v>
      </c>
      <c r="E20" s="191">
        <v>768000</v>
      </c>
      <c r="F20" s="187">
        <v>5921</v>
      </c>
      <c r="G20" s="134">
        <v>2013</v>
      </c>
      <c r="H20" s="132" t="str">
        <f>VLOOKUP(D20,Source!F:F,1,FALSE)</f>
        <v>Dept. of Fire Services</v>
      </c>
    </row>
    <row r="21" spans="1:8" x14ac:dyDescent="0.25">
      <c r="A21" s="194" t="str">
        <f t="shared" si="0"/>
        <v>Dept. of Fire Services2014</v>
      </c>
      <c r="B21" s="134">
        <v>2014</v>
      </c>
      <c r="C21" s="136" t="s">
        <v>313</v>
      </c>
      <c r="D21" s="136" t="s">
        <v>51</v>
      </c>
      <c r="E21" s="191">
        <v>976000</v>
      </c>
      <c r="F21" s="187">
        <v>7279</v>
      </c>
      <c r="G21" s="134">
        <v>2014</v>
      </c>
      <c r="H21" s="132" t="str">
        <f>VLOOKUP(D21,Source!F:F,1,FALSE)</f>
        <v>Dept. of Fire Services</v>
      </c>
    </row>
    <row r="22" spans="1:8" x14ac:dyDescent="0.25">
      <c r="A22" s="194" t="str">
        <f t="shared" si="0"/>
        <v>Dept. of Fire Services2015</v>
      </c>
      <c r="B22" s="134">
        <v>2015</v>
      </c>
      <c r="C22" s="136" t="s">
        <v>313</v>
      </c>
      <c r="D22" s="136" t="s">
        <v>51</v>
      </c>
      <c r="E22" s="191">
        <v>293000</v>
      </c>
      <c r="F22" s="187">
        <v>3443</v>
      </c>
      <c r="G22" s="134">
        <v>2015</v>
      </c>
      <c r="H22" s="132" t="str">
        <f>VLOOKUP(D22,Source!F:F,1,FALSE)</f>
        <v>Dept. of Fire Services</v>
      </c>
    </row>
    <row r="23" spans="1:8" x14ac:dyDescent="0.25">
      <c r="A23" s="194" t="str">
        <f t="shared" si="0"/>
        <v>Dept. of Fire Services2016</v>
      </c>
      <c r="B23" s="134">
        <v>2016</v>
      </c>
      <c r="C23" s="136" t="s">
        <v>313</v>
      </c>
      <c r="D23" s="136" t="s">
        <v>51</v>
      </c>
      <c r="E23" s="191">
        <v>456000</v>
      </c>
      <c r="F23" s="187"/>
      <c r="G23" s="134">
        <v>2016</v>
      </c>
      <c r="H23" s="132" t="str">
        <f>VLOOKUP(D23,Source!F:F,1,FALSE)</f>
        <v>Dept. of Fire Services</v>
      </c>
    </row>
    <row r="24" spans="1:8" x14ac:dyDescent="0.25">
      <c r="A24" s="194" t="str">
        <f t="shared" si="0"/>
        <v>Fitchburg State University2013</v>
      </c>
      <c r="B24" s="134">
        <v>2013</v>
      </c>
      <c r="C24" s="136" t="s">
        <v>271</v>
      </c>
      <c r="D24" s="136" t="s">
        <v>56</v>
      </c>
      <c r="E24" s="191">
        <v>33432000</v>
      </c>
      <c r="F24" s="187">
        <v>161466.32999999999</v>
      </c>
      <c r="G24" s="134">
        <v>2013</v>
      </c>
      <c r="H24" s="132" t="str">
        <f>VLOOKUP(D24,Source!F:F,1,FALSE)</f>
        <v>Fitchburg State University</v>
      </c>
    </row>
    <row r="25" spans="1:8" x14ac:dyDescent="0.25">
      <c r="A25" s="194" t="str">
        <f t="shared" si="0"/>
        <v>Fitchburg State University2014</v>
      </c>
      <c r="B25" s="134">
        <v>2014</v>
      </c>
      <c r="C25" s="136" t="s">
        <v>271</v>
      </c>
      <c r="D25" s="136" t="s">
        <v>56</v>
      </c>
      <c r="E25" s="191">
        <v>29689500</v>
      </c>
      <c r="F25" s="187">
        <v>149911.6</v>
      </c>
      <c r="G25" s="134">
        <v>2014</v>
      </c>
      <c r="H25" s="132" t="str">
        <f>VLOOKUP(D25,Source!F:F,1,FALSE)</f>
        <v>Fitchburg State University</v>
      </c>
    </row>
    <row r="26" spans="1:8" x14ac:dyDescent="0.25">
      <c r="A26" s="194" t="str">
        <f t="shared" si="0"/>
        <v>Fitchburg State University2015</v>
      </c>
      <c r="B26" s="134">
        <v>2015</v>
      </c>
      <c r="C26" s="136" t="s">
        <v>271</v>
      </c>
      <c r="D26" s="136" t="s">
        <v>56</v>
      </c>
      <c r="E26" s="191">
        <v>28621500</v>
      </c>
      <c r="F26" s="187">
        <v>144210.47</v>
      </c>
      <c r="G26" s="134">
        <v>2015</v>
      </c>
      <c r="H26" s="132" t="str">
        <f>VLOOKUP(D26,Source!F:F,1,FALSE)</f>
        <v>Fitchburg State University</v>
      </c>
    </row>
    <row r="27" spans="1:8" x14ac:dyDescent="0.25">
      <c r="A27" s="194" t="str">
        <f t="shared" si="0"/>
        <v>Fitchburg State University2016</v>
      </c>
      <c r="B27" s="134">
        <v>2016</v>
      </c>
      <c r="C27" s="136" t="s">
        <v>271</v>
      </c>
      <c r="D27" s="136" t="s">
        <v>56</v>
      </c>
      <c r="E27" s="191">
        <v>32001750</v>
      </c>
      <c r="F27" s="187">
        <v>156215.71</v>
      </c>
      <c r="G27" s="134">
        <v>2016</v>
      </c>
      <c r="H27" s="132" t="str">
        <f>VLOOKUP(D27,Source!F:F,1,FALSE)</f>
        <v>Fitchburg State University</v>
      </c>
    </row>
    <row r="28" spans="1:8" x14ac:dyDescent="0.25">
      <c r="A28" s="194" t="str">
        <f t="shared" si="0"/>
        <v>Fitchburg State University2017</v>
      </c>
      <c r="B28" s="134">
        <v>2017</v>
      </c>
      <c r="C28" s="136" t="s">
        <v>271</v>
      </c>
      <c r="D28" s="136" t="s">
        <v>56</v>
      </c>
      <c r="E28" s="191">
        <v>33650250</v>
      </c>
      <c r="F28" s="187">
        <v>184962.5</v>
      </c>
      <c r="G28" s="134">
        <v>2017</v>
      </c>
      <c r="H28" s="132" t="str">
        <f>VLOOKUP(D28,Source!F:F,1,FALSE)</f>
        <v>Fitchburg State University</v>
      </c>
    </row>
    <row r="29" spans="1:8" x14ac:dyDescent="0.25">
      <c r="A29" s="194" t="str">
        <f t="shared" si="0"/>
        <v>Framingham State University2013</v>
      </c>
      <c r="B29" s="134">
        <v>2013</v>
      </c>
      <c r="C29" s="136" t="s">
        <v>271</v>
      </c>
      <c r="D29" s="136" t="s">
        <v>57</v>
      </c>
      <c r="E29" s="191">
        <v>23214000</v>
      </c>
      <c r="F29" s="187">
        <v>513295</v>
      </c>
      <c r="G29" s="134">
        <v>2013</v>
      </c>
      <c r="H29" s="132" t="str">
        <f>VLOOKUP(D29,Source!F:F,1,FALSE)</f>
        <v>Framingham State University</v>
      </c>
    </row>
    <row r="30" spans="1:8" x14ac:dyDescent="0.25">
      <c r="A30" s="194" t="str">
        <f t="shared" si="0"/>
        <v>Framingham State University2014</v>
      </c>
      <c r="B30" s="134">
        <v>2014</v>
      </c>
      <c r="C30" s="136" t="s">
        <v>271</v>
      </c>
      <c r="D30" s="136" t="s">
        <v>57</v>
      </c>
      <c r="E30" s="191">
        <v>22743000</v>
      </c>
      <c r="F30" s="187">
        <v>611490</v>
      </c>
      <c r="G30" s="134">
        <v>2014</v>
      </c>
      <c r="H30" s="132" t="str">
        <f>VLOOKUP(D30,Source!F:F,1,FALSE)</f>
        <v>Framingham State University</v>
      </c>
    </row>
    <row r="31" spans="1:8" x14ac:dyDescent="0.25">
      <c r="A31" s="194" t="str">
        <f t="shared" si="0"/>
        <v>Framingham State University2015</v>
      </c>
      <c r="B31" s="134">
        <v>2015</v>
      </c>
      <c r="C31" s="136" t="s">
        <v>271</v>
      </c>
      <c r="D31" s="136" t="s">
        <v>57</v>
      </c>
      <c r="E31" s="191">
        <v>21532500</v>
      </c>
      <c r="F31" s="187">
        <v>692391</v>
      </c>
      <c r="G31" s="134">
        <v>2015</v>
      </c>
      <c r="H31" s="132" t="str">
        <f>VLOOKUP(D31,Source!F:F,1,FALSE)</f>
        <v>Framingham State University</v>
      </c>
    </row>
    <row r="32" spans="1:8" x14ac:dyDescent="0.25">
      <c r="A32" s="194" t="str">
        <f t="shared" si="0"/>
        <v>Framingham State University2016</v>
      </c>
      <c r="B32" s="134">
        <v>2016</v>
      </c>
      <c r="C32" s="136" t="s">
        <v>271</v>
      </c>
      <c r="D32" s="136" t="s">
        <v>57</v>
      </c>
      <c r="E32" s="191">
        <v>23590500</v>
      </c>
      <c r="F32" s="187">
        <v>712214.86</v>
      </c>
      <c r="G32" s="134">
        <v>2016</v>
      </c>
      <c r="H32" s="132" t="str">
        <f>VLOOKUP(D32,Source!F:F,1,FALSE)</f>
        <v>Framingham State University</v>
      </c>
    </row>
    <row r="33" spans="1:8" x14ac:dyDescent="0.25">
      <c r="A33" s="194" t="str">
        <f t="shared" si="0"/>
        <v>Framingham State University2017</v>
      </c>
      <c r="B33" s="134">
        <v>2017</v>
      </c>
      <c r="C33" s="136" t="s">
        <v>271</v>
      </c>
      <c r="D33" s="136" t="s">
        <v>57</v>
      </c>
      <c r="E33" s="191">
        <v>24900750</v>
      </c>
      <c r="F33" s="187">
        <v>779792</v>
      </c>
      <c r="G33" s="134">
        <v>2017</v>
      </c>
      <c r="H33" s="132" t="str">
        <f>VLOOKUP(D33,Source!F:F,1,FALSE)</f>
        <v>Framingham State University</v>
      </c>
    </row>
    <row r="34" spans="1:8" x14ac:dyDescent="0.25">
      <c r="A34" s="194" t="str">
        <f t="shared" ref="A34:A65" si="1">D34&amp;G34</f>
        <v>Greenfield Community College2013</v>
      </c>
      <c r="B34" s="134">
        <v>2013</v>
      </c>
      <c r="C34" s="136" t="s">
        <v>271</v>
      </c>
      <c r="D34" s="136" t="s">
        <v>58</v>
      </c>
      <c r="E34" s="191">
        <v>1836000</v>
      </c>
      <c r="F34" s="187">
        <v>6462.72</v>
      </c>
      <c r="G34" s="134">
        <v>2013</v>
      </c>
      <c r="H34" s="132" t="e">
        <f>VLOOKUP(D34,Source!F:F,1,FALSE)</f>
        <v>#N/A</v>
      </c>
    </row>
    <row r="35" spans="1:8" x14ac:dyDescent="0.25">
      <c r="A35" s="194" t="str">
        <f t="shared" si="1"/>
        <v>Greenfield Community College2014</v>
      </c>
      <c r="B35" s="134">
        <v>2014</v>
      </c>
      <c r="C35" s="136" t="s">
        <v>271</v>
      </c>
      <c r="D35" s="136" t="s">
        <v>58</v>
      </c>
      <c r="E35" s="191">
        <v>2143500</v>
      </c>
      <c r="F35" s="187">
        <v>7630.86</v>
      </c>
      <c r="G35" s="134">
        <v>2014</v>
      </c>
      <c r="H35" s="132" t="e">
        <f>VLOOKUP(D35,Source!F:F,1,FALSE)</f>
        <v>#N/A</v>
      </c>
    </row>
    <row r="36" spans="1:8" x14ac:dyDescent="0.25">
      <c r="A36" s="194" t="str">
        <f t="shared" si="1"/>
        <v>Greenfield Community College2015</v>
      </c>
      <c r="B36" s="134">
        <v>2015</v>
      </c>
      <c r="C36" s="136" t="s">
        <v>271</v>
      </c>
      <c r="D36" s="136" t="s">
        <v>58</v>
      </c>
      <c r="E36" s="191">
        <v>1504500</v>
      </c>
      <c r="F36" s="188">
        <v>5356.02</v>
      </c>
      <c r="G36" s="134">
        <v>2015</v>
      </c>
      <c r="H36" s="132" t="e">
        <f>VLOOKUP(D36,Source!F:F,1,FALSE)</f>
        <v>#N/A</v>
      </c>
    </row>
    <row r="37" spans="1:8" x14ac:dyDescent="0.25">
      <c r="A37" s="194" t="str">
        <f t="shared" si="1"/>
        <v>Greenfield Community College2016</v>
      </c>
      <c r="B37" s="134">
        <v>2016</v>
      </c>
      <c r="C37" s="136" t="s">
        <v>271</v>
      </c>
      <c r="D37" s="136" t="s">
        <v>58</v>
      </c>
      <c r="E37" s="192">
        <v>2187152</v>
      </c>
      <c r="F37" s="188">
        <v>7807.08</v>
      </c>
      <c r="G37" s="134">
        <v>2016</v>
      </c>
      <c r="H37" s="132" t="e">
        <f>VLOOKUP(D37,Source!F:F,1,FALSE)</f>
        <v>#N/A</v>
      </c>
    </row>
    <row r="38" spans="1:8" x14ac:dyDescent="0.25">
      <c r="A38" s="194" t="str">
        <f t="shared" si="1"/>
        <v>Greenfield Community College2017</v>
      </c>
      <c r="B38" s="134">
        <v>2017</v>
      </c>
      <c r="C38" s="136" t="s">
        <v>271</v>
      </c>
      <c r="D38" s="136" t="s">
        <v>58</v>
      </c>
      <c r="E38" s="191">
        <v>2109567</v>
      </c>
      <c r="F38" s="187">
        <v>7510.05</v>
      </c>
      <c r="G38" s="134">
        <v>2017</v>
      </c>
      <c r="H38" s="132" t="e">
        <f>VLOOKUP(D38,Source!F:F,1,FALSE)</f>
        <v>#N/A</v>
      </c>
    </row>
    <row r="39" spans="1:8" x14ac:dyDescent="0.25">
      <c r="A39" s="194" t="str">
        <f t="shared" si="1"/>
        <v>Holyoke Comm. College2014</v>
      </c>
      <c r="B39" s="134">
        <v>2014</v>
      </c>
      <c r="C39" s="136" t="s">
        <v>271</v>
      </c>
      <c r="D39" s="136" t="s">
        <v>59</v>
      </c>
      <c r="E39" s="191">
        <v>10280000</v>
      </c>
      <c r="F39" s="187">
        <v>44204</v>
      </c>
      <c r="G39" s="134">
        <v>2014</v>
      </c>
      <c r="H39" s="132" t="str">
        <f>VLOOKUP(D39,Source!F:F,1,FALSE)</f>
        <v>Holyoke Comm. College</v>
      </c>
    </row>
    <row r="40" spans="1:8" x14ac:dyDescent="0.25">
      <c r="A40" s="194" t="str">
        <f t="shared" si="1"/>
        <v>Holyoke Comm. College2015</v>
      </c>
      <c r="B40" s="134">
        <v>2015</v>
      </c>
      <c r="C40" s="136" t="s">
        <v>271</v>
      </c>
      <c r="D40" s="136" t="s">
        <v>59</v>
      </c>
      <c r="E40" s="191">
        <v>10456066</v>
      </c>
      <c r="F40" s="187">
        <v>44961</v>
      </c>
      <c r="G40" s="134">
        <v>2015</v>
      </c>
      <c r="H40" s="132" t="str">
        <f>VLOOKUP(D40,Source!F:F,1,FALSE)</f>
        <v>Holyoke Comm. College</v>
      </c>
    </row>
    <row r="41" spans="1:8" x14ac:dyDescent="0.25">
      <c r="A41" s="194" t="str">
        <f t="shared" si="1"/>
        <v>Holyoke Comm. College2016</v>
      </c>
      <c r="B41" s="134">
        <v>2016</v>
      </c>
      <c r="C41" s="136" t="s">
        <v>271</v>
      </c>
      <c r="D41" s="136" t="s">
        <v>59</v>
      </c>
      <c r="E41" s="191">
        <v>19122500</v>
      </c>
      <c r="F41" s="187">
        <v>82227</v>
      </c>
      <c r="G41" s="134">
        <v>2016</v>
      </c>
      <c r="H41" s="132" t="str">
        <f>VLOOKUP(D41,Source!F:F,1,FALSE)</f>
        <v>Holyoke Comm. College</v>
      </c>
    </row>
    <row r="42" spans="1:8" x14ac:dyDescent="0.25">
      <c r="A42" s="194" t="str">
        <f t="shared" si="1"/>
        <v>Holyoke Comm. College2017</v>
      </c>
      <c r="B42" s="134">
        <v>2017</v>
      </c>
      <c r="C42" s="136" t="s">
        <v>271</v>
      </c>
      <c r="D42" s="136" t="s">
        <v>59</v>
      </c>
      <c r="E42" s="191">
        <v>12260110</v>
      </c>
      <c r="F42" s="187">
        <v>52718.47</v>
      </c>
      <c r="G42" s="134">
        <v>2017</v>
      </c>
      <c r="H42" s="132" t="str">
        <f>VLOOKUP(D42,Source!F:F,1,FALSE)</f>
        <v>Holyoke Comm. College</v>
      </c>
    </row>
    <row r="43" spans="1:8" x14ac:dyDescent="0.25">
      <c r="A43" s="194" t="str">
        <f t="shared" si="1"/>
        <v>Holyoke Soldier's Home2013</v>
      </c>
      <c r="B43" s="134">
        <v>2013</v>
      </c>
      <c r="C43" s="136" t="s">
        <v>303</v>
      </c>
      <c r="D43" s="136" t="s">
        <v>60</v>
      </c>
      <c r="E43" s="191">
        <v>5103200</v>
      </c>
      <c r="F43" s="187">
        <v>2198969</v>
      </c>
      <c r="G43" s="134">
        <v>2013</v>
      </c>
      <c r="H43" s="132" t="str">
        <f>VLOOKUP(D43,Source!F:F,1,FALSE)</f>
        <v>Holyoke Soldier's Home</v>
      </c>
    </row>
    <row r="44" spans="1:8" x14ac:dyDescent="0.25">
      <c r="A44" s="194" t="str">
        <f t="shared" si="1"/>
        <v>Holyoke Soldier's Home2014</v>
      </c>
      <c r="B44" s="134">
        <v>2014</v>
      </c>
      <c r="C44" s="136" t="s">
        <v>303</v>
      </c>
      <c r="D44" s="136" t="s">
        <v>60</v>
      </c>
      <c r="E44" s="191">
        <v>6917800</v>
      </c>
      <c r="F44" s="187">
        <v>2980880</v>
      </c>
      <c r="G44" s="134">
        <v>2014</v>
      </c>
      <c r="H44" s="132" t="str">
        <f>VLOOKUP(D44,Source!F:F,1,FALSE)</f>
        <v>Holyoke Soldier's Home</v>
      </c>
    </row>
    <row r="45" spans="1:8" x14ac:dyDescent="0.25">
      <c r="A45" s="194" t="str">
        <f t="shared" si="1"/>
        <v>Holyoke Soldier's Home2015</v>
      </c>
      <c r="B45" s="134">
        <v>2015</v>
      </c>
      <c r="C45" s="136" t="s">
        <v>303</v>
      </c>
      <c r="D45" s="136" t="s">
        <v>60</v>
      </c>
      <c r="E45" s="191">
        <v>0</v>
      </c>
      <c r="F45" s="187"/>
      <c r="G45" s="134">
        <v>2015</v>
      </c>
      <c r="H45" s="132" t="str">
        <f>VLOOKUP(D45,Source!F:F,1,FALSE)</f>
        <v>Holyoke Soldier's Home</v>
      </c>
    </row>
    <row r="46" spans="1:8" x14ac:dyDescent="0.25">
      <c r="A46" s="194" t="str">
        <f t="shared" si="1"/>
        <v>Holyoke Soldier's Home2016</v>
      </c>
      <c r="B46" s="134">
        <v>2016</v>
      </c>
      <c r="C46" s="136" t="s">
        <v>303</v>
      </c>
      <c r="D46" s="136" t="s">
        <v>60</v>
      </c>
      <c r="E46" s="191"/>
      <c r="F46" s="187"/>
      <c r="G46" s="134">
        <v>2016</v>
      </c>
      <c r="H46" s="132" t="str">
        <f>VLOOKUP(D46,Source!F:F,1,FALSE)</f>
        <v>Holyoke Soldier's Home</v>
      </c>
    </row>
    <row r="47" spans="1:8" x14ac:dyDescent="0.25">
      <c r="A47" s="194" t="str">
        <f t="shared" si="1"/>
        <v>Holyoke Soldier's Home2017</v>
      </c>
      <c r="B47" s="134">
        <v>2017</v>
      </c>
      <c r="C47" s="136" t="s">
        <v>303</v>
      </c>
      <c r="D47" s="136" t="s">
        <v>60</v>
      </c>
      <c r="E47" s="191">
        <v>4595800</v>
      </c>
      <c r="F47" s="187">
        <v>20708.939999999999</v>
      </c>
      <c r="G47" s="134">
        <v>2017</v>
      </c>
      <c r="H47" s="132" t="str">
        <f>VLOOKUP(D47,Source!F:F,1,FALSE)</f>
        <v>Holyoke Soldier's Home</v>
      </c>
    </row>
    <row r="48" spans="1:8" x14ac:dyDescent="0.25">
      <c r="A48" s="194" t="str">
        <f t="shared" si="1"/>
        <v>Mass. Bay Comm. College2013</v>
      </c>
      <c r="B48" s="134">
        <v>2013</v>
      </c>
      <c r="C48" s="136" t="s">
        <v>271</v>
      </c>
      <c r="D48" s="136" t="s">
        <v>61</v>
      </c>
      <c r="E48" s="191">
        <v>3183709</v>
      </c>
      <c r="F48" s="187">
        <v>23551</v>
      </c>
      <c r="G48" s="134">
        <v>2013</v>
      </c>
      <c r="H48" s="132" t="str">
        <f>VLOOKUP(D48,Source!F:F,1,FALSE)</f>
        <v>Mass. Bay Comm. College</v>
      </c>
    </row>
    <row r="49" spans="1:8" x14ac:dyDescent="0.25">
      <c r="A49" s="194" t="str">
        <f t="shared" si="1"/>
        <v>Mass. Bay Comm. College2014</v>
      </c>
      <c r="B49" s="134">
        <v>2014</v>
      </c>
      <c r="C49" s="136" t="s">
        <v>271</v>
      </c>
      <c r="D49" s="136" t="s">
        <v>61</v>
      </c>
      <c r="E49" s="191">
        <v>3723803</v>
      </c>
      <c r="F49" s="187">
        <v>38436</v>
      </c>
      <c r="G49" s="134">
        <v>2014</v>
      </c>
      <c r="H49" s="132" t="str">
        <f>VLOOKUP(D49,Source!F:F,1,FALSE)</f>
        <v>Mass. Bay Comm. College</v>
      </c>
    </row>
    <row r="50" spans="1:8" x14ac:dyDescent="0.25">
      <c r="A50" s="194" t="str">
        <f t="shared" si="1"/>
        <v>Mass. Bay Comm. College2015</v>
      </c>
      <c r="B50" s="134">
        <v>2015</v>
      </c>
      <c r="C50" s="136" t="s">
        <v>271</v>
      </c>
      <c r="D50" s="136" t="s">
        <v>61</v>
      </c>
      <c r="E50" s="191">
        <v>3218119</v>
      </c>
      <c r="F50" s="187">
        <v>23655</v>
      </c>
      <c r="G50" s="134">
        <v>2015</v>
      </c>
      <c r="H50" s="132" t="str">
        <f>VLOOKUP(D50,Source!F:F,1,FALSE)</f>
        <v>Mass. Bay Comm. College</v>
      </c>
    </row>
    <row r="51" spans="1:8" x14ac:dyDescent="0.25">
      <c r="A51" s="194" t="str">
        <f t="shared" si="1"/>
        <v>Mass. Bay Comm. College2016</v>
      </c>
      <c r="B51" s="134">
        <v>2016</v>
      </c>
      <c r="C51" s="136" t="s">
        <v>271</v>
      </c>
      <c r="D51" s="136" t="s">
        <v>61</v>
      </c>
      <c r="E51" s="191">
        <v>3758213</v>
      </c>
      <c r="F51" s="187">
        <v>71332</v>
      </c>
      <c r="G51" s="134">
        <v>2016</v>
      </c>
      <c r="H51" s="132" t="str">
        <f>VLOOKUP(D51,Source!F:F,1,FALSE)</f>
        <v>Mass. Bay Comm. College</v>
      </c>
    </row>
    <row r="52" spans="1:8" x14ac:dyDescent="0.25">
      <c r="A52" s="194" t="str">
        <f t="shared" si="1"/>
        <v>Mass. Bay Comm. College2017</v>
      </c>
      <c r="B52" s="134">
        <v>2017</v>
      </c>
      <c r="C52" s="136" t="s">
        <v>271</v>
      </c>
      <c r="D52" s="136" t="s">
        <v>61</v>
      </c>
      <c r="E52" s="191">
        <v>3165756</v>
      </c>
      <c r="F52" s="187">
        <v>63502</v>
      </c>
      <c r="G52" s="134">
        <v>2017</v>
      </c>
      <c r="H52" s="132" t="str">
        <f>VLOOKUP(D52,Source!F:F,1,FALSE)</f>
        <v>Mass. Bay Comm. College</v>
      </c>
    </row>
    <row r="53" spans="1:8" x14ac:dyDescent="0.25">
      <c r="A53" s="194" t="str">
        <f t="shared" si="1"/>
        <v>Mass. College of Art &amp; Design2013</v>
      </c>
      <c r="B53" s="134">
        <v>2013</v>
      </c>
      <c r="C53" s="136" t="s">
        <v>271</v>
      </c>
      <c r="D53" s="136" t="s">
        <v>62</v>
      </c>
      <c r="E53" s="191">
        <v>5749936</v>
      </c>
      <c r="F53" s="187">
        <v>89109</v>
      </c>
      <c r="G53" s="134">
        <v>2013</v>
      </c>
      <c r="H53" s="132" t="str">
        <f>VLOOKUP(D53,Source!F:F,1,FALSE)</f>
        <v>Mass. College of Art &amp; Design</v>
      </c>
    </row>
    <row r="54" spans="1:8" x14ac:dyDescent="0.25">
      <c r="A54" s="194" t="str">
        <f t="shared" si="1"/>
        <v>Mass. College of Art &amp; Design2014</v>
      </c>
      <c r="B54" s="134">
        <v>2014</v>
      </c>
      <c r="C54" s="136" t="s">
        <v>271</v>
      </c>
      <c r="D54" s="136" t="s">
        <v>62</v>
      </c>
      <c r="E54" s="191">
        <v>5935819</v>
      </c>
      <c r="F54" s="187">
        <v>96988</v>
      </c>
      <c r="G54" s="134">
        <v>2014</v>
      </c>
      <c r="H54" s="132" t="str">
        <f>VLOOKUP(D54,Source!F:F,1,FALSE)</f>
        <v>Mass. College of Art &amp; Design</v>
      </c>
    </row>
    <row r="55" spans="1:8" x14ac:dyDescent="0.25">
      <c r="A55" s="194" t="str">
        <f t="shared" si="1"/>
        <v>Mass. College of Art &amp; Design2015</v>
      </c>
      <c r="B55" s="134">
        <v>2015</v>
      </c>
      <c r="C55" s="136" t="s">
        <v>271</v>
      </c>
      <c r="D55" s="136" t="s">
        <v>62</v>
      </c>
      <c r="E55" s="191">
        <v>5719692</v>
      </c>
      <c r="F55" s="187">
        <v>95854</v>
      </c>
      <c r="G55" s="134">
        <v>2015</v>
      </c>
      <c r="H55" s="132" t="str">
        <f>VLOOKUP(D55,Source!F:F,1,FALSE)</f>
        <v>Mass. College of Art &amp; Design</v>
      </c>
    </row>
    <row r="56" spans="1:8" x14ac:dyDescent="0.25">
      <c r="A56" s="194" t="str">
        <f t="shared" si="1"/>
        <v>Mass. College of Art &amp; Design2016</v>
      </c>
      <c r="B56" s="134">
        <v>2016</v>
      </c>
      <c r="C56" s="136" t="s">
        <v>271</v>
      </c>
      <c r="D56" s="136" t="s">
        <v>62</v>
      </c>
      <c r="E56" s="191">
        <v>19552293.640000001</v>
      </c>
      <c r="F56" s="187">
        <v>353456.87</v>
      </c>
      <c r="G56" s="134">
        <v>2016</v>
      </c>
      <c r="H56" s="132" t="str">
        <f>VLOOKUP(D56,Source!F:F,1,FALSE)</f>
        <v>Mass. College of Art &amp; Design</v>
      </c>
    </row>
    <row r="57" spans="1:8" x14ac:dyDescent="0.25">
      <c r="A57" s="194" t="str">
        <f t="shared" si="1"/>
        <v>Mass. College of Art &amp; Design2017</v>
      </c>
      <c r="B57" s="134">
        <v>2017</v>
      </c>
      <c r="C57" s="136" t="s">
        <v>271</v>
      </c>
      <c r="D57" s="136" t="s">
        <v>62</v>
      </c>
      <c r="E57" s="191">
        <v>6063811</v>
      </c>
      <c r="F57" s="187">
        <v>113737.04</v>
      </c>
      <c r="G57" s="134">
        <v>2017</v>
      </c>
      <c r="H57" s="132" t="str">
        <f>VLOOKUP(D57,Source!F:F,1,FALSE)</f>
        <v>Mass. College of Art &amp; Design</v>
      </c>
    </row>
    <row r="58" spans="1:8" x14ac:dyDescent="0.25">
      <c r="A58" s="194" t="str">
        <f t="shared" si="1"/>
        <v>Mass. College of Liberal Arts2013</v>
      </c>
      <c r="B58" s="134">
        <v>2013</v>
      </c>
      <c r="C58" s="136" t="s">
        <v>271</v>
      </c>
      <c r="D58" s="136" t="s">
        <v>584</v>
      </c>
      <c r="E58" s="191">
        <v>9668596</v>
      </c>
      <c r="F58" s="187">
        <v>68986</v>
      </c>
      <c r="G58" s="134">
        <v>2013</v>
      </c>
      <c r="H58" s="132" t="str">
        <f>VLOOKUP(D58,Source!F:F,1,FALSE)</f>
        <v>Mass. College of Liberal Arts</v>
      </c>
    </row>
    <row r="59" spans="1:8" x14ac:dyDescent="0.25">
      <c r="A59" s="194" t="str">
        <f t="shared" si="1"/>
        <v>Mass. College of Liberal Arts2014</v>
      </c>
      <c r="B59" s="134">
        <v>2014</v>
      </c>
      <c r="C59" s="136" t="s">
        <v>271</v>
      </c>
      <c r="D59" s="136" t="s">
        <v>584</v>
      </c>
      <c r="E59" s="191">
        <v>9209188</v>
      </c>
      <c r="F59" s="187">
        <v>81460</v>
      </c>
      <c r="G59" s="134">
        <v>2014</v>
      </c>
      <c r="H59" s="132" t="str">
        <f>VLOOKUP(D59,Source!F:F,1,FALSE)</f>
        <v>Mass. College of Liberal Arts</v>
      </c>
    </row>
    <row r="60" spans="1:8" x14ac:dyDescent="0.25">
      <c r="A60" s="194" t="str">
        <f t="shared" si="1"/>
        <v>Mass. College of Liberal Arts2015</v>
      </c>
      <c r="B60" s="134">
        <v>2015</v>
      </c>
      <c r="C60" s="136" t="s">
        <v>271</v>
      </c>
      <c r="D60" s="136" t="s">
        <v>584</v>
      </c>
      <c r="E60" s="191">
        <v>9973536</v>
      </c>
      <c r="F60" s="187">
        <v>94136</v>
      </c>
      <c r="G60" s="134">
        <v>2015</v>
      </c>
      <c r="H60" s="132" t="str">
        <f>VLOOKUP(D60,Source!F:F,1,FALSE)</f>
        <v>Mass. College of Liberal Arts</v>
      </c>
    </row>
    <row r="61" spans="1:8" x14ac:dyDescent="0.25">
      <c r="A61" s="194" t="str">
        <f t="shared" si="1"/>
        <v>Mass. College of Liberal Arts2016</v>
      </c>
      <c r="B61" s="134">
        <v>2016</v>
      </c>
      <c r="C61" s="136" t="s">
        <v>271</v>
      </c>
      <c r="D61" s="136" t="s">
        <v>584</v>
      </c>
      <c r="E61" s="191">
        <v>9149022</v>
      </c>
      <c r="F61" s="187">
        <v>88626</v>
      </c>
      <c r="G61" s="134">
        <v>2016</v>
      </c>
      <c r="H61" s="132" t="str">
        <f>VLOOKUP(D61,Source!F:F,1,FALSE)</f>
        <v>Mass. College of Liberal Arts</v>
      </c>
    </row>
    <row r="62" spans="1:8" x14ac:dyDescent="0.25">
      <c r="A62" s="194" t="str">
        <f t="shared" si="1"/>
        <v>Mass. College of Liberal Arts2017</v>
      </c>
      <c r="B62" s="134">
        <v>2017</v>
      </c>
      <c r="C62" s="136" t="s">
        <v>271</v>
      </c>
      <c r="D62" s="136" t="s">
        <v>584</v>
      </c>
      <c r="E62" s="191">
        <v>9296623</v>
      </c>
      <c r="F62" s="187">
        <v>86819</v>
      </c>
      <c r="G62" s="134">
        <v>2017</v>
      </c>
      <c r="H62" s="132" t="str">
        <f>VLOOKUP(D62,Source!F:F,1,FALSE)</f>
        <v>Mass. College of Liberal Arts</v>
      </c>
    </row>
    <row r="63" spans="1:8" x14ac:dyDescent="0.25">
      <c r="A63" s="194" t="str">
        <f t="shared" si="1"/>
        <v>Mass. Maritime Academy2014</v>
      </c>
      <c r="B63" s="134">
        <v>2014</v>
      </c>
      <c r="C63" s="136" t="s">
        <v>271</v>
      </c>
      <c r="D63" s="136" t="s">
        <v>585</v>
      </c>
      <c r="E63" s="191">
        <v>12938000</v>
      </c>
      <c r="F63" s="187">
        <v>64880</v>
      </c>
      <c r="G63" s="134">
        <v>2014</v>
      </c>
      <c r="H63" s="132" t="str">
        <f>VLOOKUP(D63,Source!F:F,1,FALSE)</f>
        <v>Mass. Maritime Academy</v>
      </c>
    </row>
    <row r="64" spans="1:8" x14ac:dyDescent="0.25">
      <c r="A64" s="194" t="str">
        <f t="shared" si="1"/>
        <v>Mass. Maritime Academy2015</v>
      </c>
      <c r="B64" s="134">
        <v>2015</v>
      </c>
      <c r="C64" s="136" t="s">
        <v>271</v>
      </c>
      <c r="D64" s="136" t="s">
        <v>585</v>
      </c>
      <c r="E64" s="191">
        <v>11327100</v>
      </c>
      <c r="F64" s="187">
        <v>63713</v>
      </c>
      <c r="G64" s="134">
        <v>2015</v>
      </c>
      <c r="H64" s="132" t="str">
        <f>VLOOKUP(D64,Source!F:F,1,FALSE)</f>
        <v>Mass. Maritime Academy</v>
      </c>
    </row>
    <row r="65" spans="1:8" x14ac:dyDescent="0.25">
      <c r="A65" s="194" t="str">
        <f t="shared" si="1"/>
        <v>Mass. Maritime Academy2016</v>
      </c>
      <c r="B65" s="134">
        <v>2016</v>
      </c>
      <c r="C65" s="136" t="s">
        <v>271</v>
      </c>
      <c r="D65" s="136" t="s">
        <v>585</v>
      </c>
      <c r="E65" s="191">
        <v>11967000</v>
      </c>
      <c r="F65" s="187">
        <v>63094</v>
      </c>
      <c r="G65" s="134">
        <v>2016</v>
      </c>
      <c r="H65" s="132" t="str">
        <f>VLOOKUP(D65,Source!F:F,1,FALSE)</f>
        <v>Mass. Maritime Academy</v>
      </c>
    </row>
    <row r="66" spans="1:8" x14ac:dyDescent="0.25">
      <c r="A66" s="194" t="str">
        <f t="shared" ref="A66:A97" si="2">D66&amp;G66</f>
        <v>Mass. Maritime Academy2017</v>
      </c>
      <c r="B66" s="134">
        <v>2017</v>
      </c>
      <c r="C66" s="136" t="s">
        <v>271</v>
      </c>
      <c r="D66" s="136" t="s">
        <v>585</v>
      </c>
      <c r="E66" s="191">
        <v>13105500</v>
      </c>
      <c r="F66" s="187">
        <v>65445</v>
      </c>
      <c r="G66" s="134">
        <v>2017</v>
      </c>
      <c r="H66" s="132" t="str">
        <f>VLOOKUP(D66,Source!F:F,1,FALSE)</f>
        <v>Mass. Maritime Academy</v>
      </c>
    </row>
    <row r="67" spans="1:8" x14ac:dyDescent="0.25">
      <c r="A67" s="194" t="str">
        <f t="shared" si="2"/>
        <v>Mass. Water Resources Authority2013</v>
      </c>
      <c r="B67" s="134">
        <v>2013</v>
      </c>
      <c r="C67" s="136" t="s">
        <v>399</v>
      </c>
      <c r="D67" s="136" t="s">
        <v>586</v>
      </c>
      <c r="E67" s="191">
        <v>499006969</v>
      </c>
      <c r="F67" s="187">
        <v>1931429</v>
      </c>
      <c r="G67" s="134">
        <v>2013</v>
      </c>
      <c r="H67" s="132" t="str">
        <f>VLOOKUP(D67,Source!F:F,1,FALSE)</f>
        <v>Mass. Water Resources Authority</v>
      </c>
    </row>
    <row r="68" spans="1:8" x14ac:dyDescent="0.25">
      <c r="A68" s="194" t="str">
        <f t="shared" si="2"/>
        <v>Mass. Water Resources Authority2014</v>
      </c>
      <c r="B68" s="134">
        <v>2014</v>
      </c>
      <c r="C68" s="136" t="s">
        <v>399</v>
      </c>
      <c r="D68" s="136" t="s">
        <v>586</v>
      </c>
      <c r="E68" s="191">
        <v>477633597</v>
      </c>
      <c r="F68" s="187">
        <v>1862076</v>
      </c>
      <c r="G68" s="134">
        <v>2014</v>
      </c>
      <c r="H68" s="132" t="str">
        <f>VLOOKUP(D68,Source!F:F,1,FALSE)</f>
        <v>Mass. Water Resources Authority</v>
      </c>
    </row>
    <row r="69" spans="1:8" x14ac:dyDescent="0.25">
      <c r="A69" s="194" t="str">
        <f t="shared" si="2"/>
        <v>Mass. Water Resources Authority2015</v>
      </c>
      <c r="B69" s="134">
        <v>2015</v>
      </c>
      <c r="C69" s="136" t="s">
        <v>399</v>
      </c>
      <c r="D69" s="136" t="s">
        <v>586</v>
      </c>
      <c r="E69" s="191">
        <v>489937402</v>
      </c>
      <c r="F69" s="187">
        <v>1942747</v>
      </c>
      <c r="G69" s="134">
        <v>2015</v>
      </c>
      <c r="H69" s="132" t="str">
        <f>VLOOKUP(D69,Source!F:F,1,FALSE)</f>
        <v>Mass. Water Resources Authority</v>
      </c>
    </row>
    <row r="70" spans="1:8" x14ac:dyDescent="0.25">
      <c r="A70" s="194" t="str">
        <f t="shared" si="2"/>
        <v>Mass. Water Resources Authority2016</v>
      </c>
      <c r="B70" s="134">
        <v>2016</v>
      </c>
      <c r="C70" s="136" t="s">
        <v>399</v>
      </c>
      <c r="D70" s="136" t="s">
        <v>586</v>
      </c>
      <c r="E70" s="191">
        <v>565803853</v>
      </c>
      <c r="F70" s="187">
        <v>2297576</v>
      </c>
      <c r="G70" s="134">
        <v>2016</v>
      </c>
      <c r="H70" s="132" t="str">
        <f>VLOOKUP(D70,Source!F:F,1,FALSE)</f>
        <v>Mass. Water Resources Authority</v>
      </c>
    </row>
    <row r="71" spans="1:8" x14ac:dyDescent="0.25">
      <c r="A71" s="194" t="str">
        <f t="shared" si="2"/>
        <v>Mass. Water Resources Authority2017</v>
      </c>
      <c r="B71" s="134">
        <v>2017</v>
      </c>
      <c r="C71" s="136" t="s">
        <v>399</v>
      </c>
      <c r="D71" s="136" t="s">
        <v>586</v>
      </c>
      <c r="E71" s="191">
        <v>536567702</v>
      </c>
      <c r="F71" s="187">
        <v>2169171</v>
      </c>
      <c r="G71" s="134">
        <v>2017</v>
      </c>
      <c r="H71" s="132" t="str">
        <f>VLOOKUP(D71,Source!F:F,1,FALSE)</f>
        <v>Mass. Water Resources Authority</v>
      </c>
    </row>
    <row r="72" spans="1:8" x14ac:dyDescent="0.25">
      <c r="A72" s="194" t="str">
        <f t="shared" si="2"/>
        <v>Massasoit Comm. College2013</v>
      </c>
      <c r="B72" s="134">
        <v>2013</v>
      </c>
      <c r="C72" s="136" t="s">
        <v>271</v>
      </c>
      <c r="D72" s="136" t="s">
        <v>587</v>
      </c>
      <c r="E72" s="191">
        <v>2846602</v>
      </c>
      <c r="F72" s="187">
        <v>22677.38</v>
      </c>
      <c r="G72" s="134">
        <v>2013</v>
      </c>
      <c r="H72" s="132" t="str">
        <f>VLOOKUP(D72,Source!F:F,1,FALSE)</f>
        <v>Massasoit Comm. College</v>
      </c>
    </row>
    <row r="73" spans="1:8" x14ac:dyDescent="0.25">
      <c r="A73" s="194" t="str">
        <f t="shared" si="2"/>
        <v>Massasoit Comm. College2014</v>
      </c>
      <c r="B73" s="134">
        <v>2014</v>
      </c>
      <c r="C73" s="136" t="s">
        <v>271</v>
      </c>
      <c r="D73" s="136" t="s">
        <v>587</v>
      </c>
      <c r="E73" s="191">
        <v>2674650</v>
      </c>
      <c r="F73" s="187">
        <v>23150.33</v>
      </c>
      <c r="G73" s="134">
        <v>2014</v>
      </c>
      <c r="H73" s="132" t="str">
        <f>VLOOKUP(D73,Source!F:F,1,FALSE)</f>
        <v>Massasoit Comm. College</v>
      </c>
    </row>
    <row r="74" spans="1:8" x14ac:dyDescent="0.25">
      <c r="A74" s="194" t="str">
        <f t="shared" si="2"/>
        <v>Massasoit Comm. College2015</v>
      </c>
      <c r="B74" s="134">
        <v>2015</v>
      </c>
      <c r="C74" s="136" t="s">
        <v>271</v>
      </c>
      <c r="D74" s="136" t="s">
        <v>587</v>
      </c>
      <c r="E74" s="191">
        <v>2841690</v>
      </c>
      <c r="F74" s="187">
        <v>23684.02</v>
      </c>
      <c r="G74" s="134">
        <v>2015</v>
      </c>
      <c r="H74" s="132" t="str">
        <f>VLOOKUP(D74,Source!F:F,1,FALSE)</f>
        <v>Massasoit Comm. College</v>
      </c>
    </row>
    <row r="75" spans="1:8" x14ac:dyDescent="0.25">
      <c r="A75" s="194" t="str">
        <f t="shared" si="2"/>
        <v>Massasoit Comm. College2016</v>
      </c>
      <c r="B75" s="134">
        <v>2016</v>
      </c>
      <c r="C75" s="136" t="s">
        <v>271</v>
      </c>
      <c r="D75" s="136" t="s">
        <v>587</v>
      </c>
      <c r="E75" s="191">
        <v>2445030</v>
      </c>
      <c r="F75" s="187">
        <v>19592.47</v>
      </c>
      <c r="G75" s="134">
        <v>2016</v>
      </c>
      <c r="H75" s="132" t="str">
        <f>VLOOKUP(D75,Source!F:F,1,FALSE)</f>
        <v>Massasoit Comm. College</v>
      </c>
    </row>
    <row r="76" spans="1:8" x14ac:dyDescent="0.25">
      <c r="A76" s="194" t="str">
        <f t="shared" si="2"/>
        <v>Massasoit Comm. College2017</v>
      </c>
      <c r="B76" s="134">
        <v>2017</v>
      </c>
      <c r="C76" s="136" t="s">
        <v>271</v>
      </c>
      <c r="D76" s="136" t="s">
        <v>587</v>
      </c>
      <c r="E76" s="191">
        <v>2870966</v>
      </c>
      <c r="F76" s="187">
        <v>27701.200000000001</v>
      </c>
      <c r="G76" s="134">
        <v>2017</v>
      </c>
      <c r="H76" s="132" t="str">
        <f>VLOOKUP(D76,Source!F:F,1,FALSE)</f>
        <v>Massasoit Comm. College</v>
      </c>
    </row>
    <row r="77" spans="1:8" x14ac:dyDescent="0.25">
      <c r="A77" s="194" t="str">
        <f t="shared" si="2"/>
        <v>MassPort Authority2013</v>
      </c>
      <c r="B77" s="134">
        <v>2013</v>
      </c>
      <c r="C77" s="136" t="s">
        <v>399</v>
      </c>
      <c r="D77" s="136" t="s">
        <v>79</v>
      </c>
      <c r="E77" s="191">
        <v>379052208</v>
      </c>
      <c r="F77" s="187">
        <v>5528976</v>
      </c>
      <c r="G77" s="134">
        <v>2013</v>
      </c>
      <c r="H77" s="132" t="str">
        <f>VLOOKUP(D77,Source!F:F,1,FALSE)</f>
        <v>MassPort Authority</v>
      </c>
    </row>
    <row r="78" spans="1:8" x14ac:dyDescent="0.25">
      <c r="A78" s="194" t="str">
        <f t="shared" si="2"/>
        <v>MassPort Authority2014</v>
      </c>
      <c r="B78" s="134">
        <v>2014</v>
      </c>
      <c r="C78" s="136" t="s">
        <v>399</v>
      </c>
      <c r="D78" s="136" t="s">
        <v>79</v>
      </c>
      <c r="E78" s="191">
        <v>394782432</v>
      </c>
      <c r="F78" s="187">
        <v>4909920</v>
      </c>
      <c r="G78" s="134">
        <v>2014</v>
      </c>
      <c r="H78" s="132" t="str">
        <f>VLOOKUP(D78,Source!F:F,1,FALSE)</f>
        <v>MassPort Authority</v>
      </c>
    </row>
    <row r="79" spans="1:8" x14ac:dyDescent="0.25">
      <c r="A79" s="194" t="str">
        <f t="shared" si="2"/>
        <v>MassPort Authority2015</v>
      </c>
      <c r="B79" s="134">
        <v>2015</v>
      </c>
      <c r="C79" s="136" t="s">
        <v>399</v>
      </c>
      <c r="D79" s="136" t="s">
        <v>79</v>
      </c>
      <c r="E79" s="191">
        <v>351313788</v>
      </c>
      <c r="F79" s="187">
        <v>5669664</v>
      </c>
      <c r="G79" s="134">
        <v>2015</v>
      </c>
      <c r="H79" s="132" t="str">
        <f>VLOOKUP(D79,Source!F:F,1,FALSE)</f>
        <v>MassPort Authority</v>
      </c>
    </row>
    <row r="80" spans="1:8" x14ac:dyDescent="0.25">
      <c r="A80" s="194" t="str">
        <f t="shared" si="2"/>
        <v>MassPort Authority2016</v>
      </c>
      <c r="B80" s="134">
        <v>2016</v>
      </c>
      <c r="C80" s="136" t="s">
        <v>399</v>
      </c>
      <c r="D80" s="136" t="s">
        <v>79</v>
      </c>
      <c r="E80" s="191">
        <v>365704400</v>
      </c>
      <c r="F80" s="187">
        <v>6204414</v>
      </c>
      <c r="G80" s="134">
        <v>2016</v>
      </c>
      <c r="H80" s="132" t="str">
        <f>VLOOKUP(D80,Source!F:F,1,FALSE)</f>
        <v>MassPort Authority</v>
      </c>
    </row>
    <row r="81" spans="1:8" x14ac:dyDescent="0.25">
      <c r="A81" s="194" t="str">
        <f t="shared" si="2"/>
        <v>MassPort Authority2017</v>
      </c>
      <c r="B81" s="134">
        <v>2017</v>
      </c>
      <c r="C81" s="136" t="s">
        <v>399</v>
      </c>
      <c r="D81" s="136" t="s">
        <v>79</v>
      </c>
      <c r="E81" s="191">
        <v>496254228</v>
      </c>
      <c r="F81" s="187">
        <v>6841739</v>
      </c>
      <c r="G81" s="134">
        <v>2017</v>
      </c>
      <c r="H81" s="132" t="str">
        <f>VLOOKUP(D81,Source!F:F,1,FALSE)</f>
        <v>MassPort Authority</v>
      </c>
    </row>
    <row r="82" spans="1:8" x14ac:dyDescent="0.25">
      <c r="A82" s="194" t="str">
        <f t="shared" si="2"/>
        <v>Mount Wachusett Comm. College2013</v>
      </c>
      <c r="B82" s="134">
        <v>2013</v>
      </c>
      <c r="C82" s="136" t="s">
        <v>271</v>
      </c>
      <c r="D82" s="136" t="s">
        <v>590</v>
      </c>
      <c r="E82" s="191">
        <v>421742</v>
      </c>
      <c r="F82" s="187">
        <v>0</v>
      </c>
      <c r="G82" s="134">
        <v>2013</v>
      </c>
      <c r="H82" s="132" t="str">
        <f>VLOOKUP(D82,Source!F:F,1,FALSE)</f>
        <v>Mount Wachusett Comm. College</v>
      </c>
    </row>
    <row r="83" spans="1:8" x14ac:dyDescent="0.25">
      <c r="A83" s="194" t="str">
        <f t="shared" si="2"/>
        <v>Mount Wachusett Comm. College2014</v>
      </c>
      <c r="B83" s="134">
        <v>2014</v>
      </c>
      <c r="C83" s="136" t="s">
        <v>271</v>
      </c>
      <c r="D83" s="136" t="s">
        <v>590</v>
      </c>
      <c r="E83" s="191">
        <v>413020</v>
      </c>
      <c r="F83" s="187">
        <v>0</v>
      </c>
      <c r="G83" s="134">
        <v>2014</v>
      </c>
      <c r="H83" s="132" t="str">
        <f>VLOOKUP(D83,Source!F:F,1,FALSE)</f>
        <v>Mount Wachusett Comm. College</v>
      </c>
    </row>
    <row r="84" spans="1:8" x14ac:dyDescent="0.25">
      <c r="A84" s="194" t="str">
        <f t="shared" si="2"/>
        <v>Mount Wachusett Comm. College2015</v>
      </c>
      <c r="B84" s="134">
        <v>2015</v>
      </c>
      <c r="C84" s="136" t="s">
        <v>271</v>
      </c>
      <c r="D84" s="136" t="s">
        <v>590</v>
      </c>
      <c r="E84" s="191">
        <v>417170</v>
      </c>
      <c r="F84" s="187">
        <v>0</v>
      </c>
      <c r="G84" s="134">
        <v>2015</v>
      </c>
      <c r="H84" s="132" t="str">
        <f>VLOOKUP(D84,Source!F:F,1,FALSE)</f>
        <v>Mount Wachusett Comm. College</v>
      </c>
    </row>
    <row r="85" spans="1:8" x14ac:dyDescent="0.25">
      <c r="A85" s="194" t="str">
        <f t="shared" si="2"/>
        <v>Mount Wachusett Comm. College2016</v>
      </c>
      <c r="B85" s="134">
        <v>2016</v>
      </c>
      <c r="C85" s="136" t="s">
        <v>271</v>
      </c>
      <c r="D85" s="136" t="s">
        <v>590</v>
      </c>
      <c r="E85" s="191">
        <v>474000</v>
      </c>
      <c r="F85" s="187">
        <v>21269</v>
      </c>
      <c r="G85" s="134">
        <v>2016</v>
      </c>
      <c r="H85" s="132" t="str">
        <f>VLOOKUP(D85,Source!F:F,1,FALSE)</f>
        <v>Mount Wachusett Comm. College</v>
      </c>
    </row>
    <row r="86" spans="1:8" x14ac:dyDescent="0.25">
      <c r="A86" s="194" t="str">
        <f t="shared" si="2"/>
        <v>Mount Wachusett Comm. College2017</v>
      </c>
      <c r="B86" s="134">
        <v>2017</v>
      </c>
      <c r="C86" s="136" t="s">
        <v>271</v>
      </c>
      <c r="D86" s="136" t="s">
        <v>590</v>
      </c>
      <c r="E86" s="191">
        <v>446500</v>
      </c>
      <c r="F86" s="187">
        <v>0</v>
      </c>
      <c r="G86" s="134">
        <v>2017</v>
      </c>
      <c r="H86" s="132" t="str">
        <f>VLOOKUP(D86,Source!F:F,1,FALSE)</f>
        <v>Mount Wachusett Comm. College</v>
      </c>
    </row>
    <row r="87" spans="1:8" x14ac:dyDescent="0.25">
      <c r="A87" s="194" t="str">
        <f t="shared" si="2"/>
        <v>North Shore Comm. College2013</v>
      </c>
      <c r="B87" s="134">
        <v>2013</v>
      </c>
      <c r="C87" s="136" t="s">
        <v>271</v>
      </c>
      <c r="D87" s="136" t="s">
        <v>591</v>
      </c>
      <c r="E87" s="191">
        <v>7981479</v>
      </c>
      <c r="F87" s="187">
        <v>58583.37</v>
      </c>
      <c r="G87" s="134">
        <v>2013</v>
      </c>
      <c r="H87" s="132" t="str">
        <f>VLOOKUP(D87,Source!F:F,1,FALSE)</f>
        <v>North Shore Comm. College</v>
      </c>
    </row>
    <row r="88" spans="1:8" x14ac:dyDescent="0.25">
      <c r="A88" s="194" t="str">
        <f t="shared" si="2"/>
        <v>North Shore Comm. College2014</v>
      </c>
      <c r="B88" s="134">
        <v>2014</v>
      </c>
      <c r="C88" s="136" t="s">
        <v>271</v>
      </c>
      <c r="D88" s="136" t="s">
        <v>591</v>
      </c>
      <c r="E88" s="191">
        <v>11095819</v>
      </c>
      <c r="F88" s="187">
        <v>66570</v>
      </c>
      <c r="G88" s="134">
        <v>2014</v>
      </c>
      <c r="H88" s="132" t="str">
        <f>VLOOKUP(D88,Source!F:F,1,FALSE)</f>
        <v>North Shore Comm. College</v>
      </c>
    </row>
    <row r="89" spans="1:8" x14ac:dyDescent="0.25">
      <c r="A89" s="194" t="str">
        <f t="shared" si="2"/>
        <v>North Shore Comm. College2015</v>
      </c>
      <c r="B89" s="134">
        <v>2015</v>
      </c>
      <c r="C89" s="136" t="s">
        <v>271</v>
      </c>
      <c r="D89" s="136" t="s">
        <v>591</v>
      </c>
      <c r="E89" s="191">
        <v>7429381</v>
      </c>
      <c r="F89" s="187">
        <v>74880</v>
      </c>
      <c r="G89" s="134">
        <v>2015</v>
      </c>
      <c r="H89" s="132" t="str">
        <f>VLOOKUP(D89,Source!F:F,1,FALSE)</f>
        <v>North Shore Comm. College</v>
      </c>
    </row>
    <row r="90" spans="1:8" x14ac:dyDescent="0.25">
      <c r="A90" s="194" t="str">
        <f t="shared" si="2"/>
        <v>North Shore Comm. College2016</v>
      </c>
      <c r="B90" s="134">
        <v>2016</v>
      </c>
      <c r="C90" s="136" t="s">
        <v>271</v>
      </c>
      <c r="D90" s="136" t="s">
        <v>591</v>
      </c>
      <c r="E90" s="191">
        <v>8526782.9299999997</v>
      </c>
      <c r="F90" s="187">
        <v>68412.820000000007</v>
      </c>
      <c r="G90" s="134">
        <v>2016</v>
      </c>
      <c r="H90" s="132" t="str">
        <f>VLOOKUP(D90,Source!F:F,1,FALSE)</f>
        <v>North Shore Comm. College</v>
      </c>
    </row>
    <row r="91" spans="1:8" x14ac:dyDescent="0.25">
      <c r="A91" s="194" t="str">
        <f t="shared" si="2"/>
        <v>North Shore Comm. College2017</v>
      </c>
      <c r="B91" s="134">
        <v>2017</v>
      </c>
      <c r="C91" s="136" t="s">
        <v>271</v>
      </c>
      <c r="D91" s="136" t="s">
        <v>591</v>
      </c>
      <c r="E91" s="191">
        <v>6314306</v>
      </c>
      <c r="F91" s="187">
        <v>67190.36</v>
      </c>
      <c r="G91" s="134">
        <v>2017</v>
      </c>
      <c r="H91" s="132" t="str">
        <f>VLOOKUP(D91,Source!F:F,1,FALSE)</f>
        <v>North Shore Comm. College</v>
      </c>
    </row>
    <row r="92" spans="1:8" x14ac:dyDescent="0.25">
      <c r="A92" s="194" t="str">
        <f t="shared" si="2"/>
        <v>Quinsigamond Comm. College2014</v>
      </c>
      <c r="B92" s="134">
        <v>2014</v>
      </c>
      <c r="C92" s="136" t="s">
        <v>271</v>
      </c>
      <c r="D92" s="136" t="s">
        <v>66</v>
      </c>
      <c r="E92" s="191">
        <v>26339</v>
      </c>
      <c r="F92" s="187">
        <v>12358</v>
      </c>
      <c r="G92" s="134">
        <v>2014</v>
      </c>
      <c r="H92" s="132" t="str">
        <f>VLOOKUP(D92,Source!F:F,1,FALSE)</f>
        <v>Quinsigamond Comm. College</v>
      </c>
    </row>
    <row r="93" spans="1:8" x14ac:dyDescent="0.25">
      <c r="A93" s="194" t="str">
        <f t="shared" si="2"/>
        <v>Quinsigamond Comm. College2015</v>
      </c>
      <c r="B93" s="134">
        <v>2015</v>
      </c>
      <c r="C93" s="136" t="s">
        <v>271</v>
      </c>
      <c r="D93" s="136" t="s">
        <v>66</v>
      </c>
      <c r="E93" s="191">
        <v>25598</v>
      </c>
      <c r="F93" s="187">
        <v>12114</v>
      </c>
      <c r="G93" s="134">
        <v>2015</v>
      </c>
      <c r="H93" s="132" t="str">
        <f>VLOOKUP(D93,Source!F:F,1,FALSE)</f>
        <v>Quinsigamond Comm. College</v>
      </c>
    </row>
    <row r="94" spans="1:8" x14ac:dyDescent="0.25">
      <c r="A94" s="194" t="str">
        <f t="shared" si="2"/>
        <v>Quinsigamond Comm. College2016</v>
      </c>
      <c r="B94" s="134">
        <v>2016</v>
      </c>
      <c r="C94" s="136" t="s">
        <v>271</v>
      </c>
      <c r="D94" s="136" t="s">
        <v>66</v>
      </c>
      <c r="E94" s="191">
        <v>24887.69</v>
      </c>
      <c r="F94" s="187">
        <v>11977</v>
      </c>
      <c r="G94" s="134">
        <v>2016</v>
      </c>
      <c r="H94" s="132" t="str">
        <f>VLOOKUP(D94,Source!F:F,1,FALSE)</f>
        <v>Quinsigamond Comm. College</v>
      </c>
    </row>
    <row r="95" spans="1:8" x14ac:dyDescent="0.25">
      <c r="A95" s="194" t="str">
        <f t="shared" si="2"/>
        <v>Roxbury Comm. College2016</v>
      </c>
      <c r="B95" s="134">
        <v>2016</v>
      </c>
      <c r="C95" s="136" t="s">
        <v>271</v>
      </c>
      <c r="D95" s="136" t="s">
        <v>67</v>
      </c>
      <c r="E95" s="191">
        <v>466300</v>
      </c>
      <c r="F95" s="187">
        <v>24685.34</v>
      </c>
      <c r="G95" s="134">
        <v>2016</v>
      </c>
      <c r="H95" s="132" t="str">
        <f>VLOOKUP(D95,Source!F:F,1,FALSE)</f>
        <v>Roxbury Comm. College</v>
      </c>
    </row>
    <row r="96" spans="1:8" x14ac:dyDescent="0.25">
      <c r="A96" s="194" t="str">
        <f t="shared" si="2"/>
        <v>Salem State University2014</v>
      </c>
      <c r="B96" s="134">
        <v>2014</v>
      </c>
      <c r="C96" s="136" t="s">
        <v>271</v>
      </c>
      <c r="D96" s="136" t="s">
        <v>68</v>
      </c>
      <c r="E96" s="191">
        <v>29071781</v>
      </c>
      <c r="F96" s="187">
        <v>449576.31</v>
      </c>
      <c r="G96" s="134">
        <v>2014</v>
      </c>
      <c r="H96" s="132" t="str">
        <f>VLOOKUP(D96,Source!F:F,1,FALSE)</f>
        <v>Salem State University</v>
      </c>
    </row>
    <row r="97" spans="1:8" x14ac:dyDescent="0.25">
      <c r="A97" s="194" t="str">
        <f t="shared" si="2"/>
        <v>Salem State University2015</v>
      </c>
      <c r="B97" s="134">
        <v>2015</v>
      </c>
      <c r="C97" s="136" t="s">
        <v>271</v>
      </c>
      <c r="D97" s="136" t="s">
        <v>68</v>
      </c>
      <c r="E97" s="191">
        <v>27696925</v>
      </c>
      <c r="F97" s="187">
        <v>433166.06</v>
      </c>
      <c r="G97" s="134">
        <v>2015</v>
      </c>
      <c r="H97" s="132" t="str">
        <f>VLOOKUP(D97,Source!F:F,1,FALSE)</f>
        <v>Salem State University</v>
      </c>
    </row>
    <row r="98" spans="1:8" x14ac:dyDescent="0.25">
      <c r="A98" s="194" t="str">
        <f t="shared" ref="A98:A129" si="3">D98&amp;G98</f>
        <v>Salem State University2016</v>
      </c>
      <c r="B98" s="134">
        <v>2016</v>
      </c>
      <c r="C98" s="136" t="s">
        <v>271</v>
      </c>
      <c r="D98" s="136" t="s">
        <v>68</v>
      </c>
      <c r="E98" s="191">
        <v>26144983</v>
      </c>
      <c r="F98" s="187">
        <v>428080.98</v>
      </c>
      <c r="G98" s="134">
        <v>2016</v>
      </c>
      <c r="H98" s="132" t="str">
        <f>VLOOKUP(D98,Source!F:F,1,FALSE)</f>
        <v>Salem State University</v>
      </c>
    </row>
    <row r="99" spans="1:8" x14ac:dyDescent="0.25">
      <c r="A99" s="194" t="str">
        <f t="shared" si="3"/>
        <v>Salem State University2017</v>
      </c>
      <c r="B99" s="134">
        <v>2017</v>
      </c>
      <c r="C99" s="136" t="s">
        <v>271</v>
      </c>
      <c r="D99" s="136" t="s">
        <v>68</v>
      </c>
      <c r="E99" s="191">
        <v>22736866</v>
      </c>
      <c r="F99" s="187">
        <v>387943</v>
      </c>
      <c r="G99" s="134">
        <v>2017</v>
      </c>
      <c r="H99" s="132" t="str">
        <f>VLOOKUP(D99,Source!F:F,1,FALSE)</f>
        <v>Salem State University</v>
      </c>
    </row>
    <row r="100" spans="1:8" x14ac:dyDescent="0.25">
      <c r="A100" s="194" t="str">
        <f t="shared" si="3"/>
        <v>Springfield Technical Comm. College2013</v>
      </c>
      <c r="B100" s="134">
        <v>2013</v>
      </c>
      <c r="C100" s="136" t="s">
        <v>271</v>
      </c>
      <c r="D100" s="136" t="s">
        <v>592</v>
      </c>
      <c r="E100" s="191">
        <v>1807000</v>
      </c>
      <c r="F100" s="187">
        <v>43380.36</v>
      </c>
      <c r="G100" s="134">
        <v>2013</v>
      </c>
      <c r="H100" s="132" t="str">
        <f>VLOOKUP(D100,Source!F:F,1,FALSE)</f>
        <v>Springfield Technical Comm. College</v>
      </c>
    </row>
    <row r="101" spans="1:8" x14ac:dyDescent="0.25">
      <c r="A101" s="194" t="str">
        <f t="shared" si="3"/>
        <v>Springfield Technical Comm. College2014</v>
      </c>
      <c r="B101" s="134">
        <v>2014</v>
      </c>
      <c r="C101" s="136" t="s">
        <v>271</v>
      </c>
      <c r="D101" s="136" t="s">
        <v>592</v>
      </c>
      <c r="E101" s="191">
        <v>1688100</v>
      </c>
      <c r="F101" s="187">
        <v>42214.27</v>
      </c>
      <c r="G101" s="134">
        <v>2014</v>
      </c>
      <c r="H101" s="132" t="str">
        <f>VLOOKUP(D101,Source!F:F,1,FALSE)</f>
        <v>Springfield Technical Comm. College</v>
      </c>
    </row>
    <row r="102" spans="1:8" x14ac:dyDescent="0.25">
      <c r="A102" s="194" t="str">
        <f t="shared" si="3"/>
        <v>Springfield Technical Comm. College2015</v>
      </c>
      <c r="B102" s="134">
        <v>2015</v>
      </c>
      <c r="C102" s="136" t="s">
        <v>271</v>
      </c>
      <c r="D102" s="136" t="s">
        <v>592</v>
      </c>
      <c r="E102" s="191">
        <v>1343500</v>
      </c>
      <c r="F102" s="187">
        <v>37508.47</v>
      </c>
      <c r="G102" s="134">
        <v>2015</v>
      </c>
      <c r="H102" s="132" t="str">
        <f>VLOOKUP(D102,Source!F:F,1,FALSE)</f>
        <v>Springfield Technical Comm. College</v>
      </c>
    </row>
    <row r="103" spans="1:8" x14ac:dyDescent="0.25">
      <c r="A103" s="194" t="str">
        <f t="shared" si="3"/>
        <v>Springfield Technical Comm. College2016</v>
      </c>
      <c r="B103" s="134">
        <v>2016</v>
      </c>
      <c r="C103" s="136" t="s">
        <v>271</v>
      </c>
      <c r="D103" s="136" t="s">
        <v>592</v>
      </c>
      <c r="E103" s="191">
        <v>1768700</v>
      </c>
      <c r="F103" s="187">
        <v>48974.55</v>
      </c>
      <c r="G103" s="134">
        <v>2016</v>
      </c>
      <c r="H103" s="132" t="str">
        <f>VLOOKUP(D103,Source!F:F,1,FALSE)</f>
        <v>Springfield Technical Comm. College</v>
      </c>
    </row>
    <row r="104" spans="1:8" x14ac:dyDescent="0.25">
      <c r="A104" s="194" t="str">
        <f t="shared" si="3"/>
        <v>Springfield Technical Comm. College2017</v>
      </c>
      <c r="B104" s="134">
        <v>2017</v>
      </c>
      <c r="C104" s="136" t="s">
        <v>271</v>
      </c>
      <c r="D104" s="136" t="s">
        <v>592</v>
      </c>
      <c r="E104" s="191">
        <v>6274972</v>
      </c>
      <c r="F104" s="187">
        <v>48663</v>
      </c>
      <c r="G104" s="134">
        <v>2017</v>
      </c>
      <c r="H104" s="132" t="str">
        <f>VLOOKUP(D104,Source!F:F,1,FALSE)</f>
        <v>Springfield Technical Comm. College</v>
      </c>
    </row>
    <row r="105" spans="1:8" x14ac:dyDescent="0.25">
      <c r="A105" s="194" t="str">
        <f t="shared" si="3"/>
        <v>Trial Court2013</v>
      </c>
      <c r="B105" s="134">
        <v>2013</v>
      </c>
      <c r="C105" s="136" t="s">
        <v>735</v>
      </c>
      <c r="D105" s="136" t="s">
        <v>69</v>
      </c>
      <c r="E105" s="191">
        <v>44404157</v>
      </c>
      <c r="F105" s="187">
        <v>592788.72</v>
      </c>
      <c r="G105" s="134">
        <v>2013</v>
      </c>
      <c r="H105" s="132" t="str">
        <f>VLOOKUP(D105,Source!F:F,1,FALSE)</f>
        <v>Trial Court</v>
      </c>
    </row>
    <row r="106" spans="1:8" x14ac:dyDescent="0.25">
      <c r="A106" s="194" t="str">
        <f t="shared" si="3"/>
        <v>Trial Court2014</v>
      </c>
      <c r="B106" s="134">
        <v>2014</v>
      </c>
      <c r="C106" s="136" t="s">
        <v>735</v>
      </c>
      <c r="D106" s="136" t="s">
        <v>69</v>
      </c>
      <c r="E106" s="191">
        <v>41786837</v>
      </c>
      <c r="F106" s="187">
        <v>580383.47</v>
      </c>
      <c r="G106" s="134">
        <v>2014</v>
      </c>
      <c r="H106" s="132" t="str">
        <f>VLOOKUP(D106,Source!F:F,1,FALSE)</f>
        <v>Trial Court</v>
      </c>
    </row>
    <row r="107" spans="1:8" x14ac:dyDescent="0.25">
      <c r="A107" s="194" t="str">
        <f t="shared" si="3"/>
        <v>Trial Court2015</v>
      </c>
      <c r="B107" s="134">
        <v>2015</v>
      </c>
      <c r="C107" s="136" t="s">
        <v>735</v>
      </c>
      <c r="D107" s="136" t="s">
        <v>69</v>
      </c>
      <c r="E107" s="191">
        <v>40647499</v>
      </c>
      <c r="F107" s="187">
        <v>586951.03</v>
      </c>
      <c r="G107" s="134">
        <v>2015</v>
      </c>
      <c r="H107" s="132" t="str">
        <f>VLOOKUP(D107,Source!F:F,1,FALSE)</f>
        <v>Trial Court</v>
      </c>
    </row>
    <row r="108" spans="1:8" x14ac:dyDescent="0.25">
      <c r="A108" s="194" t="str">
        <f t="shared" si="3"/>
        <v>Trial Court2016</v>
      </c>
      <c r="B108" s="134">
        <v>2016</v>
      </c>
      <c r="C108" s="136" t="s">
        <v>735</v>
      </c>
      <c r="D108" s="136" t="s">
        <v>69</v>
      </c>
      <c r="E108" s="191">
        <v>39058065</v>
      </c>
      <c r="F108" s="187">
        <v>579321.72</v>
      </c>
      <c r="G108" s="134">
        <v>2016</v>
      </c>
      <c r="H108" s="132" t="str">
        <f>VLOOKUP(D108,Source!F:F,1,FALSE)</f>
        <v>Trial Court</v>
      </c>
    </row>
    <row r="109" spans="1:8" x14ac:dyDescent="0.25">
      <c r="A109" s="194" t="str">
        <f t="shared" si="3"/>
        <v>Trial Court2017</v>
      </c>
      <c r="B109" s="134">
        <v>2017</v>
      </c>
      <c r="C109" s="136" t="s">
        <v>735</v>
      </c>
      <c r="D109" s="136" t="s">
        <v>69</v>
      </c>
      <c r="E109" s="191">
        <v>38425708</v>
      </c>
      <c r="F109" s="187">
        <v>610332.71</v>
      </c>
      <c r="G109" s="134">
        <v>2017</v>
      </c>
      <c r="H109" s="132" t="str">
        <f>VLOOKUP(D109,Source!F:F,1,FALSE)</f>
        <v>Trial Court</v>
      </c>
    </row>
    <row r="110" spans="1:8" x14ac:dyDescent="0.25">
      <c r="A110" s="194" t="str">
        <f t="shared" si="3"/>
        <v>UMass Amherst2013</v>
      </c>
      <c r="B110" s="134">
        <v>2013</v>
      </c>
      <c r="C110" s="136" t="s">
        <v>458</v>
      </c>
      <c r="D110" s="136" t="s">
        <v>70</v>
      </c>
      <c r="E110" s="191">
        <v>210872100</v>
      </c>
      <c r="F110" s="187">
        <v>0</v>
      </c>
      <c r="G110" s="134">
        <v>2013</v>
      </c>
      <c r="H110" s="132" t="str">
        <f>VLOOKUP(D110,Source!F:F,1,FALSE)</f>
        <v>UMass Amherst</v>
      </c>
    </row>
    <row r="111" spans="1:8" x14ac:dyDescent="0.25">
      <c r="A111" s="194" t="str">
        <f t="shared" si="3"/>
        <v>UMass Amherst2014</v>
      </c>
      <c r="B111" s="134">
        <v>2014</v>
      </c>
      <c r="C111" s="136" t="s">
        <v>458</v>
      </c>
      <c r="D111" s="136" t="s">
        <v>70</v>
      </c>
      <c r="E111" s="191">
        <v>298649801</v>
      </c>
      <c r="F111" s="187">
        <v>0</v>
      </c>
      <c r="G111" s="134">
        <v>2014</v>
      </c>
      <c r="H111" s="132" t="str">
        <f>VLOOKUP(D111,Source!F:F,1,FALSE)</f>
        <v>UMass Amherst</v>
      </c>
    </row>
    <row r="112" spans="1:8" x14ac:dyDescent="0.25">
      <c r="A112" s="194" t="str">
        <f t="shared" si="3"/>
        <v>UMass Amherst2015</v>
      </c>
      <c r="B112" s="148">
        <v>2015</v>
      </c>
      <c r="C112" s="148" t="s">
        <v>458</v>
      </c>
      <c r="D112" s="148" t="s">
        <v>70</v>
      </c>
      <c r="E112" s="197">
        <v>358777400</v>
      </c>
      <c r="F112" s="198">
        <v>0</v>
      </c>
      <c r="G112" s="148">
        <v>2015</v>
      </c>
      <c r="H112" s="147" t="str">
        <f>VLOOKUP(D112,Source!F:F,1,FALSE)</f>
        <v>UMass Amherst</v>
      </c>
    </row>
    <row r="113" spans="1:8" x14ac:dyDescent="0.25">
      <c r="A113" s="194" t="str">
        <f t="shared" si="3"/>
        <v>UMass Amherst2016</v>
      </c>
      <c r="B113" s="148">
        <v>2016</v>
      </c>
      <c r="C113" s="148" t="s">
        <v>458</v>
      </c>
      <c r="D113" s="148" t="s">
        <v>70</v>
      </c>
      <c r="E113" s="197">
        <v>278825067</v>
      </c>
      <c r="F113" s="198">
        <v>0</v>
      </c>
      <c r="G113" s="148">
        <v>2016</v>
      </c>
      <c r="H113" s="147" t="str">
        <f>VLOOKUP(D113,Source!F:F,1,FALSE)</f>
        <v>UMass Amherst</v>
      </c>
    </row>
    <row r="114" spans="1:8" x14ac:dyDescent="0.25">
      <c r="A114" s="194" t="str">
        <f t="shared" si="3"/>
        <v>UMass Amherst2017</v>
      </c>
      <c r="B114" s="148">
        <v>2017</v>
      </c>
      <c r="C114" s="148" t="s">
        <v>458</v>
      </c>
      <c r="D114" s="148" t="s">
        <v>70</v>
      </c>
      <c r="E114" s="197">
        <v>261328215</v>
      </c>
      <c r="F114" s="198">
        <v>0</v>
      </c>
      <c r="G114" s="148">
        <v>2017</v>
      </c>
      <c r="H114" s="147" t="str">
        <f>VLOOKUP(D114,Source!F:F,1,FALSE)</f>
        <v>UMass Amherst</v>
      </c>
    </row>
    <row r="115" spans="1:8" x14ac:dyDescent="0.25">
      <c r="A115" s="194" t="str">
        <f t="shared" si="3"/>
        <v>UMass Boston2013</v>
      </c>
      <c r="B115" s="148">
        <v>2013</v>
      </c>
      <c r="C115" s="148" t="s">
        <v>458</v>
      </c>
      <c r="D115" s="148" t="s">
        <v>71</v>
      </c>
      <c r="E115" s="197">
        <v>10026940</v>
      </c>
      <c r="F115" s="198">
        <v>176525</v>
      </c>
      <c r="G115" s="148">
        <v>2013</v>
      </c>
      <c r="H115" s="147" t="str">
        <f>VLOOKUP(D115,Source!F:F,1,FALSE)</f>
        <v>UMass Boston</v>
      </c>
    </row>
    <row r="116" spans="1:8" x14ac:dyDescent="0.25">
      <c r="A116" s="194" t="str">
        <f t="shared" si="3"/>
        <v>UMass Boston2014</v>
      </c>
      <c r="B116" s="148">
        <v>2014</v>
      </c>
      <c r="C116" s="148" t="s">
        <v>458</v>
      </c>
      <c r="D116" s="148" t="s">
        <v>71</v>
      </c>
      <c r="E116" s="197">
        <v>18161440</v>
      </c>
      <c r="F116" s="198">
        <v>355473</v>
      </c>
      <c r="G116" s="148">
        <v>2014</v>
      </c>
      <c r="H116" s="147" t="str">
        <f>VLOOKUP(D116,Source!F:F,1,FALSE)</f>
        <v>UMass Boston</v>
      </c>
    </row>
    <row r="117" spans="1:8" x14ac:dyDescent="0.25">
      <c r="A117" s="194" t="str">
        <f t="shared" si="3"/>
        <v>UMass Boston2015</v>
      </c>
      <c r="B117" s="148">
        <v>2015</v>
      </c>
      <c r="C117" s="148" t="s">
        <v>458</v>
      </c>
      <c r="D117" s="148" t="s">
        <v>71</v>
      </c>
      <c r="E117" s="197">
        <v>23197012</v>
      </c>
      <c r="F117" s="198">
        <v>532640</v>
      </c>
      <c r="G117" s="148">
        <v>2015</v>
      </c>
      <c r="H117" s="147" t="str">
        <f>VLOOKUP(D117,Source!F:F,1,FALSE)</f>
        <v>UMass Boston</v>
      </c>
    </row>
    <row r="118" spans="1:8" x14ac:dyDescent="0.25">
      <c r="A118" s="194" t="str">
        <f t="shared" si="3"/>
        <v>UMass Boston2016</v>
      </c>
      <c r="B118" s="148">
        <v>2016</v>
      </c>
      <c r="C118" s="148" t="s">
        <v>458</v>
      </c>
      <c r="D118" s="148" t="s">
        <v>71</v>
      </c>
      <c r="E118" s="197">
        <v>30840519</v>
      </c>
      <c r="F118" s="198">
        <v>575671</v>
      </c>
      <c r="G118" s="148">
        <v>2016</v>
      </c>
      <c r="H118" s="147" t="str">
        <f>VLOOKUP(D118,Source!F:F,1,FALSE)</f>
        <v>UMass Boston</v>
      </c>
    </row>
    <row r="119" spans="1:8" x14ac:dyDescent="0.25">
      <c r="A119" s="194" t="str">
        <f t="shared" si="3"/>
        <v>UMass Boston2017</v>
      </c>
      <c r="B119" s="148">
        <v>2017</v>
      </c>
      <c r="C119" s="148" t="s">
        <v>458</v>
      </c>
      <c r="D119" s="148" t="s">
        <v>71</v>
      </c>
      <c r="E119" s="197">
        <v>16071154</v>
      </c>
      <c r="F119" s="198">
        <v>641600</v>
      </c>
      <c r="G119" s="148">
        <v>2017</v>
      </c>
      <c r="H119" s="147" t="str">
        <f>VLOOKUP(D119,Source!F:F,1,FALSE)</f>
        <v>UMass Boston</v>
      </c>
    </row>
    <row r="120" spans="1:8" x14ac:dyDescent="0.25">
      <c r="A120" s="194" t="str">
        <f t="shared" si="3"/>
        <v>UMass Dartmouth2013</v>
      </c>
      <c r="B120" s="148">
        <v>2013</v>
      </c>
      <c r="C120" s="148" t="s">
        <v>458</v>
      </c>
      <c r="D120" s="148" t="s">
        <v>72</v>
      </c>
      <c r="E120" s="197">
        <v>2045350</v>
      </c>
      <c r="F120" s="198">
        <v>377670.17</v>
      </c>
      <c r="G120" s="148">
        <v>2013</v>
      </c>
      <c r="H120" s="147" t="str">
        <f>VLOOKUP(D120,Source!F:F,1,FALSE)</f>
        <v>UMass Dartmouth</v>
      </c>
    </row>
    <row r="121" spans="1:8" x14ac:dyDescent="0.25">
      <c r="A121" s="194" t="str">
        <f t="shared" si="3"/>
        <v>UMass Dartmouth2014</v>
      </c>
      <c r="B121" s="148">
        <v>2014</v>
      </c>
      <c r="C121" s="148" t="s">
        <v>458</v>
      </c>
      <c r="D121" s="148" t="s">
        <v>72</v>
      </c>
      <c r="E121" s="197">
        <v>2709527</v>
      </c>
      <c r="F121" s="198">
        <v>522212.34</v>
      </c>
      <c r="G121" s="148">
        <v>2014</v>
      </c>
      <c r="H121" s="147" t="str">
        <f>VLOOKUP(D121,Source!F:F,1,FALSE)</f>
        <v>UMass Dartmouth</v>
      </c>
    </row>
    <row r="122" spans="1:8" x14ac:dyDescent="0.25">
      <c r="A122" s="194" t="str">
        <f t="shared" si="3"/>
        <v>UMass Dartmouth2015</v>
      </c>
      <c r="B122" s="148">
        <v>2015</v>
      </c>
      <c r="C122" s="148" t="s">
        <v>458</v>
      </c>
      <c r="D122" s="148" t="s">
        <v>72</v>
      </c>
      <c r="E122" s="197">
        <v>1800413</v>
      </c>
      <c r="F122" s="198">
        <v>390964.88</v>
      </c>
      <c r="G122" s="148">
        <v>2015</v>
      </c>
      <c r="H122" s="147" t="str">
        <f>VLOOKUP(D122,Source!F:F,1,FALSE)</f>
        <v>UMass Dartmouth</v>
      </c>
    </row>
    <row r="123" spans="1:8" x14ac:dyDescent="0.25">
      <c r="A123" s="194" t="str">
        <f t="shared" si="3"/>
        <v>UMass Dartmouth2016</v>
      </c>
      <c r="B123" s="148">
        <v>2016</v>
      </c>
      <c r="C123" s="148" t="s">
        <v>458</v>
      </c>
      <c r="D123" s="148" t="s">
        <v>72</v>
      </c>
      <c r="E123" s="197">
        <v>1875594</v>
      </c>
      <c r="F123" s="198">
        <v>374797</v>
      </c>
      <c r="G123" s="148">
        <v>2016</v>
      </c>
      <c r="H123" s="147" t="str">
        <f>VLOOKUP(D123,Source!F:F,1,FALSE)</f>
        <v>UMass Dartmouth</v>
      </c>
    </row>
    <row r="124" spans="1:8" x14ac:dyDescent="0.25">
      <c r="A124" s="194" t="str">
        <f t="shared" si="3"/>
        <v>UMass Dartmouth2017</v>
      </c>
      <c r="B124" s="148">
        <v>2017</v>
      </c>
      <c r="C124" s="148" t="s">
        <v>458</v>
      </c>
      <c r="D124" s="148" t="s">
        <v>72</v>
      </c>
      <c r="E124" s="197">
        <v>0</v>
      </c>
      <c r="F124" s="198">
        <v>0</v>
      </c>
      <c r="G124" s="148">
        <v>2017</v>
      </c>
      <c r="H124" s="147" t="str">
        <f>VLOOKUP(D124,Source!F:F,1,FALSE)</f>
        <v>UMass Dartmouth</v>
      </c>
    </row>
    <row r="125" spans="1:8" x14ac:dyDescent="0.25">
      <c r="A125" s="194" t="str">
        <f t="shared" si="3"/>
        <v>UMass Lowell2013</v>
      </c>
      <c r="B125" s="148">
        <v>2013</v>
      </c>
      <c r="C125" s="148" t="s">
        <v>458</v>
      </c>
      <c r="D125" s="148" t="s">
        <v>73</v>
      </c>
      <c r="E125" s="197">
        <v>69981384</v>
      </c>
      <c r="F125" s="198">
        <v>504153.25</v>
      </c>
      <c r="G125" s="148">
        <v>2013</v>
      </c>
      <c r="H125" s="147" t="str">
        <f>VLOOKUP(D125,Source!F:F,1,FALSE)</f>
        <v>UMass Lowell</v>
      </c>
    </row>
    <row r="126" spans="1:8" x14ac:dyDescent="0.25">
      <c r="A126" s="194" t="str">
        <f t="shared" si="3"/>
        <v>UMass Lowell2014</v>
      </c>
      <c r="B126" s="148">
        <v>2014</v>
      </c>
      <c r="C126" s="148" t="s">
        <v>458</v>
      </c>
      <c r="D126" s="148" t="s">
        <v>73</v>
      </c>
      <c r="E126" s="197">
        <v>78903528</v>
      </c>
      <c r="F126" s="198">
        <v>882405.6</v>
      </c>
      <c r="G126" s="148">
        <v>2014</v>
      </c>
      <c r="H126" s="147" t="str">
        <f>VLOOKUP(D126,Source!F:F,1,FALSE)</f>
        <v>UMass Lowell</v>
      </c>
    </row>
    <row r="127" spans="1:8" x14ac:dyDescent="0.25">
      <c r="A127" s="194" t="str">
        <f t="shared" si="3"/>
        <v>UMass Lowell2015</v>
      </c>
      <c r="B127" s="148">
        <v>2015</v>
      </c>
      <c r="C127" s="148" t="s">
        <v>458</v>
      </c>
      <c r="D127" s="148" t="s">
        <v>73</v>
      </c>
      <c r="E127" s="197">
        <v>52534284</v>
      </c>
      <c r="F127" s="198">
        <v>438569.83</v>
      </c>
      <c r="G127" s="148">
        <v>2015</v>
      </c>
      <c r="H127" s="147" t="str">
        <f>VLOOKUP(D127,Source!F:F,1,FALSE)</f>
        <v>UMass Lowell</v>
      </c>
    </row>
    <row r="128" spans="1:8" x14ac:dyDescent="0.25">
      <c r="A128" s="194" t="str">
        <f t="shared" si="3"/>
        <v>UMass Lowell2016</v>
      </c>
      <c r="B128" s="148">
        <v>2016</v>
      </c>
      <c r="C128" s="148" t="s">
        <v>458</v>
      </c>
      <c r="D128" s="148" t="s">
        <v>73</v>
      </c>
      <c r="E128" s="197">
        <v>69245672.719999999</v>
      </c>
      <c r="F128" s="198">
        <v>662076.42000000004</v>
      </c>
      <c r="G128" s="148">
        <v>2016</v>
      </c>
      <c r="H128" s="147" t="str">
        <f>VLOOKUP(D128,Source!F:F,1,FALSE)</f>
        <v>UMass Lowell</v>
      </c>
    </row>
    <row r="129" spans="1:8" x14ac:dyDescent="0.25">
      <c r="A129" s="194" t="str">
        <f t="shared" si="3"/>
        <v>UMass Lowell2017</v>
      </c>
      <c r="B129" s="148">
        <v>2017</v>
      </c>
      <c r="C129" s="148" t="s">
        <v>458</v>
      </c>
      <c r="D129" s="148" t="s">
        <v>73</v>
      </c>
      <c r="E129" s="197">
        <v>51747855</v>
      </c>
      <c r="F129" s="198">
        <v>476768.53</v>
      </c>
      <c r="G129" s="148">
        <v>2017</v>
      </c>
      <c r="H129" s="147" t="str">
        <f>VLOOKUP(D129,Source!F:F,1,FALSE)</f>
        <v>UMass Lowell</v>
      </c>
    </row>
    <row r="130" spans="1:8" x14ac:dyDescent="0.25">
      <c r="A130" s="194" t="str">
        <f t="shared" ref="A130:A139" si="4">D130&amp;G130</f>
        <v>UMass Medical2013</v>
      </c>
      <c r="B130" s="148">
        <v>2013</v>
      </c>
      <c r="C130" s="148" t="s">
        <v>458</v>
      </c>
      <c r="D130" s="148" t="s">
        <v>74</v>
      </c>
      <c r="E130" s="197">
        <v>205086592</v>
      </c>
      <c r="F130" s="198">
        <v>922889.66399999999</v>
      </c>
      <c r="G130" s="148">
        <v>2013</v>
      </c>
      <c r="H130" s="147" t="str">
        <f>VLOOKUP(D130,Source!F:F,1,FALSE)</f>
        <v>UMass Medical</v>
      </c>
    </row>
    <row r="131" spans="1:8" x14ac:dyDescent="0.25">
      <c r="A131" s="194" t="str">
        <f t="shared" si="4"/>
        <v>UMass Medical2014</v>
      </c>
      <c r="B131" s="148">
        <v>2014</v>
      </c>
      <c r="C131" s="148" t="s">
        <v>458</v>
      </c>
      <c r="D131" s="148" t="s">
        <v>74</v>
      </c>
      <c r="E131" s="197">
        <v>208071144</v>
      </c>
      <c r="F131" s="198">
        <v>728249.00399999996</v>
      </c>
      <c r="G131" s="148">
        <v>2014</v>
      </c>
      <c r="H131" s="147" t="str">
        <f>VLOOKUP(D131,Source!F:F,1,FALSE)</f>
        <v>UMass Medical</v>
      </c>
    </row>
    <row r="132" spans="1:8" x14ac:dyDescent="0.25">
      <c r="A132" s="194" t="str">
        <f t="shared" si="4"/>
        <v>UMass Medical2015</v>
      </c>
      <c r="B132" s="148">
        <v>2015</v>
      </c>
      <c r="C132" s="148" t="s">
        <v>458</v>
      </c>
      <c r="D132" s="148" t="s">
        <v>74</v>
      </c>
      <c r="E132" s="197">
        <v>191263351</v>
      </c>
      <c r="F132" s="198">
        <v>726800.73380000005</v>
      </c>
      <c r="G132" s="148">
        <v>2015</v>
      </c>
      <c r="H132" s="147" t="str">
        <f>VLOOKUP(D132,Source!F:F,1,FALSE)</f>
        <v>UMass Medical</v>
      </c>
    </row>
    <row r="133" spans="1:8" x14ac:dyDescent="0.25">
      <c r="A133" s="194" t="str">
        <f t="shared" si="4"/>
        <v>UMass Medical2016</v>
      </c>
      <c r="B133" s="148">
        <v>2016</v>
      </c>
      <c r="C133" s="148" t="s">
        <v>458</v>
      </c>
      <c r="D133" s="148" t="s">
        <v>74</v>
      </c>
      <c r="E133" s="197">
        <v>197875920</v>
      </c>
      <c r="F133" s="198">
        <v>952344</v>
      </c>
      <c r="G133" s="148">
        <v>2016</v>
      </c>
      <c r="H133" s="147" t="str">
        <f>VLOOKUP(D133,Source!F:F,1,FALSE)</f>
        <v>UMass Medical</v>
      </c>
    </row>
    <row r="134" spans="1:8" x14ac:dyDescent="0.25">
      <c r="A134" s="194" t="str">
        <f t="shared" si="4"/>
        <v>UMass Medical2017</v>
      </c>
      <c r="B134" s="148">
        <v>2017</v>
      </c>
      <c r="C134" s="148" t="s">
        <v>458</v>
      </c>
      <c r="D134" s="148" t="s">
        <v>74</v>
      </c>
      <c r="E134" s="197">
        <v>203732760</v>
      </c>
      <c r="F134" s="198">
        <v>980532</v>
      </c>
      <c r="G134" s="148">
        <v>2017</v>
      </c>
      <c r="H134" s="147" t="str">
        <f>VLOOKUP(D134,Source!F:F,1,FALSE)</f>
        <v>UMass Medical</v>
      </c>
    </row>
    <row r="135" spans="1:8" x14ac:dyDescent="0.25">
      <c r="A135" s="194" t="str">
        <f t="shared" si="4"/>
        <v>Westfield State University2016</v>
      </c>
      <c r="B135" s="148">
        <v>2016</v>
      </c>
      <c r="C135" s="148" t="s">
        <v>271</v>
      </c>
      <c r="D135" s="148" t="s">
        <v>75</v>
      </c>
      <c r="E135" s="197">
        <v>41118700</v>
      </c>
      <c r="F135" s="198">
        <v>296465</v>
      </c>
      <c r="G135" s="148">
        <v>2016</v>
      </c>
      <c r="H135" s="147" t="str">
        <f>VLOOKUP(D135,Source!F:F,1,FALSE)</f>
        <v>Westfield State University</v>
      </c>
    </row>
    <row r="136" spans="1:8" x14ac:dyDescent="0.25">
      <c r="A136" s="194" t="str">
        <f t="shared" si="4"/>
        <v>Worcester State University2014</v>
      </c>
      <c r="B136" s="148">
        <v>2014</v>
      </c>
      <c r="C136" s="148" t="s">
        <v>271</v>
      </c>
      <c r="D136" s="148" t="s">
        <v>76</v>
      </c>
      <c r="E136" s="197">
        <v>13423792</v>
      </c>
      <c r="F136" s="198">
        <v>63164</v>
      </c>
      <c r="G136" s="148">
        <v>2014</v>
      </c>
      <c r="H136" s="147" t="str">
        <f>VLOOKUP(D136,Source!F:F,1,FALSE)</f>
        <v>Worcester State University</v>
      </c>
    </row>
    <row r="137" spans="1:8" x14ac:dyDescent="0.25">
      <c r="A137" s="194" t="str">
        <f t="shared" si="4"/>
        <v>Worcester State University2015</v>
      </c>
      <c r="B137" s="148">
        <v>2015</v>
      </c>
      <c r="C137" s="148" t="s">
        <v>271</v>
      </c>
      <c r="D137" s="148" t="s">
        <v>76</v>
      </c>
      <c r="E137" s="197">
        <v>17101963</v>
      </c>
      <c r="F137" s="198">
        <v>81038.28</v>
      </c>
      <c r="G137" s="148">
        <v>2015</v>
      </c>
      <c r="H137" s="147" t="str">
        <f>VLOOKUP(D137,Source!F:F,1,FALSE)</f>
        <v>Worcester State University</v>
      </c>
    </row>
    <row r="138" spans="1:8" x14ac:dyDescent="0.25">
      <c r="A138" s="194" t="str">
        <f t="shared" si="4"/>
        <v>Worcester State University2016</v>
      </c>
      <c r="B138" s="148">
        <v>2016</v>
      </c>
      <c r="C138" s="148" t="s">
        <v>271</v>
      </c>
      <c r="D138" s="148" t="s">
        <v>76</v>
      </c>
      <c r="E138" s="197">
        <v>19789115</v>
      </c>
      <c r="F138" s="198">
        <v>95254.2</v>
      </c>
      <c r="G138" s="148">
        <v>2016</v>
      </c>
      <c r="H138" s="147" t="str">
        <f>VLOOKUP(D138,Source!F:F,1,FALSE)</f>
        <v>Worcester State University</v>
      </c>
    </row>
    <row r="139" spans="1:8" x14ac:dyDescent="0.25">
      <c r="A139" s="194" t="str">
        <f t="shared" si="4"/>
        <v>Worcester State University2017</v>
      </c>
      <c r="B139" s="148">
        <v>2017</v>
      </c>
      <c r="C139" s="148" t="s">
        <v>271</v>
      </c>
      <c r="D139" s="148" t="s">
        <v>76</v>
      </c>
      <c r="E139" s="197">
        <v>17646068</v>
      </c>
      <c r="F139" s="198">
        <v>242653.4</v>
      </c>
      <c r="G139" s="148">
        <v>2017</v>
      </c>
      <c r="H139" s="147" t="str">
        <f>VLOOKUP(D139,Source!F:F,1,FALSE)</f>
        <v>Worcester State University</v>
      </c>
    </row>
  </sheetData>
  <autoFilter ref="A1:H139">
    <sortState ref="A2:H139">
      <sortCondition ref="A1:A139"/>
    </sortState>
  </autoFilter>
  <sortState ref="A2:H139">
    <sortCondition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C141"/>
  <sheetViews>
    <sheetView workbookViewId="0">
      <selection activeCell="B40" sqref="B40:O43"/>
    </sheetView>
  </sheetViews>
  <sheetFormatPr defaultColWidth="0" defaultRowHeight="15" zeroHeight="1" x14ac:dyDescent="0.25"/>
  <cols>
    <col min="1" max="1" width="3.140625" style="604" customWidth="1"/>
    <col min="2" max="2" width="3.7109375" style="492" customWidth="1"/>
    <col min="3" max="3" width="18.5703125" style="492" customWidth="1"/>
    <col min="4" max="4" width="12" style="492" customWidth="1"/>
    <col min="5" max="5" width="9.140625" style="492" customWidth="1"/>
    <col min="6" max="6" width="12.28515625" style="492" customWidth="1"/>
    <col min="7" max="7" width="9.140625" style="492" customWidth="1"/>
    <col min="8" max="8" width="11.7109375" style="492" customWidth="1"/>
    <col min="9" max="9" width="26.42578125" style="492" customWidth="1"/>
    <col min="10" max="10" width="9.140625" style="492" customWidth="1"/>
    <col min="11" max="11" width="7.85546875" style="492" customWidth="1"/>
    <col min="12" max="12" width="6.7109375" style="492" customWidth="1"/>
    <col min="13" max="13" width="19.85546875" style="492" customWidth="1"/>
    <col min="14" max="14" width="13" style="492" customWidth="1"/>
    <col min="15" max="15" width="6" style="492" customWidth="1"/>
    <col min="16" max="16" width="4.7109375" style="492" customWidth="1"/>
    <col min="17" max="17" width="9.140625" style="492" hidden="1" customWidth="1"/>
    <col min="18" max="18" width="13.28515625" style="492" hidden="1" customWidth="1"/>
    <col min="19" max="29" width="0" style="492" hidden="1" customWidth="1"/>
    <col min="30" max="16384" width="9.140625" style="492" hidden="1"/>
  </cols>
  <sheetData>
    <row r="1" spans="1:16" s="489" customFormat="1" ht="15.75" thickBot="1" x14ac:dyDescent="0.3">
      <c r="A1" s="604"/>
      <c r="B1" s="844" t="s">
        <v>509</v>
      </c>
      <c r="C1" s="844"/>
      <c r="D1" s="844"/>
      <c r="E1" s="844"/>
      <c r="F1" s="844"/>
      <c r="G1" s="844"/>
      <c r="H1" s="844"/>
      <c r="I1" s="844"/>
      <c r="J1" s="844"/>
      <c r="K1" s="844"/>
      <c r="L1" s="844"/>
      <c r="M1" s="844"/>
      <c r="N1" s="844"/>
      <c r="O1" s="844"/>
      <c r="P1" s="492"/>
    </row>
    <row r="2" spans="1:16" s="489" customFormat="1" ht="15" customHeight="1" x14ac:dyDescent="0.25">
      <c r="A2" s="604"/>
      <c r="B2" s="814" t="s">
        <v>514</v>
      </c>
      <c r="C2" s="811"/>
      <c r="D2" s="1003" t="s">
        <v>1260</v>
      </c>
      <c r="E2" s="1004"/>
      <c r="F2" s="1004"/>
      <c r="G2" s="1004"/>
      <c r="H2" s="1004"/>
      <c r="I2" s="1004"/>
      <c r="J2" s="1004"/>
      <c r="K2" s="1004"/>
      <c r="L2" s="1004"/>
      <c r="M2" s="1004"/>
      <c r="N2" s="1004"/>
      <c r="O2" s="1004"/>
      <c r="P2" s="492"/>
    </row>
    <row r="3" spans="1:16" s="489" customFormat="1" x14ac:dyDescent="0.25">
      <c r="A3" s="604"/>
      <c r="B3" s="814"/>
      <c r="C3" s="811"/>
      <c r="D3" s="1005"/>
      <c r="E3" s="1006"/>
      <c r="F3" s="1006"/>
      <c r="G3" s="1006"/>
      <c r="H3" s="1006"/>
      <c r="I3" s="1006"/>
      <c r="J3" s="1006"/>
      <c r="K3" s="1006"/>
      <c r="L3" s="1006"/>
      <c r="M3" s="1006"/>
      <c r="N3" s="1006"/>
      <c r="O3" s="1006"/>
      <c r="P3" s="492"/>
    </row>
    <row r="4" spans="1:16" s="489" customFormat="1" ht="15.75" thickBot="1" x14ac:dyDescent="0.3">
      <c r="A4" s="604"/>
      <c r="B4" s="814"/>
      <c r="C4" s="811"/>
      <c r="D4" s="1007"/>
      <c r="E4" s="1008"/>
      <c r="F4" s="1008"/>
      <c r="G4" s="1008"/>
      <c r="H4" s="1008"/>
      <c r="I4" s="1008"/>
      <c r="J4" s="1008"/>
      <c r="K4" s="1008"/>
      <c r="L4" s="1008"/>
      <c r="M4" s="1008"/>
      <c r="N4" s="1008"/>
      <c r="O4" s="1008"/>
      <c r="P4" s="492"/>
    </row>
    <row r="5" spans="1:16" s="489" customFormat="1" ht="15" customHeight="1" x14ac:dyDescent="0.25">
      <c r="A5" s="604"/>
      <c r="B5" s="814"/>
      <c r="C5" s="811"/>
      <c r="D5" s="1041" t="s">
        <v>1114</v>
      </c>
      <c r="E5" s="1042"/>
      <c r="F5" s="1042"/>
      <c r="G5" s="1042"/>
      <c r="H5" s="1042"/>
      <c r="I5" s="1042"/>
      <c r="J5" s="1042"/>
      <c r="K5" s="1042"/>
      <c r="L5" s="1042"/>
      <c r="M5" s="1042"/>
      <c r="N5" s="1042"/>
      <c r="O5" s="1042"/>
      <c r="P5" s="492"/>
    </row>
    <row r="6" spans="1:16" x14ac:dyDescent="0.25">
      <c r="B6" s="213"/>
      <c r="C6" s="213"/>
      <c r="D6" s="213"/>
      <c r="E6" s="213"/>
      <c r="F6" s="213"/>
      <c r="G6" s="213"/>
      <c r="H6" s="213"/>
      <c r="I6" s="213"/>
      <c r="J6" s="213"/>
      <c r="K6" s="213"/>
      <c r="L6" s="213"/>
      <c r="M6" s="213"/>
      <c r="N6" s="213"/>
      <c r="O6" s="213"/>
    </row>
    <row r="7" spans="1:16" s="489" customFormat="1" ht="21" x14ac:dyDescent="0.25">
      <c r="A7" s="604"/>
      <c r="B7" s="1043" t="s">
        <v>514</v>
      </c>
      <c r="C7" s="1043"/>
      <c r="D7" s="1043"/>
      <c r="E7" s="1043"/>
      <c r="F7" s="1043"/>
      <c r="G7" s="1043"/>
      <c r="H7" s="1043"/>
      <c r="I7" s="1043"/>
      <c r="J7" s="1043"/>
      <c r="K7" s="1043"/>
      <c r="L7" s="1043"/>
      <c r="M7" s="1043"/>
      <c r="N7" s="1043"/>
      <c r="O7" s="1043"/>
      <c r="P7" s="492"/>
    </row>
    <row r="8" spans="1:16" s="533" customFormat="1" ht="11.25" customHeight="1" thickBot="1" x14ac:dyDescent="0.3">
      <c r="A8" s="605"/>
      <c r="B8" s="606"/>
      <c r="C8" s="606"/>
      <c r="D8" s="606"/>
      <c r="E8" s="606"/>
      <c r="F8" s="606"/>
      <c r="G8" s="606"/>
      <c r="H8" s="606"/>
      <c r="I8" s="606"/>
      <c r="J8" s="606"/>
      <c r="K8" s="606"/>
      <c r="L8" s="606"/>
      <c r="M8" s="606"/>
      <c r="N8" s="606"/>
      <c r="O8" s="606"/>
    </row>
    <row r="9" spans="1:16" s="609" customFormat="1" ht="28.5" customHeight="1" thickBot="1" x14ac:dyDescent="0.3">
      <c r="A9" s="607"/>
      <c r="B9" s="435">
        <v>1</v>
      </c>
      <c r="C9" s="1034" t="s">
        <v>874</v>
      </c>
      <c r="D9" s="1035"/>
      <c r="E9" s="1035"/>
      <c r="F9" s="1035"/>
      <c r="G9" s="1035"/>
      <c r="H9" s="1035"/>
      <c r="I9" s="1035"/>
      <c r="J9" s="1035"/>
      <c r="K9" s="1035"/>
      <c r="L9" s="1032" t="s">
        <v>1148</v>
      </c>
      <c r="M9" s="1033"/>
      <c r="N9" s="1033"/>
      <c r="O9" s="1033"/>
      <c r="P9" s="608"/>
    </row>
    <row r="10" spans="1:16" s="533" customFormat="1" ht="15.75" thickBot="1" x14ac:dyDescent="0.3">
      <c r="A10" s="605"/>
      <c r="B10" s="584"/>
      <c r="C10" s="585"/>
      <c r="D10" s="585"/>
      <c r="E10" s="585"/>
      <c r="F10" s="585"/>
      <c r="G10" s="585"/>
      <c r="H10" s="585"/>
      <c r="I10" s="585"/>
      <c r="J10" s="610"/>
      <c r="K10" s="610"/>
      <c r="L10" s="611"/>
      <c r="M10" s="611"/>
      <c r="N10" s="611"/>
      <c r="O10" s="611"/>
    </row>
    <row r="11" spans="1:16" s="533" customFormat="1" ht="28.5" customHeight="1" thickBot="1" x14ac:dyDescent="0.3">
      <c r="A11" s="605"/>
      <c r="B11" s="423">
        <v>2</v>
      </c>
      <c r="C11" s="989" t="s">
        <v>1261</v>
      </c>
      <c r="D11" s="1035"/>
      <c r="E11" s="1035"/>
      <c r="F11" s="1035"/>
      <c r="G11" s="1035"/>
      <c r="H11" s="1035"/>
      <c r="I11" s="1035"/>
      <c r="J11" s="1035"/>
      <c r="K11" s="1040"/>
      <c r="L11" s="1032" t="s">
        <v>1148</v>
      </c>
      <c r="M11" s="1033"/>
      <c r="N11" s="1033"/>
      <c r="O11" s="1033"/>
    </row>
    <row r="12" spans="1:16" s="489" customFormat="1" ht="15.75" thickBot="1" x14ac:dyDescent="0.3">
      <c r="A12" s="604"/>
      <c r="B12" s="584"/>
      <c r="C12" s="585"/>
      <c r="D12" s="585"/>
      <c r="E12" s="585"/>
      <c r="F12" s="585"/>
      <c r="G12" s="585"/>
      <c r="H12" s="585"/>
      <c r="I12" s="585"/>
      <c r="J12" s="610"/>
      <c r="K12" s="610"/>
      <c r="L12" s="611"/>
      <c r="M12" s="611"/>
      <c r="N12" s="611"/>
      <c r="O12" s="611"/>
      <c r="P12" s="492"/>
    </row>
    <row r="13" spans="1:16" s="489" customFormat="1" ht="29.25" customHeight="1" thickBot="1" x14ac:dyDescent="0.3">
      <c r="A13" s="604"/>
      <c r="B13" s="423">
        <v>3</v>
      </c>
      <c r="C13" s="1034" t="s">
        <v>1262</v>
      </c>
      <c r="D13" s="1035"/>
      <c r="E13" s="1035"/>
      <c r="F13" s="1035"/>
      <c r="G13" s="1035"/>
      <c r="H13" s="1035"/>
      <c r="I13" s="1035"/>
      <c r="J13" s="1035"/>
      <c r="K13" s="1035"/>
      <c r="L13" s="1032" t="s">
        <v>1148</v>
      </c>
      <c r="M13" s="1033"/>
      <c r="N13" s="1033"/>
      <c r="O13" s="1033"/>
      <c r="P13" s="492"/>
    </row>
    <row r="14" spans="1:16" s="612" customFormat="1" ht="15.75" thickBot="1" x14ac:dyDescent="0.3"/>
    <row r="15" spans="1:16" s="533" customFormat="1" ht="30.75" customHeight="1" thickBot="1" x14ac:dyDescent="0.3">
      <c r="A15" s="613"/>
      <c r="B15" s="814">
        <v>4</v>
      </c>
      <c r="C15" s="1047" t="s">
        <v>1221</v>
      </c>
      <c r="D15" s="677"/>
      <c r="E15" s="677"/>
      <c r="F15" s="677"/>
      <c r="G15" s="677"/>
      <c r="H15" s="677"/>
      <c r="I15" s="677"/>
      <c r="J15" s="677"/>
      <c r="K15" s="677"/>
      <c r="L15" s="1032" t="s">
        <v>885</v>
      </c>
      <c r="M15" s="1033"/>
      <c r="N15" s="1033"/>
      <c r="O15" s="1033"/>
    </row>
    <row r="16" spans="1:16" s="489" customFormat="1" ht="30" customHeight="1" thickBot="1" x14ac:dyDescent="0.3">
      <c r="A16" s="604"/>
      <c r="B16" s="1046"/>
      <c r="C16" s="1048" t="s">
        <v>1001</v>
      </c>
      <c r="D16" s="1049"/>
      <c r="E16" s="1049"/>
      <c r="F16" s="1049"/>
      <c r="G16" s="1049"/>
      <c r="H16" s="1049"/>
      <c r="I16" s="1049"/>
      <c r="J16" s="1049"/>
      <c r="K16" s="1049"/>
      <c r="L16" s="1032" t="s">
        <v>885</v>
      </c>
      <c r="M16" s="1033"/>
      <c r="N16" s="1033"/>
      <c r="O16" s="1033"/>
      <c r="P16" s="492"/>
    </row>
    <row r="17" spans="1:18" s="592" customFormat="1" ht="17.25" customHeight="1" x14ac:dyDescent="0.25">
      <c r="A17" s="614"/>
      <c r="B17" s="584"/>
      <c r="C17" s="581"/>
      <c r="D17" s="581"/>
      <c r="E17" s="581"/>
      <c r="F17" s="583"/>
      <c r="G17" s="582"/>
      <c r="H17" s="582"/>
      <c r="I17" s="814" t="s">
        <v>621</v>
      </c>
      <c r="J17" s="814"/>
      <c r="K17" s="814"/>
      <c r="L17" s="1076" t="e">
        <f>L15/(L15+L16)</f>
        <v>#VALUE!</v>
      </c>
      <c r="M17" s="1077"/>
      <c r="N17" s="1077"/>
      <c r="O17" s="1077"/>
      <c r="P17" s="591"/>
    </row>
    <row r="18" spans="1:18" x14ac:dyDescent="0.25">
      <c r="B18" s="584"/>
      <c r="O18" s="533"/>
    </row>
    <row r="19" spans="1:18" s="609" customFormat="1" ht="32.25" customHeight="1" x14ac:dyDescent="0.25">
      <c r="A19" s="607"/>
      <c r="B19" s="1023" t="s">
        <v>1186</v>
      </c>
      <c r="C19" s="1023"/>
      <c r="D19" s="1023"/>
      <c r="E19" s="1023"/>
      <c r="F19" s="1023"/>
      <c r="G19" s="1023"/>
      <c r="H19" s="1023"/>
      <c r="I19" s="1023"/>
      <c r="J19" s="1023"/>
      <c r="K19" s="1023"/>
      <c r="L19" s="1023"/>
      <c r="M19" s="1023"/>
      <c r="N19" s="1023"/>
      <c r="O19" s="1023"/>
      <c r="P19" s="608"/>
    </row>
    <row r="20" spans="1:18" s="489" customFormat="1" x14ac:dyDescent="0.25">
      <c r="A20" s="615"/>
      <c r="B20" s="1044" t="s">
        <v>1185</v>
      </c>
      <c r="C20" s="1045"/>
      <c r="D20" s="1045"/>
      <c r="E20" s="1045"/>
      <c r="F20" s="1045"/>
      <c r="G20" s="1044" t="s">
        <v>1184</v>
      </c>
      <c r="H20" s="1044"/>
      <c r="I20" s="1044"/>
      <c r="J20" s="1044" t="s">
        <v>1000</v>
      </c>
      <c r="K20" s="1044"/>
      <c r="L20" s="1045" t="s">
        <v>224</v>
      </c>
      <c r="M20" s="1045"/>
      <c r="N20" s="1045"/>
      <c r="O20" s="1045"/>
      <c r="P20" s="492"/>
    </row>
    <row r="21" spans="1:18" s="489" customFormat="1" ht="18" customHeight="1" x14ac:dyDescent="0.25">
      <c r="A21" s="615"/>
      <c r="B21" s="1045"/>
      <c r="C21" s="1045"/>
      <c r="D21" s="1045"/>
      <c r="E21" s="1045"/>
      <c r="F21" s="1045"/>
      <c r="G21" s="1044"/>
      <c r="H21" s="1044"/>
      <c r="I21" s="1044"/>
      <c r="J21" s="1044"/>
      <c r="K21" s="1044"/>
      <c r="L21" s="1045"/>
      <c r="M21" s="1045"/>
      <c r="N21" s="1045"/>
      <c r="O21" s="1045"/>
      <c r="P21" s="492"/>
    </row>
    <row r="22" spans="1:18" s="489" customFormat="1" ht="18" customHeight="1" thickBot="1" x14ac:dyDescent="0.3">
      <c r="A22" s="615"/>
      <c r="B22" s="1050" t="s">
        <v>520</v>
      </c>
      <c r="C22" s="1050"/>
      <c r="D22" s="1050"/>
      <c r="E22" s="1050"/>
      <c r="F22" s="1050"/>
      <c r="G22" s="1053" t="s">
        <v>1148</v>
      </c>
      <c r="H22" s="1054"/>
      <c r="I22" s="1055"/>
      <c r="J22" s="1080"/>
      <c r="K22" s="1080"/>
      <c r="L22" s="1051"/>
      <c r="M22" s="1052"/>
      <c r="N22" s="1052"/>
      <c r="O22" s="1052"/>
      <c r="P22" s="492"/>
      <c r="R22" s="616"/>
    </row>
    <row r="23" spans="1:18" s="489" customFormat="1" ht="18" customHeight="1" thickBot="1" x14ac:dyDescent="0.3">
      <c r="A23" s="615"/>
      <c r="B23" s="1050" t="s">
        <v>521</v>
      </c>
      <c r="C23" s="1050"/>
      <c r="D23" s="1050"/>
      <c r="E23" s="1050"/>
      <c r="F23" s="1050"/>
      <c r="G23" s="1037" t="s">
        <v>1148</v>
      </c>
      <c r="H23" s="1038"/>
      <c r="I23" s="1039"/>
      <c r="J23" s="1036"/>
      <c r="K23" s="1032"/>
      <c r="L23" s="1032"/>
      <c r="M23" s="1033"/>
      <c r="N23" s="1033"/>
      <c r="O23" s="1033"/>
      <c r="P23" s="492"/>
      <c r="R23" s="617"/>
    </row>
    <row r="24" spans="1:18" s="489" customFormat="1" ht="18" customHeight="1" thickBot="1" x14ac:dyDescent="0.3">
      <c r="A24" s="604"/>
      <c r="B24" s="1056" t="s">
        <v>522</v>
      </c>
      <c r="C24" s="1056"/>
      <c r="D24" s="1056"/>
      <c r="E24" s="1056"/>
      <c r="F24" s="1056"/>
      <c r="G24" s="1037" t="s">
        <v>1148</v>
      </c>
      <c r="H24" s="1038"/>
      <c r="I24" s="1039"/>
      <c r="J24" s="1036"/>
      <c r="K24" s="1032"/>
      <c r="L24" s="1032"/>
      <c r="M24" s="1033"/>
      <c r="N24" s="1033"/>
      <c r="O24" s="1033"/>
      <c r="P24" s="492"/>
    </row>
    <row r="25" spans="1:18" s="489" customFormat="1" ht="18" customHeight="1" thickBot="1" x14ac:dyDescent="0.3">
      <c r="A25" s="604"/>
      <c r="B25" s="1050" t="s">
        <v>523</v>
      </c>
      <c r="C25" s="1050"/>
      <c r="D25" s="1050"/>
      <c r="E25" s="1050"/>
      <c r="F25" s="1050"/>
      <c r="G25" s="1037" t="s">
        <v>1148</v>
      </c>
      <c r="H25" s="1038"/>
      <c r="I25" s="1039"/>
      <c r="J25" s="1036"/>
      <c r="K25" s="1032"/>
      <c r="L25" s="1032"/>
      <c r="M25" s="1033"/>
      <c r="N25" s="1033"/>
      <c r="O25" s="1033"/>
      <c r="P25" s="492"/>
    </row>
    <row r="26" spans="1:18" s="489" customFormat="1" ht="18" customHeight="1" thickBot="1" x14ac:dyDescent="0.3">
      <c r="A26" s="604"/>
      <c r="B26" s="1056" t="s">
        <v>524</v>
      </c>
      <c r="C26" s="1056"/>
      <c r="D26" s="1056"/>
      <c r="E26" s="1056"/>
      <c r="F26" s="1056"/>
      <c r="G26" s="1037" t="s">
        <v>1148</v>
      </c>
      <c r="H26" s="1038"/>
      <c r="I26" s="1039"/>
      <c r="J26" s="1036"/>
      <c r="K26" s="1032"/>
      <c r="L26" s="1032"/>
      <c r="M26" s="1033"/>
      <c r="N26" s="1033"/>
      <c r="O26" s="1033"/>
      <c r="P26" s="492"/>
    </row>
    <row r="27" spans="1:18" s="489" customFormat="1" ht="18" customHeight="1" thickBot="1" x14ac:dyDescent="0.3">
      <c r="A27" s="604"/>
      <c r="B27" s="1056" t="s">
        <v>525</v>
      </c>
      <c r="C27" s="1056"/>
      <c r="D27" s="1056"/>
      <c r="E27" s="1056"/>
      <c r="F27" s="1056"/>
      <c r="G27" s="1037" t="s">
        <v>1148</v>
      </c>
      <c r="H27" s="1038"/>
      <c r="I27" s="1039"/>
      <c r="J27" s="1036"/>
      <c r="K27" s="1032"/>
      <c r="L27" s="1032"/>
      <c r="M27" s="1033"/>
      <c r="N27" s="1033"/>
      <c r="O27" s="1033"/>
      <c r="P27" s="492"/>
    </row>
    <row r="28" spans="1:18" s="489" customFormat="1" ht="18" customHeight="1" thickBot="1" x14ac:dyDescent="0.3">
      <c r="A28" s="604"/>
      <c r="B28" s="1056" t="s">
        <v>526</v>
      </c>
      <c r="C28" s="1056"/>
      <c r="D28" s="1056"/>
      <c r="E28" s="1056"/>
      <c r="F28" s="1056"/>
      <c r="G28" s="1037" t="s">
        <v>1148</v>
      </c>
      <c r="H28" s="1038"/>
      <c r="I28" s="1039"/>
      <c r="J28" s="1036"/>
      <c r="K28" s="1032"/>
      <c r="L28" s="1032"/>
      <c r="M28" s="1033"/>
      <c r="N28" s="1033"/>
      <c r="O28" s="1033"/>
      <c r="P28" s="492"/>
    </row>
    <row r="29" spans="1:18" s="489" customFormat="1" ht="18" customHeight="1" thickBot="1" x14ac:dyDescent="0.3">
      <c r="A29" s="604"/>
      <c r="B29" s="1056" t="s">
        <v>527</v>
      </c>
      <c r="C29" s="1056"/>
      <c r="D29" s="1056"/>
      <c r="E29" s="1056"/>
      <c r="F29" s="1056"/>
      <c r="G29" s="1037" t="s">
        <v>1148</v>
      </c>
      <c r="H29" s="1038"/>
      <c r="I29" s="1039"/>
      <c r="J29" s="1036"/>
      <c r="K29" s="1032"/>
      <c r="L29" s="1032"/>
      <c r="M29" s="1033"/>
      <c r="N29" s="1033"/>
      <c r="O29" s="1033"/>
      <c r="P29" s="492"/>
    </row>
    <row r="30" spans="1:18" s="489" customFormat="1" ht="18" customHeight="1" thickBot="1" x14ac:dyDescent="0.3">
      <c r="A30" s="604"/>
      <c r="B30" s="1056" t="s">
        <v>528</v>
      </c>
      <c r="C30" s="1056"/>
      <c r="D30" s="1056"/>
      <c r="E30" s="1056"/>
      <c r="F30" s="1056"/>
      <c r="G30" s="1037" t="s">
        <v>1148</v>
      </c>
      <c r="H30" s="1038"/>
      <c r="I30" s="1039"/>
      <c r="J30" s="1036"/>
      <c r="K30" s="1032"/>
      <c r="L30" s="1032"/>
      <c r="M30" s="1033"/>
      <c r="N30" s="1033"/>
      <c r="O30" s="1033"/>
      <c r="P30" s="492"/>
    </row>
    <row r="31" spans="1:18" s="489" customFormat="1" ht="18" customHeight="1" thickBot="1" x14ac:dyDescent="0.3">
      <c r="A31" s="604"/>
      <c r="B31" s="1056" t="s">
        <v>529</v>
      </c>
      <c r="C31" s="1056"/>
      <c r="D31" s="1056"/>
      <c r="E31" s="1056"/>
      <c r="F31" s="1056"/>
      <c r="G31" s="1037" t="s">
        <v>1148</v>
      </c>
      <c r="H31" s="1038"/>
      <c r="I31" s="1039"/>
      <c r="J31" s="1036"/>
      <c r="K31" s="1032"/>
      <c r="L31" s="1032"/>
      <c r="M31" s="1033"/>
      <c r="N31" s="1033"/>
      <c r="O31" s="1033"/>
      <c r="P31" s="492"/>
    </row>
    <row r="32" spans="1:18" s="489" customFormat="1" ht="18" customHeight="1" thickBot="1" x14ac:dyDescent="0.3">
      <c r="A32" s="604"/>
      <c r="B32" s="1056" t="s">
        <v>530</v>
      </c>
      <c r="C32" s="1056"/>
      <c r="D32" s="1056"/>
      <c r="E32" s="1056"/>
      <c r="F32" s="1056"/>
      <c r="G32" s="1037" t="s">
        <v>1148</v>
      </c>
      <c r="H32" s="1038"/>
      <c r="I32" s="1039"/>
      <c r="J32" s="1036"/>
      <c r="K32" s="1032"/>
      <c r="L32" s="1032"/>
      <c r="M32" s="1033"/>
      <c r="N32" s="1033"/>
      <c r="O32" s="1033"/>
      <c r="P32" s="492"/>
    </row>
    <row r="33" spans="1:29" s="489" customFormat="1" ht="18" customHeight="1" thickBot="1" x14ac:dyDescent="0.3">
      <c r="A33" s="604"/>
      <c r="B33" s="1056" t="s">
        <v>531</v>
      </c>
      <c r="C33" s="1056"/>
      <c r="D33" s="1056"/>
      <c r="E33" s="1056"/>
      <c r="F33" s="1056"/>
      <c r="G33" s="1037" t="s">
        <v>1148</v>
      </c>
      <c r="H33" s="1038"/>
      <c r="I33" s="1039"/>
      <c r="J33" s="1036"/>
      <c r="K33" s="1032"/>
      <c r="L33" s="1032"/>
      <c r="M33" s="1033"/>
      <c r="N33" s="1033"/>
      <c r="O33" s="1033"/>
      <c r="P33" s="492"/>
      <c r="Q33" s="618"/>
    </row>
    <row r="34" spans="1:29" s="489" customFormat="1" ht="18" customHeight="1" thickBot="1" x14ac:dyDescent="0.3">
      <c r="A34" s="604"/>
      <c r="B34" s="1056" t="s">
        <v>532</v>
      </c>
      <c r="C34" s="1056"/>
      <c r="D34" s="1056"/>
      <c r="E34" s="1056"/>
      <c r="F34" s="1056"/>
      <c r="G34" s="1037" t="s">
        <v>1148</v>
      </c>
      <c r="H34" s="1038"/>
      <c r="I34" s="1039"/>
      <c r="J34" s="1036"/>
      <c r="K34" s="1032"/>
      <c r="L34" s="1032"/>
      <c r="M34" s="1033"/>
      <c r="N34" s="1033"/>
      <c r="O34" s="1033"/>
      <c r="P34" s="492"/>
      <c r="Q34" s="618"/>
    </row>
    <row r="35" spans="1:29" s="489" customFormat="1" ht="18" customHeight="1" thickBot="1" x14ac:dyDescent="0.3">
      <c r="A35" s="604"/>
      <c r="B35" s="1056" t="s">
        <v>533</v>
      </c>
      <c r="C35" s="1056"/>
      <c r="D35" s="1056"/>
      <c r="E35" s="1056"/>
      <c r="F35" s="1056"/>
      <c r="G35" s="1037" t="s">
        <v>1148</v>
      </c>
      <c r="H35" s="1038"/>
      <c r="I35" s="1039"/>
      <c r="J35" s="1036"/>
      <c r="K35" s="1032"/>
      <c r="L35" s="1057"/>
      <c r="M35" s="1058"/>
      <c r="N35" s="1058"/>
      <c r="O35" s="1058"/>
      <c r="P35" s="492"/>
      <c r="Q35" s="618"/>
    </row>
    <row r="36" spans="1:29" s="489" customFormat="1" ht="18" customHeight="1" thickBot="1" x14ac:dyDescent="0.3">
      <c r="A36" s="604"/>
      <c r="B36" s="1061" t="s">
        <v>1129</v>
      </c>
      <c r="C36" s="1061"/>
      <c r="D36" s="1061"/>
      <c r="E36" s="1061"/>
      <c r="F36" s="1061"/>
      <c r="G36" s="1037" t="s">
        <v>1148</v>
      </c>
      <c r="H36" s="1038"/>
      <c r="I36" s="1039"/>
      <c r="J36" s="1036"/>
      <c r="K36" s="1032"/>
      <c r="L36" s="1057"/>
      <c r="M36" s="1058"/>
      <c r="N36" s="1058"/>
      <c r="O36" s="1058"/>
      <c r="P36" s="492"/>
      <c r="Q36" s="618"/>
    </row>
    <row r="37" spans="1:29" s="489" customFormat="1" ht="18" customHeight="1" thickBot="1" x14ac:dyDescent="0.3">
      <c r="A37" s="604"/>
      <c r="B37" s="1061" t="s">
        <v>1129</v>
      </c>
      <c r="C37" s="1061"/>
      <c r="D37" s="1061"/>
      <c r="E37" s="1061"/>
      <c r="F37" s="1061"/>
      <c r="G37" s="1037" t="s">
        <v>1148</v>
      </c>
      <c r="H37" s="1038"/>
      <c r="I37" s="1039"/>
      <c r="J37" s="1078"/>
      <c r="K37" s="1079"/>
      <c r="L37" s="1059"/>
      <c r="M37" s="1060"/>
      <c r="N37" s="1060"/>
      <c r="O37" s="1060"/>
      <c r="P37" s="492"/>
      <c r="Q37" s="618"/>
    </row>
    <row r="38" spans="1:29" x14ac:dyDescent="0.25"/>
    <row r="39" spans="1:29" ht="15.75" thickBot="1" x14ac:dyDescent="0.3">
      <c r="B39" s="619">
        <v>5</v>
      </c>
      <c r="C39" s="1065" t="s">
        <v>728</v>
      </c>
      <c r="D39" s="1066"/>
      <c r="E39" s="1066"/>
      <c r="F39" s="1066"/>
      <c r="G39" s="1066"/>
      <c r="H39" s="1066"/>
      <c r="I39" s="1066"/>
      <c r="J39" s="1066"/>
      <c r="K39" s="1066"/>
      <c r="L39" s="1066"/>
      <c r="M39" s="1066"/>
      <c r="N39" s="1066"/>
      <c r="O39" s="1066"/>
    </row>
    <row r="40" spans="1:29" x14ac:dyDescent="0.25">
      <c r="B40" s="1067"/>
      <c r="C40" s="1067"/>
      <c r="D40" s="1067"/>
      <c r="E40" s="1067"/>
      <c r="F40" s="1067"/>
      <c r="G40" s="1067"/>
      <c r="H40" s="1067"/>
      <c r="I40" s="1067"/>
      <c r="J40" s="1067"/>
      <c r="K40" s="1067"/>
      <c r="L40" s="1067"/>
      <c r="M40" s="1067"/>
      <c r="N40" s="1067"/>
      <c r="O40" s="1067"/>
      <c r="P40" s="620"/>
    </row>
    <row r="41" spans="1:29" ht="3.75" customHeight="1" x14ac:dyDescent="0.25">
      <c r="B41" s="1068"/>
      <c r="C41" s="1068"/>
      <c r="D41" s="1068"/>
      <c r="E41" s="1068"/>
      <c r="F41" s="1068"/>
      <c r="G41" s="1068"/>
      <c r="H41" s="1068"/>
      <c r="I41" s="1068"/>
      <c r="J41" s="1068"/>
      <c r="K41" s="1068"/>
      <c r="L41" s="1068"/>
      <c r="M41" s="1068"/>
      <c r="N41" s="1068"/>
      <c r="O41" s="1068"/>
      <c r="P41" s="620"/>
    </row>
    <row r="42" spans="1:29" s="621" customFormat="1" ht="15" customHeight="1" x14ac:dyDescent="0.25">
      <c r="B42" s="1068"/>
      <c r="C42" s="1068"/>
      <c r="D42" s="1068"/>
      <c r="E42" s="1068"/>
      <c r="F42" s="1068"/>
      <c r="G42" s="1068"/>
      <c r="H42" s="1068"/>
      <c r="I42" s="1068"/>
      <c r="J42" s="1068"/>
      <c r="K42" s="1068"/>
      <c r="L42" s="1068"/>
      <c r="M42" s="1068"/>
      <c r="N42" s="1068"/>
      <c r="O42" s="1068"/>
      <c r="P42" s="620"/>
    </row>
    <row r="43" spans="1:29" ht="29.25" customHeight="1" x14ac:dyDescent="0.25">
      <c r="B43" s="1068"/>
      <c r="C43" s="1068"/>
      <c r="D43" s="1068"/>
      <c r="E43" s="1068"/>
      <c r="F43" s="1068"/>
      <c r="G43" s="1068"/>
      <c r="H43" s="1068"/>
      <c r="I43" s="1068"/>
      <c r="J43" s="1068"/>
      <c r="K43" s="1068"/>
      <c r="L43" s="1068"/>
      <c r="M43" s="1068"/>
      <c r="N43" s="1068"/>
      <c r="O43" s="1068"/>
      <c r="P43" s="620"/>
      <c r="Q43" s="622"/>
      <c r="R43" s="622"/>
      <c r="S43" s="622"/>
      <c r="T43" s="622"/>
      <c r="U43" s="622"/>
      <c r="V43" s="622"/>
      <c r="W43" s="622"/>
      <c r="X43" s="622"/>
      <c r="Y43" s="622"/>
      <c r="Z43" s="622"/>
      <c r="AA43" s="622"/>
      <c r="AB43" s="622"/>
      <c r="AC43" s="622"/>
    </row>
    <row r="44" spans="1:29" ht="15.75" thickBot="1" x14ac:dyDescent="0.3">
      <c r="I44" s="533"/>
    </row>
    <row r="45" spans="1:29" ht="15.75" thickBot="1" x14ac:dyDescent="0.3">
      <c r="B45" s="1062" t="s">
        <v>875</v>
      </c>
      <c r="C45" s="1062"/>
      <c r="D45" s="1062"/>
      <c r="E45" s="1062"/>
      <c r="F45" s="1062"/>
      <c r="G45" s="1062"/>
      <c r="H45" s="1062"/>
      <c r="I45" s="1062"/>
      <c r="J45" s="1062"/>
      <c r="K45" s="1062"/>
      <c r="L45" s="1062"/>
      <c r="M45" s="1062"/>
      <c r="N45" s="1062"/>
      <c r="O45" s="1062"/>
      <c r="Q45" s="623"/>
    </row>
    <row r="46" spans="1:29" ht="15.75" thickBot="1" x14ac:dyDescent="0.3">
      <c r="B46" s="1069" t="s">
        <v>1182</v>
      </c>
      <c r="C46" s="1070"/>
      <c r="D46" s="1071"/>
      <c r="E46" s="1072" t="s">
        <v>1183</v>
      </c>
      <c r="F46" s="1073"/>
      <c r="G46" s="1073"/>
      <c r="H46" s="1073"/>
      <c r="I46" s="1073"/>
      <c r="J46" s="1073"/>
      <c r="K46" s="1073"/>
      <c r="L46" s="1073"/>
      <c r="M46" s="1073"/>
      <c r="N46" s="1073"/>
      <c r="O46" s="1074"/>
      <c r="Q46" s="623"/>
    </row>
    <row r="47" spans="1:29" s="489" customFormat="1" ht="15" customHeight="1" thickBot="1" x14ac:dyDescent="0.3">
      <c r="A47" s="604"/>
      <c r="B47" s="1069" t="s">
        <v>879</v>
      </c>
      <c r="C47" s="1070"/>
      <c r="D47" s="1071"/>
      <c r="E47" s="1063" t="s">
        <v>878</v>
      </c>
      <c r="F47" s="1063"/>
      <c r="G47" s="1063"/>
      <c r="H47" s="1063"/>
      <c r="I47" s="1063"/>
      <c r="J47" s="1063"/>
      <c r="K47" s="1063"/>
      <c r="L47" s="1063"/>
      <c r="M47" s="1063"/>
      <c r="N47" s="1063"/>
      <c r="O47" s="1063"/>
      <c r="P47" s="492"/>
    </row>
    <row r="48" spans="1:29" s="489" customFormat="1" ht="15.75" thickBot="1" x14ac:dyDescent="0.3">
      <c r="A48" s="604"/>
      <c r="B48" s="1064" t="s">
        <v>876</v>
      </c>
      <c r="C48" s="1064"/>
      <c r="D48" s="1064"/>
      <c r="E48" s="1063" t="s">
        <v>534</v>
      </c>
      <c r="F48" s="1063"/>
      <c r="G48" s="1063"/>
      <c r="H48" s="1063"/>
      <c r="I48" s="1063"/>
      <c r="J48" s="1063"/>
      <c r="K48" s="1063"/>
      <c r="L48" s="1063"/>
      <c r="M48" s="1063"/>
      <c r="N48" s="1063"/>
      <c r="O48" s="1063"/>
      <c r="P48" s="492"/>
      <c r="Q48" s="618"/>
    </row>
    <row r="49" spans="1:17" s="489" customFormat="1" ht="15.75" thickBot="1" x14ac:dyDescent="0.3">
      <c r="A49" s="604"/>
      <c r="B49" s="1064" t="s">
        <v>877</v>
      </c>
      <c r="C49" s="1064"/>
      <c r="D49" s="1064"/>
      <c r="E49" s="1063" t="s">
        <v>535</v>
      </c>
      <c r="F49" s="1063"/>
      <c r="G49" s="1063"/>
      <c r="H49" s="1063"/>
      <c r="I49" s="1063"/>
      <c r="J49" s="1063"/>
      <c r="K49" s="1063"/>
      <c r="L49" s="1063"/>
      <c r="M49" s="1063"/>
      <c r="N49" s="1063"/>
      <c r="O49" s="1063"/>
      <c r="P49" s="492"/>
      <c r="Q49" s="618"/>
    </row>
    <row r="50" spans="1:17" s="489" customFormat="1" x14ac:dyDescent="0.25">
      <c r="A50" s="604"/>
      <c r="B50" s="603"/>
      <c r="C50" s="1075"/>
      <c r="D50" s="1075"/>
      <c r="E50" s="1075"/>
      <c r="F50" s="1075"/>
      <c r="G50" s="1075"/>
      <c r="H50" s="1075"/>
      <c r="I50" s="1075"/>
      <c r="J50" s="1075"/>
      <c r="K50" s="1075"/>
      <c r="L50" s="1075"/>
      <c r="M50" s="1075"/>
      <c r="N50" s="1075"/>
      <c r="O50" s="1075"/>
      <c r="P50" s="492"/>
      <c r="Q50" s="618"/>
    </row>
    <row r="51" spans="1:17" s="489" customFormat="1" ht="15" customHeight="1" x14ac:dyDescent="0.25">
      <c r="A51" s="604"/>
      <c r="B51" s="492"/>
      <c r="C51" s="492"/>
      <c r="D51" s="492"/>
      <c r="E51" s="492"/>
      <c r="F51" s="492"/>
      <c r="G51" s="492"/>
      <c r="H51" s="492"/>
      <c r="I51" s="492"/>
      <c r="J51" s="492"/>
      <c r="K51" s="492"/>
      <c r="L51" s="492"/>
      <c r="M51" s="492"/>
      <c r="N51" s="492"/>
      <c r="O51" s="492"/>
      <c r="P51" s="492"/>
    </row>
    <row r="52" spans="1:17" s="489" customFormat="1" ht="15" hidden="1" customHeight="1" x14ac:dyDescent="0.25">
      <c r="A52" s="604"/>
      <c r="B52" s="492"/>
      <c r="C52" s="492"/>
      <c r="D52" s="492"/>
      <c r="E52" s="492"/>
      <c r="F52" s="492"/>
      <c r="G52" s="492"/>
      <c r="H52" s="492"/>
      <c r="I52" s="492"/>
      <c r="J52" s="492"/>
      <c r="K52" s="492"/>
      <c r="L52" s="492"/>
      <c r="M52" s="492"/>
      <c r="N52" s="492"/>
      <c r="O52" s="492"/>
      <c r="P52" s="492"/>
    </row>
    <row r="53" spans="1:17" s="489" customFormat="1" ht="15" hidden="1" customHeight="1" x14ac:dyDescent="0.25">
      <c r="A53" s="604"/>
      <c r="B53" s="492"/>
      <c r="C53" s="492"/>
      <c r="D53" s="492"/>
      <c r="E53" s="492"/>
      <c r="F53" s="492"/>
      <c r="G53" s="492"/>
      <c r="H53" s="492"/>
      <c r="I53" s="492"/>
      <c r="J53" s="492"/>
      <c r="K53" s="492"/>
      <c r="L53" s="492"/>
      <c r="M53" s="492"/>
      <c r="N53" s="492"/>
      <c r="O53" s="492"/>
      <c r="P53" s="492"/>
    </row>
    <row r="54" spans="1:17" s="489" customFormat="1" hidden="1" x14ac:dyDescent="0.25">
      <c r="A54" s="604"/>
      <c r="B54" s="492"/>
      <c r="C54" s="492"/>
      <c r="D54" s="492"/>
      <c r="E54" s="492"/>
      <c r="F54" s="492"/>
      <c r="G54" s="492"/>
      <c r="H54" s="492"/>
      <c r="I54" s="492"/>
      <c r="J54" s="492"/>
      <c r="K54" s="492"/>
      <c r="L54" s="492"/>
      <c r="M54" s="492"/>
      <c r="N54" s="492"/>
      <c r="O54" s="492"/>
      <c r="P54" s="492"/>
    </row>
    <row r="55" spans="1:17" s="489" customFormat="1" hidden="1" x14ac:dyDescent="0.25">
      <c r="A55" s="604"/>
      <c r="B55" s="492"/>
      <c r="C55" s="492"/>
      <c r="D55" s="492"/>
      <c r="E55" s="492"/>
      <c r="F55" s="492"/>
      <c r="G55" s="492"/>
      <c r="H55" s="492"/>
      <c r="I55" s="492"/>
      <c r="J55" s="492"/>
      <c r="K55" s="492"/>
      <c r="L55" s="492"/>
      <c r="M55" s="492"/>
      <c r="N55" s="492"/>
      <c r="O55" s="492"/>
      <c r="P55" s="492"/>
    </row>
    <row r="56" spans="1:17" s="489" customFormat="1" ht="0.75" hidden="1" customHeight="1" x14ac:dyDescent="0.25">
      <c r="A56" s="604"/>
      <c r="B56" s="492"/>
      <c r="C56" s="492"/>
      <c r="D56" s="492"/>
      <c r="E56" s="492"/>
      <c r="F56" s="492"/>
      <c r="G56" s="492"/>
      <c r="H56" s="492"/>
      <c r="I56" s="492"/>
      <c r="J56" s="492"/>
      <c r="K56" s="492"/>
      <c r="L56" s="492"/>
      <c r="M56" s="492"/>
      <c r="N56" s="492"/>
      <c r="O56" s="492"/>
      <c r="P56" s="492"/>
    </row>
    <row r="57" spans="1:17" s="489" customFormat="1" hidden="1" x14ac:dyDescent="0.25">
      <c r="A57" s="604"/>
      <c r="B57" s="492"/>
      <c r="C57" s="492"/>
      <c r="D57" s="492"/>
      <c r="E57" s="492"/>
      <c r="F57" s="492"/>
      <c r="G57" s="492"/>
      <c r="H57" s="492"/>
      <c r="I57" s="492"/>
      <c r="J57" s="492"/>
      <c r="K57" s="492"/>
      <c r="L57" s="492"/>
      <c r="M57" s="492"/>
      <c r="N57" s="492"/>
      <c r="O57" s="492"/>
      <c r="P57" s="492"/>
    </row>
    <row r="58" spans="1:17" s="489" customFormat="1" hidden="1" x14ac:dyDescent="0.25">
      <c r="A58" s="604"/>
      <c r="B58" s="492"/>
      <c r="C58" s="492"/>
      <c r="D58" s="492"/>
      <c r="E58" s="492"/>
      <c r="F58" s="492"/>
      <c r="G58" s="492"/>
      <c r="H58" s="492"/>
      <c r="I58" s="492"/>
      <c r="J58" s="492"/>
      <c r="K58" s="492"/>
      <c r="L58" s="492"/>
      <c r="M58" s="492"/>
      <c r="N58" s="492"/>
      <c r="O58" s="492"/>
      <c r="P58" s="492"/>
    </row>
    <row r="59" spans="1:17" s="489" customFormat="1" hidden="1" x14ac:dyDescent="0.25">
      <c r="A59" s="604"/>
      <c r="B59" s="492"/>
      <c r="C59" s="492"/>
      <c r="D59" s="492"/>
      <c r="E59" s="492"/>
      <c r="F59" s="492"/>
      <c r="G59" s="492"/>
      <c r="H59" s="492"/>
      <c r="I59" s="492"/>
      <c r="J59" s="492"/>
      <c r="K59" s="492"/>
      <c r="L59" s="492"/>
      <c r="M59" s="492"/>
      <c r="N59" s="492"/>
      <c r="O59" s="492"/>
      <c r="P59" s="492"/>
    </row>
    <row r="60" spans="1:17" s="489" customFormat="1" hidden="1" x14ac:dyDescent="0.25">
      <c r="A60" s="604"/>
      <c r="B60" s="492"/>
      <c r="C60" s="492"/>
      <c r="D60" s="492"/>
      <c r="E60" s="492"/>
      <c r="F60" s="492"/>
      <c r="G60" s="492"/>
      <c r="H60" s="492"/>
      <c r="I60" s="492"/>
      <c r="J60" s="492"/>
      <c r="K60" s="492"/>
      <c r="L60" s="492"/>
      <c r="M60" s="492"/>
      <c r="N60" s="492"/>
      <c r="O60" s="492"/>
      <c r="P60" s="492"/>
    </row>
    <row r="61" spans="1:17" hidden="1" x14ac:dyDescent="0.25"/>
    <row r="62" spans="1:17" hidden="1" x14ac:dyDescent="0.25"/>
    <row r="63" spans="1:17" hidden="1" x14ac:dyDescent="0.25"/>
    <row r="64" spans="1: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sheetData>
  <sheetProtection password="CC30" sheet="1" objects="1" scenarios="1" selectLockedCells="1"/>
  <mergeCells count="99">
    <mergeCell ref="C50:O50"/>
    <mergeCell ref="L17:O17"/>
    <mergeCell ref="I17:K17"/>
    <mergeCell ref="B37:F37"/>
    <mergeCell ref="G36:I36"/>
    <mergeCell ref="G37:I37"/>
    <mergeCell ref="J36:K36"/>
    <mergeCell ref="J37:K37"/>
    <mergeCell ref="J23:K23"/>
    <mergeCell ref="B49:D49"/>
    <mergeCell ref="J35:K35"/>
    <mergeCell ref="J33:K33"/>
    <mergeCell ref="J34:K34"/>
    <mergeCell ref="E47:O47"/>
    <mergeCell ref="J20:K21"/>
    <mergeCell ref="J22:K22"/>
    <mergeCell ref="B45:O45"/>
    <mergeCell ref="E48:O48"/>
    <mergeCell ref="B48:D48"/>
    <mergeCell ref="E49:O49"/>
    <mergeCell ref="C39:O39"/>
    <mergeCell ref="B40:O43"/>
    <mergeCell ref="B46:D46"/>
    <mergeCell ref="E46:O46"/>
    <mergeCell ref="B47:D47"/>
    <mergeCell ref="L35:O35"/>
    <mergeCell ref="B33:F33"/>
    <mergeCell ref="L37:O37"/>
    <mergeCell ref="B35:F35"/>
    <mergeCell ref="L36:O36"/>
    <mergeCell ref="G33:I33"/>
    <mergeCell ref="G34:I34"/>
    <mergeCell ref="L33:O33"/>
    <mergeCell ref="L34:O34"/>
    <mergeCell ref="B36:F36"/>
    <mergeCell ref="B34:F34"/>
    <mergeCell ref="G35:I35"/>
    <mergeCell ref="L24:O24"/>
    <mergeCell ref="L25:O25"/>
    <mergeCell ref="J25:K25"/>
    <mergeCell ref="L30:O30"/>
    <mergeCell ref="L31:O31"/>
    <mergeCell ref="J26:K26"/>
    <mergeCell ref="J30:K30"/>
    <mergeCell ref="J24:K24"/>
    <mergeCell ref="L32:O32"/>
    <mergeCell ref="J29:K29"/>
    <mergeCell ref="L26:O26"/>
    <mergeCell ref="L27:O27"/>
    <mergeCell ref="L28:O28"/>
    <mergeCell ref="L29:O29"/>
    <mergeCell ref="J31:K31"/>
    <mergeCell ref="J32:K32"/>
    <mergeCell ref="G32:I32"/>
    <mergeCell ref="B31:F31"/>
    <mergeCell ref="B29:F29"/>
    <mergeCell ref="B30:F30"/>
    <mergeCell ref="G29:I29"/>
    <mergeCell ref="G30:I30"/>
    <mergeCell ref="B32:F32"/>
    <mergeCell ref="B24:F24"/>
    <mergeCell ref="B27:F27"/>
    <mergeCell ref="B28:F28"/>
    <mergeCell ref="G31:I31"/>
    <mergeCell ref="B25:F25"/>
    <mergeCell ref="B26:F26"/>
    <mergeCell ref="G28:I28"/>
    <mergeCell ref="B22:F22"/>
    <mergeCell ref="B23:F23"/>
    <mergeCell ref="L20:O21"/>
    <mergeCell ref="L22:O22"/>
    <mergeCell ref="L23:O23"/>
    <mergeCell ref="G20:I21"/>
    <mergeCell ref="G22:I22"/>
    <mergeCell ref="D2:O4"/>
    <mergeCell ref="B7:O7"/>
    <mergeCell ref="B19:O19"/>
    <mergeCell ref="L15:O15"/>
    <mergeCell ref="B20:F21"/>
    <mergeCell ref="L16:O16"/>
    <mergeCell ref="B15:B16"/>
    <mergeCell ref="C15:K15"/>
    <mergeCell ref="C16:K16"/>
    <mergeCell ref="B1:O1"/>
    <mergeCell ref="L9:O9"/>
    <mergeCell ref="C9:K9"/>
    <mergeCell ref="J27:K27"/>
    <mergeCell ref="J28:K28"/>
    <mergeCell ref="G25:I25"/>
    <mergeCell ref="G26:I26"/>
    <mergeCell ref="G27:I27"/>
    <mergeCell ref="L11:O11"/>
    <mergeCell ref="C11:K11"/>
    <mergeCell ref="C13:K13"/>
    <mergeCell ref="L13:O13"/>
    <mergeCell ref="G23:I23"/>
    <mergeCell ref="G24:I24"/>
    <mergeCell ref="B2:C5"/>
    <mergeCell ref="D5:O5"/>
  </mergeCells>
  <hyperlinks>
    <hyperlink ref="E48" r:id="rId1"/>
    <hyperlink ref="E49" r:id="rId2"/>
    <hyperlink ref="E46" r:id="rId3"/>
  </hyperlinks>
  <pageMargins left="0.7" right="0.7" top="0.75" bottom="0.75" header="0.3" footer="0.3"/>
  <pageSetup orientation="portrait" r:id="rId4"/>
  <ignoredErrors>
    <ignoredError sqref="L17" evalError="1"/>
  </ignoredErrors>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14:formula1>
            <xm:f>Source!$I$1:$I$3</xm:f>
          </x14:formula1>
          <xm:sqref>L11</xm:sqref>
        </x14:dataValidation>
        <x14:dataValidation type="list" allowBlank="1" showInputMessage="1" showErrorMessage="1">
          <x14:formula1>
            <xm:f>Source!$S$1:$S$5</xm:f>
          </x14:formula1>
          <xm:sqref>G22:I37</xm:sqref>
        </x14:dataValidation>
        <x14:dataValidation type="list" allowBlank="1" showInputMessage="1" showErrorMessage="1">
          <x14:formula1>
            <xm:f>Source!$I$1:$I$4</xm:f>
          </x14:formula1>
          <xm:sqref>L13:O13</xm:sqref>
        </x14:dataValidation>
        <x14:dataValidation type="list" allowBlank="1" showInputMessage="1" showErrorMessage="1">
          <x14:formula1>
            <xm:f>Source!T1:T3</xm:f>
          </x14:formula1>
          <xm:sqref>L9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B151"/>
  <sheetViews>
    <sheetView showGridLines="0" workbookViewId="0">
      <selection activeCell="M6" sqref="M6:M7"/>
    </sheetView>
  </sheetViews>
  <sheetFormatPr defaultColWidth="0" defaultRowHeight="0" customHeight="1" zeroHeight="1" x14ac:dyDescent="0.25"/>
  <cols>
    <col min="1" max="1" width="2.5703125" style="627" customWidth="1"/>
    <col min="2" max="2" width="3.7109375" style="627" customWidth="1"/>
    <col min="3" max="5" width="9.140625" style="627" customWidth="1"/>
    <col min="6" max="6" width="31" style="627" customWidth="1"/>
    <col min="7" max="7" width="13.28515625" style="627" customWidth="1"/>
    <col min="8" max="8" width="7.85546875" style="627" customWidth="1"/>
    <col min="9" max="9" width="8.140625" style="627" customWidth="1"/>
    <col min="10" max="11" width="9.140625" style="627" customWidth="1"/>
    <col min="12" max="12" width="12.85546875" style="627" customWidth="1"/>
    <col min="13" max="13" width="43" style="627" customWidth="1"/>
    <col min="14" max="14" width="3.140625" style="627" customWidth="1"/>
    <col min="15" max="15" width="9.140625" style="489" hidden="1" customWidth="1"/>
    <col min="16" max="16" width="13.28515625" style="489" hidden="1" customWidth="1"/>
    <col min="17" max="28" width="0" style="489" hidden="1" customWidth="1"/>
    <col min="29" max="16384" width="9.140625" style="489" hidden="1"/>
  </cols>
  <sheetData>
    <row r="1" spans="1:14" ht="15.75" thickBot="1" x14ac:dyDescent="0.3">
      <c r="A1" s="489"/>
      <c r="B1" s="844" t="s">
        <v>509</v>
      </c>
      <c r="C1" s="844"/>
      <c r="D1" s="844"/>
      <c r="E1" s="844"/>
      <c r="F1" s="844"/>
      <c r="G1" s="844"/>
      <c r="H1" s="844"/>
      <c r="I1" s="844"/>
      <c r="J1" s="844"/>
      <c r="K1" s="844"/>
      <c r="L1" s="844"/>
      <c r="M1" s="844"/>
      <c r="N1" s="489"/>
    </row>
    <row r="2" spans="1:14" ht="21" customHeight="1" x14ac:dyDescent="0.25">
      <c r="A2" s="489"/>
      <c r="B2" s="814" t="s">
        <v>541</v>
      </c>
      <c r="C2" s="811"/>
      <c r="D2" s="1006" t="s">
        <v>716</v>
      </c>
      <c r="E2" s="1006"/>
      <c r="F2" s="1006"/>
      <c r="G2" s="1006"/>
      <c r="H2" s="1006"/>
      <c r="I2" s="1006"/>
      <c r="J2" s="1006"/>
      <c r="K2" s="1006"/>
      <c r="L2" s="1006"/>
      <c r="M2" s="1006"/>
      <c r="N2" s="489"/>
    </row>
    <row r="3" spans="1:14" ht="24" customHeight="1" thickBot="1" x14ac:dyDescent="0.3">
      <c r="A3" s="489"/>
      <c r="B3" s="814"/>
      <c r="C3" s="811"/>
      <c r="D3" s="1006"/>
      <c r="E3" s="1006"/>
      <c r="F3" s="1006"/>
      <c r="G3" s="1006"/>
      <c r="H3" s="1006"/>
      <c r="I3" s="1006"/>
      <c r="J3" s="1006"/>
      <c r="K3" s="1006"/>
      <c r="L3" s="1006"/>
      <c r="M3" s="1006"/>
      <c r="N3" s="489"/>
    </row>
    <row r="4" spans="1:14" ht="15" customHeight="1" x14ac:dyDescent="0.25">
      <c r="A4" s="489"/>
      <c r="B4" s="814"/>
      <c r="C4" s="811"/>
      <c r="D4" s="926" t="s">
        <v>572</v>
      </c>
      <c r="E4" s="926"/>
      <c r="F4" s="926"/>
      <c r="G4" s="926"/>
      <c r="H4" s="926"/>
      <c r="I4" s="926"/>
      <c r="J4" s="926"/>
      <c r="K4" s="926"/>
      <c r="L4" s="926"/>
      <c r="M4" s="926"/>
      <c r="N4" s="489"/>
    </row>
    <row r="5" spans="1:14" ht="15.75" customHeight="1" x14ac:dyDescent="0.25">
      <c r="A5" s="489"/>
      <c r="B5" s="624"/>
      <c r="C5" s="624"/>
      <c r="D5" s="624"/>
      <c r="E5" s="624"/>
      <c r="F5" s="624"/>
      <c r="G5" s="624"/>
      <c r="H5" s="624"/>
      <c r="I5" s="624"/>
      <c r="J5" s="624"/>
      <c r="K5" s="624"/>
      <c r="L5" s="624"/>
      <c r="M5" s="624"/>
      <c r="N5" s="489"/>
    </row>
    <row r="6" spans="1:14" ht="15" customHeight="1" x14ac:dyDescent="0.25">
      <c r="A6" s="489"/>
      <c r="B6" s="1085" t="s">
        <v>1225</v>
      </c>
      <c r="C6" s="1085"/>
      <c r="D6" s="1085"/>
      <c r="E6" s="1085"/>
      <c r="F6" s="1085"/>
      <c r="G6" s="1085"/>
      <c r="H6" s="1085"/>
      <c r="I6" s="1085"/>
      <c r="J6" s="1085"/>
      <c r="K6" s="1085"/>
      <c r="L6" s="1085"/>
      <c r="M6" s="1086" t="s">
        <v>1148</v>
      </c>
      <c r="N6" s="489"/>
    </row>
    <row r="7" spans="1:14" ht="15" customHeight="1" x14ac:dyDescent="0.25">
      <c r="A7" s="489"/>
      <c r="B7" s="1085"/>
      <c r="C7" s="1085"/>
      <c r="D7" s="1085"/>
      <c r="E7" s="1085"/>
      <c r="F7" s="1085"/>
      <c r="G7" s="1085"/>
      <c r="H7" s="1085"/>
      <c r="I7" s="1085"/>
      <c r="J7" s="1085"/>
      <c r="K7" s="1085"/>
      <c r="L7" s="1085"/>
      <c r="M7" s="1086"/>
      <c r="N7" s="489"/>
    </row>
    <row r="8" spans="1:14" ht="15.75" customHeight="1" x14ac:dyDescent="0.25">
      <c r="A8" s="489"/>
      <c r="B8" s="563"/>
      <c r="C8" s="563"/>
      <c r="D8" s="563"/>
      <c r="E8" s="563"/>
      <c r="F8" s="563"/>
      <c r="G8" s="563"/>
      <c r="H8" s="563"/>
      <c r="I8" s="563"/>
      <c r="J8" s="563"/>
      <c r="K8" s="563"/>
      <c r="L8" s="563"/>
      <c r="M8" s="624"/>
      <c r="N8" s="489"/>
    </row>
    <row r="9" spans="1:14" ht="21" x14ac:dyDescent="0.25">
      <c r="A9" s="489"/>
      <c r="B9" s="1084" t="s">
        <v>541</v>
      </c>
      <c r="C9" s="1002"/>
      <c r="D9" s="1002"/>
      <c r="E9" s="1002"/>
      <c r="F9" s="1002"/>
      <c r="G9" s="1002"/>
      <c r="H9" s="1002"/>
      <c r="I9" s="1002"/>
      <c r="J9" s="1002"/>
      <c r="K9" s="1002"/>
      <c r="L9" s="1002"/>
      <c r="M9" s="1002"/>
      <c r="N9" s="489"/>
    </row>
    <row r="10" spans="1:14" ht="15.75" thickBot="1" x14ac:dyDescent="0.3">
      <c r="A10" s="489"/>
      <c r="B10" s="1087" t="s">
        <v>1168</v>
      </c>
      <c r="C10" s="1087"/>
      <c r="D10" s="1087"/>
      <c r="E10" s="1087"/>
      <c r="F10" s="1087"/>
      <c r="G10" s="1087"/>
      <c r="H10" s="1087"/>
      <c r="I10" s="1087"/>
      <c r="J10" s="1087"/>
      <c r="K10" s="1087"/>
      <c r="L10" s="1087"/>
      <c r="M10" s="1087"/>
      <c r="N10" s="489"/>
    </row>
    <row r="11" spans="1:14" s="625" customFormat="1" ht="48.75" customHeight="1" thickBot="1" x14ac:dyDescent="0.3">
      <c r="B11" s="1082" t="s">
        <v>719</v>
      </c>
      <c r="C11" s="1082"/>
      <c r="D11" s="1082"/>
      <c r="E11" s="1082"/>
      <c r="F11" s="1082"/>
      <c r="G11" s="1082"/>
      <c r="H11" s="1083" t="s">
        <v>1148</v>
      </c>
      <c r="I11" s="1083"/>
      <c r="J11" s="1081" t="str">
        <f t="shared" ref="J11" si="0">IF(H11="yes","Please describe efforts","")</f>
        <v/>
      </c>
      <c r="K11" s="1081"/>
      <c r="L11" s="1081"/>
      <c r="M11" s="1081"/>
    </row>
    <row r="12" spans="1:14" s="625" customFormat="1" ht="48" customHeight="1" thickBot="1" x14ac:dyDescent="0.3">
      <c r="B12" s="1082" t="s">
        <v>717</v>
      </c>
      <c r="C12" s="1082"/>
      <c r="D12" s="1082"/>
      <c r="E12" s="1082"/>
      <c r="F12" s="1082"/>
      <c r="G12" s="1082"/>
      <c r="H12" s="1083" t="s">
        <v>1148</v>
      </c>
      <c r="I12" s="1083"/>
      <c r="J12" s="1081" t="str">
        <f t="shared" ref="J12:J19" si="1">IF(H12="yes","Please describe efforts","")</f>
        <v/>
      </c>
      <c r="K12" s="1081"/>
      <c r="L12" s="1081"/>
      <c r="M12" s="1081"/>
    </row>
    <row r="13" spans="1:14" s="625" customFormat="1" ht="48.75" customHeight="1" thickBot="1" x14ac:dyDescent="0.3">
      <c r="B13" s="1082" t="s">
        <v>1169</v>
      </c>
      <c r="C13" s="1082"/>
      <c r="D13" s="1082"/>
      <c r="E13" s="1082"/>
      <c r="F13" s="1082"/>
      <c r="G13" s="1082"/>
      <c r="H13" s="1083" t="s">
        <v>1148</v>
      </c>
      <c r="I13" s="1083"/>
      <c r="J13" s="1081" t="str">
        <f t="shared" si="1"/>
        <v/>
      </c>
      <c r="K13" s="1081"/>
      <c r="L13" s="1081"/>
      <c r="M13" s="1081"/>
    </row>
    <row r="14" spans="1:14" ht="48" customHeight="1" thickBot="1" x14ac:dyDescent="0.3">
      <c r="A14" s="489"/>
      <c r="B14" s="1082" t="s">
        <v>1167</v>
      </c>
      <c r="C14" s="1082"/>
      <c r="D14" s="1082"/>
      <c r="E14" s="1082"/>
      <c r="F14" s="1082"/>
      <c r="G14" s="1082"/>
      <c r="H14" s="1083" t="s">
        <v>1148</v>
      </c>
      <c r="I14" s="1083"/>
      <c r="J14" s="1081" t="str">
        <f t="shared" si="1"/>
        <v/>
      </c>
      <c r="K14" s="1081"/>
      <c r="L14" s="1081"/>
      <c r="M14" s="1081"/>
      <c r="N14" s="489"/>
    </row>
    <row r="15" spans="1:14" ht="50.25" customHeight="1" thickBot="1" x14ac:dyDescent="0.3">
      <c r="A15" s="489"/>
      <c r="B15" s="1082" t="s">
        <v>1170</v>
      </c>
      <c r="C15" s="1082"/>
      <c r="D15" s="1082"/>
      <c r="E15" s="1082"/>
      <c r="F15" s="1082"/>
      <c r="G15" s="1082"/>
      <c r="H15" s="1083" t="s">
        <v>1148</v>
      </c>
      <c r="I15" s="1083"/>
      <c r="J15" s="1081" t="str">
        <f t="shared" si="1"/>
        <v/>
      </c>
      <c r="K15" s="1081"/>
      <c r="L15" s="1081"/>
      <c r="M15" s="1081"/>
      <c r="N15" s="489"/>
    </row>
    <row r="16" spans="1:14" ht="50.25" customHeight="1" thickBot="1" x14ac:dyDescent="0.3">
      <c r="A16" s="489"/>
      <c r="B16" s="1082" t="s">
        <v>720</v>
      </c>
      <c r="C16" s="1082"/>
      <c r="D16" s="1082"/>
      <c r="E16" s="1082"/>
      <c r="F16" s="1082"/>
      <c r="G16" s="1082"/>
      <c r="H16" s="1083" t="s">
        <v>1148</v>
      </c>
      <c r="I16" s="1083"/>
      <c r="J16" s="1081" t="str">
        <f t="shared" si="1"/>
        <v/>
      </c>
      <c r="K16" s="1081"/>
      <c r="L16" s="1081"/>
      <c r="M16" s="1081"/>
      <c r="N16" s="489"/>
    </row>
    <row r="17" spans="1:14" ht="50.25" customHeight="1" thickBot="1" x14ac:dyDescent="0.3">
      <c r="A17" s="489"/>
      <c r="B17" s="1082" t="s">
        <v>1171</v>
      </c>
      <c r="C17" s="1082"/>
      <c r="D17" s="1082"/>
      <c r="E17" s="1082"/>
      <c r="F17" s="1082"/>
      <c r="G17" s="1082"/>
      <c r="H17" s="1083" t="s">
        <v>1148</v>
      </c>
      <c r="I17" s="1083"/>
      <c r="J17" s="1081" t="str">
        <f t="shared" si="1"/>
        <v/>
      </c>
      <c r="K17" s="1081"/>
      <c r="L17" s="1081"/>
      <c r="M17" s="1081"/>
      <c r="N17" s="489"/>
    </row>
    <row r="18" spans="1:14" ht="48.75" customHeight="1" thickBot="1" x14ac:dyDescent="0.3">
      <c r="A18" s="489"/>
      <c r="B18" s="1082" t="s">
        <v>718</v>
      </c>
      <c r="C18" s="1082"/>
      <c r="D18" s="1082"/>
      <c r="E18" s="1082"/>
      <c r="F18" s="1082"/>
      <c r="G18" s="1082"/>
      <c r="H18" s="1083" t="s">
        <v>1148</v>
      </c>
      <c r="I18" s="1083"/>
      <c r="J18" s="1081" t="str">
        <f t="shared" si="1"/>
        <v/>
      </c>
      <c r="K18" s="1081"/>
      <c r="L18" s="1081"/>
      <c r="M18" s="1081"/>
      <c r="N18" s="489"/>
    </row>
    <row r="19" spans="1:14" ht="48.75" customHeight="1" thickBot="1" x14ac:dyDescent="0.3">
      <c r="A19" s="489"/>
      <c r="B19" s="1082" t="s">
        <v>731</v>
      </c>
      <c r="C19" s="1082"/>
      <c r="D19" s="1082"/>
      <c r="E19" s="1082"/>
      <c r="F19" s="1082"/>
      <c r="G19" s="1082"/>
      <c r="H19" s="1083" t="s">
        <v>1148</v>
      </c>
      <c r="I19" s="1083"/>
      <c r="J19" s="1081" t="str">
        <f t="shared" si="1"/>
        <v/>
      </c>
      <c r="K19" s="1081"/>
      <c r="L19" s="1081"/>
      <c r="M19" s="1081"/>
      <c r="N19" s="489"/>
    </row>
    <row r="20" spans="1:14" ht="15" x14ac:dyDescent="0.25">
      <c r="A20" s="489"/>
      <c r="B20" s="489"/>
      <c r="C20" s="489"/>
      <c r="D20" s="489"/>
      <c r="E20" s="489"/>
      <c r="F20" s="489"/>
      <c r="G20" s="489"/>
      <c r="H20" s="489"/>
      <c r="I20" s="489"/>
      <c r="J20" s="489"/>
      <c r="K20" s="489"/>
      <c r="L20" s="489"/>
      <c r="M20" s="489"/>
      <c r="N20" s="489"/>
    </row>
    <row r="21" spans="1:14" ht="15" x14ac:dyDescent="0.25">
      <c r="A21" s="489"/>
      <c r="B21" s="489"/>
      <c r="C21" s="489"/>
      <c r="D21" s="489"/>
      <c r="E21" s="489"/>
      <c r="F21" s="489"/>
      <c r="G21" s="489"/>
      <c r="H21" s="489"/>
      <c r="I21" s="489"/>
      <c r="J21" s="489"/>
      <c r="K21" s="489"/>
      <c r="L21" s="489"/>
      <c r="M21" s="489"/>
      <c r="N21" s="489"/>
    </row>
    <row r="22" spans="1:14" ht="68.25" hidden="1" customHeight="1" x14ac:dyDescent="0.25">
      <c r="A22" s="626"/>
      <c r="B22" s="626"/>
      <c r="C22" s="626"/>
      <c r="D22" s="626"/>
      <c r="E22" s="626"/>
      <c r="F22" s="626"/>
      <c r="G22" s="626"/>
      <c r="H22" s="626"/>
      <c r="I22" s="626"/>
      <c r="J22" s="626"/>
      <c r="K22" s="626"/>
      <c r="L22" s="626"/>
      <c r="M22" s="626"/>
      <c r="N22" s="626"/>
    </row>
    <row r="23" spans="1:14" ht="15" hidden="1" customHeight="1" x14ac:dyDescent="0.25">
      <c r="A23" s="626"/>
      <c r="B23" s="626"/>
      <c r="C23" s="626"/>
      <c r="D23" s="626"/>
      <c r="E23" s="626"/>
      <c r="F23" s="626"/>
      <c r="G23" s="626"/>
      <c r="H23" s="626"/>
      <c r="I23" s="626"/>
      <c r="J23" s="626"/>
      <c r="K23" s="626"/>
      <c r="L23" s="626"/>
      <c r="M23" s="626"/>
      <c r="N23" s="626"/>
    </row>
    <row r="24" spans="1:14" ht="15" hidden="1" customHeight="1" x14ac:dyDescent="0.25">
      <c r="A24" s="626"/>
      <c r="B24" s="626"/>
      <c r="C24" s="626"/>
      <c r="D24" s="626"/>
      <c r="E24" s="626"/>
      <c r="F24" s="626"/>
      <c r="G24" s="626"/>
      <c r="H24" s="626"/>
      <c r="I24" s="626"/>
      <c r="J24" s="626"/>
      <c r="K24" s="626"/>
      <c r="L24" s="626"/>
      <c r="M24" s="626"/>
      <c r="N24" s="626"/>
    </row>
    <row r="25" spans="1:14" ht="15" hidden="1" customHeight="1" x14ac:dyDescent="0.25">
      <c r="A25" s="626"/>
      <c r="B25" s="626"/>
      <c r="C25" s="626"/>
      <c r="D25" s="626"/>
      <c r="E25" s="626"/>
      <c r="F25" s="626"/>
      <c r="G25" s="626"/>
      <c r="H25" s="626"/>
      <c r="I25" s="626"/>
      <c r="J25" s="626"/>
      <c r="K25" s="626"/>
      <c r="L25" s="626"/>
      <c r="M25" s="626"/>
      <c r="N25" s="626"/>
    </row>
    <row r="26" spans="1:14" ht="15" hidden="1" customHeight="1" x14ac:dyDescent="0.25">
      <c r="A26" s="626"/>
      <c r="B26" s="626"/>
      <c r="C26" s="626"/>
      <c r="D26" s="626"/>
      <c r="E26" s="626"/>
      <c r="F26" s="626"/>
      <c r="G26" s="626"/>
      <c r="H26" s="626"/>
      <c r="I26" s="626"/>
      <c r="J26" s="626"/>
      <c r="K26" s="626"/>
      <c r="L26" s="626"/>
      <c r="M26" s="626"/>
      <c r="N26" s="626"/>
    </row>
    <row r="27" spans="1:14" ht="15" hidden="1" customHeight="1" x14ac:dyDescent="0.25">
      <c r="A27" s="626"/>
      <c r="B27" s="626"/>
      <c r="C27" s="626"/>
      <c r="D27" s="626"/>
      <c r="E27" s="626"/>
      <c r="F27" s="626"/>
      <c r="G27" s="626"/>
      <c r="H27" s="626"/>
      <c r="I27" s="626"/>
      <c r="J27" s="626"/>
      <c r="K27" s="626"/>
      <c r="L27" s="626"/>
      <c r="M27" s="626"/>
      <c r="N27" s="626"/>
    </row>
    <row r="28" spans="1:14" ht="15" hidden="1" customHeight="1" x14ac:dyDescent="0.25">
      <c r="A28" s="626"/>
      <c r="B28" s="626"/>
      <c r="C28" s="626"/>
      <c r="D28" s="626"/>
      <c r="E28" s="626"/>
      <c r="F28" s="626"/>
      <c r="G28" s="626"/>
      <c r="H28" s="626"/>
      <c r="I28" s="626"/>
      <c r="J28" s="626"/>
      <c r="K28" s="626"/>
      <c r="L28" s="626"/>
      <c r="M28" s="626"/>
      <c r="N28" s="626"/>
    </row>
    <row r="29" spans="1:14" ht="15" hidden="1" customHeight="1" x14ac:dyDescent="0.25">
      <c r="A29" s="626"/>
      <c r="B29" s="626"/>
      <c r="C29" s="626"/>
      <c r="D29" s="626"/>
      <c r="E29" s="626"/>
      <c r="F29" s="626"/>
      <c r="G29" s="626"/>
      <c r="H29" s="626"/>
      <c r="I29" s="626"/>
      <c r="J29" s="626"/>
      <c r="K29" s="626"/>
      <c r="L29" s="626"/>
      <c r="M29" s="626"/>
      <c r="N29" s="626"/>
    </row>
    <row r="30" spans="1:14" ht="15" hidden="1" customHeight="1" x14ac:dyDescent="0.25">
      <c r="A30" s="626"/>
      <c r="B30" s="626"/>
      <c r="C30" s="626"/>
      <c r="D30" s="626"/>
      <c r="E30" s="626"/>
      <c r="F30" s="626"/>
      <c r="G30" s="626"/>
      <c r="H30" s="626"/>
      <c r="I30" s="626"/>
      <c r="J30" s="626"/>
      <c r="K30" s="626"/>
      <c r="L30" s="626"/>
      <c r="M30" s="626"/>
      <c r="N30" s="626"/>
    </row>
    <row r="31" spans="1:14" ht="15" hidden="1" customHeight="1" x14ac:dyDescent="0.25">
      <c r="A31" s="626"/>
      <c r="B31" s="626"/>
      <c r="C31" s="626"/>
      <c r="D31" s="626"/>
      <c r="E31" s="626"/>
      <c r="F31" s="626"/>
      <c r="G31" s="626"/>
      <c r="H31" s="626"/>
      <c r="I31" s="626"/>
      <c r="J31" s="626"/>
      <c r="K31" s="626"/>
      <c r="L31" s="626"/>
      <c r="M31" s="626"/>
      <c r="N31" s="626"/>
    </row>
    <row r="32" spans="1:14" ht="15" hidden="1" customHeight="1" x14ac:dyDescent="0.25">
      <c r="A32" s="626"/>
      <c r="B32" s="626"/>
      <c r="C32" s="626"/>
      <c r="D32" s="626"/>
      <c r="E32" s="626"/>
      <c r="F32" s="626"/>
      <c r="G32" s="626"/>
      <c r="H32" s="626"/>
      <c r="I32" s="626"/>
      <c r="J32" s="626"/>
      <c r="K32" s="626"/>
      <c r="L32" s="626"/>
      <c r="M32" s="626"/>
      <c r="N32" s="626"/>
    </row>
    <row r="33" spans="1:14" ht="15" hidden="1" customHeight="1" x14ac:dyDescent="0.25">
      <c r="A33" s="626"/>
      <c r="B33" s="626"/>
      <c r="C33" s="626"/>
      <c r="D33" s="626"/>
      <c r="E33" s="626"/>
      <c r="F33" s="626"/>
      <c r="G33" s="626"/>
      <c r="H33" s="626"/>
      <c r="I33" s="626"/>
      <c r="J33" s="626"/>
      <c r="K33" s="626"/>
      <c r="L33" s="626"/>
      <c r="M33" s="626"/>
      <c r="N33" s="626"/>
    </row>
    <row r="34" spans="1:14" ht="15" hidden="1" customHeight="1" x14ac:dyDescent="0.25">
      <c r="A34" s="626"/>
      <c r="B34" s="626"/>
      <c r="C34" s="626"/>
      <c r="D34" s="626"/>
      <c r="E34" s="626"/>
      <c r="F34" s="626"/>
      <c r="G34" s="626"/>
      <c r="H34" s="626"/>
      <c r="I34" s="626"/>
      <c r="J34" s="626"/>
      <c r="K34" s="626"/>
      <c r="L34" s="626"/>
      <c r="M34" s="626"/>
      <c r="N34" s="626"/>
    </row>
    <row r="35" spans="1:14" ht="15" hidden="1" customHeight="1" x14ac:dyDescent="0.25">
      <c r="A35" s="626"/>
      <c r="B35" s="626"/>
      <c r="C35" s="626"/>
      <c r="D35" s="626"/>
      <c r="E35" s="626"/>
      <c r="F35" s="626"/>
      <c r="G35" s="626"/>
      <c r="H35" s="626"/>
      <c r="I35" s="626"/>
      <c r="J35" s="626"/>
      <c r="K35" s="626"/>
      <c r="L35" s="626"/>
      <c r="M35" s="626"/>
      <c r="N35" s="626"/>
    </row>
    <row r="36" spans="1:14" ht="15" hidden="1" customHeight="1" x14ac:dyDescent="0.25">
      <c r="A36" s="626"/>
      <c r="B36" s="626"/>
      <c r="C36" s="626"/>
      <c r="D36" s="626"/>
      <c r="E36" s="626"/>
      <c r="F36" s="626"/>
      <c r="G36" s="626"/>
      <c r="H36" s="626"/>
      <c r="I36" s="626"/>
      <c r="J36" s="626"/>
      <c r="K36" s="626"/>
      <c r="L36" s="626"/>
      <c r="M36" s="626"/>
      <c r="N36" s="626"/>
    </row>
    <row r="37" spans="1:14" ht="15" hidden="1" customHeight="1" x14ac:dyDescent="0.25">
      <c r="A37" s="626"/>
      <c r="B37" s="626"/>
      <c r="C37" s="626"/>
      <c r="D37" s="626"/>
      <c r="E37" s="626"/>
      <c r="F37" s="626"/>
      <c r="G37" s="626"/>
      <c r="H37" s="626"/>
      <c r="I37" s="626"/>
      <c r="J37" s="626"/>
      <c r="K37" s="626"/>
      <c r="L37" s="626"/>
      <c r="M37" s="626"/>
      <c r="N37" s="626"/>
    </row>
    <row r="38" spans="1:14" ht="15" hidden="1" customHeight="1" x14ac:dyDescent="0.25">
      <c r="A38" s="626"/>
      <c r="B38" s="626"/>
      <c r="C38" s="626"/>
      <c r="D38" s="626"/>
      <c r="E38" s="626"/>
      <c r="F38" s="626"/>
      <c r="G38" s="626"/>
      <c r="H38" s="626"/>
      <c r="I38" s="626"/>
      <c r="J38" s="626"/>
      <c r="K38" s="626"/>
      <c r="L38" s="626"/>
      <c r="M38" s="626"/>
      <c r="N38" s="626"/>
    </row>
    <row r="39" spans="1:14" ht="15" hidden="1" customHeight="1" x14ac:dyDescent="0.25">
      <c r="A39" s="626"/>
      <c r="B39" s="626"/>
      <c r="C39" s="626"/>
      <c r="D39" s="626"/>
      <c r="E39" s="626"/>
      <c r="F39" s="626"/>
      <c r="G39" s="626"/>
      <c r="H39" s="626"/>
      <c r="I39" s="626"/>
      <c r="J39" s="626"/>
      <c r="K39" s="626"/>
      <c r="L39" s="626"/>
      <c r="M39" s="626"/>
      <c r="N39" s="626"/>
    </row>
    <row r="40" spans="1:14" ht="15" hidden="1" customHeight="1" x14ac:dyDescent="0.25">
      <c r="A40" s="626"/>
      <c r="B40" s="626"/>
      <c r="C40" s="626"/>
      <c r="D40" s="626"/>
      <c r="E40" s="626"/>
      <c r="F40" s="626"/>
      <c r="G40" s="626"/>
      <c r="H40" s="626"/>
      <c r="I40" s="626"/>
      <c r="J40" s="626"/>
      <c r="K40" s="626"/>
      <c r="L40" s="626"/>
      <c r="M40" s="626"/>
      <c r="N40" s="626"/>
    </row>
    <row r="41" spans="1:14" ht="15" hidden="1" customHeight="1" x14ac:dyDescent="0.25">
      <c r="A41" s="626"/>
      <c r="B41" s="626"/>
      <c r="C41" s="626"/>
      <c r="D41" s="626"/>
      <c r="E41" s="626"/>
      <c r="F41" s="626"/>
      <c r="G41" s="626"/>
      <c r="H41" s="626"/>
      <c r="I41" s="626"/>
      <c r="J41" s="626"/>
      <c r="K41" s="626"/>
      <c r="L41" s="626"/>
      <c r="M41" s="626"/>
      <c r="N41" s="626"/>
    </row>
    <row r="42" spans="1:14" ht="15" hidden="1" customHeight="1" x14ac:dyDescent="0.25">
      <c r="A42" s="626"/>
      <c r="B42" s="626"/>
      <c r="C42" s="626"/>
      <c r="D42" s="626"/>
      <c r="E42" s="626"/>
      <c r="F42" s="626"/>
      <c r="G42" s="626"/>
      <c r="H42" s="626"/>
      <c r="I42" s="626"/>
      <c r="J42" s="626"/>
      <c r="K42" s="626"/>
      <c r="L42" s="626"/>
      <c r="M42" s="626"/>
      <c r="N42" s="626"/>
    </row>
    <row r="43" spans="1:14" ht="15" hidden="1" customHeight="1" x14ac:dyDescent="0.25">
      <c r="A43" s="626"/>
      <c r="B43" s="626"/>
      <c r="C43" s="626"/>
      <c r="D43" s="626"/>
      <c r="E43" s="626"/>
      <c r="F43" s="626"/>
      <c r="G43" s="626"/>
      <c r="H43" s="626"/>
      <c r="I43" s="626"/>
      <c r="J43" s="626"/>
      <c r="K43" s="626"/>
      <c r="L43" s="626"/>
      <c r="M43" s="626"/>
      <c r="N43" s="626"/>
    </row>
    <row r="44" spans="1:14" ht="15" hidden="1" customHeight="1" x14ac:dyDescent="0.25">
      <c r="A44" s="626"/>
      <c r="B44" s="626"/>
      <c r="C44" s="626"/>
      <c r="D44" s="626"/>
      <c r="E44" s="626"/>
      <c r="F44" s="626"/>
      <c r="G44" s="626"/>
      <c r="H44" s="626"/>
      <c r="I44" s="626"/>
      <c r="J44" s="626"/>
      <c r="K44" s="626"/>
      <c r="L44" s="626"/>
      <c r="M44" s="626"/>
      <c r="N44" s="626"/>
    </row>
    <row r="45" spans="1:14" ht="15" hidden="1" customHeight="1" x14ac:dyDescent="0.25">
      <c r="A45" s="626"/>
      <c r="B45" s="626"/>
      <c r="C45" s="626"/>
      <c r="D45" s="626"/>
      <c r="E45" s="626"/>
      <c r="F45" s="626"/>
      <c r="G45" s="626"/>
      <c r="H45" s="626"/>
      <c r="I45" s="626"/>
      <c r="J45" s="626"/>
      <c r="K45" s="626"/>
      <c r="L45" s="626"/>
      <c r="M45" s="626"/>
      <c r="N45" s="626"/>
    </row>
    <row r="46" spans="1:14" ht="15" hidden="1" customHeight="1" x14ac:dyDescent="0.25">
      <c r="A46" s="626"/>
      <c r="B46" s="626"/>
      <c r="C46" s="626"/>
      <c r="D46" s="626"/>
      <c r="E46" s="626"/>
      <c r="F46" s="626"/>
      <c r="G46" s="626"/>
      <c r="H46" s="626"/>
      <c r="I46" s="626"/>
      <c r="J46" s="626"/>
      <c r="K46" s="626"/>
      <c r="L46" s="626"/>
      <c r="M46" s="626"/>
      <c r="N46" s="626"/>
    </row>
    <row r="47" spans="1:14" ht="15" hidden="1" customHeight="1" x14ac:dyDescent="0.25">
      <c r="A47" s="626"/>
      <c r="B47" s="626"/>
      <c r="C47" s="626"/>
      <c r="D47" s="626"/>
      <c r="E47" s="626"/>
      <c r="F47" s="626"/>
      <c r="G47" s="626"/>
      <c r="H47" s="626"/>
      <c r="I47" s="626"/>
      <c r="J47" s="626"/>
      <c r="K47" s="626"/>
      <c r="L47" s="626"/>
      <c r="M47" s="626"/>
      <c r="N47" s="626"/>
    </row>
    <row r="48" spans="1:14" ht="15" hidden="1" customHeight="1" x14ac:dyDescent="0.25">
      <c r="A48" s="626"/>
      <c r="B48" s="626"/>
      <c r="C48" s="626"/>
      <c r="D48" s="626"/>
      <c r="E48" s="626"/>
      <c r="F48" s="626"/>
      <c r="G48" s="626"/>
      <c r="H48" s="626"/>
      <c r="I48" s="626"/>
      <c r="J48" s="626"/>
      <c r="K48" s="626"/>
      <c r="L48" s="626"/>
      <c r="M48" s="626"/>
      <c r="N48" s="626"/>
    </row>
    <row r="49" spans="1:14" ht="15" hidden="1" customHeight="1" x14ac:dyDescent="0.25">
      <c r="A49" s="626"/>
      <c r="B49" s="626"/>
      <c r="C49" s="626"/>
      <c r="D49" s="626"/>
      <c r="E49" s="626"/>
      <c r="F49" s="626"/>
      <c r="G49" s="626"/>
      <c r="H49" s="626"/>
      <c r="I49" s="626"/>
      <c r="J49" s="626"/>
      <c r="K49" s="626"/>
      <c r="L49" s="626"/>
      <c r="M49" s="626"/>
      <c r="N49" s="626"/>
    </row>
    <row r="50" spans="1:14" ht="15" hidden="1" customHeight="1" x14ac:dyDescent="0.25">
      <c r="A50" s="626"/>
      <c r="B50" s="626"/>
      <c r="C50" s="626"/>
      <c r="D50" s="626"/>
      <c r="E50" s="626"/>
      <c r="F50" s="626"/>
      <c r="G50" s="626"/>
      <c r="H50" s="626"/>
      <c r="I50" s="626"/>
      <c r="J50" s="626"/>
      <c r="K50" s="626"/>
      <c r="L50" s="626"/>
      <c r="M50" s="626"/>
      <c r="N50" s="626"/>
    </row>
    <row r="51" spans="1:14" ht="15" hidden="1" customHeight="1" x14ac:dyDescent="0.25">
      <c r="A51" s="626"/>
      <c r="B51" s="626"/>
      <c r="C51" s="626"/>
      <c r="D51" s="626"/>
      <c r="E51" s="626"/>
      <c r="F51" s="626"/>
      <c r="G51" s="626"/>
      <c r="H51" s="626"/>
      <c r="I51" s="626"/>
      <c r="J51" s="626"/>
      <c r="K51" s="626"/>
      <c r="L51" s="626"/>
      <c r="M51" s="626"/>
      <c r="N51" s="626"/>
    </row>
    <row r="52" spans="1:14" ht="15" hidden="1" customHeight="1" x14ac:dyDescent="0.25">
      <c r="A52" s="626"/>
      <c r="B52" s="626"/>
      <c r="C52" s="626"/>
      <c r="D52" s="626"/>
      <c r="E52" s="626"/>
      <c r="F52" s="626"/>
      <c r="G52" s="626"/>
      <c r="H52" s="626"/>
      <c r="I52" s="626"/>
      <c r="J52" s="626"/>
      <c r="K52" s="626"/>
      <c r="L52" s="626"/>
      <c r="M52" s="626"/>
      <c r="N52" s="626"/>
    </row>
    <row r="53" spans="1:14" ht="68.25" hidden="1" customHeight="1" x14ac:dyDescent="0.25">
      <c r="A53" s="626"/>
      <c r="B53" s="626"/>
      <c r="C53" s="626"/>
      <c r="D53" s="626"/>
      <c r="E53" s="626"/>
      <c r="F53" s="626"/>
      <c r="G53" s="626"/>
      <c r="H53" s="626"/>
      <c r="I53" s="626"/>
      <c r="J53" s="626"/>
      <c r="K53" s="626"/>
      <c r="L53" s="626"/>
      <c r="M53" s="626"/>
      <c r="N53" s="626"/>
    </row>
    <row r="54" spans="1:14" ht="68.25" hidden="1" customHeight="1" x14ac:dyDescent="0.25">
      <c r="A54" s="626"/>
      <c r="B54" s="626"/>
      <c r="C54" s="626"/>
      <c r="D54" s="626"/>
      <c r="E54" s="626"/>
      <c r="F54" s="626"/>
      <c r="G54" s="626"/>
      <c r="H54" s="626"/>
      <c r="I54" s="626"/>
      <c r="J54" s="626"/>
      <c r="K54" s="626"/>
      <c r="L54" s="626"/>
      <c r="M54" s="626"/>
      <c r="N54" s="626"/>
    </row>
    <row r="55" spans="1:14" ht="68.25" hidden="1" customHeight="1" x14ac:dyDescent="0.25">
      <c r="A55" s="626"/>
      <c r="B55" s="626"/>
      <c r="C55" s="626"/>
      <c r="D55" s="626"/>
      <c r="E55" s="626"/>
      <c r="F55" s="626"/>
      <c r="G55" s="626"/>
      <c r="H55" s="626"/>
      <c r="I55" s="626"/>
      <c r="J55" s="626"/>
      <c r="K55" s="626"/>
      <c r="L55" s="626"/>
      <c r="M55" s="626"/>
      <c r="N55" s="626"/>
    </row>
    <row r="56" spans="1:14" ht="68.25" hidden="1" customHeight="1" x14ac:dyDescent="0.25">
      <c r="A56" s="626"/>
      <c r="B56" s="626"/>
      <c r="C56" s="626"/>
      <c r="D56" s="626"/>
      <c r="E56" s="626"/>
      <c r="F56" s="626"/>
      <c r="G56" s="626"/>
      <c r="H56" s="626"/>
      <c r="I56" s="626"/>
      <c r="J56" s="626"/>
      <c r="K56" s="626"/>
      <c r="L56" s="626"/>
      <c r="M56" s="626"/>
      <c r="N56" s="626"/>
    </row>
    <row r="57" spans="1:14" ht="68.25" hidden="1" customHeight="1" x14ac:dyDescent="0.25">
      <c r="A57" s="626"/>
      <c r="B57" s="626"/>
      <c r="C57" s="626"/>
      <c r="D57" s="626"/>
      <c r="E57" s="626"/>
      <c r="F57" s="626"/>
      <c r="G57" s="626"/>
      <c r="H57" s="626"/>
      <c r="I57" s="626"/>
      <c r="J57" s="626"/>
      <c r="K57" s="626"/>
      <c r="L57" s="626"/>
      <c r="M57" s="626"/>
      <c r="N57" s="626"/>
    </row>
    <row r="58" spans="1:14" ht="68.25" hidden="1" customHeight="1" x14ac:dyDescent="0.25">
      <c r="A58" s="626"/>
      <c r="B58" s="626"/>
      <c r="C58" s="626"/>
      <c r="D58" s="626"/>
      <c r="E58" s="626"/>
      <c r="F58" s="626"/>
      <c r="G58" s="626"/>
      <c r="H58" s="626"/>
      <c r="I58" s="626"/>
      <c r="J58" s="626"/>
      <c r="K58" s="626"/>
      <c r="L58" s="626"/>
      <c r="M58" s="626"/>
      <c r="N58" s="626"/>
    </row>
    <row r="59" spans="1:14" ht="68.25" hidden="1" customHeight="1" x14ac:dyDescent="0.25">
      <c r="A59" s="626"/>
      <c r="B59" s="626"/>
      <c r="C59" s="626"/>
      <c r="D59" s="626"/>
      <c r="E59" s="626"/>
      <c r="F59" s="626"/>
      <c r="G59" s="626"/>
      <c r="H59" s="626"/>
      <c r="I59" s="626"/>
      <c r="J59" s="626"/>
      <c r="K59" s="626"/>
      <c r="L59" s="626"/>
      <c r="M59" s="626"/>
      <c r="N59" s="626"/>
    </row>
    <row r="60" spans="1:14" ht="68.25" hidden="1" customHeight="1" x14ac:dyDescent="0.25">
      <c r="A60" s="626"/>
      <c r="B60" s="626"/>
      <c r="C60" s="626"/>
      <c r="D60" s="626"/>
      <c r="E60" s="626"/>
      <c r="F60" s="626"/>
      <c r="G60" s="626"/>
      <c r="H60" s="626"/>
      <c r="I60" s="626"/>
      <c r="J60" s="626"/>
      <c r="K60" s="626"/>
      <c r="L60" s="626"/>
      <c r="M60" s="626"/>
      <c r="N60" s="626"/>
    </row>
    <row r="61" spans="1:14" ht="68.25" hidden="1" customHeight="1" x14ac:dyDescent="0.25">
      <c r="A61" s="626"/>
      <c r="B61" s="626"/>
      <c r="C61" s="626"/>
      <c r="D61" s="626"/>
      <c r="E61" s="626"/>
      <c r="F61" s="626"/>
      <c r="G61" s="626"/>
      <c r="H61" s="626"/>
      <c r="I61" s="626"/>
      <c r="J61" s="626"/>
      <c r="K61" s="626"/>
      <c r="L61" s="626"/>
      <c r="M61" s="626"/>
      <c r="N61" s="626"/>
    </row>
    <row r="62" spans="1:14" ht="68.25" hidden="1" customHeight="1" x14ac:dyDescent="0.25">
      <c r="A62" s="626"/>
      <c r="B62" s="626"/>
      <c r="C62" s="626"/>
      <c r="D62" s="626"/>
      <c r="E62" s="626"/>
      <c r="F62" s="626"/>
      <c r="G62" s="626"/>
      <c r="H62" s="626"/>
      <c r="I62" s="626"/>
      <c r="J62" s="626"/>
      <c r="K62" s="626"/>
      <c r="L62" s="626"/>
      <c r="M62" s="626"/>
      <c r="N62" s="626"/>
    </row>
    <row r="63" spans="1:14" ht="68.25" hidden="1" customHeight="1" x14ac:dyDescent="0.25">
      <c r="A63" s="626"/>
      <c r="B63" s="626"/>
      <c r="C63" s="626"/>
      <c r="D63" s="626"/>
      <c r="E63" s="626"/>
      <c r="F63" s="626"/>
      <c r="G63" s="626"/>
      <c r="H63" s="626"/>
      <c r="I63" s="626"/>
      <c r="J63" s="626"/>
      <c r="K63" s="626"/>
      <c r="L63" s="626"/>
      <c r="M63" s="626"/>
      <c r="N63" s="626"/>
    </row>
    <row r="64" spans="1:14" ht="68.25" hidden="1" customHeight="1" x14ac:dyDescent="0.25">
      <c r="A64" s="626"/>
      <c r="B64" s="626"/>
      <c r="C64" s="626"/>
      <c r="D64" s="626"/>
      <c r="E64" s="626"/>
      <c r="F64" s="626"/>
      <c r="G64" s="626"/>
      <c r="H64" s="626"/>
      <c r="I64" s="626"/>
      <c r="J64" s="626"/>
      <c r="K64" s="626"/>
      <c r="L64" s="626"/>
      <c r="M64" s="626"/>
      <c r="N64" s="626"/>
    </row>
    <row r="65" spans="1:14" ht="68.25" hidden="1" customHeight="1" x14ac:dyDescent="0.25">
      <c r="A65" s="626"/>
      <c r="B65" s="626"/>
      <c r="C65" s="626"/>
      <c r="D65" s="626"/>
      <c r="E65" s="626"/>
      <c r="F65" s="626"/>
      <c r="G65" s="626"/>
      <c r="H65" s="626"/>
      <c r="I65" s="626"/>
      <c r="J65" s="626"/>
      <c r="K65" s="626"/>
      <c r="L65" s="626"/>
      <c r="M65" s="626"/>
      <c r="N65" s="626"/>
    </row>
    <row r="66" spans="1:14" ht="68.25" hidden="1" customHeight="1" x14ac:dyDescent="0.25">
      <c r="A66" s="626"/>
      <c r="B66" s="626"/>
      <c r="C66" s="626"/>
      <c r="D66" s="626"/>
      <c r="E66" s="626"/>
      <c r="F66" s="626"/>
      <c r="G66" s="626"/>
      <c r="H66" s="626"/>
      <c r="I66" s="626"/>
      <c r="J66" s="626"/>
      <c r="K66" s="626"/>
      <c r="L66" s="626"/>
      <c r="M66" s="626"/>
      <c r="N66" s="626"/>
    </row>
    <row r="67" spans="1:14" ht="68.25" hidden="1" customHeight="1" x14ac:dyDescent="0.25">
      <c r="A67" s="626"/>
      <c r="B67" s="626"/>
      <c r="C67" s="626"/>
      <c r="D67" s="626"/>
      <c r="E67" s="626"/>
      <c r="F67" s="626"/>
      <c r="G67" s="626"/>
      <c r="H67" s="626"/>
      <c r="I67" s="626"/>
      <c r="J67" s="626"/>
      <c r="K67" s="626"/>
      <c r="L67" s="626"/>
      <c r="M67" s="626"/>
      <c r="N67" s="626"/>
    </row>
    <row r="68" spans="1:14" ht="68.25" hidden="1" customHeight="1" x14ac:dyDescent="0.25">
      <c r="A68" s="626"/>
      <c r="B68" s="626"/>
      <c r="C68" s="626"/>
      <c r="D68" s="626"/>
      <c r="E68" s="626"/>
      <c r="F68" s="626"/>
      <c r="G68" s="626"/>
      <c r="H68" s="626"/>
      <c r="I68" s="626"/>
      <c r="J68" s="626"/>
      <c r="K68" s="626"/>
      <c r="L68" s="626"/>
      <c r="M68" s="626"/>
      <c r="N68" s="626"/>
    </row>
    <row r="69" spans="1:14" ht="68.25" hidden="1" customHeight="1" x14ac:dyDescent="0.25">
      <c r="A69" s="626"/>
      <c r="B69" s="626"/>
      <c r="C69" s="626"/>
      <c r="D69" s="626"/>
      <c r="E69" s="626"/>
      <c r="F69" s="626"/>
      <c r="G69" s="626"/>
      <c r="H69" s="626"/>
      <c r="I69" s="626"/>
      <c r="J69" s="626"/>
      <c r="K69" s="626"/>
      <c r="L69" s="626"/>
      <c r="M69" s="626"/>
      <c r="N69" s="626"/>
    </row>
    <row r="70" spans="1:14" ht="68.25" hidden="1" customHeight="1" x14ac:dyDescent="0.25">
      <c r="A70" s="626"/>
      <c r="B70" s="626"/>
      <c r="C70" s="626"/>
      <c r="D70" s="626"/>
      <c r="E70" s="626"/>
      <c r="F70" s="626"/>
      <c r="G70" s="626"/>
      <c r="H70" s="626"/>
      <c r="I70" s="626"/>
      <c r="J70" s="626"/>
      <c r="K70" s="626"/>
      <c r="L70" s="626"/>
      <c r="M70" s="626"/>
      <c r="N70" s="626"/>
    </row>
    <row r="71" spans="1:14" ht="68.25" hidden="1" customHeight="1" x14ac:dyDescent="0.25">
      <c r="A71" s="626"/>
      <c r="B71" s="626"/>
      <c r="C71" s="626"/>
      <c r="D71" s="626"/>
      <c r="E71" s="626"/>
      <c r="F71" s="626"/>
      <c r="G71" s="626"/>
      <c r="H71" s="626"/>
      <c r="I71" s="626"/>
      <c r="J71" s="626"/>
      <c r="K71" s="626"/>
      <c r="L71" s="626"/>
      <c r="M71" s="626"/>
      <c r="N71" s="626"/>
    </row>
    <row r="72" spans="1:14" ht="68.25" hidden="1" customHeight="1" x14ac:dyDescent="0.25">
      <c r="A72" s="626"/>
      <c r="B72" s="626"/>
      <c r="C72" s="626"/>
      <c r="D72" s="626"/>
      <c r="E72" s="626"/>
      <c r="F72" s="626"/>
      <c r="G72" s="626"/>
      <c r="H72" s="626"/>
      <c r="I72" s="626"/>
      <c r="J72" s="626"/>
      <c r="K72" s="626"/>
      <c r="L72" s="626"/>
      <c r="M72" s="626"/>
      <c r="N72" s="626"/>
    </row>
    <row r="73" spans="1:14" ht="68.25" hidden="1" customHeight="1" x14ac:dyDescent="0.25">
      <c r="A73" s="626"/>
      <c r="B73" s="626"/>
      <c r="C73" s="626"/>
      <c r="D73" s="626"/>
      <c r="E73" s="626"/>
      <c r="F73" s="626"/>
      <c r="G73" s="626"/>
      <c r="H73" s="626"/>
      <c r="I73" s="626"/>
      <c r="J73" s="626"/>
      <c r="K73" s="626"/>
      <c r="L73" s="626"/>
      <c r="M73" s="626"/>
      <c r="N73" s="626"/>
    </row>
    <row r="74" spans="1:14" ht="68.25" hidden="1" customHeight="1" x14ac:dyDescent="0.25">
      <c r="A74" s="626"/>
      <c r="B74" s="626"/>
      <c r="C74" s="626"/>
      <c r="D74" s="626"/>
      <c r="E74" s="626"/>
      <c r="F74" s="626"/>
      <c r="G74" s="626"/>
      <c r="H74" s="626"/>
      <c r="I74" s="626"/>
      <c r="J74" s="626"/>
      <c r="K74" s="626"/>
      <c r="L74" s="626"/>
      <c r="M74" s="626"/>
      <c r="N74" s="626"/>
    </row>
    <row r="75" spans="1:14" ht="68.25" hidden="1" customHeight="1" x14ac:dyDescent="0.25">
      <c r="A75" s="626"/>
      <c r="B75" s="626"/>
      <c r="C75" s="626"/>
      <c r="D75" s="626"/>
      <c r="E75" s="626"/>
      <c r="F75" s="626"/>
      <c r="G75" s="626"/>
      <c r="H75" s="626"/>
      <c r="I75" s="626"/>
      <c r="J75" s="626"/>
      <c r="K75" s="626"/>
      <c r="L75" s="626"/>
      <c r="M75" s="626"/>
      <c r="N75" s="626"/>
    </row>
    <row r="76" spans="1:14" ht="68.25" hidden="1" customHeight="1" x14ac:dyDescent="0.25">
      <c r="A76" s="626"/>
      <c r="B76" s="626"/>
      <c r="C76" s="626"/>
      <c r="D76" s="626"/>
      <c r="E76" s="626"/>
      <c r="F76" s="626"/>
      <c r="G76" s="626"/>
      <c r="H76" s="626"/>
      <c r="I76" s="626"/>
      <c r="J76" s="626"/>
      <c r="K76" s="626"/>
      <c r="L76" s="626"/>
      <c r="M76" s="626"/>
      <c r="N76" s="626"/>
    </row>
    <row r="77" spans="1:14" ht="68.25" hidden="1" customHeight="1" x14ac:dyDescent="0.25">
      <c r="A77" s="626"/>
      <c r="B77" s="626"/>
      <c r="C77" s="626"/>
      <c r="D77" s="626"/>
      <c r="E77" s="626"/>
      <c r="F77" s="626"/>
      <c r="G77" s="626"/>
      <c r="H77" s="626"/>
      <c r="I77" s="626"/>
      <c r="J77" s="626"/>
      <c r="K77" s="626"/>
      <c r="L77" s="626"/>
      <c r="M77" s="626"/>
      <c r="N77" s="626"/>
    </row>
    <row r="78" spans="1:14" ht="68.25" hidden="1" customHeight="1" x14ac:dyDescent="0.25">
      <c r="A78" s="626"/>
      <c r="B78" s="626"/>
      <c r="C78" s="626"/>
      <c r="D78" s="626"/>
      <c r="E78" s="626"/>
      <c r="F78" s="626"/>
      <c r="G78" s="626"/>
      <c r="H78" s="626"/>
      <c r="I78" s="626"/>
      <c r="J78" s="626"/>
      <c r="K78" s="626"/>
      <c r="L78" s="626"/>
      <c r="M78" s="626"/>
      <c r="N78" s="626"/>
    </row>
    <row r="79" spans="1:14" ht="68.25" hidden="1" customHeight="1" x14ac:dyDescent="0.25">
      <c r="A79" s="626"/>
      <c r="B79" s="626"/>
      <c r="C79" s="626"/>
      <c r="D79" s="626"/>
      <c r="E79" s="626"/>
      <c r="F79" s="626"/>
      <c r="G79" s="626"/>
      <c r="H79" s="626"/>
      <c r="I79" s="626"/>
      <c r="J79" s="626"/>
      <c r="K79" s="626"/>
      <c r="L79" s="626"/>
      <c r="M79" s="626"/>
      <c r="N79" s="626"/>
    </row>
    <row r="80" spans="1:14" ht="68.25" hidden="1" customHeight="1" x14ac:dyDescent="0.25">
      <c r="A80" s="626"/>
      <c r="B80" s="626"/>
      <c r="C80" s="626"/>
      <c r="D80" s="626"/>
      <c r="E80" s="626"/>
      <c r="F80" s="626"/>
      <c r="G80" s="626"/>
      <c r="H80" s="626"/>
      <c r="I80" s="626"/>
      <c r="J80" s="626"/>
      <c r="K80" s="626"/>
      <c r="L80" s="626"/>
      <c r="M80" s="626"/>
      <c r="N80" s="626"/>
    </row>
    <row r="81" spans="1:14" ht="68.25" hidden="1" customHeight="1" x14ac:dyDescent="0.25">
      <c r="A81" s="626"/>
      <c r="B81" s="626"/>
      <c r="C81" s="626"/>
      <c r="D81" s="626"/>
      <c r="E81" s="626"/>
      <c r="F81" s="626"/>
      <c r="G81" s="626"/>
      <c r="H81" s="626"/>
      <c r="I81" s="626"/>
      <c r="J81" s="626"/>
      <c r="K81" s="626"/>
      <c r="L81" s="626"/>
      <c r="M81" s="626"/>
      <c r="N81" s="626"/>
    </row>
    <row r="82" spans="1:14" ht="68.25" hidden="1" customHeight="1" x14ac:dyDescent="0.25">
      <c r="A82" s="626"/>
      <c r="B82" s="626"/>
      <c r="C82" s="626"/>
      <c r="D82" s="626"/>
      <c r="E82" s="626"/>
      <c r="F82" s="626"/>
      <c r="G82" s="626"/>
      <c r="H82" s="626"/>
      <c r="I82" s="626"/>
      <c r="J82" s="626"/>
      <c r="K82" s="626"/>
      <c r="L82" s="626"/>
      <c r="M82" s="626"/>
      <c r="N82" s="626"/>
    </row>
    <row r="83" spans="1:14" ht="68.25" hidden="1" customHeight="1" x14ac:dyDescent="0.25">
      <c r="A83" s="626"/>
      <c r="B83" s="626"/>
      <c r="C83" s="626"/>
      <c r="D83" s="626"/>
      <c r="E83" s="626"/>
      <c r="F83" s="626"/>
      <c r="G83" s="626"/>
      <c r="H83" s="626"/>
      <c r="I83" s="626"/>
      <c r="J83" s="626"/>
      <c r="K83" s="626"/>
      <c r="L83" s="626"/>
      <c r="M83" s="626"/>
      <c r="N83" s="626"/>
    </row>
    <row r="84" spans="1:14" ht="68.25" hidden="1" customHeight="1" x14ac:dyDescent="0.25">
      <c r="A84" s="626"/>
      <c r="B84" s="626"/>
      <c r="C84" s="626"/>
      <c r="D84" s="626"/>
      <c r="E84" s="626"/>
      <c r="F84" s="626"/>
      <c r="G84" s="626"/>
      <c r="H84" s="626"/>
      <c r="I84" s="626"/>
      <c r="J84" s="626"/>
      <c r="K84" s="626"/>
      <c r="L84" s="626"/>
      <c r="M84" s="626"/>
      <c r="N84" s="626"/>
    </row>
    <row r="85" spans="1:14" ht="68.25" hidden="1" customHeight="1" x14ac:dyDescent="0.25">
      <c r="A85" s="626"/>
      <c r="B85" s="626"/>
      <c r="C85" s="626"/>
      <c r="D85" s="626"/>
      <c r="E85" s="626"/>
      <c r="F85" s="626"/>
      <c r="G85" s="626"/>
      <c r="H85" s="626"/>
      <c r="I85" s="626"/>
      <c r="J85" s="626"/>
      <c r="K85" s="626"/>
      <c r="L85" s="626"/>
      <c r="M85" s="626"/>
      <c r="N85" s="626"/>
    </row>
    <row r="86" spans="1:14" ht="68.25" hidden="1" customHeight="1" x14ac:dyDescent="0.25">
      <c r="A86" s="626"/>
      <c r="B86" s="626"/>
      <c r="C86" s="626"/>
      <c r="D86" s="626"/>
      <c r="E86" s="626"/>
      <c r="F86" s="626"/>
      <c r="G86" s="626"/>
      <c r="H86" s="626"/>
      <c r="I86" s="626"/>
      <c r="J86" s="626"/>
      <c r="K86" s="626"/>
      <c r="L86" s="626"/>
      <c r="M86" s="626"/>
      <c r="N86" s="626"/>
    </row>
    <row r="87" spans="1:14" ht="68.25" hidden="1" customHeight="1" x14ac:dyDescent="0.25">
      <c r="A87" s="626"/>
      <c r="B87" s="626"/>
      <c r="C87" s="626"/>
      <c r="D87" s="626"/>
      <c r="E87" s="626"/>
      <c r="F87" s="626"/>
      <c r="G87" s="626"/>
      <c r="H87" s="626"/>
      <c r="I87" s="626"/>
      <c r="J87" s="626"/>
      <c r="K87" s="626"/>
      <c r="L87" s="626"/>
      <c r="M87" s="626"/>
      <c r="N87" s="626"/>
    </row>
    <row r="88" spans="1:14" ht="68.25" hidden="1" customHeight="1" x14ac:dyDescent="0.25">
      <c r="A88" s="626"/>
      <c r="B88" s="626"/>
      <c r="C88" s="626"/>
      <c r="D88" s="626"/>
      <c r="E88" s="626"/>
      <c r="F88" s="626"/>
      <c r="G88" s="626"/>
      <c r="H88" s="626"/>
      <c r="I88" s="626"/>
      <c r="J88" s="626"/>
      <c r="K88" s="626"/>
      <c r="L88" s="626"/>
      <c r="M88" s="626"/>
      <c r="N88" s="626"/>
    </row>
    <row r="89" spans="1:14" ht="68.25" hidden="1" customHeight="1" x14ac:dyDescent="0.25">
      <c r="A89" s="626"/>
      <c r="B89" s="626"/>
      <c r="C89" s="626"/>
      <c r="D89" s="626"/>
      <c r="E89" s="626"/>
      <c r="F89" s="626"/>
      <c r="G89" s="626"/>
      <c r="H89" s="626"/>
      <c r="I89" s="626"/>
      <c r="J89" s="626"/>
      <c r="K89" s="626"/>
      <c r="L89" s="626"/>
      <c r="M89" s="626"/>
      <c r="N89" s="626"/>
    </row>
    <row r="90" spans="1:14" ht="68.25" hidden="1" customHeight="1" x14ac:dyDescent="0.25">
      <c r="A90" s="626"/>
      <c r="B90" s="626"/>
      <c r="C90" s="626"/>
      <c r="D90" s="626"/>
      <c r="E90" s="626"/>
      <c r="F90" s="626"/>
      <c r="G90" s="626"/>
      <c r="H90" s="626"/>
      <c r="I90" s="626"/>
      <c r="J90" s="626"/>
      <c r="K90" s="626"/>
      <c r="L90" s="626"/>
      <c r="M90" s="626"/>
      <c r="N90" s="626"/>
    </row>
    <row r="91" spans="1:14" ht="68.25" hidden="1" customHeight="1" x14ac:dyDescent="0.25">
      <c r="A91" s="626"/>
      <c r="B91" s="626"/>
      <c r="C91" s="626"/>
      <c r="D91" s="626"/>
      <c r="E91" s="626"/>
      <c r="F91" s="626"/>
      <c r="G91" s="626"/>
      <c r="H91" s="626"/>
      <c r="I91" s="626"/>
      <c r="J91" s="626"/>
      <c r="K91" s="626"/>
      <c r="L91" s="626"/>
      <c r="M91" s="626"/>
      <c r="N91" s="626"/>
    </row>
    <row r="92" spans="1:14" ht="68.25" hidden="1" customHeight="1" x14ac:dyDescent="0.25">
      <c r="A92" s="626"/>
      <c r="B92" s="626"/>
      <c r="C92" s="626"/>
      <c r="D92" s="626"/>
      <c r="E92" s="626"/>
      <c r="F92" s="626"/>
      <c r="G92" s="626"/>
      <c r="H92" s="626"/>
      <c r="I92" s="626"/>
      <c r="J92" s="626"/>
      <c r="K92" s="626"/>
      <c r="L92" s="626"/>
      <c r="M92" s="626"/>
      <c r="N92" s="626"/>
    </row>
    <row r="93" spans="1:14" ht="68.25" hidden="1" customHeight="1" x14ac:dyDescent="0.25">
      <c r="A93" s="626"/>
      <c r="B93" s="626"/>
      <c r="C93" s="626"/>
      <c r="D93" s="626"/>
      <c r="E93" s="626"/>
      <c r="F93" s="626"/>
      <c r="G93" s="626"/>
      <c r="H93" s="626"/>
      <c r="I93" s="626"/>
      <c r="J93" s="626"/>
      <c r="K93" s="626"/>
      <c r="L93" s="626"/>
      <c r="M93" s="626"/>
      <c r="N93" s="626"/>
    </row>
    <row r="94" spans="1:14" ht="68.25" hidden="1" customHeight="1" x14ac:dyDescent="0.25">
      <c r="A94" s="626"/>
      <c r="B94" s="626"/>
      <c r="C94" s="626"/>
      <c r="D94" s="626"/>
      <c r="E94" s="626"/>
      <c r="F94" s="626"/>
      <c r="G94" s="626"/>
      <c r="H94" s="626"/>
      <c r="I94" s="626"/>
      <c r="J94" s="626"/>
      <c r="K94" s="626"/>
      <c r="L94" s="626"/>
      <c r="M94" s="626"/>
      <c r="N94" s="626"/>
    </row>
    <row r="95" spans="1:14" ht="68.25" hidden="1" customHeight="1" x14ac:dyDescent="0.25">
      <c r="A95" s="626"/>
      <c r="B95" s="626"/>
      <c r="C95" s="626"/>
      <c r="D95" s="626"/>
      <c r="E95" s="626"/>
      <c r="F95" s="626"/>
      <c r="G95" s="626"/>
      <c r="H95" s="626"/>
      <c r="I95" s="626"/>
      <c r="J95" s="626"/>
      <c r="K95" s="626"/>
      <c r="L95" s="626"/>
      <c r="M95" s="626"/>
      <c r="N95" s="626"/>
    </row>
    <row r="96" spans="1:14" ht="68.25" hidden="1" customHeight="1" x14ac:dyDescent="0.25">
      <c r="A96" s="626"/>
      <c r="B96" s="626"/>
      <c r="C96" s="626"/>
      <c r="D96" s="626"/>
      <c r="E96" s="626"/>
      <c r="F96" s="626"/>
      <c r="G96" s="626"/>
      <c r="H96" s="626"/>
      <c r="I96" s="626"/>
      <c r="J96" s="626"/>
      <c r="K96" s="626"/>
      <c r="L96" s="626"/>
      <c r="M96" s="626"/>
      <c r="N96" s="626"/>
    </row>
    <row r="97" spans="1:14" ht="68.25" hidden="1" customHeight="1" x14ac:dyDescent="0.25">
      <c r="A97" s="626"/>
      <c r="B97" s="626"/>
      <c r="C97" s="626"/>
      <c r="D97" s="626"/>
      <c r="E97" s="626"/>
      <c r="F97" s="626"/>
      <c r="G97" s="626"/>
      <c r="H97" s="626"/>
      <c r="I97" s="626"/>
      <c r="J97" s="626"/>
      <c r="K97" s="626"/>
      <c r="L97" s="626"/>
      <c r="M97" s="626"/>
      <c r="N97" s="626"/>
    </row>
    <row r="98" spans="1:14" ht="68.25" hidden="1" customHeight="1" x14ac:dyDescent="0.25">
      <c r="A98" s="626"/>
      <c r="B98" s="626"/>
      <c r="C98" s="626"/>
      <c r="D98" s="626"/>
      <c r="E98" s="626"/>
      <c r="F98" s="626"/>
      <c r="G98" s="626"/>
      <c r="H98" s="626"/>
      <c r="I98" s="626"/>
      <c r="J98" s="626"/>
      <c r="K98" s="626"/>
      <c r="L98" s="626"/>
      <c r="M98" s="626"/>
      <c r="N98" s="626"/>
    </row>
    <row r="99" spans="1:14" ht="68.25" hidden="1" customHeight="1" x14ac:dyDescent="0.25">
      <c r="A99" s="626"/>
      <c r="B99" s="626"/>
      <c r="C99" s="626"/>
      <c r="D99" s="626"/>
      <c r="E99" s="626"/>
      <c r="F99" s="626"/>
      <c r="G99" s="626"/>
      <c r="H99" s="626"/>
      <c r="I99" s="626"/>
      <c r="J99" s="626"/>
      <c r="K99" s="626"/>
      <c r="L99" s="626"/>
      <c r="M99" s="626"/>
      <c r="N99" s="626"/>
    </row>
    <row r="100" spans="1:14" ht="68.25" hidden="1" customHeight="1" x14ac:dyDescent="0.25">
      <c r="A100" s="626"/>
      <c r="B100" s="626"/>
      <c r="C100" s="626"/>
      <c r="D100" s="626"/>
      <c r="E100" s="626"/>
      <c r="F100" s="626"/>
      <c r="G100" s="626"/>
      <c r="H100" s="626"/>
      <c r="I100" s="626"/>
      <c r="J100" s="626"/>
      <c r="K100" s="626"/>
      <c r="L100" s="626"/>
      <c r="M100" s="626"/>
      <c r="N100" s="626"/>
    </row>
    <row r="101" spans="1:14" ht="68.25" hidden="1" customHeight="1" x14ac:dyDescent="0.25">
      <c r="A101" s="626"/>
      <c r="B101" s="626"/>
      <c r="C101" s="626"/>
      <c r="D101" s="626"/>
      <c r="E101" s="626"/>
      <c r="F101" s="626"/>
      <c r="G101" s="626"/>
      <c r="H101" s="626"/>
      <c r="I101" s="626"/>
      <c r="J101" s="626"/>
      <c r="K101" s="626"/>
      <c r="L101" s="626"/>
      <c r="M101" s="626"/>
      <c r="N101" s="626"/>
    </row>
    <row r="102" spans="1:14" ht="68.25" hidden="1" customHeight="1" x14ac:dyDescent="0.25">
      <c r="A102" s="626"/>
      <c r="B102" s="626"/>
      <c r="C102" s="626"/>
      <c r="D102" s="626"/>
      <c r="E102" s="626"/>
      <c r="F102" s="626"/>
      <c r="G102" s="626"/>
      <c r="H102" s="626"/>
      <c r="I102" s="626"/>
      <c r="J102" s="626"/>
      <c r="K102" s="626"/>
      <c r="L102" s="626"/>
      <c r="M102" s="626"/>
      <c r="N102" s="626"/>
    </row>
    <row r="103" spans="1:14" ht="68.25" hidden="1" customHeight="1" x14ac:dyDescent="0.25">
      <c r="A103" s="626"/>
      <c r="B103" s="626"/>
      <c r="C103" s="626"/>
      <c r="D103" s="626"/>
      <c r="E103" s="626"/>
      <c r="F103" s="626"/>
      <c r="G103" s="626"/>
      <c r="H103" s="626"/>
      <c r="I103" s="626"/>
      <c r="J103" s="626"/>
      <c r="K103" s="626"/>
      <c r="L103" s="626"/>
      <c r="M103" s="626"/>
      <c r="N103" s="626"/>
    </row>
    <row r="104" spans="1:14" ht="68.25" hidden="1" customHeight="1" x14ac:dyDescent="0.25">
      <c r="A104" s="626"/>
      <c r="B104" s="626"/>
      <c r="C104" s="626"/>
      <c r="D104" s="626"/>
      <c r="E104" s="626"/>
      <c r="F104" s="626"/>
      <c r="G104" s="626"/>
      <c r="H104" s="626"/>
      <c r="I104" s="626"/>
      <c r="J104" s="626"/>
      <c r="K104" s="626"/>
      <c r="L104" s="626"/>
      <c r="M104" s="626"/>
      <c r="N104" s="626"/>
    </row>
    <row r="105" spans="1:14" ht="68.25" hidden="1" customHeight="1" x14ac:dyDescent="0.25">
      <c r="A105" s="626"/>
      <c r="B105" s="626"/>
      <c r="C105" s="626"/>
      <c r="D105" s="626"/>
      <c r="E105" s="626"/>
      <c r="F105" s="626"/>
      <c r="G105" s="626"/>
      <c r="H105" s="626"/>
      <c r="I105" s="626"/>
      <c r="J105" s="626"/>
      <c r="K105" s="626"/>
      <c r="L105" s="626"/>
      <c r="M105" s="626"/>
      <c r="N105" s="626"/>
    </row>
    <row r="106" spans="1:14" ht="68.25" hidden="1" customHeight="1" x14ac:dyDescent="0.25">
      <c r="A106" s="626"/>
      <c r="B106" s="626"/>
      <c r="C106" s="626"/>
      <c r="D106" s="626"/>
      <c r="E106" s="626"/>
      <c r="F106" s="626"/>
      <c r="G106" s="626"/>
      <c r="H106" s="626"/>
      <c r="I106" s="626"/>
      <c r="J106" s="626"/>
      <c r="K106" s="626"/>
      <c r="L106" s="626"/>
      <c r="M106" s="626"/>
      <c r="N106" s="626"/>
    </row>
    <row r="107" spans="1:14" ht="68.25" hidden="1" customHeight="1" x14ac:dyDescent="0.25">
      <c r="A107" s="626"/>
      <c r="B107" s="626"/>
      <c r="C107" s="626"/>
      <c r="D107" s="626"/>
      <c r="E107" s="626"/>
      <c r="F107" s="626"/>
      <c r="G107" s="626"/>
      <c r="H107" s="626"/>
      <c r="I107" s="626"/>
      <c r="J107" s="626"/>
      <c r="K107" s="626"/>
      <c r="L107" s="626"/>
      <c r="M107" s="626"/>
      <c r="N107" s="626"/>
    </row>
    <row r="108" spans="1:14" ht="68.25" hidden="1" customHeight="1" x14ac:dyDescent="0.25">
      <c r="A108" s="626"/>
      <c r="B108" s="626"/>
      <c r="C108" s="626"/>
      <c r="D108" s="626"/>
      <c r="E108" s="626"/>
      <c r="F108" s="626"/>
      <c r="G108" s="626"/>
      <c r="H108" s="626"/>
      <c r="I108" s="626"/>
      <c r="J108" s="626"/>
      <c r="K108" s="626"/>
      <c r="L108" s="626"/>
      <c r="M108" s="626"/>
      <c r="N108" s="626"/>
    </row>
    <row r="109" spans="1:14" ht="68.25" hidden="1" customHeight="1" x14ac:dyDescent="0.25">
      <c r="A109" s="626"/>
      <c r="B109" s="626"/>
      <c r="C109" s="626"/>
      <c r="D109" s="626"/>
      <c r="E109" s="626"/>
      <c r="F109" s="626"/>
      <c r="G109" s="626"/>
      <c r="H109" s="626"/>
      <c r="I109" s="626"/>
      <c r="J109" s="626"/>
      <c r="K109" s="626"/>
      <c r="L109" s="626"/>
      <c r="M109" s="626"/>
      <c r="N109" s="626"/>
    </row>
    <row r="110" spans="1:14" ht="68.25" hidden="1" customHeight="1" x14ac:dyDescent="0.25">
      <c r="A110" s="626"/>
      <c r="B110" s="626"/>
      <c r="C110" s="626"/>
      <c r="D110" s="626"/>
      <c r="E110" s="626"/>
      <c r="F110" s="626"/>
      <c r="G110" s="626"/>
      <c r="H110" s="626"/>
      <c r="I110" s="626"/>
      <c r="J110" s="626"/>
      <c r="K110" s="626"/>
      <c r="L110" s="626"/>
      <c r="M110" s="626"/>
      <c r="N110" s="626"/>
    </row>
    <row r="111" spans="1:14" ht="68.25" hidden="1" customHeight="1" x14ac:dyDescent="0.25">
      <c r="A111" s="626"/>
      <c r="B111" s="626"/>
      <c r="C111" s="626"/>
      <c r="D111" s="626"/>
      <c r="E111" s="626"/>
      <c r="F111" s="626"/>
      <c r="G111" s="626"/>
      <c r="H111" s="626"/>
      <c r="I111" s="626"/>
      <c r="J111" s="626"/>
      <c r="K111" s="626"/>
      <c r="L111" s="626"/>
      <c r="M111" s="626"/>
      <c r="N111" s="626"/>
    </row>
    <row r="112" spans="1:14" ht="68.25" hidden="1" customHeight="1" x14ac:dyDescent="0.25">
      <c r="A112" s="626"/>
      <c r="B112" s="626"/>
      <c r="C112" s="626"/>
      <c r="D112" s="626"/>
      <c r="E112" s="626"/>
      <c r="F112" s="626"/>
      <c r="G112" s="626"/>
      <c r="H112" s="626"/>
      <c r="I112" s="626"/>
      <c r="J112" s="626"/>
      <c r="K112" s="626"/>
      <c r="L112" s="626"/>
      <c r="M112" s="626"/>
      <c r="N112" s="626"/>
    </row>
    <row r="113" spans="1:14" ht="68.25" hidden="1" customHeight="1" x14ac:dyDescent="0.25">
      <c r="A113" s="626"/>
      <c r="B113" s="626"/>
      <c r="C113" s="626"/>
      <c r="D113" s="626"/>
      <c r="E113" s="626"/>
      <c r="F113" s="626"/>
      <c r="G113" s="626"/>
      <c r="H113" s="626"/>
      <c r="I113" s="626"/>
      <c r="J113" s="626"/>
      <c r="K113" s="626"/>
      <c r="L113" s="626"/>
      <c r="M113" s="626"/>
      <c r="N113" s="626"/>
    </row>
    <row r="114" spans="1:14" ht="68.25" hidden="1" customHeight="1" x14ac:dyDescent="0.25">
      <c r="A114" s="626"/>
      <c r="B114" s="626"/>
      <c r="C114" s="626"/>
      <c r="D114" s="626"/>
      <c r="E114" s="626"/>
      <c r="F114" s="626"/>
      <c r="G114" s="626"/>
      <c r="H114" s="626"/>
      <c r="I114" s="626"/>
      <c r="J114" s="626"/>
      <c r="K114" s="626"/>
      <c r="L114" s="626"/>
      <c r="M114" s="626"/>
      <c r="N114" s="626"/>
    </row>
    <row r="115" spans="1:14" ht="68.25" hidden="1" customHeight="1" x14ac:dyDescent="0.25">
      <c r="A115" s="626"/>
      <c r="B115" s="626"/>
      <c r="C115" s="626"/>
      <c r="D115" s="626"/>
      <c r="E115" s="626"/>
      <c r="F115" s="626"/>
      <c r="G115" s="626"/>
      <c r="H115" s="626"/>
      <c r="I115" s="626"/>
      <c r="J115" s="626"/>
      <c r="K115" s="626"/>
      <c r="L115" s="626"/>
      <c r="M115" s="626"/>
      <c r="N115" s="626"/>
    </row>
    <row r="116" spans="1:14" ht="68.25" hidden="1" customHeight="1" x14ac:dyDescent="0.25">
      <c r="A116" s="626"/>
      <c r="B116" s="626"/>
      <c r="C116" s="626"/>
      <c r="D116" s="626"/>
      <c r="E116" s="626"/>
      <c r="F116" s="626"/>
      <c r="G116" s="626"/>
      <c r="H116" s="626"/>
      <c r="I116" s="626"/>
      <c r="J116" s="626"/>
      <c r="K116" s="626"/>
      <c r="L116" s="626"/>
      <c r="M116" s="626"/>
      <c r="N116" s="626"/>
    </row>
    <row r="117" spans="1:14" ht="68.25" hidden="1" customHeight="1" x14ac:dyDescent="0.25">
      <c r="A117" s="626"/>
      <c r="B117" s="626"/>
      <c r="C117" s="626"/>
      <c r="D117" s="626"/>
      <c r="E117" s="626"/>
      <c r="F117" s="626"/>
      <c r="G117" s="626"/>
      <c r="H117" s="626"/>
      <c r="I117" s="626"/>
      <c r="J117" s="626"/>
      <c r="K117" s="626"/>
      <c r="L117" s="626"/>
      <c r="M117" s="626"/>
      <c r="N117" s="626"/>
    </row>
    <row r="118" spans="1:14" ht="68.25" hidden="1" customHeight="1" x14ac:dyDescent="0.25">
      <c r="A118" s="626"/>
      <c r="B118" s="626"/>
      <c r="C118" s="626"/>
      <c r="D118" s="626"/>
      <c r="E118" s="626"/>
      <c r="F118" s="626"/>
      <c r="G118" s="626"/>
      <c r="H118" s="626"/>
      <c r="I118" s="626"/>
      <c r="J118" s="626"/>
      <c r="K118" s="626"/>
      <c r="L118" s="626"/>
      <c r="M118" s="626"/>
      <c r="N118" s="626"/>
    </row>
    <row r="119" spans="1:14" ht="68.25" hidden="1" customHeight="1" x14ac:dyDescent="0.25">
      <c r="A119" s="626"/>
      <c r="B119" s="626"/>
      <c r="C119" s="626"/>
      <c r="D119" s="626"/>
      <c r="E119" s="626"/>
      <c r="F119" s="626"/>
      <c r="G119" s="626"/>
      <c r="H119" s="626"/>
      <c r="I119" s="626"/>
      <c r="J119" s="626"/>
      <c r="K119" s="626"/>
      <c r="L119" s="626"/>
      <c r="M119" s="626"/>
      <c r="N119" s="626"/>
    </row>
    <row r="120" spans="1:14" ht="68.25" hidden="1" customHeight="1" x14ac:dyDescent="0.25">
      <c r="A120" s="626"/>
      <c r="B120" s="626"/>
      <c r="C120" s="626"/>
      <c r="D120" s="626"/>
      <c r="E120" s="626"/>
      <c r="F120" s="626"/>
      <c r="G120" s="626"/>
      <c r="H120" s="626"/>
      <c r="I120" s="626"/>
      <c r="J120" s="626"/>
      <c r="K120" s="626"/>
      <c r="L120" s="626"/>
      <c r="M120" s="626"/>
      <c r="N120" s="626"/>
    </row>
    <row r="121" spans="1:14" ht="68.25" hidden="1" customHeight="1" x14ac:dyDescent="0.25">
      <c r="A121" s="626"/>
      <c r="B121" s="626"/>
      <c r="C121" s="626"/>
      <c r="D121" s="626"/>
      <c r="E121" s="626"/>
      <c r="F121" s="626"/>
      <c r="G121" s="626"/>
      <c r="H121" s="626"/>
      <c r="I121" s="626"/>
      <c r="J121" s="626"/>
      <c r="K121" s="626"/>
      <c r="L121" s="626"/>
      <c r="M121" s="626"/>
      <c r="N121" s="626"/>
    </row>
    <row r="122" spans="1:14" ht="68.25" hidden="1" customHeight="1" x14ac:dyDescent="0.25">
      <c r="A122" s="626"/>
      <c r="B122" s="626"/>
      <c r="C122" s="626"/>
      <c r="D122" s="626"/>
      <c r="E122" s="626"/>
      <c r="F122" s="626"/>
      <c r="G122" s="626"/>
      <c r="H122" s="626"/>
      <c r="I122" s="626"/>
      <c r="J122" s="626"/>
      <c r="K122" s="626"/>
      <c r="L122" s="626"/>
      <c r="M122" s="626"/>
      <c r="N122" s="626"/>
    </row>
    <row r="123" spans="1:14" ht="68.25" hidden="1" customHeight="1" x14ac:dyDescent="0.25">
      <c r="A123" s="626"/>
      <c r="B123" s="626"/>
      <c r="C123" s="626"/>
      <c r="D123" s="626"/>
      <c r="E123" s="626"/>
      <c r="F123" s="626"/>
      <c r="G123" s="626"/>
      <c r="H123" s="626"/>
      <c r="I123" s="626"/>
      <c r="J123" s="626"/>
      <c r="K123" s="626"/>
      <c r="L123" s="626"/>
      <c r="M123" s="626"/>
      <c r="N123" s="626"/>
    </row>
    <row r="124" spans="1:14" ht="0" hidden="1" customHeight="1" x14ac:dyDescent="0.25">
      <c r="A124" s="626"/>
      <c r="B124" s="626"/>
      <c r="C124" s="626"/>
      <c r="D124" s="626"/>
      <c r="E124" s="626"/>
      <c r="F124" s="626"/>
      <c r="G124" s="626"/>
      <c r="H124" s="626"/>
      <c r="I124" s="626"/>
      <c r="J124" s="626"/>
      <c r="K124" s="626"/>
      <c r="L124" s="626"/>
      <c r="M124" s="626"/>
      <c r="N124" s="626"/>
    </row>
    <row r="125" spans="1:14" ht="0" hidden="1" customHeight="1" x14ac:dyDescent="0.25">
      <c r="A125" s="626"/>
      <c r="B125" s="626"/>
      <c r="C125" s="626"/>
      <c r="D125" s="626"/>
      <c r="E125" s="626"/>
      <c r="F125" s="626"/>
      <c r="G125" s="626"/>
      <c r="H125" s="626"/>
      <c r="I125" s="626"/>
      <c r="J125" s="626"/>
      <c r="K125" s="626"/>
      <c r="L125" s="626"/>
      <c r="M125" s="626"/>
      <c r="N125" s="626"/>
    </row>
    <row r="126" spans="1:14" ht="0" hidden="1" customHeight="1" x14ac:dyDescent="0.25">
      <c r="A126" s="626"/>
      <c r="B126" s="626"/>
      <c r="C126" s="626"/>
      <c r="D126" s="626"/>
      <c r="E126" s="626"/>
      <c r="F126" s="626"/>
      <c r="G126" s="626"/>
      <c r="H126" s="626"/>
      <c r="I126" s="626"/>
      <c r="J126" s="626"/>
      <c r="K126" s="626"/>
      <c r="L126" s="626"/>
      <c r="M126" s="626"/>
      <c r="N126" s="626"/>
    </row>
    <row r="127" spans="1:14" ht="0" hidden="1" customHeight="1" x14ac:dyDescent="0.25">
      <c r="A127" s="626"/>
      <c r="B127" s="626"/>
      <c r="C127" s="626"/>
      <c r="D127" s="626"/>
      <c r="E127" s="626"/>
      <c r="F127" s="626"/>
      <c r="G127" s="626"/>
      <c r="H127" s="626"/>
      <c r="I127" s="626"/>
      <c r="J127" s="626"/>
      <c r="K127" s="626"/>
      <c r="L127" s="626"/>
      <c r="M127" s="626"/>
      <c r="N127" s="626"/>
    </row>
    <row r="128" spans="1:14" ht="0" hidden="1" customHeight="1" x14ac:dyDescent="0.25">
      <c r="A128" s="626"/>
      <c r="B128" s="626"/>
      <c r="C128" s="626"/>
      <c r="D128" s="626"/>
      <c r="E128" s="626"/>
      <c r="F128" s="626"/>
      <c r="G128" s="626"/>
      <c r="H128" s="626"/>
      <c r="I128" s="626"/>
      <c r="J128" s="626"/>
      <c r="K128" s="626"/>
      <c r="L128" s="626"/>
      <c r="M128" s="626"/>
      <c r="N128" s="626"/>
    </row>
    <row r="129" spans="1:14" ht="0" hidden="1" customHeight="1" x14ac:dyDescent="0.25">
      <c r="A129" s="626"/>
      <c r="B129" s="626"/>
      <c r="C129" s="626"/>
      <c r="D129" s="626"/>
      <c r="E129" s="626"/>
      <c r="F129" s="626"/>
      <c r="G129" s="626"/>
      <c r="H129" s="626"/>
      <c r="I129" s="626"/>
      <c r="J129" s="626"/>
      <c r="K129" s="626"/>
      <c r="L129" s="626"/>
      <c r="M129" s="626"/>
      <c r="N129" s="626"/>
    </row>
    <row r="130" spans="1:14" ht="0" hidden="1" customHeight="1" x14ac:dyDescent="0.25">
      <c r="A130" s="626"/>
      <c r="B130" s="626"/>
      <c r="C130" s="626"/>
      <c r="D130" s="626"/>
      <c r="E130" s="626"/>
      <c r="F130" s="626"/>
      <c r="G130" s="626"/>
      <c r="H130" s="626"/>
      <c r="I130" s="626"/>
      <c r="J130" s="626"/>
      <c r="K130" s="626"/>
      <c r="L130" s="626"/>
      <c r="M130" s="626"/>
      <c r="N130" s="626"/>
    </row>
    <row r="131" spans="1:14" ht="0" hidden="1" customHeight="1" x14ac:dyDescent="0.25">
      <c r="A131" s="626"/>
      <c r="B131" s="626"/>
      <c r="C131" s="626"/>
      <c r="D131" s="626"/>
      <c r="E131" s="626"/>
      <c r="F131" s="626"/>
      <c r="G131" s="626"/>
      <c r="H131" s="626"/>
      <c r="I131" s="626"/>
      <c r="J131" s="626"/>
      <c r="K131" s="626"/>
      <c r="L131" s="626"/>
      <c r="M131" s="626"/>
      <c r="N131" s="626"/>
    </row>
    <row r="132" spans="1:14" ht="0" hidden="1" customHeight="1" x14ac:dyDescent="0.25">
      <c r="A132" s="626"/>
      <c r="B132" s="626"/>
      <c r="C132" s="626"/>
      <c r="D132" s="626"/>
      <c r="E132" s="626"/>
      <c r="F132" s="626"/>
      <c r="G132" s="626"/>
      <c r="H132" s="626"/>
      <c r="I132" s="626"/>
      <c r="J132" s="626"/>
      <c r="K132" s="626"/>
      <c r="L132" s="626"/>
      <c r="M132" s="626"/>
      <c r="N132" s="626"/>
    </row>
    <row r="133" spans="1:14" ht="0" hidden="1" customHeight="1" x14ac:dyDescent="0.25"/>
    <row r="134" spans="1:14" ht="0" hidden="1" customHeight="1" x14ac:dyDescent="0.25"/>
    <row r="135" spans="1:14" ht="0" hidden="1" customHeight="1" x14ac:dyDescent="0.25">
      <c r="A135" s="626"/>
      <c r="B135" s="626"/>
      <c r="C135" s="626"/>
      <c r="D135" s="626"/>
      <c r="E135" s="626"/>
      <c r="F135" s="626"/>
      <c r="G135" s="626"/>
      <c r="H135" s="626"/>
      <c r="I135" s="626"/>
      <c r="J135" s="626"/>
      <c r="K135" s="626"/>
      <c r="L135" s="626"/>
      <c r="M135" s="626"/>
      <c r="N135" s="626"/>
    </row>
    <row r="136" spans="1:14" ht="0" hidden="1" customHeight="1" x14ac:dyDescent="0.25">
      <c r="A136" s="626"/>
      <c r="B136" s="626"/>
      <c r="C136" s="626"/>
      <c r="D136" s="626"/>
      <c r="E136" s="626"/>
      <c r="F136" s="626"/>
      <c r="G136" s="626"/>
      <c r="H136" s="626"/>
      <c r="I136" s="626"/>
      <c r="J136" s="626"/>
      <c r="K136" s="626"/>
      <c r="L136" s="626"/>
      <c r="M136" s="626"/>
      <c r="N136" s="626"/>
    </row>
    <row r="137" spans="1:14" ht="0" hidden="1" customHeight="1" x14ac:dyDescent="0.25">
      <c r="A137" s="626"/>
      <c r="B137" s="626"/>
      <c r="C137" s="626"/>
      <c r="D137" s="626"/>
      <c r="E137" s="626"/>
      <c r="F137" s="626"/>
      <c r="G137" s="626"/>
      <c r="H137" s="626"/>
      <c r="I137" s="626"/>
      <c r="J137" s="626"/>
      <c r="K137" s="626"/>
      <c r="L137" s="626"/>
      <c r="M137" s="626"/>
      <c r="N137" s="626"/>
    </row>
    <row r="138" spans="1:14" ht="0" hidden="1" customHeight="1" x14ac:dyDescent="0.25">
      <c r="A138" s="626"/>
      <c r="B138" s="626"/>
      <c r="C138" s="626"/>
      <c r="D138" s="626"/>
      <c r="E138" s="626"/>
      <c r="F138" s="626"/>
      <c r="G138" s="626"/>
      <c r="H138" s="626"/>
      <c r="I138" s="626"/>
      <c r="J138" s="626"/>
      <c r="K138" s="626"/>
      <c r="L138" s="626"/>
      <c r="M138" s="626"/>
      <c r="N138" s="626"/>
    </row>
    <row r="139" spans="1:14" ht="0" hidden="1" customHeight="1" x14ac:dyDescent="0.25"/>
    <row r="140" spans="1:14" ht="0" hidden="1" customHeight="1" x14ac:dyDescent="0.25">
      <c r="A140" s="626"/>
      <c r="B140" s="626"/>
      <c r="C140" s="626"/>
      <c r="D140" s="626"/>
      <c r="E140" s="626"/>
      <c r="F140" s="626"/>
      <c r="G140" s="626"/>
      <c r="H140" s="626"/>
      <c r="I140" s="626"/>
      <c r="J140" s="626"/>
      <c r="K140" s="626"/>
      <c r="L140" s="626"/>
      <c r="M140" s="626"/>
      <c r="N140" s="626"/>
    </row>
    <row r="141" spans="1:14" ht="0" hidden="1" customHeight="1" x14ac:dyDescent="0.25">
      <c r="A141" s="626"/>
      <c r="B141" s="626"/>
      <c r="C141" s="626"/>
      <c r="D141" s="626"/>
      <c r="E141" s="626"/>
      <c r="F141" s="626"/>
      <c r="G141" s="626"/>
      <c r="H141" s="626"/>
      <c r="I141" s="626"/>
      <c r="J141" s="626"/>
      <c r="K141" s="626"/>
      <c r="L141" s="626"/>
      <c r="M141" s="626"/>
      <c r="N141" s="626"/>
    </row>
    <row r="142" spans="1:14" ht="0" hidden="1" customHeight="1" x14ac:dyDescent="0.25"/>
    <row r="143" spans="1:14" ht="0" hidden="1" customHeight="1" x14ac:dyDescent="0.25">
      <c r="A143" s="626"/>
      <c r="B143" s="626"/>
      <c r="C143" s="626"/>
      <c r="D143" s="626"/>
      <c r="E143" s="626"/>
      <c r="F143" s="626"/>
      <c r="G143" s="626"/>
      <c r="H143" s="626"/>
      <c r="I143" s="626"/>
      <c r="J143" s="626"/>
      <c r="K143" s="626"/>
      <c r="L143" s="626"/>
      <c r="M143" s="626"/>
      <c r="N143" s="626"/>
    </row>
    <row r="144" spans="1:14" ht="0" hidden="1" customHeight="1" x14ac:dyDescent="0.25">
      <c r="A144" s="626"/>
      <c r="B144" s="626"/>
      <c r="C144" s="626"/>
      <c r="D144" s="626"/>
      <c r="E144" s="626"/>
      <c r="F144" s="626"/>
      <c r="G144" s="626"/>
      <c r="H144" s="626"/>
      <c r="I144" s="626"/>
      <c r="J144" s="626"/>
      <c r="K144" s="626"/>
      <c r="L144" s="626"/>
      <c r="M144" s="626"/>
      <c r="N144" s="626"/>
    </row>
    <row r="145" spans="1:14" ht="0" hidden="1" customHeight="1" x14ac:dyDescent="0.25">
      <c r="A145" s="626"/>
      <c r="B145" s="626"/>
      <c r="C145" s="626"/>
      <c r="D145" s="626"/>
      <c r="E145" s="626"/>
      <c r="F145" s="626"/>
      <c r="G145" s="626"/>
      <c r="H145" s="626"/>
      <c r="I145" s="626"/>
      <c r="J145" s="626"/>
      <c r="K145" s="626"/>
      <c r="L145" s="626"/>
      <c r="M145" s="626"/>
      <c r="N145" s="626"/>
    </row>
    <row r="146" spans="1:14" ht="0" hidden="1" customHeight="1" x14ac:dyDescent="0.25">
      <c r="A146" s="626"/>
      <c r="B146" s="626"/>
      <c r="C146" s="626"/>
      <c r="D146" s="626"/>
      <c r="E146" s="626"/>
      <c r="F146" s="626"/>
      <c r="G146" s="626"/>
      <c r="H146" s="626"/>
      <c r="I146" s="626"/>
      <c r="J146" s="626"/>
      <c r="K146" s="626"/>
      <c r="L146" s="626"/>
      <c r="M146" s="626"/>
      <c r="N146" s="626"/>
    </row>
    <row r="147" spans="1:14" ht="0" hidden="1" customHeight="1" x14ac:dyDescent="0.25"/>
    <row r="148" spans="1:14" ht="0" hidden="1" customHeight="1" x14ac:dyDescent="0.25"/>
    <row r="149" spans="1:14" ht="0" hidden="1" customHeight="1" x14ac:dyDescent="0.25"/>
    <row r="150" spans="1:14" ht="0" hidden="1" customHeight="1" x14ac:dyDescent="0.25"/>
    <row r="151" spans="1:14" ht="0" hidden="1" customHeight="1" x14ac:dyDescent="0.25"/>
  </sheetData>
  <sheetProtection password="CC30" sheet="1" objects="1" scenarios="1" selectLockedCells="1"/>
  <mergeCells count="35">
    <mergeCell ref="B11:G11"/>
    <mergeCell ref="H11:I11"/>
    <mergeCell ref="J11:M11"/>
    <mergeCell ref="B12:G12"/>
    <mergeCell ref="B10:M10"/>
    <mergeCell ref="J12:M12"/>
    <mergeCell ref="B1:M1"/>
    <mergeCell ref="B9:M9"/>
    <mergeCell ref="B2:C4"/>
    <mergeCell ref="D2:M3"/>
    <mergeCell ref="D4:M4"/>
    <mergeCell ref="B6:L7"/>
    <mergeCell ref="M6:M7"/>
    <mergeCell ref="B19:G19"/>
    <mergeCell ref="H12:I12"/>
    <mergeCell ref="B13:G13"/>
    <mergeCell ref="H13:I13"/>
    <mergeCell ref="B14:G14"/>
    <mergeCell ref="B15:G15"/>
    <mergeCell ref="J13:M13"/>
    <mergeCell ref="B16:G16"/>
    <mergeCell ref="B17:G17"/>
    <mergeCell ref="B18:G18"/>
    <mergeCell ref="H19:I19"/>
    <mergeCell ref="J14:M14"/>
    <mergeCell ref="J15:M15"/>
    <mergeCell ref="J16:M16"/>
    <mergeCell ref="J17:M17"/>
    <mergeCell ref="J18:M18"/>
    <mergeCell ref="J19:M19"/>
    <mergeCell ref="H14:I14"/>
    <mergeCell ref="H15:I15"/>
    <mergeCell ref="H16:I16"/>
    <mergeCell ref="H17:I17"/>
    <mergeCell ref="H18:I18"/>
  </mergeCells>
  <conditionalFormatting sqref="J11:M19">
    <cfRule type="containsText" dxfId="24" priority="1" operator="containsText" text="Please describe efforts">
      <formula>NOT(ISERROR(SEARCH("Please describe efforts",J11)))</formula>
    </cfRule>
  </conditionalFormatting>
  <pageMargins left="0.7" right="0.7" top="0.75" bottom="0.75" header="0.3" footer="0.3"/>
  <pageSetup orientation="portrait" r:id="rId1"/>
  <ignoredErrors>
    <ignoredError sqref="J12:M19 J1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Source!$I$1:$I$4</xm:f>
          </x14:formula1>
          <xm:sqref>H11:H19</xm:sqref>
        </x14:dataValidation>
        <x14:dataValidation type="list" allowBlank="1" showInputMessage="1" showErrorMessage="1">
          <x14:formula1>
            <xm:f>Source!$AD$1:$AD$4</xm:f>
          </x14:formula1>
          <xm:sqref>M6:M7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opLeftCell="A19" workbookViewId="0">
      <selection activeCell="J45" sqref="J45"/>
    </sheetView>
  </sheetViews>
  <sheetFormatPr defaultColWidth="33.140625" defaultRowHeight="15" x14ac:dyDescent="0.25"/>
  <cols>
    <col min="1" max="1" width="42" customWidth="1"/>
    <col min="2" max="2" width="14.28515625" bestFit="1" customWidth="1"/>
    <col min="4" max="4" width="27.42578125" bestFit="1" customWidth="1"/>
    <col min="5" max="5" width="18.140625" bestFit="1" customWidth="1"/>
    <col min="6" max="6" width="16.7109375" style="147" bestFit="1" customWidth="1"/>
    <col min="7" max="7" width="23.7109375" style="147" bestFit="1" customWidth="1"/>
    <col min="8" max="8" width="23.85546875" style="147" bestFit="1" customWidth="1"/>
    <col min="9" max="9" width="18.140625" style="147" bestFit="1" customWidth="1"/>
  </cols>
  <sheetData>
    <row r="1" spans="1:9" s="147" customFormat="1" x14ac:dyDescent="0.25">
      <c r="A1" s="202" t="s">
        <v>883</v>
      </c>
      <c r="B1" s="202" t="s">
        <v>884</v>
      </c>
      <c r="C1" s="202" t="s">
        <v>887</v>
      </c>
      <c r="D1" s="202" t="s">
        <v>886</v>
      </c>
      <c r="E1" s="202" t="s">
        <v>888</v>
      </c>
      <c r="F1" s="202" t="s">
        <v>902</v>
      </c>
      <c r="G1" s="202" t="s">
        <v>903</v>
      </c>
      <c r="H1" s="202" t="s">
        <v>904</v>
      </c>
      <c r="I1" s="202" t="s">
        <v>905</v>
      </c>
    </row>
    <row r="2" spans="1:9" s="147" customFormat="1" x14ac:dyDescent="0.25">
      <c r="A2" s="148" t="s">
        <v>695</v>
      </c>
      <c r="B2" s="148" t="s">
        <v>885</v>
      </c>
      <c r="C2" s="148" t="s">
        <v>885</v>
      </c>
      <c r="D2" s="148" t="s">
        <v>885</v>
      </c>
      <c r="E2" s="148" t="s">
        <v>885</v>
      </c>
      <c r="F2" s="148" t="s">
        <v>885</v>
      </c>
      <c r="G2" s="148" t="s">
        <v>885</v>
      </c>
      <c r="H2" s="148" t="s">
        <v>885</v>
      </c>
      <c r="I2" s="148" t="s">
        <v>885</v>
      </c>
    </row>
    <row r="3" spans="1:9" x14ac:dyDescent="0.25">
      <c r="A3" s="61" t="s">
        <v>576</v>
      </c>
      <c r="B3" s="148" t="s">
        <v>880</v>
      </c>
      <c r="C3" s="148" t="s">
        <v>889</v>
      </c>
      <c r="D3" s="148" t="s">
        <v>890</v>
      </c>
      <c r="E3" s="148" t="s">
        <v>891</v>
      </c>
      <c r="F3" s="148" t="s">
        <v>885</v>
      </c>
      <c r="G3" s="148" t="s">
        <v>885</v>
      </c>
      <c r="H3" s="148" t="s">
        <v>885</v>
      </c>
      <c r="I3" s="148" t="s">
        <v>885</v>
      </c>
    </row>
    <row r="4" spans="1:9" x14ac:dyDescent="0.25">
      <c r="A4" s="61" t="s">
        <v>48</v>
      </c>
      <c r="B4" s="148" t="s">
        <v>926</v>
      </c>
      <c r="C4" s="148" t="s">
        <v>927</v>
      </c>
      <c r="D4" s="148" t="s">
        <v>928</v>
      </c>
      <c r="E4" s="148" t="s">
        <v>929</v>
      </c>
      <c r="F4" s="148" t="s">
        <v>885</v>
      </c>
      <c r="G4" s="148" t="s">
        <v>885</v>
      </c>
      <c r="H4" s="148" t="s">
        <v>885</v>
      </c>
      <c r="I4" s="148" t="s">
        <v>885</v>
      </c>
    </row>
    <row r="5" spans="1:9" x14ac:dyDescent="0.25">
      <c r="A5" s="61" t="s">
        <v>577</v>
      </c>
      <c r="B5" s="148" t="s">
        <v>892</v>
      </c>
      <c r="C5" s="148" t="s">
        <v>893</v>
      </c>
      <c r="D5" s="148" t="s">
        <v>895</v>
      </c>
      <c r="E5" s="148" t="s">
        <v>894</v>
      </c>
      <c r="F5" s="148" t="s">
        <v>885</v>
      </c>
      <c r="G5" s="148" t="s">
        <v>885</v>
      </c>
      <c r="H5" s="148" t="s">
        <v>885</v>
      </c>
      <c r="I5" s="148" t="s">
        <v>885</v>
      </c>
    </row>
    <row r="6" spans="1:9" x14ac:dyDescent="0.25">
      <c r="A6" s="61" t="s">
        <v>578</v>
      </c>
      <c r="B6" s="148" t="s">
        <v>896</v>
      </c>
      <c r="C6" s="148" t="s">
        <v>897</v>
      </c>
      <c r="D6" s="148" t="s">
        <v>898</v>
      </c>
      <c r="E6" s="148" t="s">
        <v>899</v>
      </c>
      <c r="F6" s="148" t="s">
        <v>1014</v>
      </c>
      <c r="G6" s="148" t="s">
        <v>963</v>
      </c>
      <c r="H6" s="148" t="s">
        <v>1015</v>
      </c>
      <c r="I6" s="148" t="s">
        <v>1016</v>
      </c>
    </row>
    <row r="7" spans="1:9" x14ac:dyDescent="0.25">
      <c r="A7" s="87" t="s">
        <v>289</v>
      </c>
      <c r="B7" s="148" t="s">
        <v>885</v>
      </c>
      <c r="C7" s="148" t="s">
        <v>885</v>
      </c>
      <c r="D7" s="148" t="s">
        <v>885</v>
      </c>
      <c r="E7" s="148" t="s">
        <v>885</v>
      </c>
      <c r="F7" s="148" t="s">
        <v>885</v>
      </c>
      <c r="G7" s="148" t="s">
        <v>885</v>
      </c>
      <c r="H7" s="148" t="s">
        <v>885</v>
      </c>
      <c r="I7" s="148" t="s">
        <v>885</v>
      </c>
    </row>
    <row r="8" spans="1:9" x14ac:dyDescent="0.25">
      <c r="A8" s="61" t="s">
        <v>579</v>
      </c>
      <c r="B8" s="148" t="s">
        <v>881</v>
      </c>
      <c r="C8" s="148" t="s">
        <v>889</v>
      </c>
      <c r="D8" s="148" t="s">
        <v>900</v>
      </c>
      <c r="E8" s="148" t="s">
        <v>901</v>
      </c>
      <c r="F8" s="148" t="s">
        <v>906</v>
      </c>
      <c r="G8" s="148" t="s">
        <v>907</v>
      </c>
      <c r="H8" s="148" t="s">
        <v>908</v>
      </c>
      <c r="I8" s="148" t="s">
        <v>909</v>
      </c>
    </row>
    <row r="9" spans="1:9" x14ac:dyDescent="0.25">
      <c r="A9" s="61" t="s">
        <v>580</v>
      </c>
      <c r="B9" s="148" t="s">
        <v>885</v>
      </c>
      <c r="C9" s="148" t="s">
        <v>885</v>
      </c>
      <c r="D9" s="148" t="s">
        <v>885</v>
      </c>
      <c r="E9" s="148" t="s">
        <v>885</v>
      </c>
      <c r="F9" s="148" t="s">
        <v>885</v>
      </c>
      <c r="G9" s="148" t="s">
        <v>885</v>
      </c>
      <c r="H9" s="148" t="s">
        <v>885</v>
      </c>
      <c r="I9" s="148" t="s">
        <v>885</v>
      </c>
    </row>
    <row r="10" spans="1:9" x14ac:dyDescent="0.25">
      <c r="A10" s="61" t="s">
        <v>581</v>
      </c>
      <c r="B10" s="148" t="s">
        <v>885</v>
      </c>
      <c r="C10" s="148" t="s">
        <v>885</v>
      </c>
      <c r="D10" s="148" t="s">
        <v>885</v>
      </c>
      <c r="E10" s="148" t="s">
        <v>885</v>
      </c>
      <c r="F10" s="148" t="s">
        <v>885</v>
      </c>
      <c r="G10" s="148" t="s">
        <v>885</v>
      </c>
      <c r="H10" s="148" t="s">
        <v>885</v>
      </c>
      <c r="I10" s="148" t="s">
        <v>885</v>
      </c>
    </row>
    <row r="11" spans="1:9" x14ac:dyDescent="0.25">
      <c r="A11" s="61" t="s">
        <v>49</v>
      </c>
      <c r="B11" s="148" t="s">
        <v>910</v>
      </c>
      <c r="C11" s="148" t="s">
        <v>911</v>
      </c>
      <c r="D11" s="148" t="s">
        <v>912</v>
      </c>
      <c r="E11" s="148" t="s">
        <v>913</v>
      </c>
      <c r="F11" s="148" t="s">
        <v>914</v>
      </c>
      <c r="G11" s="203" t="s">
        <v>917</v>
      </c>
      <c r="H11" s="148" t="s">
        <v>916</v>
      </c>
      <c r="I11" s="148" t="s">
        <v>915</v>
      </c>
    </row>
    <row r="12" spans="1:9" x14ac:dyDescent="0.25">
      <c r="A12" s="61" t="s">
        <v>50</v>
      </c>
      <c r="B12" s="148" t="s">
        <v>885</v>
      </c>
      <c r="C12" s="148" t="s">
        <v>885</v>
      </c>
      <c r="D12" s="148" t="s">
        <v>885</v>
      </c>
      <c r="E12" s="148" t="s">
        <v>885</v>
      </c>
      <c r="F12" s="148" t="s">
        <v>885</v>
      </c>
      <c r="G12" s="148" t="s">
        <v>885</v>
      </c>
      <c r="H12" s="148" t="s">
        <v>885</v>
      </c>
      <c r="I12" s="148" t="s">
        <v>885</v>
      </c>
    </row>
    <row r="13" spans="1:9" x14ac:dyDescent="0.25">
      <c r="A13" s="61" t="s">
        <v>51</v>
      </c>
      <c r="B13" s="148" t="s">
        <v>885</v>
      </c>
      <c r="C13" s="148" t="s">
        <v>885</v>
      </c>
      <c r="D13" s="148" t="s">
        <v>885</v>
      </c>
      <c r="E13" s="148" t="s">
        <v>885</v>
      </c>
      <c r="F13" s="148" t="s">
        <v>885</v>
      </c>
      <c r="G13" s="148" t="s">
        <v>885</v>
      </c>
      <c r="H13" s="148" t="s">
        <v>885</v>
      </c>
      <c r="I13" s="148" t="s">
        <v>885</v>
      </c>
    </row>
    <row r="14" spans="1:9" x14ac:dyDescent="0.25">
      <c r="A14" s="61" t="s">
        <v>77</v>
      </c>
      <c r="B14" s="148" t="s">
        <v>885</v>
      </c>
      <c r="C14" s="148" t="s">
        <v>885</v>
      </c>
      <c r="D14" s="148" t="s">
        <v>885</v>
      </c>
      <c r="E14" s="148" t="s">
        <v>885</v>
      </c>
      <c r="F14" s="148" t="s">
        <v>885</v>
      </c>
      <c r="G14" s="148" t="s">
        <v>885</v>
      </c>
      <c r="H14" s="148" t="s">
        <v>885</v>
      </c>
      <c r="I14" s="148" t="s">
        <v>885</v>
      </c>
    </row>
    <row r="15" spans="1:9" x14ac:dyDescent="0.25">
      <c r="A15" s="61" t="s">
        <v>52</v>
      </c>
      <c r="B15" s="148" t="s">
        <v>885</v>
      </c>
      <c r="C15" s="148" t="s">
        <v>885</v>
      </c>
      <c r="D15" s="148" t="s">
        <v>885</v>
      </c>
      <c r="E15" s="148" t="s">
        <v>885</v>
      </c>
      <c r="F15" s="148" t="s">
        <v>885</v>
      </c>
      <c r="G15" s="148" t="s">
        <v>885</v>
      </c>
      <c r="H15" s="148" t="s">
        <v>885</v>
      </c>
      <c r="I15" s="148" t="s">
        <v>885</v>
      </c>
    </row>
    <row r="16" spans="1:9" x14ac:dyDescent="0.25">
      <c r="A16" s="61" t="s">
        <v>53</v>
      </c>
      <c r="B16" s="148" t="s">
        <v>885</v>
      </c>
      <c r="C16" s="148" t="s">
        <v>885</v>
      </c>
      <c r="D16" s="148" t="s">
        <v>885</v>
      </c>
      <c r="E16" s="148" t="s">
        <v>885</v>
      </c>
      <c r="F16" s="148" t="s">
        <v>885</v>
      </c>
      <c r="G16" s="148" t="s">
        <v>885</v>
      </c>
      <c r="H16" s="148" t="s">
        <v>885</v>
      </c>
      <c r="I16" s="148" t="s">
        <v>885</v>
      </c>
    </row>
    <row r="17" spans="1:9" x14ac:dyDescent="0.25">
      <c r="A17" s="61" t="s">
        <v>54</v>
      </c>
      <c r="B17" s="148" t="s">
        <v>885</v>
      </c>
      <c r="C17" s="148" t="s">
        <v>885</v>
      </c>
      <c r="D17" s="148" t="s">
        <v>885</v>
      </c>
      <c r="E17" s="148" t="s">
        <v>885</v>
      </c>
      <c r="F17" s="148" t="s">
        <v>885</v>
      </c>
      <c r="G17" s="148" t="s">
        <v>885</v>
      </c>
      <c r="H17" s="148" t="s">
        <v>885</v>
      </c>
      <c r="I17" s="148" t="s">
        <v>885</v>
      </c>
    </row>
    <row r="18" spans="1:9" x14ac:dyDescent="0.25">
      <c r="A18" s="61" t="s">
        <v>55</v>
      </c>
      <c r="B18" s="148" t="s">
        <v>885</v>
      </c>
      <c r="C18" s="148" t="s">
        <v>885</v>
      </c>
      <c r="D18" s="148" t="s">
        <v>885</v>
      </c>
      <c r="E18" s="148" t="s">
        <v>885</v>
      </c>
      <c r="F18" s="148" t="s">
        <v>885</v>
      </c>
      <c r="G18" s="148" t="s">
        <v>885</v>
      </c>
      <c r="H18" s="148" t="s">
        <v>885</v>
      </c>
      <c r="I18" s="148" t="s">
        <v>885</v>
      </c>
    </row>
    <row r="19" spans="1:9" x14ac:dyDescent="0.25">
      <c r="A19" s="61" t="s">
        <v>582</v>
      </c>
      <c r="B19" s="148" t="s">
        <v>885</v>
      </c>
      <c r="C19" s="148" t="s">
        <v>885</v>
      </c>
      <c r="D19" s="148" t="s">
        <v>885</v>
      </c>
      <c r="E19" s="148" t="s">
        <v>885</v>
      </c>
      <c r="F19" s="148" t="s">
        <v>885</v>
      </c>
      <c r="G19" s="148" t="s">
        <v>885</v>
      </c>
      <c r="H19" s="148" t="s">
        <v>885</v>
      </c>
      <c r="I19" s="148" t="s">
        <v>885</v>
      </c>
    </row>
    <row r="20" spans="1:9" x14ac:dyDescent="0.25">
      <c r="A20" s="61" t="s">
        <v>78</v>
      </c>
      <c r="B20" s="148" t="s">
        <v>885</v>
      </c>
      <c r="C20" s="148" t="s">
        <v>885</v>
      </c>
      <c r="D20" s="148" t="s">
        <v>885</v>
      </c>
      <c r="E20" s="148" t="s">
        <v>885</v>
      </c>
      <c r="F20" s="148" t="s">
        <v>885</v>
      </c>
      <c r="G20" s="148" t="s">
        <v>885</v>
      </c>
      <c r="H20" s="148" t="s">
        <v>885</v>
      </c>
      <c r="I20" s="148" t="s">
        <v>885</v>
      </c>
    </row>
    <row r="21" spans="1:9" x14ac:dyDescent="0.25">
      <c r="A21" s="61" t="s">
        <v>56</v>
      </c>
      <c r="B21" s="148" t="s">
        <v>918</v>
      </c>
      <c r="C21" s="148" t="s">
        <v>919</v>
      </c>
      <c r="D21" s="148" t="s">
        <v>920</v>
      </c>
      <c r="E21" s="148" t="s">
        <v>921</v>
      </c>
      <c r="F21" s="148" t="s">
        <v>922</v>
      </c>
      <c r="G21" s="148" t="s">
        <v>923</v>
      </c>
      <c r="H21" s="148" t="s">
        <v>925</v>
      </c>
      <c r="I21" s="148" t="s">
        <v>924</v>
      </c>
    </row>
    <row r="22" spans="1:9" x14ac:dyDescent="0.25">
      <c r="A22" s="61" t="s">
        <v>57</v>
      </c>
      <c r="B22" s="148" t="s">
        <v>930</v>
      </c>
      <c r="C22" s="148" t="s">
        <v>931</v>
      </c>
      <c r="D22" s="148" t="s">
        <v>932</v>
      </c>
      <c r="E22" s="148" t="s">
        <v>933</v>
      </c>
      <c r="F22" s="148" t="s">
        <v>934</v>
      </c>
      <c r="G22" s="148" t="s">
        <v>935</v>
      </c>
      <c r="H22" s="148" t="s">
        <v>937</v>
      </c>
      <c r="I22" s="148" t="s">
        <v>936</v>
      </c>
    </row>
    <row r="23" spans="1:9" x14ac:dyDescent="0.25">
      <c r="A23" s="61" t="s">
        <v>58</v>
      </c>
      <c r="B23" s="148" t="s">
        <v>938</v>
      </c>
      <c r="C23" s="148" t="s">
        <v>889</v>
      </c>
      <c r="D23" s="148" t="s">
        <v>939</v>
      </c>
      <c r="E23" s="148" t="s">
        <v>940</v>
      </c>
      <c r="F23" s="148" t="s">
        <v>941</v>
      </c>
      <c r="G23" s="148" t="s">
        <v>942</v>
      </c>
      <c r="H23" s="148" t="s">
        <v>943</v>
      </c>
      <c r="I23" s="148" t="s">
        <v>940</v>
      </c>
    </row>
    <row r="24" spans="1:9" x14ac:dyDescent="0.25">
      <c r="A24" s="61" t="s">
        <v>59</v>
      </c>
      <c r="B24" s="148" t="s">
        <v>952</v>
      </c>
      <c r="C24" s="148" t="s">
        <v>889</v>
      </c>
      <c r="D24" s="148" t="s">
        <v>953</v>
      </c>
      <c r="E24" s="148" t="s">
        <v>954</v>
      </c>
      <c r="F24" s="148" t="s">
        <v>885</v>
      </c>
      <c r="G24" s="148" t="s">
        <v>885</v>
      </c>
      <c r="H24" s="148" t="s">
        <v>885</v>
      </c>
      <c r="I24" s="148" t="s">
        <v>885</v>
      </c>
    </row>
    <row r="25" spans="1:9" x14ac:dyDescent="0.25">
      <c r="A25" s="61" t="s">
        <v>60</v>
      </c>
      <c r="B25" s="148" t="s">
        <v>944</v>
      </c>
      <c r="C25" s="148" t="s">
        <v>945</v>
      </c>
      <c r="D25" s="147" t="s">
        <v>946</v>
      </c>
      <c r="E25" s="148" t="s">
        <v>947</v>
      </c>
      <c r="F25" s="148" t="s">
        <v>948</v>
      </c>
      <c r="G25" s="148" t="s">
        <v>949</v>
      </c>
      <c r="H25" s="148" t="s">
        <v>950</v>
      </c>
      <c r="I25" s="148" t="s">
        <v>951</v>
      </c>
    </row>
    <row r="26" spans="1:9" x14ac:dyDescent="0.25">
      <c r="A26" s="61" t="s">
        <v>583</v>
      </c>
      <c r="B26" s="148" t="s">
        <v>885</v>
      </c>
      <c r="C26" s="148" t="s">
        <v>885</v>
      </c>
      <c r="D26" s="148" t="s">
        <v>885</v>
      </c>
      <c r="E26" s="148" t="s">
        <v>885</v>
      </c>
      <c r="F26" s="148" t="s">
        <v>885</v>
      </c>
      <c r="G26" s="148" t="s">
        <v>885</v>
      </c>
      <c r="H26" s="148" t="s">
        <v>885</v>
      </c>
      <c r="I26" s="148" t="s">
        <v>885</v>
      </c>
    </row>
    <row r="27" spans="1:9" x14ac:dyDescent="0.25">
      <c r="A27" s="61" t="s">
        <v>61</v>
      </c>
      <c r="B27" s="148" t="s">
        <v>959</v>
      </c>
      <c r="C27" s="148" t="s">
        <v>889</v>
      </c>
      <c r="D27" s="148" t="s">
        <v>960</v>
      </c>
      <c r="E27" s="148" t="s">
        <v>961</v>
      </c>
      <c r="F27" s="148" t="s">
        <v>885</v>
      </c>
      <c r="G27" s="148" t="s">
        <v>885</v>
      </c>
      <c r="H27" s="148" t="s">
        <v>885</v>
      </c>
      <c r="I27" s="148" t="s">
        <v>885</v>
      </c>
    </row>
    <row r="28" spans="1:9" x14ac:dyDescent="0.25">
      <c r="A28" s="61" t="s">
        <v>62</v>
      </c>
      <c r="B28" s="148" t="s">
        <v>955</v>
      </c>
      <c r="C28" s="148" t="s">
        <v>958</v>
      </c>
      <c r="D28" s="148" t="s">
        <v>956</v>
      </c>
      <c r="E28" s="148" t="s">
        <v>957</v>
      </c>
      <c r="F28" s="148" t="s">
        <v>885</v>
      </c>
      <c r="G28" s="148" t="s">
        <v>885</v>
      </c>
      <c r="H28" s="148" t="s">
        <v>885</v>
      </c>
      <c r="I28" s="148" t="s">
        <v>885</v>
      </c>
    </row>
    <row r="29" spans="1:9" x14ac:dyDescent="0.25">
      <c r="A29" s="61" t="s">
        <v>584</v>
      </c>
      <c r="B29" s="148" t="s">
        <v>962</v>
      </c>
      <c r="C29" s="148" t="s">
        <v>963</v>
      </c>
      <c r="D29" s="148" t="s">
        <v>964</v>
      </c>
      <c r="E29" s="148" t="s">
        <v>965</v>
      </c>
      <c r="F29" s="148" t="s">
        <v>966</v>
      </c>
      <c r="G29" s="148" t="s">
        <v>967</v>
      </c>
      <c r="H29" s="148" t="s">
        <v>968</v>
      </c>
      <c r="I29" s="148" t="s">
        <v>969</v>
      </c>
    </row>
    <row r="30" spans="1:9" x14ac:dyDescent="0.25">
      <c r="A30" s="61" t="s">
        <v>585</v>
      </c>
      <c r="B30" s="148" t="s">
        <v>970</v>
      </c>
      <c r="C30" s="148" t="s">
        <v>975</v>
      </c>
      <c r="D30" s="148" t="s">
        <v>971</v>
      </c>
      <c r="E30" s="148" t="s">
        <v>972</v>
      </c>
      <c r="F30" s="148" t="s">
        <v>973</v>
      </c>
      <c r="G30" s="148" t="s">
        <v>974</v>
      </c>
      <c r="H30" s="148" t="s">
        <v>976</v>
      </c>
      <c r="I30" s="148" t="s">
        <v>977</v>
      </c>
    </row>
    <row r="31" spans="1:9" x14ac:dyDescent="0.25">
      <c r="A31" s="61" t="s">
        <v>586</v>
      </c>
      <c r="B31" s="148" t="s">
        <v>978</v>
      </c>
      <c r="C31" s="148" t="s">
        <v>979</v>
      </c>
      <c r="D31" s="148" t="s">
        <v>980</v>
      </c>
      <c r="E31" s="148" t="s">
        <v>981</v>
      </c>
      <c r="F31" s="148" t="s">
        <v>982</v>
      </c>
      <c r="G31" s="148" t="s">
        <v>983</v>
      </c>
      <c r="H31" s="148" t="s">
        <v>984</v>
      </c>
      <c r="I31" s="148" t="s">
        <v>985</v>
      </c>
    </row>
    <row r="32" spans="1:9" x14ac:dyDescent="0.25">
      <c r="A32" s="61" t="s">
        <v>587</v>
      </c>
      <c r="B32" s="148" t="s">
        <v>986</v>
      </c>
      <c r="C32" s="148" t="s">
        <v>987</v>
      </c>
      <c r="D32" s="148" t="s">
        <v>988</v>
      </c>
      <c r="E32" s="148" t="s">
        <v>989</v>
      </c>
      <c r="F32" s="148" t="s">
        <v>885</v>
      </c>
      <c r="G32" s="148" t="s">
        <v>885</v>
      </c>
      <c r="H32" s="148" t="s">
        <v>885</v>
      </c>
      <c r="I32" s="148" t="s">
        <v>885</v>
      </c>
    </row>
    <row r="33" spans="1:9" x14ac:dyDescent="0.25">
      <c r="A33" s="61" t="s">
        <v>593</v>
      </c>
      <c r="B33" s="148" t="s">
        <v>885</v>
      </c>
      <c r="C33" s="148" t="s">
        <v>885</v>
      </c>
      <c r="D33" s="148" t="s">
        <v>885</v>
      </c>
      <c r="E33" s="148" t="s">
        <v>885</v>
      </c>
      <c r="F33" s="148" t="s">
        <v>885</v>
      </c>
      <c r="G33" s="148" t="s">
        <v>885</v>
      </c>
      <c r="H33" s="148" t="s">
        <v>885</v>
      </c>
      <c r="I33" s="148" t="s">
        <v>885</v>
      </c>
    </row>
    <row r="34" spans="1:9" x14ac:dyDescent="0.25">
      <c r="A34" s="61" t="s">
        <v>588</v>
      </c>
      <c r="B34" s="148" t="s">
        <v>885</v>
      </c>
      <c r="C34" s="148" t="s">
        <v>885</v>
      </c>
      <c r="D34" s="148" t="s">
        <v>885</v>
      </c>
      <c r="E34" s="148" t="s">
        <v>885</v>
      </c>
      <c r="F34" s="148" t="s">
        <v>885</v>
      </c>
      <c r="G34" s="148" t="s">
        <v>885</v>
      </c>
      <c r="H34" s="148" t="s">
        <v>885</v>
      </c>
      <c r="I34" s="148" t="s">
        <v>885</v>
      </c>
    </row>
    <row r="35" spans="1:9" x14ac:dyDescent="0.25">
      <c r="A35" s="61" t="s">
        <v>589</v>
      </c>
      <c r="B35" s="148" t="s">
        <v>885</v>
      </c>
      <c r="C35" s="148" t="s">
        <v>885</v>
      </c>
      <c r="D35" s="148" t="s">
        <v>885</v>
      </c>
      <c r="E35" s="148" t="s">
        <v>885</v>
      </c>
      <c r="F35" s="148" t="s">
        <v>885</v>
      </c>
      <c r="G35" s="148" t="s">
        <v>885</v>
      </c>
      <c r="H35" s="148" t="s">
        <v>885</v>
      </c>
      <c r="I35" s="148" t="s">
        <v>885</v>
      </c>
    </row>
    <row r="36" spans="1:9" x14ac:dyDescent="0.25">
      <c r="A36" s="61" t="s">
        <v>79</v>
      </c>
      <c r="B36" s="148" t="s">
        <v>990</v>
      </c>
      <c r="C36" s="148" t="s">
        <v>991</v>
      </c>
      <c r="D36" s="148" t="s">
        <v>992</v>
      </c>
      <c r="E36" s="148" t="s">
        <v>993</v>
      </c>
      <c r="F36" s="148" t="s">
        <v>994</v>
      </c>
      <c r="G36" s="148" t="s">
        <v>995</v>
      </c>
      <c r="H36" s="148" t="s">
        <v>996</v>
      </c>
      <c r="I36" s="148" t="s">
        <v>997</v>
      </c>
    </row>
    <row r="37" spans="1:9" x14ac:dyDescent="0.25">
      <c r="A37" s="61" t="s">
        <v>63</v>
      </c>
      <c r="B37" s="148" t="s">
        <v>882</v>
      </c>
      <c r="C37" s="148"/>
      <c r="D37" s="148"/>
      <c r="E37" s="148"/>
      <c r="F37" s="148"/>
      <c r="G37" s="148"/>
      <c r="H37" s="148"/>
      <c r="I37" s="148"/>
    </row>
    <row r="38" spans="1:9" x14ac:dyDescent="0.25">
      <c r="A38" s="61" t="s">
        <v>64</v>
      </c>
      <c r="B38" s="148" t="s">
        <v>885</v>
      </c>
      <c r="C38" s="148" t="s">
        <v>885</v>
      </c>
      <c r="D38" s="148" t="s">
        <v>885</v>
      </c>
      <c r="E38" s="148" t="s">
        <v>885</v>
      </c>
      <c r="F38" s="148" t="s">
        <v>885</v>
      </c>
      <c r="G38" s="148" t="s">
        <v>885</v>
      </c>
      <c r="H38" s="148" t="s">
        <v>885</v>
      </c>
      <c r="I38" s="148" t="s">
        <v>885</v>
      </c>
    </row>
    <row r="39" spans="1:9" x14ac:dyDescent="0.25">
      <c r="A39" s="61" t="s">
        <v>590</v>
      </c>
      <c r="B39" s="148" t="s">
        <v>1002</v>
      </c>
      <c r="C39" s="148" t="s">
        <v>1003</v>
      </c>
      <c r="D39" s="148" t="s">
        <v>1004</v>
      </c>
      <c r="E39" s="148" t="s">
        <v>1005</v>
      </c>
      <c r="F39" s="148" t="s">
        <v>885</v>
      </c>
      <c r="G39" s="148" t="s">
        <v>885</v>
      </c>
      <c r="H39" s="148" t="s">
        <v>885</v>
      </c>
      <c r="I39" s="148" t="s">
        <v>885</v>
      </c>
    </row>
    <row r="40" spans="1:9" x14ac:dyDescent="0.25">
      <c r="A40" s="61" t="s">
        <v>591</v>
      </c>
      <c r="B40" s="148" t="s">
        <v>1006</v>
      </c>
      <c r="C40" s="148" t="s">
        <v>1007</v>
      </c>
      <c r="D40" s="148" t="s">
        <v>1008</v>
      </c>
      <c r="E40" s="148" t="s">
        <v>1009</v>
      </c>
      <c r="F40" s="148" t="s">
        <v>1299</v>
      </c>
      <c r="G40" s="203" t="s">
        <v>1302</v>
      </c>
      <c r="H40" s="148" t="s">
        <v>1300</v>
      </c>
      <c r="I40" s="148" t="s">
        <v>1301</v>
      </c>
    </row>
    <row r="41" spans="1:9" x14ac:dyDescent="0.25">
      <c r="A41" s="61" t="s">
        <v>65</v>
      </c>
      <c r="B41" s="148" t="s">
        <v>1010</v>
      </c>
      <c r="C41" s="148" t="s">
        <v>1011</v>
      </c>
      <c r="D41" s="148" t="s">
        <v>1013</v>
      </c>
      <c r="E41" s="148" t="s">
        <v>1012</v>
      </c>
      <c r="F41" s="148" t="s">
        <v>885</v>
      </c>
      <c r="G41" s="148" t="s">
        <v>885</v>
      </c>
      <c r="H41" s="148" t="s">
        <v>885</v>
      </c>
      <c r="I41" s="148" t="s">
        <v>885</v>
      </c>
    </row>
    <row r="42" spans="1:9" x14ac:dyDescent="0.25">
      <c r="A42" s="61" t="s">
        <v>66</v>
      </c>
      <c r="B42" s="148" t="s">
        <v>1017</v>
      </c>
      <c r="C42" s="148" t="s">
        <v>1020</v>
      </c>
      <c r="D42" s="148" t="s">
        <v>1018</v>
      </c>
      <c r="E42" s="148" t="s">
        <v>1019</v>
      </c>
      <c r="F42" s="148" t="s">
        <v>885</v>
      </c>
      <c r="G42" s="148" t="s">
        <v>885</v>
      </c>
      <c r="H42" s="148" t="s">
        <v>885</v>
      </c>
      <c r="I42" s="148" t="s">
        <v>885</v>
      </c>
    </row>
    <row r="43" spans="1:9" x14ac:dyDescent="0.25">
      <c r="A43" s="61" t="s">
        <v>67</v>
      </c>
      <c r="B43" s="148" t="s">
        <v>1021</v>
      </c>
      <c r="C43" s="148" t="s">
        <v>1003</v>
      </c>
      <c r="D43" s="148" t="s">
        <v>1022</v>
      </c>
      <c r="E43" s="148" t="s">
        <v>1023</v>
      </c>
      <c r="F43" s="148" t="s">
        <v>1024</v>
      </c>
      <c r="G43" s="148" t="s">
        <v>1025</v>
      </c>
      <c r="H43" s="148" t="s">
        <v>1026</v>
      </c>
      <c r="I43" s="148" t="s">
        <v>1027</v>
      </c>
    </row>
    <row r="44" spans="1:9" x14ac:dyDescent="0.25">
      <c r="A44" s="61" t="s">
        <v>68</v>
      </c>
      <c r="B44" s="148" t="s">
        <v>1028</v>
      </c>
      <c r="C44" s="148" t="s">
        <v>1029</v>
      </c>
      <c r="D44" s="148" t="s">
        <v>1030</v>
      </c>
      <c r="E44" s="148" t="s">
        <v>1031</v>
      </c>
      <c r="F44" s="148" t="s">
        <v>1032</v>
      </c>
      <c r="G44" s="148" t="s">
        <v>1033</v>
      </c>
      <c r="H44" s="148" t="s">
        <v>1034</v>
      </c>
      <c r="I44" s="148" t="s">
        <v>1035</v>
      </c>
    </row>
    <row r="45" spans="1:9" x14ac:dyDescent="0.25">
      <c r="A45" s="61" t="s">
        <v>592</v>
      </c>
      <c r="B45" s="148" t="s">
        <v>1036</v>
      </c>
      <c r="C45" s="148" t="s">
        <v>1037</v>
      </c>
      <c r="D45" s="148" t="s">
        <v>1038</v>
      </c>
      <c r="E45" s="148" t="s">
        <v>1039</v>
      </c>
      <c r="F45" s="148" t="s">
        <v>1040</v>
      </c>
      <c r="G45" s="148" t="s">
        <v>1041</v>
      </c>
      <c r="H45" s="148" t="s">
        <v>1042</v>
      </c>
      <c r="I45" s="148" t="s">
        <v>1043</v>
      </c>
    </row>
    <row r="46" spans="1:9" x14ac:dyDescent="0.25">
      <c r="A46" s="61" t="s">
        <v>69</v>
      </c>
      <c r="B46" s="148" t="s">
        <v>1050</v>
      </c>
      <c r="C46" s="148" t="s">
        <v>1044</v>
      </c>
      <c r="D46" s="148" t="s">
        <v>1045</v>
      </c>
      <c r="E46" s="148" t="s">
        <v>1046</v>
      </c>
      <c r="F46" s="148" t="s">
        <v>1047</v>
      </c>
      <c r="G46" s="148" t="s">
        <v>1048</v>
      </c>
      <c r="H46" s="148" t="s">
        <v>1049</v>
      </c>
      <c r="I46" s="148" t="s">
        <v>1046</v>
      </c>
    </row>
    <row r="47" spans="1:9" x14ac:dyDescent="0.25">
      <c r="A47" s="61" t="s">
        <v>70</v>
      </c>
      <c r="B47" s="148" t="s">
        <v>1051</v>
      </c>
      <c r="C47" s="148" t="s">
        <v>1052</v>
      </c>
      <c r="D47" s="148" t="s">
        <v>1053</v>
      </c>
      <c r="E47" s="148" t="s">
        <v>1054</v>
      </c>
      <c r="F47" s="148" t="s">
        <v>885</v>
      </c>
      <c r="G47" s="148" t="s">
        <v>885</v>
      </c>
      <c r="H47" s="148" t="s">
        <v>885</v>
      </c>
      <c r="I47" s="148" t="s">
        <v>885</v>
      </c>
    </row>
    <row r="48" spans="1:9" x14ac:dyDescent="0.25">
      <c r="A48" s="61" t="s">
        <v>71</v>
      </c>
      <c r="B48" s="148" t="s">
        <v>1055</v>
      </c>
      <c r="C48" s="148" t="s">
        <v>1056</v>
      </c>
      <c r="D48" s="148" t="s">
        <v>1057</v>
      </c>
      <c r="E48" s="148" t="s">
        <v>1058</v>
      </c>
      <c r="F48" s="148" t="s">
        <v>1059</v>
      </c>
      <c r="G48" s="148" t="s">
        <v>1060</v>
      </c>
      <c r="H48" s="148" t="s">
        <v>1061</v>
      </c>
      <c r="I48" s="148" t="s">
        <v>1062</v>
      </c>
    </row>
    <row r="49" spans="1:9" x14ac:dyDescent="0.25">
      <c r="A49" s="61" t="s">
        <v>72</v>
      </c>
      <c r="B49" s="148" t="s">
        <v>1063</v>
      </c>
      <c r="C49" s="148" t="s">
        <v>1064</v>
      </c>
      <c r="D49" s="148" t="s">
        <v>1065</v>
      </c>
      <c r="E49" s="148" t="s">
        <v>1066</v>
      </c>
      <c r="F49" s="148" t="s">
        <v>1067</v>
      </c>
      <c r="G49" s="148" t="s">
        <v>1070</v>
      </c>
      <c r="H49" s="148" t="s">
        <v>1068</v>
      </c>
      <c r="I49" s="148" t="s">
        <v>1069</v>
      </c>
    </row>
    <row r="50" spans="1:9" x14ac:dyDescent="0.25">
      <c r="A50" s="61" t="s">
        <v>73</v>
      </c>
      <c r="B50" s="148" t="s">
        <v>1071</v>
      </c>
      <c r="C50" s="148" t="s">
        <v>1072</v>
      </c>
      <c r="D50" s="148" t="s">
        <v>1073</v>
      </c>
      <c r="E50" s="148" t="s">
        <v>1074</v>
      </c>
      <c r="F50" s="148" t="s">
        <v>885</v>
      </c>
      <c r="G50" s="148" t="s">
        <v>885</v>
      </c>
      <c r="H50" s="148" t="s">
        <v>885</v>
      </c>
      <c r="I50" s="148" t="s">
        <v>885</v>
      </c>
    </row>
    <row r="51" spans="1:9" x14ac:dyDescent="0.25">
      <c r="A51" s="61" t="s">
        <v>74</v>
      </c>
      <c r="B51" s="148" t="s">
        <v>1075</v>
      </c>
      <c r="C51" s="148" t="s">
        <v>1076</v>
      </c>
      <c r="D51" s="148" t="s">
        <v>1077</v>
      </c>
      <c r="E51" s="148" t="s">
        <v>1078</v>
      </c>
      <c r="F51" s="148" t="s">
        <v>1079</v>
      </c>
      <c r="G51" s="148" t="s">
        <v>1080</v>
      </c>
      <c r="H51" s="148" t="s">
        <v>1081</v>
      </c>
      <c r="I51" s="148" t="s">
        <v>885</v>
      </c>
    </row>
    <row r="52" spans="1:9" x14ac:dyDescent="0.25">
      <c r="A52" s="61" t="s">
        <v>75</v>
      </c>
      <c r="B52" s="148" t="s">
        <v>1093</v>
      </c>
      <c r="C52" s="148" t="s">
        <v>1090</v>
      </c>
      <c r="D52" s="148" t="s">
        <v>1091</v>
      </c>
      <c r="E52" s="148" t="s">
        <v>1092</v>
      </c>
      <c r="F52" s="148" t="s">
        <v>885</v>
      </c>
      <c r="G52" s="148" t="s">
        <v>885</v>
      </c>
      <c r="H52" s="148" t="s">
        <v>885</v>
      </c>
      <c r="I52" s="148" t="s">
        <v>885</v>
      </c>
    </row>
    <row r="53" spans="1:9" x14ac:dyDescent="0.25">
      <c r="A53" s="61" t="s">
        <v>76</v>
      </c>
      <c r="B53" s="148" t="s">
        <v>1082</v>
      </c>
      <c r="C53" s="148" t="s">
        <v>1083</v>
      </c>
      <c r="D53" s="148" t="s">
        <v>1084</v>
      </c>
      <c r="E53" s="148" t="s">
        <v>1085</v>
      </c>
      <c r="F53" s="148" t="s">
        <v>1086</v>
      </c>
      <c r="G53" s="148" t="s">
        <v>1087</v>
      </c>
      <c r="H53" s="148" t="s">
        <v>1088</v>
      </c>
      <c r="I53" s="148" t="s">
        <v>1089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03"/>
  <sheetViews>
    <sheetView workbookViewId="0">
      <selection activeCell="N32" sqref="N32:N33"/>
    </sheetView>
  </sheetViews>
  <sheetFormatPr defaultColWidth="0" defaultRowHeight="15" zeroHeight="1" x14ac:dyDescent="0.25"/>
  <cols>
    <col min="1" max="1" width="3.42578125" style="627" customWidth="1"/>
    <col min="2" max="2" width="6.85546875" style="627" customWidth="1"/>
    <col min="3" max="3" width="5.5703125" style="627" customWidth="1"/>
    <col min="4" max="4" width="17.7109375" style="627" customWidth="1"/>
    <col min="5" max="5" width="9.140625" style="627" customWidth="1"/>
    <col min="6" max="6" width="8.28515625" style="627" customWidth="1"/>
    <col min="7" max="7" width="7.42578125" style="627" customWidth="1"/>
    <col min="8" max="8" width="19.85546875" style="627" customWidth="1"/>
    <col min="9" max="9" width="1.28515625" style="627" hidden="1" customWidth="1"/>
    <col min="10" max="10" width="10.5703125" style="627" customWidth="1"/>
    <col min="11" max="11" width="25.85546875" style="627" customWidth="1"/>
    <col min="12" max="12" width="10" style="627" customWidth="1"/>
    <col min="13" max="13" width="24.5703125" style="627" customWidth="1"/>
    <col min="14" max="14" width="18.7109375" style="627" customWidth="1"/>
    <col min="15" max="15" width="9.140625" style="627" customWidth="1"/>
    <col min="16" max="16" width="9.140625" style="489" hidden="1" customWidth="1"/>
    <col min="17" max="17" width="13.28515625" style="489" hidden="1" customWidth="1"/>
    <col min="18" max="29" width="0" style="489" hidden="1" customWidth="1"/>
    <col min="30" max="16384" width="9.140625" style="489" hidden="1"/>
  </cols>
  <sheetData>
    <row r="1" spans="1:15" ht="15.75" thickBot="1" x14ac:dyDescent="0.3">
      <c r="A1" s="492"/>
      <c r="B1" s="844" t="s">
        <v>509</v>
      </c>
      <c r="C1" s="844"/>
      <c r="D1" s="844"/>
      <c r="E1" s="844"/>
      <c r="F1" s="844"/>
      <c r="G1" s="844"/>
      <c r="H1" s="844"/>
      <c r="I1" s="844"/>
      <c r="J1" s="844"/>
      <c r="K1" s="844"/>
      <c r="L1" s="844"/>
      <c r="M1" s="844"/>
      <c r="N1" s="844"/>
      <c r="O1" s="492"/>
    </row>
    <row r="2" spans="1:15" ht="21" customHeight="1" x14ac:dyDescent="0.25">
      <c r="A2" s="492"/>
      <c r="B2" s="1107" t="s">
        <v>1173</v>
      </c>
      <c r="C2" s="927"/>
      <c r="D2" s="1006" t="s">
        <v>1266</v>
      </c>
      <c r="E2" s="1006"/>
      <c r="F2" s="1006"/>
      <c r="G2" s="1006"/>
      <c r="H2" s="1006"/>
      <c r="I2" s="1006"/>
      <c r="J2" s="1006"/>
      <c r="K2" s="1006"/>
      <c r="L2" s="1006"/>
      <c r="M2" s="1006"/>
      <c r="N2" s="1006"/>
      <c r="O2" s="492"/>
    </row>
    <row r="3" spans="1:15" ht="24" customHeight="1" thickBot="1" x14ac:dyDescent="0.3">
      <c r="A3" s="492"/>
      <c r="B3" s="1108"/>
      <c r="C3" s="928"/>
      <c r="D3" s="1006"/>
      <c r="E3" s="1006"/>
      <c r="F3" s="1006"/>
      <c r="G3" s="1006"/>
      <c r="H3" s="1006"/>
      <c r="I3" s="1006"/>
      <c r="J3" s="1006"/>
      <c r="K3" s="1006"/>
      <c r="L3" s="1006"/>
      <c r="M3" s="1006"/>
      <c r="N3" s="1006"/>
      <c r="O3" s="492"/>
    </row>
    <row r="4" spans="1:15" ht="15" customHeight="1" x14ac:dyDescent="0.25">
      <c r="A4" s="492"/>
      <c r="B4" s="1108"/>
      <c r="C4" s="928"/>
      <c r="D4" s="926" t="s">
        <v>572</v>
      </c>
      <c r="E4" s="926"/>
      <c r="F4" s="926"/>
      <c r="G4" s="926"/>
      <c r="H4" s="926"/>
      <c r="I4" s="926"/>
      <c r="J4" s="926"/>
      <c r="K4" s="926"/>
      <c r="L4" s="926"/>
      <c r="M4" s="926"/>
      <c r="N4" s="926"/>
      <c r="O4" s="492"/>
    </row>
    <row r="5" spans="1:15" s="492" customFormat="1" ht="21" customHeight="1" x14ac:dyDescent="0.25">
      <c r="B5" s="213"/>
      <c r="C5" s="213"/>
      <c r="D5" s="213"/>
      <c r="E5" s="213"/>
      <c r="F5" s="213"/>
      <c r="G5" s="213"/>
      <c r="H5" s="213"/>
      <c r="I5" s="213"/>
      <c r="J5" s="213"/>
      <c r="K5" s="213"/>
      <c r="L5" s="213"/>
      <c r="M5" s="213"/>
      <c r="N5" s="213"/>
    </row>
    <row r="6" spans="1:15" ht="21" x14ac:dyDescent="0.25">
      <c r="A6" s="492"/>
      <c r="B6" s="1084" t="s">
        <v>1172</v>
      </c>
      <c r="C6" s="1002"/>
      <c r="D6" s="1002"/>
      <c r="E6" s="1002"/>
      <c r="F6" s="1002"/>
      <c r="G6" s="1002"/>
      <c r="H6" s="1002"/>
      <c r="I6" s="1002"/>
      <c r="J6" s="1002"/>
      <c r="K6" s="1002"/>
      <c r="L6" s="1002"/>
      <c r="M6" s="1002"/>
      <c r="N6" s="1002"/>
      <c r="O6" s="492"/>
    </row>
    <row r="7" spans="1:15" ht="16.5" customHeight="1" x14ac:dyDescent="0.25">
      <c r="A7" s="492"/>
      <c r="B7" s="1106" t="s">
        <v>1175</v>
      </c>
      <c r="C7" s="1106"/>
      <c r="D7" s="1106"/>
      <c r="E7" s="1106"/>
      <c r="F7" s="1106"/>
      <c r="G7" s="1106"/>
      <c r="H7" s="1106"/>
      <c r="I7" s="1106"/>
      <c r="J7" s="1106"/>
      <c r="K7" s="1106"/>
      <c r="L7" s="1106"/>
      <c r="M7" s="1106"/>
      <c r="N7" s="1106"/>
      <c r="O7" s="492"/>
    </row>
    <row r="8" spans="1:15" s="492" customFormat="1" x14ac:dyDescent="0.25">
      <c r="B8" s="1031" t="s">
        <v>1181</v>
      </c>
      <c r="C8" s="1031"/>
      <c r="D8" s="1031"/>
      <c r="E8" s="1031"/>
      <c r="F8" s="1031"/>
      <c r="G8" s="1031"/>
      <c r="H8" s="1031"/>
      <c r="I8" s="1031"/>
      <c r="J8" s="1031"/>
      <c r="K8" s="1031"/>
      <c r="L8" s="1031"/>
      <c r="M8" s="427"/>
      <c r="N8" s="1103" t="s">
        <v>1148</v>
      </c>
    </row>
    <row r="9" spans="1:15" s="492" customFormat="1" ht="16.5" customHeight="1" thickBot="1" x14ac:dyDescent="0.3">
      <c r="B9" s="985"/>
      <c r="C9" s="985"/>
      <c r="D9" s="985"/>
      <c r="E9" s="985"/>
      <c r="F9" s="985"/>
      <c r="G9" s="985"/>
      <c r="H9" s="985"/>
      <c r="I9" s="985"/>
      <c r="J9" s="985"/>
      <c r="K9" s="985"/>
      <c r="L9" s="985"/>
      <c r="M9" s="428"/>
      <c r="N9" s="1092"/>
    </row>
    <row r="10" spans="1:15" s="591" customFormat="1" ht="17.25" customHeight="1" x14ac:dyDescent="0.25">
      <c r="A10" s="628"/>
      <c r="B10" s="1104" t="str">
        <f>IF(N8="yes","Which of the following equipment do you operate?","")</f>
        <v/>
      </c>
      <c r="C10" s="1104"/>
      <c r="D10" s="1104"/>
      <c r="E10" s="1104"/>
      <c r="F10" s="1104"/>
      <c r="G10" s="1104"/>
      <c r="H10" s="1104"/>
      <c r="I10" s="1104"/>
      <c r="J10" s="1104"/>
      <c r="K10" s="1104"/>
      <c r="L10" s="1104"/>
      <c r="M10" s="1104"/>
      <c r="N10" s="1104"/>
      <c r="O10" s="628"/>
    </row>
    <row r="11" spans="1:15" s="492" customFormat="1" x14ac:dyDescent="0.25">
      <c r="A11" s="626"/>
      <c r="B11" s="632" t="s">
        <v>1187</v>
      </c>
      <c r="C11" s="1090" t="s">
        <v>1263</v>
      </c>
      <c r="D11" s="1090"/>
      <c r="E11" s="1102" t="s">
        <v>1148</v>
      </c>
      <c r="F11" s="1102"/>
      <c r="G11" s="1088" t="str">
        <f>IF(E11="yes","Please provide details here, if available (e.g. # of mowers, fuel type, etc.)","")</f>
        <v/>
      </c>
      <c r="H11" s="1088"/>
      <c r="I11" s="1088"/>
      <c r="J11" s="1088"/>
      <c r="K11" s="1088"/>
      <c r="L11" s="1088"/>
      <c r="M11" s="1088"/>
      <c r="N11" s="1088"/>
      <c r="O11" s="626"/>
    </row>
    <row r="12" spans="1:15" s="492" customFormat="1" x14ac:dyDescent="0.25">
      <c r="A12" s="626"/>
      <c r="B12" s="632" t="s">
        <v>1187</v>
      </c>
      <c r="C12" s="1090" t="s">
        <v>1264</v>
      </c>
      <c r="D12" s="1090"/>
      <c r="E12" s="1102" t="s">
        <v>1148</v>
      </c>
      <c r="F12" s="1102"/>
      <c r="G12" s="1088" t="str">
        <f t="shared" ref="G12:G14" si="0">IF(E12="yes","Please provide details here, if available (e.g. # of mowers, fuel type, etc.)","")</f>
        <v/>
      </c>
      <c r="H12" s="1088"/>
      <c r="I12" s="1088"/>
      <c r="J12" s="1088"/>
      <c r="K12" s="1088"/>
      <c r="L12" s="1088"/>
      <c r="M12" s="1088"/>
      <c r="N12" s="1088"/>
      <c r="O12" s="626"/>
    </row>
    <row r="13" spans="1:15" s="492" customFormat="1" x14ac:dyDescent="0.25">
      <c r="A13" s="626"/>
      <c r="B13" s="632" t="s">
        <v>1187</v>
      </c>
      <c r="C13" s="1090" t="s">
        <v>1265</v>
      </c>
      <c r="D13" s="1090"/>
      <c r="E13" s="1102" t="s">
        <v>1148</v>
      </c>
      <c r="F13" s="1102"/>
      <c r="G13" s="1088" t="str">
        <f t="shared" si="0"/>
        <v/>
      </c>
      <c r="H13" s="1088"/>
      <c r="I13" s="1088"/>
      <c r="J13" s="1088"/>
      <c r="K13" s="1088"/>
      <c r="L13" s="1088"/>
      <c r="M13" s="1088"/>
      <c r="N13" s="1088"/>
      <c r="O13" s="626"/>
    </row>
    <row r="14" spans="1:15" s="492" customFormat="1" ht="16.5" customHeight="1" x14ac:dyDescent="0.25">
      <c r="A14" s="626"/>
      <c r="B14" s="632" t="s">
        <v>1187</v>
      </c>
      <c r="C14" s="1090" t="s">
        <v>30</v>
      </c>
      <c r="D14" s="1090"/>
      <c r="E14" s="1102" t="s">
        <v>1148</v>
      </c>
      <c r="F14" s="1102"/>
      <c r="G14" s="1088" t="str">
        <f t="shared" si="0"/>
        <v/>
      </c>
      <c r="H14" s="1088"/>
      <c r="I14" s="1088"/>
      <c r="J14" s="1088"/>
      <c r="K14" s="1088"/>
      <c r="L14" s="1088"/>
      <c r="M14" s="1088"/>
      <c r="N14" s="1088"/>
      <c r="O14" s="626"/>
    </row>
    <row r="15" spans="1:15" s="492" customFormat="1" ht="15.75" thickBot="1" x14ac:dyDescent="0.3">
      <c r="A15" s="626"/>
      <c r="B15" s="370"/>
      <c r="C15" s="370"/>
      <c r="D15" s="370"/>
      <c r="E15" s="370"/>
      <c r="F15" s="370"/>
      <c r="G15" s="370"/>
      <c r="H15" s="370"/>
      <c r="I15" s="370"/>
      <c r="J15" s="370"/>
      <c r="K15" s="370"/>
      <c r="L15" s="370"/>
      <c r="M15" s="370"/>
      <c r="N15" s="370"/>
      <c r="O15" s="626"/>
    </row>
    <row r="16" spans="1:15" s="492" customFormat="1" ht="11.25" customHeight="1" x14ac:dyDescent="0.25">
      <c r="A16" s="626"/>
      <c r="B16" s="1093" t="s">
        <v>1188</v>
      </c>
      <c r="C16" s="1094"/>
      <c r="D16" s="1094"/>
      <c r="E16" s="1094"/>
      <c r="F16" s="1094"/>
      <c r="G16" s="1094"/>
      <c r="H16" s="1094"/>
      <c r="I16" s="1094"/>
      <c r="J16" s="1094"/>
      <c r="K16" s="1094"/>
      <c r="L16" s="1094"/>
      <c r="M16" s="430"/>
      <c r="N16" s="1091" t="s">
        <v>1148</v>
      </c>
      <c r="O16" s="626"/>
    </row>
    <row r="17" spans="1:15" s="492" customFormat="1" ht="23.25" customHeight="1" thickBot="1" x14ac:dyDescent="0.3">
      <c r="A17" s="626"/>
      <c r="B17" s="1095"/>
      <c r="C17" s="1096"/>
      <c r="D17" s="1096"/>
      <c r="E17" s="1096"/>
      <c r="F17" s="1096"/>
      <c r="G17" s="1096"/>
      <c r="H17" s="1096"/>
      <c r="I17" s="1096"/>
      <c r="J17" s="1096"/>
      <c r="K17" s="1096"/>
      <c r="L17" s="1096"/>
      <c r="M17" s="431"/>
      <c r="N17" s="1092"/>
      <c r="O17" s="626"/>
    </row>
    <row r="18" spans="1:15" s="492" customFormat="1" ht="17.25" customHeight="1" x14ac:dyDescent="0.25">
      <c r="A18" s="626"/>
      <c r="B18" s="1089" t="str">
        <f>IF(N16="yes","Please select any below that apply","")</f>
        <v/>
      </c>
      <c r="C18" s="1089"/>
      <c r="D18" s="1089"/>
      <c r="E18" s="1089"/>
      <c r="F18" s="1089"/>
      <c r="G18" s="1089"/>
      <c r="H18" s="1089"/>
      <c r="I18" s="1089"/>
      <c r="J18" s="1089"/>
      <c r="K18" s="1089"/>
      <c r="L18" s="1089"/>
      <c r="M18" s="1089"/>
      <c r="N18" s="1089"/>
      <c r="O18" s="626"/>
    </row>
    <row r="19" spans="1:15" s="591" customFormat="1" x14ac:dyDescent="0.25">
      <c r="A19" s="628"/>
      <c r="B19" s="632" t="s">
        <v>1187</v>
      </c>
      <c r="C19" s="1090" t="s">
        <v>1230</v>
      </c>
      <c r="D19" s="1090"/>
      <c r="E19" s="1090"/>
      <c r="F19" s="1090"/>
      <c r="G19" s="1090"/>
      <c r="H19" s="449" t="s">
        <v>1148</v>
      </c>
      <c r="I19" s="1097" t="str">
        <f>IF(H19="yes","Please provide details here, if available","")</f>
        <v/>
      </c>
      <c r="J19" s="1097"/>
      <c r="K19" s="1097"/>
      <c r="L19" s="1097"/>
      <c r="M19" s="1097"/>
      <c r="N19" s="1097"/>
      <c r="O19" s="628"/>
    </row>
    <row r="20" spans="1:15" s="591" customFormat="1" x14ac:dyDescent="0.25">
      <c r="A20" s="628"/>
      <c r="B20" s="632" t="s">
        <v>1187</v>
      </c>
      <c r="C20" s="1090" t="s">
        <v>1231</v>
      </c>
      <c r="D20" s="1090"/>
      <c r="E20" s="1090"/>
      <c r="F20" s="1090"/>
      <c r="G20" s="1090"/>
      <c r="H20" s="449" t="s">
        <v>1148</v>
      </c>
      <c r="I20" s="1097" t="str">
        <f t="shared" ref="I20" si="1">IF(H20="yes","Please provide details here, if available","")</f>
        <v/>
      </c>
      <c r="J20" s="1097"/>
      <c r="K20" s="1097"/>
      <c r="L20" s="1097"/>
      <c r="M20" s="1097"/>
      <c r="N20" s="1097"/>
      <c r="O20" s="628"/>
    </row>
    <row r="21" spans="1:15" s="591" customFormat="1" x14ac:dyDescent="0.25">
      <c r="A21" s="628"/>
      <c r="B21" s="632" t="s">
        <v>1187</v>
      </c>
      <c r="C21" s="1090" t="s">
        <v>1232</v>
      </c>
      <c r="D21" s="1090"/>
      <c r="E21" s="1090"/>
      <c r="F21" s="1090"/>
      <c r="G21" s="1090"/>
      <c r="H21" s="449" t="s">
        <v>1148</v>
      </c>
      <c r="I21" s="1097"/>
      <c r="J21" s="1097"/>
      <c r="K21" s="1097"/>
      <c r="L21" s="1097"/>
      <c r="M21" s="1097"/>
      <c r="N21" s="1097"/>
      <c r="O21" s="628"/>
    </row>
    <row r="22" spans="1:15" s="591" customFormat="1" ht="15.75" customHeight="1" x14ac:dyDescent="0.25">
      <c r="A22" s="628"/>
      <c r="B22" s="632" t="s">
        <v>1187</v>
      </c>
      <c r="C22" s="1090" t="s">
        <v>30</v>
      </c>
      <c r="D22" s="1090"/>
      <c r="E22" s="1090"/>
      <c r="F22" s="1090"/>
      <c r="G22" s="1090"/>
      <c r="H22" s="449" t="s">
        <v>1148</v>
      </c>
      <c r="I22" s="1097"/>
      <c r="J22" s="1097"/>
      <c r="K22" s="1097"/>
      <c r="L22" s="1097"/>
      <c r="M22" s="1097"/>
      <c r="N22" s="1097"/>
      <c r="O22" s="628"/>
    </row>
    <row r="23" spans="1:15" s="492" customFormat="1" ht="15.75" thickBot="1" x14ac:dyDescent="0.3">
      <c r="A23" s="626"/>
      <c r="B23" s="629"/>
      <c r="C23" s="629"/>
      <c r="D23" s="629"/>
      <c r="E23" s="629"/>
      <c r="F23" s="629"/>
      <c r="G23" s="629"/>
      <c r="H23" s="629"/>
      <c r="I23" s="629"/>
      <c r="J23" s="629"/>
      <c r="K23" s="629"/>
      <c r="L23" s="629"/>
      <c r="M23" s="629"/>
      <c r="N23" s="629"/>
      <c r="O23" s="626"/>
    </row>
    <row r="24" spans="1:15" s="492" customFormat="1" ht="11.25" customHeight="1" x14ac:dyDescent="0.25">
      <c r="A24" s="626"/>
      <c r="B24" s="1093" t="s">
        <v>1174</v>
      </c>
      <c r="C24" s="1094"/>
      <c r="D24" s="1094"/>
      <c r="E24" s="1094"/>
      <c r="F24" s="1094"/>
      <c r="G24" s="1094"/>
      <c r="H24" s="1094"/>
      <c r="I24" s="1094"/>
      <c r="J24" s="1094"/>
      <c r="K24" s="1094"/>
      <c r="L24" s="1094"/>
      <c r="M24" s="430"/>
      <c r="N24" s="1091" t="s">
        <v>1148</v>
      </c>
      <c r="O24" s="626"/>
    </row>
    <row r="25" spans="1:15" s="492" customFormat="1" ht="20.25" customHeight="1" thickBot="1" x14ac:dyDescent="0.3">
      <c r="A25" s="626"/>
      <c r="B25" s="1095"/>
      <c r="C25" s="1096"/>
      <c r="D25" s="1096"/>
      <c r="E25" s="1096"/>
      <c r="F25" s="1096"/>
      <c r="G25" s="1096"/>
      <c r="H25" s="1096"/>
      <c r="I25" s="1096"/>
      <c r="J25" s="1096"/>
      <c r="K25" s="1096"/>
      <c r="L25" s="1096"/>
      <c r="M25" s="431"/>
      <c r="N25" s="1092"/>
      <c r="O25" s="626"/>
    </row>
    <row r="26" spans="1:15" s="492" customFormat="1" ht="17.25" customHeight="1" x14ac:dyDescent="0.25">
      <c r="A26" s="626"/>
      <c r="B26" s="1098" t="str">
        <f>IF(N24="yes","Please select any below that apply","")</f>
        <v/>
      </c>
      <c r="C26" s="1098"/>
      <c r="D26" s="1098"/>
      <c r="E26" s="1098"/>
      <c r="F26" s="1098"/>
      <c r="G26" s="1098"/>
      <c r="H26" s="1098"/>
      <c r="I26" s="1098"/>
      <c r="J26" s="1098"/>
      <c r="K26" s="1098"/>
      <c r="L26" s="1098"/>
      <c r="M26" s="1098"/>
      <c r="N26" s="1098"/>
      <c r="O26" s="626"/>
    </row>
    <row r="27" spans="1:15" s="492" customFormat="1" ht="15" customHeight="1" x14ac:dyDescent="0.25">
      <c r="A27" s="626"/>
      <c r="B27" s="632" t="s">
        <v>1187</v>
      </c>
      <c r="C27" s="1101" t="s">
        <v>1234</v>
      </c>
      <c r="D27" s="1101"/>
      <c r="E27" s="1102" t="s">
        <v>1148</v>
      </c>
      <c r="F27" s="1102"/>
      <c r="G27" s="1101" t="str">
        <f>IF(E27="yes","Please provide details here, if available (e.g. number &amp; location of sites, estimated acreage, etc.)","")</f>
        <v/>
      </c>
      <c r="H27" s="1101"/>
      <c r="I27" s="1101"/>
      <c r="J27" s="1101"/>
      <c r="K27" s="1101"/>
      <c r="L27" s="1101"/>
      <c r="M27" s="1101"/>
      <c r="N27" s="1101"/>
      <c r="O27" s="626"/>
    </row>
    <row r="28" spans="1:15" s="492" customFormat="1" ht="15" customHeight="1" x14ac:dyDescent="0.25">
      <c r="A28" s="626"/>
      <c r="B28" s="632" t="s">
        <v>1187</v>
      </c>
      <c r="C28" s="1101" t="s">
        <v>1233</v>
      </c>
      <c r="D28" s="1101"/>
      <c r="E28" s="1102" t="s">
        <v>1148</v>
      </c>
      <c r="F28" s="1102"/>
      <c r="G28" s="1101" t="str">
        <f t="shared" ref="G28" si="2">IF(E28="yes","Please provide details here, if available (e.g. number &amp; location of sites, estimated acreage, etc.)","")</f>
        <v/>
      </c>
      <c r="H28" s="1101"/>
      <c r="I28" s="1101"/>
      <c r="J28" s="1101"/>
      <c r="K28" s="1101"/>
      <c r="L28" s="1101"/>
      <c r="M28" s="1101"/>
      <c r="N28" s="1101"/>
      <c r="O28" s="626"/>
    </row>
    <row r="29" spans="1:15" s="492" customFormat="1" ht="15" customHeight="1" x14ac:dyDescent="0.25">
      <c r="A29" s="626"/>
      <c r="B29" s="632" t="s">
        <v>1187</v>
      </c>
      <c r="C29" s="1101" t="s">
        <v>30</v>
      </c>
      <c r="D29" s="1101"/>
      <c r="E29" s="1102" t="s">
        <v>1148</v>
      </c>
      <c r="F29" s="1102"/>
      <c r="G29" s="1101" t="str">
        <f>IF(E29="yes","Please provide details here","")</f>
        <v/>
      </c>
      <c r="H29" s="1101"/>
      <c r="I29" s="1101"/>
      <c r="J29" s="1101"/>
      <c r="K29" s="1101"/>
      <c r="L29" s="1101"/>
      <c r="M29" s="1101"/>
      <c r="N29" s="1101"/>
      <c r="O29" s="626"/>
    </row>
    <row r="30" spans="1:15" s="492" customFormat="1" ht="15" customHeight="1" x14ac:dyDescent="0.25">
      <c r="A30" s="626"/>
      <c r="B30" s="632" t="s">
        <v>1187</v>
      </c>
      <c r="C30" s="1101" t="s">
        <v>30</v>
      </c>
      <c r="D30" s="1101"/>
      <c r="E30" s="1102" t="s">
        <v>1148</v>
      </c>
      <c r="F30" s="1102"/>
      <c r="G30" s="1101" t="str">
        <f>IF(E30="yes","Please provide details here","")</f>
        <v/>
      </c>
      <c r="H30" s="1101"/>
      <c r="I30" s="1101"/>
      <c r="J30" s="1101"/>
      <c r="K30" s="1101"/>
      <c r="L30" s="1101"/>
      <c r="M30" s="1101"/>
      <c r="N30" s="1101"/>
      <c r="O30" s="626"/>
    </row>
    <row r="31" spans="1:15" s="492" customFormat="1" ht="15.75" thickBot="1" x14ac:dyDescent="0.3">
      <c r="A31" s="626"/>
      <c r="B31" s="626"/>
      <c r="C31" s="626"/>
      <c r="D31" s="626"/>
      <c r="E31" s="626"/>
      <c r="F31" s="626"/>
      <c r="G31" s="626"/>
      <c r="H31" s="626"/>
      <c r="I31" s="626"/>
      <c r="J31" s="626"/>
      <c r="K31" s="626"/>
      <c r="L31" s="626"/>
      <c r="M31" s="626"/>
      <c r="N31" s="626"/>
      <c r="O31" s="626"/>
    </row>
    <row r="32" spans="1:15" s="492" customFormat="1" ht="15.75" customHeight="1" x14ac:dyDescent="0.25">
      <c r="A32" s="626"/>
      <c r="B32" s="1105" t="s">
        <v>513</v>
      </c>
      <c r="C32" s="1105"/>
      <c r="D32" s="1105"/>
      <c r="E32" s="1105"/>
      <c r="F32" s="1105"/>
      <c r="G32" s="1105"/>
      <c r="H32" s="1105"/>
      <c r="I32" s="1105"/>
      <c r="J32" s="1105"/>
      <c r="K32" s="1105"/>
      <c r="L32" s="1105"/>
      <c r="M32" s="429"/>
      <c r="N32" s="1091" t="s">
        <v>1148</v>
      </c>
      <c r="O32" s="626"/>
    </row>
    <row r="33" spans="1:15" s="492" customFormat="1" ht="15.75" customHeight="1" thickBot="1" x14ac:dyDescent="0.3">
      <c r="A33" s="626"/>
      <c r="B33" s="985"/>
      <c r="C33" s="985"/>
      <c r="D33" s="985"/>
      <c r="E33" s="985"/>
      <c r="F33" s="985"/>
      <c r="G33" s="985"/>
      <c r="H33" s="985"/>
      <c r="I33" s="985"/>
      <c r="J33" s="985"/>
      <c r="K33" s="985"/>
      <c r="L33" s="985"/>
      <c r="M33" s="428"/>
      <c r="N33" s="1092"/>
      <c r="O33" s="626"/>
    </row>
    <row r="34" spans="1:15" s="492" customFormat="1" ht="15" customHeight="1" x14ac:dyDescent="0.25">
      <c r="A34" s="626"/>
      <c r="B34" s="1099" t="str">
        <f>IF(N32="yes","Please describe reduction strategies underway, if any","")</f>
        <v/>
      </c>
      <c r="C34" s="1099"/>
      <c r="D34" s="1099"/>
      <c r="E34" s="1099"/>
      <c r="F34" s="1099"/>
      <c r="G34" s="1099"/>
      <c r="H34" s="1099"/>
      <c r="I34" s="1099"/>
      <c r="J34" s="1099"/>
      <c r="K34" s="1099"/>
      <c r="L34" s="1099"/>
      <c r="M34" s="1099"/>
      <c r="N34" s="1099"/>
      <c r="O34" s="626"/>
    </row>
    <row r="35" spans="1:15" s="492" customFormat="1" x14ac:dyDescent="0.25">
      <c r="A35" s="626"/>
      <c r="B35" s="1100"/>
      <c r="C35" s="1100"/>
      <c r="D35" s="1100"/>
      <c r="E35" s="1100"/>
      <c r="F35" s="1100"/>
      <c r="G35" s="1100"/>
      <c r="H35" s="1100"/>
      <c r="I35" s="1100"/>
      <c r="J35" s="1100"/>
      <c r="K35" s="1100"/>
      <c r="L35" s="1100"/>
      <c r="M35" s="1100"/>
      <c r="N35" s="1100"/>
      <c r="O35" s="626"/>
    </row>
    <row r="36" spans="1:15" s="492" customFormat="1" x14ac:dyDescent="0.25">
      <c r="A36" s="626"/>
      <c r="B36" s="1100"/>
      <c r="C36" s="1100"/>
      <c r="D36" s="1100"/>
      <c r="E36" s="1100"/>
      <c r="F36" s="1100"/>
      <c r="G36" s="1100"/>
      <c r="H36" s="1100"/>
      <c r="I36" s="1100"/>
      <c r="J36" s="1100"/>
      <c r="K36" s="1100"/>
      <c r="L36" s="1100"/>
      <c r="M36" s="1100"/>
      <c r="N36" s="1100"/>
      <c r="O36" s="626"/>
    </row>
    <row r="37" spans="1:15" s="492" customFormat="1" ht="16.5" customHeight="1" x14ac:dyDescent="0.25">
      <c r="A37" s="626"/>
      <c r="B37" s="1100"/>
      <c r="C37" s="1100"/>
      <c r="D37" s="1100"/>
      <c r="E37" s="1100"/>
      <c r="F37" s="1100"/>
      <c r="G37" s="1100"/>
      <c r="H37" s="1100"/>
      <c r="I37" s="1100"/>
      <c r="J37" s="1100"/>
      <c r="K37" s="1100"/>
      <c r="L37" s="1100"/>
      <c r="M37" s="1100"/>
      <c r="N37" s="1100"/>
      <c r="O37" s="626"/>
    </row>
    <row r="38" spans="1:15" s="492" customFormat="1" x14ac:dyDescent="0.25">
      <c r="A38" s="626"/>
      <c r="B38" s="626"/>
      <c r="C38" s="626"/>
      <c r="D38" s="626"/>
      <c r="E38" s="626"/>
      <c r="F38" s="626"/>
      <c r="G38" s="626"/>
      <c r="H38" s="626"/>
      <c r="I38" s="626"/>
      <c r="J38" s="626"/>
      <c r="K38" s="626"/>
      <c r="L38" s="626"/>
      <c r="M38" s="626"/>
      <c r="N38" s="626"/>
      <c r="O38" s="626"/>
    </row>
    <row r="39" spans="1:15" s="492" customFormat="1" x14ac:dyDescent="0.25">
      <c r="A39" s="626"/>
      <c r="B39" s="626"/>
      <c r="C39" s="626"/>
      <c r="D39" s="626"/>
      <c r="E39" s="626"/>
      <c r="F39" s="626"/>
      <c r="G39" s="626"/>
      <c r="H39" s="626"/>
      <c r="I39" s="626"/>
      <c r="J39" s="626"/>
      <c r="K39" s="626"/>
      <c r="L39" s="626"/>
      <c r="M39" s="626"/>
      <c r="N39" s="626"/>
      <c r="O39" s="626"/>
    </row>
    <row r="40" spans="1:15" s="492" customFormat="1" hidden="1" x14ac:dyDescent="0.25">
      <c r="A40" s="626"/>
      <c r="B40" s="626"/>
      <c r="C40" s="626"/>
      <c r="D40" s="626"/>
      <c r="E40" s="626"/>
      <c r="F40" s="626"/>
      <c r="G40" s="626"/>
      <c r="H40" s="626"/>
      <c r="I40" s="626"/>
      <c r="J40" s="626"/>
      <c r="K40" s="626"/>
      <c r="L40" s="626"/>
      <c r="M40" s="626"/>
      <c r="N40" s="626"/>
      <c r="O40" s="626"/>
    </row>
    <row r="41" spans="1:15" s="492" customFormat="1" hidden="1" x14ac:dyDescent="0.25">
      <c r="A41" s="626"/>
      <c r="B41" s="626"/>
      <c r="C41" s="626"/>
      <c r="D41" s="626"/>
      <c r="E41" s="626"/>
      <c r="F41" s="626"/>
      <c r="G41" s="626"/>
      <c r="H41" s="626"/>
      <c r="I41" s="626"/>
      <c r="J41" s="626"/>
      <c r="K41" s="626"/>
      <c r="L41" s="626"/>
      <c r="M41" s="626"/>
      <c r="N41" s="626"/>
      <c r="O41" s="626"/>
    </row>
    <row r="42" spans="1:15" s="492" customFormat="1" hidden="1" x14ac:dyDescent="0.25">
      <c r="A42" s="626"/>
      <c r="B42" s="626"/>
      <c r="C42" s="626"/>
      <c r="D42" s="626"/>
      <c r="E42" s="626"/>
      <c r="F42" s="626"/>
      <c r="G42" s="626"/>
      <c r="H42" s="626"/>
      <c r="I42" s="626"/>
      <c r="J42" s="626"/>
      <c r="K42" s="626"/>
      <c r="L42" s="626"/>
      <c r="M42" s="626"/>
      <c r="N42" s="626"/>
      <c r="O42" s="626"/>
    </row>
    <row r="43" spans="1:15" s="492" customFormat="1" hidden="1" x14ac:dyDescent="0.25">
      <c r="A43" s="626"/>
      <c r="B43" s="626"/>
      <c r="C43" s="626"/>
      <c r="D43" s="626"/>
      <c r="E43" s="626"/>
      <c r="F43" s="626"/>
      <c r="G43" s="626"/>
      <c r="H43" s="626"/>
      <c r="I43" s="626"/>
      <c r="J43" s="626"/>
      <c r="K43" s="626"/>
      <c r="L43" s="626"/>
      <c r="M43" s="626"/>
      <c r="N43" s="626"/>
      <c r="O43" s="626"/>
    </row>
    <row r="44" spans="1:15" s="492" customFormat="1" hidden="1" x14ac:dyDescent="0.25">
      <c r="A44" s="626"/>
      <c r="B44" s="626"/>
      <c r="C44" s="626"/>
      <c r="D44" s="626"/>
      <c r="E44" s="626"/>
      <c r="F44" s="626"/>
      <c r="G44" s="626"/>
      <c r="H44" s="626"/>
      <c r="I44" s="626"/>
      <c r="J44" s="626"/>
      <c r="K44" s="626"/>
      <c r="L44" s="626"/>
      <c r="M44" s="626"/>
      <c r="N44" s="626"/>
      <c r="O44" s="626"/>
    </row>
    <row r="45" spans="1:15" s="492" customFormat="1" hidden="1" x14ac:dyDescent="0.25">
      <c r="A45" s="626"/>
      <c r="B45" s="626"/>
      <c r="C45" s="626"/>
      <c r="D45" s="626"/>
      <c r="E45" s="626"/>
      <c r="F45" s="626"/>
      <c r="G45" s="626"/>
      <c r="H45" s="626"/>
      <c r="I45" s="626"/>
      <c r="J45" s="626"/>
      <c r="K45" s="626"/>
      <c r="L45" s="626"/>
      <c r="M45" s="626"/>
      <c r="N45" s="626"/>
      <c r="O45" s="626"/>
    </row>
    <row r="46" spans="1:15" s="492" customFormat="1" hidden="1" x14ac:dyDescent="0.25">
      <c r="A46" s="626"/>
      <c r="B46" s="626"/>
      <c r="C46" s="626"/>
      <c r="D46" s="626"/>
      <c r="E46" s="626"/>
      <c r="F46" s="626"/>
      <c r="G46" s="626"/>
      <c r="H46" s="626"/>
      <c r="I46" s="626"/>
      <c r="J46" s="626"/>
      <c r="K46" s="626"/>
      <c r="L46" s="626"/>
      <c r="M46" s="626"/>
      <c r="N46" s="626"/>
      <c r="O46" s="626"/>
    </row>
    <row r="47" spans="1:15" s="492" customFormat="1" hidden="1" x14ac:dyDescent="0.25">
      <c r="A47" s="626"/>
      <c r="B47" s="626"/>
      <c r="C47" s="626"/>
      <c r="D47" s="626"/>
      <c r="E47" s="626"/>
      <c r="F47" s="626"/>
      <c r="G47" s="626"/>
      <c r="H47" s="626"/>
      <c r="I47" s="626"/>
      <c r="J47" s="626"/>
      <c r="K47" s="626"/>
      <c r="L47" s="626"/>
      <c r="M47" s="626"/>
      <c r="N47" s="626"/>
      <c r="O47" s="626"/>
    </row>
    <row r="48" spans="1:15" s="492" customFormat="1" hidden="1" x14ac:dyDescent="0.25">
      <c r="A48" s="626"/>
      <c r="B48" s="626"/>
      <c r="C48" s="626"/>
      <c r="D48" s="626"/>
      <c r="E48" s="626"/>
      <c r="F48" s="626"/>
      <c r="G48" s="626"/>
      <c r="H48" s="626"/>
      <c r="I48" s="626"/>
      <c r="J48" s="626"/>
      <c r="K48" s="626"/>
      <c r="L48" s="626"/>
      <c r="M48" s="626"/>
      <c r="N48" s="626"/>
      <c r="O48" s="626"/>
    </row>
    <row r="49" spans="1:15" s="492" customFormat="1" hidden="1" x14ac:dyDescent="0.25">
      <c r="A49" s="626"/>
      <c r="B49" s="626"/>
      <c r="C49" s="626"/>
      <c r="D49" s="626"/>
      <c r="E49" s="626"/>
      <c r="F49" s="626"/>
      <c r="G49" s="626"/>
      <c r="H49" s="626"/>
      <c r="I49" s="626"/>
      <c r="J49" s="626"/>
      <c r="K49" s="626"/>
      <c r="L49" s="626"/>
      <c r="M49" s="626"/>
      <c r="N49" s="626"/>
      <c r="O49" s="626"/>
    </row>
    <row r="50" spans="1:15" s="492" customFormat="1" hidden="1" x14ac:dyDescent="0.25">
      <c r="A50" s="626"/>
      <c r="B50" s="626"/>
      <c r="C50" s="626"/>
      <c r="D50" s="626"/>
      <c r="E50" s="626"/>
      <c r="F50" s="626"/>
      <c r="G50" s="626"/>
      <c r="H50" s="626"/>
      <c r="I50" s="626"/>
      <c r="J50" s="626"/>
      <c r="K50" s="626"/>
      <c r="L50" s="626"/>
      <c r="M50" s="626"/>
      <c r="N50" s="626"/>
      <c r="O50" s="626"/>
    </row>
    <row r="51" spans="1:15" s="492" customFormat="1" hidden="1" x14ac:dyDescent="0.25">
      <c r="A51" s="626"/>
      <c r="B51" s="626"/>
      <c r="C51" s="626"/>
      <c r="D51" s="626"/>
      <c r="E51" s="626"/>
      <c r="F51" s="626"/>
      <c r="G51" s="626"/>
      <c r="H51" s="626"/>
      <c r="I51" s="626"/>
      <c r="J51" s="626"/>
      <c r="K51" s="626"/>
      <c r="L51" s="626"/>
      <c r="M51" s="626"/>
      <c r="N51" s="626"/>
      <c r="O51" s="626"/>
    </row>
    <row r="52" spans="1:15" s="492" customFormat="1" hidden="1" x14ac:dyDescent="0.25">
      <c r="A52" s="626"/>
      <c r="B52" s="626"/>
      <c r="C52" s="626"/>
      <c r="D52" s="626"/>
      <c r="E52" s="626"/>
      <c r="F52" s="626"/>
      <c r="G52" s="626"/>
      <c r="H52" s="626"/>
      <c r="I52" s="626"/>
      <c r="J52" s="626"/>
      <c r="K52" s="626"/>
      <c r="L52" s="626"/>
      <c r="M52" s="626"/>
      <c r="N52" s="626"/>
      <c r="O52" s="626"/>
    </row>
    <row r="53" spans="1:15" s="492" customFormat="1" hidden="1" x14ac:dyDescent="0.25">
      <c r="A53" s="626"/>
      <c r="B53" s="626"/>
      <c r="C53" s="626"/>
      <c r="D53" s="626"/>
      <c r="E53" s="626"/>
      <c r="F53" s="626"/>
      <c r="G53" s="626"/>
      <c r="H53" s="626"/>
      <c r="I53" s="626"/>
      <c r="J53" s="626"/>
      <c r="K53" s="626"/>
      <c r="L53" s="626"/>
      <c r="M53" s="626"/>
      <c r="N53" s="626"/>
      <c r="O53" s="626"/>
    </row>
    <row r="54" spans="1:15" s="492" customFormat="1" hidden="1" x14ac:dyDescent="0.25">
      <c r="A54" s="626"/>
      <c r="B54" s="626"/>
      <c r="C54" s="626"/>
      <c r="D54" s="626"/>
      <c r="E54" s="626"/>
      <c r="F54" s="626"/>
      <c r="G54" s="626"/>
      <c r="H54" s="626"/>
      <c r="I54" s="626"/>
      <c r="J54" s="626"/>
      <c r="K54" s="626"/>
      <c r="L54" s="626"/>
      <c r="M54" s="626"/>
      <c r="N54" s="626"/>
      <c r="O54" s="626"/>
    </row>
    <row r="55" spans="1:15" s="492" customFormat="1" hidden="1" x14ac:dyDescent="0.25">
      <c r="A55" s="626"/>
      <c r="B55" s="626"/>
      <c r="C55" s="626"/>
      <c r="D55" s="626"/>
      <c r="E55" s="626"/>
      <c r="F55" s="626"/>
      <c r="G55" s="626"/>
      <c r="H55" s="626"/>
      <c r="I55" s="626"/>
      <c r="J55" s="626"/>
      <c r="K55" s="626"/>
      <c r="L55" s="626"/>
      <c r="M55" s="626"/>
      <c r="N55" s="626"/>
      <c r="O55" s="626"/>
    </row>
    <row r="56" spans="1:15" s="492" customFormat="1" hidden="1" x14ac:dyDescent="0.25">
      <c r="A56" s="626"/>
      <c r="B56" s="626"/>
      <c r="C56" s="626"/>
      <c r="D56" s="626"/>
      <c r="E56" s="626"/>
      <c r="F56" s="626"/>
      <c r="G56" s="626"/>
      <c r="H56" s="626"/>
      <c r="I56" s="626"/>
      <c r="J56" s="626"/>
      <c r="K56" s="626"/>
      <c r="L56" s="626"/>
      <c r="M56" s="626"/>
      <c r="N56" s="626"/>
      <c r="O56" s="626"/>
    </row>
    <row r="57" spans="1:15" s="492" customFormat="1" hidden="1" x14ac:dyDescent="0.25">
      <c r="A57" s="626"/>
      <c r="B57" s="626"/>
      <c r="C57" s="626"/>
      <c r="D57" s="626"/>
      <c r="E57" s="626"/>
      <c r="F57" s="626"/>
      <c r="G57" s="626"/>
      <c r="H57" s="626"/>
      <c r="I57" s="626"/>
      <c r="J57" s="626"/>
      <c r="K57" s="626"/>
      <c r="L57" s="626"/>
      <c r="M57" s="626"/>
      <c r="N57" s="626"/>
      <c r="O57" s="626"/>
    </row>
    <row r="58" spans="1:15" s="492" customFormat="1" hidden="1" x14ac:dyDescent="0.25">
      <c r="A58" s="626"/>
      <c r="B58" s="626"/>
      <c r="C58" s="626"/>
      <c r="D58" s="626"/>
      <c r="E58" s="626"/>
      <c r="F58" s="626"/>
      <c r="G58" s="626"/>
      <c r="H58" s="626"/>
      <c r="I58" s="626"/>
      <c r="J58" s="626"/>
      <c r="K58" s="626"/>
      <c r="L58" s="626"/>
      <c r="M58" s="626"/>
      <c r="N58" s="626"/>
      <c r="O58" s="626"/>
    </row>
    <row r="59" spans="1:15" s="492" customFormat="1" hidden="1" x14ac:dyDescent="0.25">
      <c r="A59" s="626"/>
      <c r="B59" s="626"/>
      <c r="C59" s="626"/>
      <c r="D59" s="626"/>
      <c r="E59" s="626"/>
      <c r="F59" s="626"/>
      <c r="G59" s="626"/>
      <c r="H59" s="626"/>
      <c r="I59" s="626"/>
      <c r="J59" s="626"/>
      <c r="K59" s="626"/>
      <c r="L59" s="626"/>
      <c r="M59" s="626"/>
      <c r="N59" s="626"/>
      <c r="O59" s="626"/>
    </row>
    <row r="60" spans="1:15" s="492" customFormat="1" hidden="1" x14ac:dyDescent="0.25">
      <c r="A60" s="626"/>
      <c r="B60" s="626"/>
      <c r="C60" s="626"/>
      <c r="D60" s="626"/>
      <c r="E60" s="626"/>
      <c r="F60" s="626"/>
      <c r="G60" s="626"/>
      <c r="H60" s="626"/>
      <c r="I60" s="626"/>
      <c r="J60" s="626"/>
      <c r="K60" s="626"/>
      <c r="L60" s="626"/>
      <c r="M60" s="626"/>
      <c r="N60" s="626"/>
      <c r="O60" s="626"/>
    </row>
    <row r="61" spans="1:15" s="492" customFormat="1" hidden="1" x14ac:dyDescent="0.25">
      <c r="A61" s="626"/>
      <c r="B61" s="626"/>
      <c r="C61" s="626"/>
      <c r="D61" s="626"/>
      <c r="E61" s="626"/>
      <c r="F61" s="626"/>
      <c r="G61" s="626"/>
      <c r="H61" s="626"/>
      <c r="I61" s="626"/>
      <c r="J61" s="626"/>
      <c r="K61" s="626"/>
      <c r="L61" s="626"/>
      <c r="M61" s="626"/>
      <c r="N61" s="626"/>
      <c r="O61" s="626"/>
    </row>
    <row r="62" spans="1:15" s="492" customFormat="1" hidden="1" x14ac:dyDescent="0.25">
      <c r="A62" s="626"/>
      <c r="B62" s="626"/>
      <c r="C62" s="626"/>
      <c r="D62" s="626"/>
      <c r="E62" s="626"/>
      <c r="F62" s="626"/>
      <c r="G62" s="626"/>
      <c r="H62" s="626"/>
      <c r="I62" s="626"/>
      <c r="J62" s="626"/>
      <c r="K62" s="626"/>
      <c r="L62" s="626"/>
      <c r="M62" s="626"/>
      <c r="N62" s="626"/>
      <c r="O62" s="626"/>
    </row>
    <row r="63" spans="1:15" s="492" customFormat="1" hidden="1" x14ac:dyDescent="0.25">
      <c r="A63" s="626"/>
      <c r="B63" s="626"/>
      <c r="C63" s="626"/>
      <c r="D63" s="626"/>
      <c r="E63" s="626"/>
      <c r="F63" s="626"/>
      <c r="G63" s="626"/>
      <c r="H63" s="626"/>
      <c r="I63" s="626"/>
      <c r="J63" s="626"/>
      <c r="K63" s="626"/>
      <c r="L63" s="626"/>
      <c r="M63" s="626"/>
      <c r="N63" s="626"/>
      <c r="O63" s="626"/>
    </row>
    <row r="64" spans="1:15" s="492" customFormat="1" hidden="1" x14ac:dyDescent="0.25">
      <c r="A64" s="626"/>
      <c r="B64" s="626"/>
      <c r="C64" s="626"/>
      <c r="D64" s="626"/>
      <c r="E64" s="626"/>
      <c r="F64" s="626"/>
      <c r="G64" s="626"/>
      <c r="H64" s="626"/>
      <c r="I64" s="626"/>
      <c r="J64" s="626"/>
      <c r="K64" s="626"/>
      <c r="L64" s="626"/>
      <c r="M64" s="626"/>
      <c r="N64" s="626"/>
      <c r="O64" s="626"/>
    </row>
    <row r="65" spans="1:15" s="492" customFormat="1" hidden="1" x14ac:dyDescent="0.25">
      <c r="A65" s="626"/>
      <c r="B65" s="626"/>
      <c r="C65" s="626"/>
      <c r="D65" s="626"/>
      <c r="E65" s="626"/>
      <c r="F65" s="626"/>
      <c r="G65" s="626"/>
      <c r="H65" s="626"/>
      <c r="I65" s="626"/>
      <c r="J65" s="626"/>
      <c r="K65" s="626"/>
      <c r="L65" s="626"/>
      <c r="M65" s="626"/>
      <c r="N65" s="626"/>
      <c r="O65" s="626"/>
    </row>
    <row r="66" spans="1:15" s="492" customFormat="1" hidden="1" x14ac:dyDescent="0.25">
      <c r="A66" s="626"/>
      <c r="B66" s="626"/>
      <c r="C66" s="626"/>
      <c r="D66" s="626"/>
      <c r="E66" s="626"/>
      <c r="F66" s="626"/>
      <c r="G66" s="626"/>
      <c r="H66" s="626"/>
      <c r="I66" s="626"/>
      <c r="J66" s="626"/>
      <c r="K66" s="626"/>
      <c r="L66" s="626"/>
      <c r="M66" s="626"/>
      <c r="N66" s="626"/>
      <c r="O66" s="626"/>
    </row>
    <row r="67" spans="1:15" s="492" customFormat="1" hidden="1" x14ac:dyDescent="0.25">
      <c r="A67" s="626"/>
      <c r="B67" s="626"/>
      <c r="C67" s="626"/>
      <c r="D67" s="626"/>
      <c r="E67" s="626"/>
      <c r="F67" s="626"/>
      <c r="G67" s="626"/>
      <c r="H67" s="626"/>
      <c r="I67" s="626"/>
      <c r="J67" s="626"/>
      <c r="K67" s="626"/>
      <c r="L67" s="626"/>
      <c r="M67" s="626"/>
      <c r="N67" s="626"/>
      <c r="O67" s="626"/>
    </row>
    <row r="68" spans="1:15" s="492" customFormat="1" hidden="1" x14ac:dyDescent="0.25">
      <c r="A68" s="626"/>
      <c r="B68" s="626"/>
      <c r="C68" s="626"/>
      <c r="D68" s="626"/>
      <c r="E68" s="626"/>
      <c r="F68" s="626"/>
      <c r="G68" s="626"/>
      <c r="H68" s="626"/>
      <c r="I68" s="626"/>
      <c r="J68" s="626"/>
      <c r="K68" s="626"/>
      <c r="L68" s="626"/>
      <c r="M68" s="626"/>
      <c r="N68" s="626"/>
      <c r="O68" s="626"/>
    </row>
    <row r="69" spans="1:15" s="492" customFormat="1" hidden="1" x14ac:dyDescent="0.25">
      <c r="A69" s="626"/>
      <c r="B69" s="626"/>
      <c r="C69" s="626"/>
      <c r="D69" s="626"/>
      <c r="E69" s="626"/>
      <c r="F69" s="626"/>
      <c r="G69" s="626"/>
      <c r="H69" s="626"/>
      <c r="I69" s="626"/>
      <c r="J69" s="626"/>
      <c r="K69" s="626"/>
      <c r="L69" s="626"/>
      <c r="M69" s="626"/>
      <c r="N69" s="626"/>
      <c r="O69" s="626"/>
    </row>
    <row r="70" spans="1:15" s="492" customFormat="1" hidden="1" x14ac:dyDescent="0.25">
      <c r="A70" s="626"/>
      <c r="B70" s="626"/>
      <c r="C70" s="626"/>
      <c r="D70" s="626"/>
      <c r="E70" s="626"/>
      <c r="F70" s="626"/>
      <c r="G70" s="626"/>
      <c r="H70" s="626"/>
      <c r="I70" s="626"/>
      <c r="J70" s="626"/>
      <c r="K70" s="626"/>
      <c r="L70" s="626"/>
      <c r="M70" s="626"/>
      <c r="N70" s="626"/>
      <c r="O70" s="626"/>
    </row>
    <row r="71" spans="1:15" s="492" customFormat="1" hidden="1" x14ac:dyDescent="0.25">
      <c r="A71" s="626"/>
      <c r="B71" s="626"/>
      <c r="C71" s="626"/>
      <c r="D71" s="626"/>
      <c r="E71" s="626"/>
      <c r="F71" s="626"/>
      <c r="G71" s="626"/>
      <c r="H71" s="626"/>
      <c r="I71" s="626"/>
      <c r="J71" s="626"/>
      <c r="K71" s="626"/>
      <c r="L71" s="626"/>
      <c r="M71" s="626"/>
      <c r="N71" s="626"/>
      <c r="O71" s="626"/>
    </row>
    <row r="72" spans="1:15" s="492" customFormat="1" hidden="1" x14ac:dyDescent="0.25">
      <c r="A72" s="626"/>
      <c r="B72" s="626"/>
      <c r="C72" s="626"/>
      <c r="D72" s="626"/>
      <c r="E72" s="626"/>
      <c r="F72" s="626"/>
      <c r="G72" s="626"/>
      <c r="H72" s="626"/>
      <c r="I72" s="626"/>
      <c r="J72" s="626"/>
      <c r="K72" s="626"/>
      <c r="L72" s="626"/>
      <c r="M72" s="626"/>
      <c r="N72" s="626"/>
      <c r="O72" s="626"/>
    </row>
    <row r="73" spans="1:15" s="492" customFormat="1" hidden="1" x14ac:dyDescent="0.25">
      <c r="A73" s="626"/>
      <c r="B73" s="626"/>
      <c r="C73" s="626"/>
      <c r="D73" s="626"/>
      <c r="E73" s="626"/>
      <c r="F73" s="626"/>
      <c r="G73" s="626"/>
      <c r="H73" s="626"/>
      <c r="I73" s="626"/>
      <c r="J73" s="626"/>
      <c r="K73" s="626"/>
      <c r="L73" s="626"/>
      <c r="M73" s="626"/>
      <c r="N73" s="626"/>
      <c r="O73" s="626"/>
    </row>
    <row r="74" spans="1:15" s="492" customFormat="1" hidden="1" x14ac:dyDescent="0.25">
      <c r="A74" s="626"/>
      <c r="B74" s="626"/>
      <c r="C74" s="626"/>
      <c r="D74" s="626"/>
      <c r="E74" s="626"/>
      <c r="F74" s="626"/>
      <c r="G74" s="626"/>
      <c r="H74" s="626"/>
      <c r="I74" s="626"/>
      <c r="J74" s="626"/>
      <c r="K74" s="626"/>
      <c r="L74" s="626"/>
      <c r="M74" s="626"/>
      <c r="N74" s="626"/>
      <c r="O74" s="626"/>
    </row>
    <row r="75" spans="1:15" s="492" customFormat="1" hidden="1" x14ac:dyDescent="0.25">
      <c r="A75" s="626"/>
      <c r="B75" s="626"/>
      <c r="C75" s="626"/>
      <c r="D75" s="626"/>
      <c r="E75" s="626"/>
      <c r="F75" s="626"/>
      <c r="G75" s="626"/>
      <c r="H75" s="626"/>
      <c r="I75" s="626"/>
      <c r="J75" s="626"/>
      <c r="K75" s="626"/>
      <c r="L75" s="626"/>
      <c r="M75" s="626"/>
      <c r="N75" s="626"/>
      <c r="O75" s="626"/>
    </row>
    <row r="76" spans="1:15" s="492" customFormat="1" hidden="1" x14ac:dyDescent="0.25">
      <c r="A76" s="626"/>
      <c r="B76" s="626"/>
      <c r="C76" s="626"/>
      <c r="D76" s="626"/>
      <c r="E76" s="626"/>
      <c r="F76" s="626"/>
      <c r="G76" s="626"/>
      <c r="H76" s="626"/>
      <c r="I76" s="626"/>
      <c r="J76" s="626"/>
      <c r="K76" s="626"/>
      <c r="L76" s="626"/>
      <c r="M76" s="626"/>
      <c r="N76" s="626"/>
      <c r="O76" s="626"/>
    </row>
    <row r="77" spans="1:15" s="492" customFormat="1" hidden="1" x14ac:dyDescent="0.25">
      <c r="A77" s="626"/>
      <c r="B77" s="626"/>
      <c r="C77" s="626"/>
      <c r="D77" s="626"/>
      <c r="E77" s="626"/>
      <c r="F77" s="626"/>
      <c r="G77" s="626"/>
      <c r="H77" s="626"/>
      <c r="I77" s="626"/>
      <c r="J77" s="626"/>
      <c r="K77" s="626"/>
      <c r="L77" s="626"/>
      <c r="M77" s="626"/>
      <c r="N77" s="626"/>
      <c r="O77" s="626"/>
    </row>
    <row r="78" spans="1:15" s="492" customFormat="1" hidden="1" x14ac:dyDescent="0.25">
      <c r="A78" s="626"/>
      <c r="B78" s="626"/>
      <c r="C78" s="626"/>
      <c r="D78" s="626"/>
      <c r="E78" s="626"/>
      <c r="F78" s="626"/>
      <c r="G78" s="626"/>
      <c r="H78" s="626"/>
      <c r="I78" s="626"/>
      <c r="J78" s="626"/>
      <c r="K78" s="626"/>
      <c r="L78" s="626"/>
      <c r="M78" s="626"/>
      <c r="N78" s="626"/>
      <c r="O78" s="626"/>
    </row>
    <row r="79" spans="1:15" s="492" customFormat="1" hidden="1" x14ac:dyDescent="0.25">
      <c r="A79" s="626"/>
      <c r="B79" s="626"/>
      <c r="C79" s="626"/>
      <c r="D79" s="626"/>
      <c r="E79" s="626"/>
      <c r="F79" s="626"/>
      <c r="G79" s="626"/>
      <c r="H79" s="626"/>
      <c r="I79" s="626"/>
      <c r="J79" s="626"/>
      <c r="K79" s="626"/>
      <c r="L79" s="626"/>
      <c r="M79" s="626"/>
      <c r="N79" s="626"/>
      <c r="O79" s="626"/>
    </row>
    <row r="80" spans="1:15" s="492" customFormat="1" hidden="1" x14ac:dyDescent="0.25">
      <c r="A80" s="626"/>
      <c r="B80" s="626"/>
      <c r="C80" s="626"/>
      <c r="D80" s="626"/>
      <c r="E80" s="626"/>
      <c r="F80" s="626"/>
      <c r="G80" s="626"/>
      <c r="H80" s="626"/>
      <c r="I80" s="626"/>
      <c r="J80" s="626"/>
      <c r="K80" s="626"/>
      <c r="L80" s="626"/>
      <c r="M80" s="626"/>
      <c r="N80" s="626"/>
      <c r="O80" s="626"/>
    </row>
    <row r="81" spans="1:15" s="492" customFormat="1" hidden="1" x14ac:dyDescent="0.25">
      <c r="A81" s="626"/>
      <c r="B81" s="626"/>
      <c r="C81" s="626"/>
      <c r="D81" s="626"/>
      <c r="E81" s="626"/>
      <c r="F81" s="626"/>
      <c r="G81" s="626"/>
      <c r="H81" s="626"/>
      <c r="I81" s="626"/>
      <c r="J81" s="626"/>
      <c r="K81" s="626"/>
      <c r="L81" s="626"/>
      <c r="M81" s="626"/>
      <c r="N81" s="626"/>
      <c r="O81" s="626"/>
    </row>
    <row r="82" spans="1:15" s="492" customFormat="1" hidden="1" x14ac:dyDescent="0.25">
      <c r="A82" s="626"/>
      <c r="B82" s="626"/>
      <c r="C82" s="626"/>
      <c r="D82" s="626"/>
      <c r="E82" s="626"/>
      <c r="F82" s="626"/>
      <c r="G82" s="626"/>
      <c r="H82" s="626"/>
      <c r="I82" s="626"/>
      <c r="J82" s="626"/>
      <c r="K82" s="626"/>
      <c r="L82" s="626"/>
      <c r="M82" s="626"/>
      <c r="N82" s="626"/>
      <c r="O82" s="626"/>
    </row>
    <row r="83" spans="1:15" s="492" customFormat="1" hidden="1" x14ac:dyDescent="0.25">
      <c r="A83" s="626"/>
      <c r="B83" s="626"/>
      <c r="C83" s="626"/>
      <c r="D83" s="626"/>
      <c r="E83" s="626"/>
      <c r="F83" s="626"/>
      <c r="G83" s="626"/>
      <c r="H83" s="626"/>
      <c r="I83" s="626"/>
      <c r="J83" s="626"/>
      <c r="K83" s="626"/>
      <c r="L83" s="626"/>
      <c r="M83" s="626"/>
      <c r="N83" s="626"/>
      <c r="O83" s="626"/>
    </row>
    <row r="84" spans="1:15" s="492" customFormat="1" hidden="1" x14ac:dyDescent="0.25">
      <c r="A84" s="626"/>
      <c r="B84" s="626"/>
      <c r="C84" s="626"/>
      <c r="D84" s="626"/>
      <c r="E84" s="626"/>
      <c r="F84" s="626"/>
      <c r="G84" s="626"/>
      <c r="H84" s="626"/>
      <c r="I84" s="626"/>
      <c r="J84" s="626"/>
      <c r="K84" s="626"/>
      <c r="L84" s="626"/>
      <c r="M84" s="626"/>
      <c r="N84" s="626"/>
      <c r="O84" s="626"/>
    </row>
    <row r="85" spans="1:15" s="492" customFormat="1" hidden="1" x14ac:dyDescent="0.25">
      <c r="A85" s="626"/>
      <c r="B85" s="626"/>
      <c r="C85" s="626"/>
      <c r="D85" s="626"/>
      <c r="E85" s="626"/>
      <c r="F85" s="626"/>
      <c r="G85" s="626"/>
      <c r="H85" s="626"/>
      <c r="I85" s="626"/>
      <c r="J85" s="626"/>
      <c r="K85" s="626"/>
      <c r="L85" s="626"/>
      <c r="M85" s="626"/>
      <c r="N85" s="626"/>
      <c r="O85" s="626"/>
    </row>
    <row r="86" spans="1:15" s="492" customFormat="1" hidden="1" x14ac:dyDescent="0.25">
      <c r="A86" s="626"/>
      <c r="B86" s="626"/>
      <c r="C86" s="626"/>
      <c r="D86" s="626"/>
      <c r="E86" s="626"/>
      <c r="F86" s="626"/>
      <c r="G86" s="626"/>
      <c r="H86" s="626"/>
      <c r="I86" s="626"/>
      <c r="J86" s="626"/>
      <c r="K86" s="626"/>
      <c r="L86" s="626"/>
      <c r="M86" s="626"/>
      <c r="N86" s="626"/>
      <c r="O86" s="626"/>
    </row>
    <row r="87" spans="1:15" s="492" customFormat="1" hidden="1" x14ac:dyDescent="0.25">
      <c r="A87" s="626"/>
      <c r="B87" s="626"/>
      <c r="C87" s="626"/>
      <c r="D87" s="626"/>
      <c r="E87" s="626"/>
      <c r="F87" s="626"/>
      <c r="G87" s="626"/>
      <c r="H87" s="626"/>
      <c r="I87" s="626"/>
      <c r="J87" s="626"/>
      <c r="K87" s="626"/>
      <c r="L87" s="626"/>
      <c r="M87" s="626"/>
      <c r="N87" s="626"/>
      <c r="O87" s="626"/>
    </row>
    <row r="88" spans="1:15" s="492" customFormat="1" hidden="1" x14ac:dyDescent="0.25">
      <c r="A88" s="626"/>
      <c r="B88" s="626"/>
      <c r="C88" s="626"/>
      <c r="D88" s="626"/>
      <c r="E88" s="626"/>
      <c r="F88" s="626"/>
      <c r="G88" s="626"/>
      <c r="H88" s="626"/>
      <c r="I88" s="626"/>
      <c r="J88" s="626"/>
      <c r="K88" s="626"/>
      <c r="L88" s="626"/>
      <c r="M88" s="626"/>
      <c r="N88" s="626"/>
      <c r="O88" s="626"/>
    </row>
    <row r="89" spans="1:15" s="492" customFormat="1" hidden="1" x14ac:dyDescent="0.25">
      <c r="A89" s="626"/>
      <c r="B89" s="626"/>
      <c r="C89" s="626"/>
      <c r="D89" s="626"/>
      <c r="E89" s="626"/>
      <c r="F89" s="626"/>
      <c r="G89" s="626"/>
      <c r="H89" s="626"/>
      <c r="I89" s="626"/>
      <c r="J89" s="626"/>
      <c r="K89" s="626"/>
      <c r="L89" s="626"/>
      <c r="M89" s="626"/>
      <c r="N89" s="626"/>
      <c r="O89" s="626"/>
    </row>
    <row r="90" spans="1:15" s="492" customFormat="1" hidden="1" x14ac:dyDescent="0.25">
      <c r="A90" s="626"/>
      <c r="B90" s="626"/>
      <c r="C90" s="626"/>
      <c r="D90" s="626"/>
      <c r="E90" s="626"/>
      <c r="F90" s="626"/>
      <c r="G90" s="626"/>
      <c r="H90" s="626"/>
      <c r="I90" s="626"/>
      <c r="J90" s="626"/>
      <c r="K90" s="626"/>
      <c r="L90" s="626"/>
      <c r="M90" s="626"/>
      <c r="N90" s="626"/>
      <c r="O90" s="626"/>
    </row>
    <row r="91" spans="1:15" s="492" customFormat="1" hidden="1" x14ac:dyDescent="0.25">
      <c r="A91" s="626"/>
      <c r="B91" s="626"/>
      <c r="C91" s="626"/>
      <c r="D91" s="626"/>
      <c r="E91" s="626"/>
      <c r="F91" s="626"/>
      <c r="G91" s="626"/>
      <c r="H91" s="626"/>
      <c r="I91" s="626"/>
      <c r="J91" s="626"/>
      <c r="K91" s="626"/>
      <c r="L91" s="626"/>
      <c r="M91" s="626"/>
      <c r="N91" s="626"/>
      <c r="O91" s="626"/>
    </row>
    <row r="92" spans="1:15" s="492" customFormat="1" hidden="1" x14ac:dyDescent="0.25">
      <c r="A92" s="626"/>
      <c r="B92" s="626"/>
      <c r="C92" s="626"/>
      <c r="D92" s="626"/>
      <c r="E92" s="626"/>
      <c r="F92" s="626"/>
      <c r="G92" s="626"/>
      <c r="H92" s="626"/>
      <c r="I92" s="626"/>
      <c r="J92" s="626"/>
      <c r="K92" s="626"/>
      <c r="L92" s="626"/>
      <c r="M92" s="626"/>
      <c r="N92" s="626"/>
      <c r="O92" s="626"/>
    </row>
    <row r="93" spans="1:15" s="492" customFormat="1" hidden="1" x14ac:dyDescent="0.25">
      <c r="A93" s="626"/>
      <c r="B93" s="626"/>
      <c r="C93" s="626"/>
      <c r="D93" s="626"/>
      <c r="E93" s="626"/>
      <c r="F93" s="626"/>
      <c r="G93" s="626"/>
      <c r="H93" s="626"/>
      <c r="I93" s="626"/>
      <c r="J93" s="626"/>
      <c r="K93" s="626"/>
      <c r="L93" s="626"/>
      <c r="M93" s="626"/>
      <c r="N93" s="626"/>
      <c r="O93" s="626"/>
    </row>
    <row r="94" spans="1:15" s="492" customFormat="1" hidden="1" x14ac:dyDescent="0.25">
      <c r="A94" s="626"/>
      <c r="B94" s="626"/>
      <c r="C94" s="626"/>
      <c r="D94" s="626"/>
      <c r="E94" s="626"/>
      <c r="F94" s="626"/>
      <c r="G94" s="626"/>
      <c r="H94" s="626"/>
      <c r="I94" s="626"/>
      <c r="J94" s="626"/>
      <c r="K94" s="626"/>
      <c r="L94" s="626"/>
      <c r="M94" s="626"/>
      <c r="N94" s="626"/>
      <c r="O94" s="626"/>
    </row>
    <row r="95" spans="1:15" s="492" customFormat="1" hidden="1" x14ac:dyDescent="0.25">
      <c r="A95" s="626"/>
      <c r="B95" s="626"/>
      <c r="C95" s="626"/>
      <c r="D95" s="626"/>
      <c r="E95" s="626"/>
      <c r="F95" s="626"/>
      <c r="G95" s="626"/>
      <c r="H95" s="626"/>
      <c r="I95" s="626"/>
      <c r="J95" s="626"/>
      <c r="K95" s="626"/>
      <c r="L95" s="626"/>
      <c r="M95" s="626"/>
      <c r="N95" s="626"/>
      <c r="O95" s="626"/>
    </row>
    <row r="96" spans="1:15" s="492" customFormat="1" hidden="1" x14ac:dyDescent="0.25">
      <c r="A96" s="626"/>
      <c r="B96" s="626"/>
      <c r="C96" s="626"/>
      <c r="D96" s="626"/>
      <c r="E96" s="626"/>
      <c r="F96" s="626"/>
      <c r="G96" s="626"/>
      <c r="H96" s="626"/>
      <c r="I96" s="626"/>
      <c r="J96" s="626"/>
      <c r="K96" s="626"/>
      <c r="L96" s="626"/>
      <c r="M96" s="626"/>
      <c r="N96" s="626"/>
      <c r="O96" s="626"/>
    </row>
    <row r="97" spans="1:15" s="492" customFormat="1" hidden="1" x14ac:dyDescent="0.25">
      <c r="A97" s="626"/>
      <c r="B97" s="626"/>
      <c r="C97" s="626"/>
      <c r="D97" s="626"/>
      <c r="E97" s="626"/>
      <c r="F97" s="626"/>
      <c r="G97" s="626"/>
      <c r="H97" s="626"/>
      <c r="I97" s="626"/>
      <c r="J97" s="626"/>
      <c r="K97" s="626"/>
      <c r="L97" s="626"/>
      <c r="M97" s="626"/>
      <c r="N97" s="626"/>
      <c r="O97" s="626"/>
    </row>
    <row r="98" spans="1:15" s="492" customFormat="1" hidden="1" x14ac:dyDescent="0.25">
      <c r="A98" s="626"/>
      <c r="B98" s="626"/>
      <c r="C98" s="626"/>
      <c r="D98" s="626"/>
      <c r="E98" s="626"/>
      <c r="F98" s="626"/>
      <c r="G98" s="626"/>
      <c r="H98" s="626"/>
      <c r="I98" s="626"/>
      <c r="J98" s="626"/>
      <c r="K98" s="626"/>
      <c r="L98" s="626"/>
      <c r="M98" s="626"/>
      <c r="N98" s="626"/>
      <c r="O98" s="626"/>
    </row>
    <row r="99" spans="1:15" s="492" customFormat="1" hidden="1" x14ac:dyDescent="0.25">
      <c r="A99" s="626"/>
      <c r="B99" s="626"/>
      <c r="C99" s="626"/>
      <c r="D99" s="626"/>
      <c r="E99" s="626"/>
      <c r="F99" s="626"/>
      <c r="G99" s="626"/>
      <c r="H99" s="626"/>
      <c r="I99" s="626"/>
      <c r="J99" s="626"/>
      <c r="K99" s="626"/>
      <c r="L99" s="626"/>
      <c r="M99" s="626"/>
      <c r="N99" s="626"/>
      <c r="O99" s="626"/>
    </row>
    <row r="100" spans="1:15" s="492" customFormat="1" hidden="1" x14ac:dyDescent="0.25">
      <c r="A100" s="626"/>
      <c r="B100" s="626"/>
      <c r="C100" s="626"/>
      <c r="D100" s="626"/>
      <c r="E100" s="626"/>
      <c r="F100" s="626"/>
      <c r="G100" s="626"/>
      <c r="H100" s="626"/>
      <c r="I100" s="626"/>
      <c r="J100" s="626"/>
      <c r="K100" s="626"/>
      <c r="L100" s="626"/>
      <c r="M100" s="626"/>
      <c r="N100" s="626"/>
      <c r="O100" s="626"/>
    </row>
    <row r="101" spans="1:15" s="492" customFormat="1" hidden="1" x14ac:dyDescent="0.25">
      <c r="A101" s="626"/>
      <c r="B101" s="626"/>
      <c r="C101" s="626"/>
      <c r="D101" s="626"/>
      <c r="E101" s="626"/>
      <c r="F101" s="626"/>
      <c r="G101" s="626"/>
      <c r="H101" s="626"/>
      <c r="I101" s="626"/>
      <c r="J101" s="626"/>
      <c r="K101" s="626"/>
      <c r="L101" s="626"/>
      <c r="M101" s="626"/>
      <c r="N101" s="626"/>
      <c r="O101" s="626"/>
    </row>
    <row r="102" spans="1:15" s="492" customFormat="1" hidden="1" x14ac:dyDescent="0.25">
      <c r="A102" s="626"/>
      <c r="B102" s="626"/>
      <c r="C102" s="626"/>
      <c r="D102" s="626"/>
      <c r="E102" s="626"/>
      <c r="F102" s="626"/>
      <c r="G102" s="626"/>
      <c r="H102" s="626"/>
      <c r="I102" s="626"/>
      <c r="J102" s="626"/>
      <c r="K102" s="626"/>
      <c r="L102" s="626"/>
      <c r="M102" s="626"/>
      <c r="N102" s="626"/>
      <c r="O102" s="626"/>
    </row>
    <row r="103" spans="1:15" s="492" customFormat="1" hidden="1" x14ac:dyDescent="0.25">
      <c r="A103" s="626"/>
      <c r="B103" s="626"/>
      <c r="C103" s="626"/>
      <c r="D103" s="626"/>
      <c r="E103" s="626"/>
      <c r="F103" s="626"/>
      <c r="G103" s="626"/>
      <c r="H103" s="626"/>
      <c r="I103" s="626"/>
      <c r="J103" s="626"/>
      <c r="K103" s="626"/>
      <c r="L103" s="626"/>
      <c r="M103" s="626"/>
      <c r="N103" s="626"/>
      <c r="O103" s="626"/>
    </row>
    <row r="104" spans="1:15" s="492" customFormat="1" hidden="1" x14ac:dyDescent="0.25">
      <c r="A104" s="626"/>
      <c r="B104" s="626"/>
      <c r="C104" s="626"/>
      <c r="D104" s="626"/>
      <c r="E104" s="626"/>
      <c r="F104" s="626"/>
      <c r="G104" s="626"/>
      <c r="H104" s="626"/>
      <c r="I104" s="626"/>
      <c r="J104" s="626"/>
      <c r="K104" s="626"/>
      <c r="L104" s="626"/>
      <c r="M104" s="626"/>
      <c r="N104" s="626"/>
      <c r="O104" s="626"/>
    </row>
    <row r="105" spans="1:15" s="492" customFormat="1" hidden="1" x14ac:dyDescent="0.25">
      <c r="A105" s="626"/>
      <c r="B105" s="626"/>
      <c r="C105" s="626"/>
      <c r="D105" s="626"/>
      <c r="E105" s="626"/>
      <c r="F105" s="626"/>
      <c r="G105" s="626"/>
      <c r="H105" s="626"/>
      <c r="I105" s="626"/>
      <c r="J105" s="626"/>
      <c r="K105" s="626"/>
      <c r="L105" s="626"/>
      <c r="M105" s="626"/>
      <c r="N105" s="626"/>
      <c r="O105" s="626"/>
    </row>
    <row r="106" spans="1:15" s="492" customFormat="1" hidden="1" x14ac:dyDescent="0.25">
      <c r="A106" s="626"/>
      <c r="B106" s="626"/>
      <c r="C106" s="626"/>
      <c r="D106" s="626"/>
      <c r="E106" s="626"/>
      <c r="F106" s="626"/>
      <c r="G106" s="626"/>
      <c r="H106" s="626"/>
      <c r="I106" s="626"/>
      <c r="J106" s="626"/>
      <c r="K106" s="626"/>
      <c r="L106" s="626"/>
      <c r="M106" s="626"/>
      <c r="N106" s="626"/>
      <c r="O106" s="626"/>
    </row>
    <row r="107" spans="1:15" s="492" customFormat="1" hidden="1" x14ac:dyDescent="0.25">
      <c r="A107" s="626"/>
      <c r="B107" s="626"/>
      <c r="C107" s="626"/>
      <c r="D107" s="626"/>
      <c r="E107" s="626"/>
      <c r="F107" s="626"/>
      <c r="G107" s="626"/>
      <c r="H107" s="626"/>
      <c r="I107" s="626"/>
      <c r="J107" s="626"/>
      <c r="K107" s="626"/>
      <c r="L107" s="626"/>
      <c r="M107" s="626"/>
      <c r="N107" s="626"/>
      <c r="O107" s="626"/>
    </row>
    <row r="108" spans="1:15" s="492" customFormat="1" hidden="1" x14ac:dyDescent="0.25">
      <c r="A108" s="626"/>
      <c r="B108" s="626"/>
      <c r="C108" s="626"/>
      <c r="D108" s="626"/>
      <c r="E108" s="626"/>
      <c r="F108" s="626"/>
      <c r="G108" s="626"/>
      <c r="H108" s="626"/>
      <c r="I108" s="626"/>
      <c r="J108" s="626"/>
      <c r="K108" s="626"/>
      <c r="L108" s="626"/>
      <c r="M108" s="626"/>
      <c r="N108" s="626"/>
      <c r="O108" s="626"/>
    </row>
    <row r="109" spans="1:15" s="492" customFormat="1" hidden="1" x14ac:dyDescent="0.25">
      <c r="A109" s="626"/>
      <c r="B109" s="626"/>
      <c r="C109" s="626"/>
      <c r="D109" s="626"/>
      <c r="E109" s="626"/>
      <c r="F109" s="626"/>
      <c r="G109" s="626"/>
      <c r="H109" s="626"/>
      <c r="I109" s="626"/>
      <c r="J109" s="626"/>
      <c r="K109" s="626"/>
      <c r="L109" s="626"/>
      <c r="M109" s="626"/>
      <c r="N109" s="626"/>
      <c r="O109" s="626"/>
    </row>
    <row r="110" spans="1:15" s="492" customFormat="1" hidden="1" x14ac:dyDescent="0.25">
      <c r="A110" s="626"/>
      <c r="B110" s="626"/>
      <c r="C110" s="626"/>
      <c r="D110" s="626"/>
      <c r="E110" s="626"/>
      <c r="F110" s="626"/>
      <c r="G110" s="626"/>
      <c r="H110" s="626"/>
      <c r="I110" s="626"/>
      <c r="J110" s="626"/>
      <c r="K110" s="626"/>
      <c r="L110" s="626"/>
      <c r="M110" s="626"/>
      <c r="N110" s="626"/>
      <c r="O110" s="626"/>
    </row>
    <row r="111" spans="1:15" s="492" customFormat="1" hidden="1" x14ac:dyDescent="0.25">
      <c r="A111" s="626"/>
      <c r="B111" s="626"/>
      <c r="C111" s="626"/>
      <c r="D111" s="626"/>
      <c r="E111" s="626"/>
      <c r="F111" s="626"/>
      <c r="G111" s="626"/>
      <c r="H111" s="626"/>
      <c r="I111" s="626"/>
      <c r="J111" s="626"/>
      <c r="K111" s="626"/>
      <c r="L111" s="626"/>
      <c r="M111" s="626"/>
      <c r="N111" s="626"/>
      <c r="O111" s="626"/>
    </row>
    <row r="112" spans="1:15" s="492" customFormat="1" hidden="1" x14ac:dyDescent="0.25">
      <c r="A112" s="626"/>
      <c r="B112" s="626"/>
      <c r="C112" s="626"/>
      <c r="D112" s="626"/>
      <c r="E112" s="626"/>
      <c r="F112" s="626"/>
      <c r="G112" s="626"/>
      <c r="H112" s="626"/>
      <c r="I112" s="626"/>
      <c r="J112" s="626"/>
      <c r="K112" s="626"/>
      <c r="L112" s="626"/>
      <c r="M112" s="626"/>
      <c r="N112" s="626"/>
      <c r="O112" s="626"/>
    </row>
    <row r="113" spans="1:15" s="492" customFormat="1" hidden="1" x14ac:dyDescent="0.25">
      <c r="A113" s="626"/>
      <c r="B113" s="626"/>
      <c r="C113" s="626"/>
      <c r="D113" s="626"/>
      <c r="E113" s="626"/>
      <c r="F113" s="626"/>
      <c r="G113" s="626"/>
      <c r="H113" s="626"/>
      <c r="I113" s="626"/>
      <c r="J113" s="626"/>
      <c r="K113" s="626"/>
      <c r="L113" s="626"/>
      <c r="M113" s="626"/>
      <c r="N113" s="626"/>
      <c r="O113" s="626"/>
    </row>
    <row r="114" spans="1:15" s="492" customFormat="1" hidden="1" x14ac:dyDescent="0.25">
      <c r="A114" s="626"/>
      <c r="B114" s="626"/>
      <c r="C114" s="626"/>
      <c r="D114" s="626"/>
      <c r="E114" s="626"/>
      <c r="F114" s="626"/>
      <c r="G114" s="626"/>
      <c r="H114" s="626"/>
      <c r="I114" s="626"/>
      <c r="J114" s="626"/>
      <c r="K114" s="626"/>
      <c r="L114" s="626"/>
      <c r="M114" s="626"/>
      <c r="N114" s="626"/>
      <c r="O114" s="626"/>
    </row>
    <row r="115" spans="1:15" s="492" customFormat="1" hidden="1" x14ac:dyDescent="0.25">
      <c r="A115" s="626"/>
      <c r="B115" s="626"/>
      <c r="C115" s="626"/>
      <c r="D115" s="626"/>
      <c r="E115" s="626"/>
      <c r="F115" s="626"/>
      <c r="G115" s="626"/>
      <c r="H115" s="626"/>
      <c r="I115" s="626"/>
      <c r="J115" s="626"/>
      <c r="K115" s="626"/>
      <c r="L115" s="626"/>
      <c r="M115" s="626"/>
      <c r="N115" s="626"/>
      <c r="O115" s="626"/>
    </row>
    <row r="116" spans="1:15" s="492" customFormat="1" hidden="1" x14ac:dyDescent="0.25">
      <c r="A116" s="626"/>
      <c r="B116" s="626"/>
      <c r="C116" s="626"/>
      <c r="D116" s="626"/>
      <c r="E116" s="626"/>
      <c r="F116" s="626"/>
      <c r="G116" s="626"/>
      <c r="H116" s="626"/>
      <c r="I116" s="626"/>
      <c r="J116" s="626"/>
      <c r="K116" s="626"/>
      <c r="L116" s="626"/>
      <c r="M116" s="626"/>
      <c r="N116" s="626"/>
      <c r="O116" s="626"/>
    </row>
    <row r="117" spans="1:15" s="492" customFormat="1" hidden="1" x14ac:dyDescent="0.25">
      <c r="A117" s="626"/>
      <c r="B117" s="626"/>
      <c r="C117" s="626"/>
      <c r="D117" s="626"/>
      <c r="E117" s="626"/>
      <c r="F117" s="626"/>
      <c r="G117" s="626"/>
      <c r="H117" s="626"/>
      <c r="I117" s="626"/>
      <c r="J117" s="626"/>
      <c r="K117" s="626"/>
      <c r="L117" s="626"/>
      <c r="M117" s="626"/>
      <c r="N117" s="626"/>
      <c r="O117" s="626"/>
    </row>
    <row r="118" spans="1:15" s="492" customFormat="1" hidden="1" x14ac:dyDescent="0.25">
      <c r="A118" s="626"/>
      <c r="B118" s="626"/>
      <c r="C118" s="626"/>
      <c r="D118" s="626"/>
      <c r="E118" s="626"/>
      <c r="F118" s="626"/>
      <c r="G118" s="626"/>
      <c r="H118" s="626"/>
      <c r="I118" s="626"/>
      <c r="J118" s="626"/>
      <c r="K118" s="626"/>
      <c r="L118" s="626"/>
      <c r="M118" s="626"/>
      <c r="N118" s="626"/>
      <c r="O118" s="626"/>
    </row>
    <row r="119" spans="1:15" s="492" customFormat="1" hidden="1" x14ac:dyDescent="0.25">
      <c r="A119" s="626"/>
      <c r="B119" s="626"/>
      <c r="C119" s="626"/>
      <c r="D119" s="626"/>
      <c r="E119" s="626"/>
      <c r="F119" s="626"/>
      <c r="G119" s="626"/>
      <c r="H119" s="626"/>
      <c r="I119" s="626"/>
      <c r="J119" s="626"/>
      <c r="K119" s="626"/>
      <c r="L119" s="626"/>
      <c r="M119" s="626"/>
      <c r="N119" s="626"/>
      <c r="O119" s="626"/>
    </row>
    <row r="120" spans="1:15" s="492" customFormat="1" hidden="1" x14ac:dyDescent="0.25">
      <c r="A120" s="626"/>
      <c r="B120" s="626"/>
      <c r="C120" s="626"/>
      <c r="D120" s="626"/>
      <c r="E120" s="626"/>
      <c r="F120" s="626"/>
      <c r="G120" s="626"/>
      <c r="H120" s="626"/>
      <c r="I120" s="626"/>
      <c r="J120" s="626"/>
      <c r="K120" s="626"/>
      <c r="L120" s="626"/>
      <c r="M120" s="626"/>
      <c r="N120" s="626"/>
      <c r="O120" s="626"/>
    </row>
    <row r="121" spans="1:15" s="492" customFormat="1" hidden="1" x14ac:dyDescent="0.25">
      <c r="A121" s="626"/>
      <c r="B121" s="626"/>
      <c r="C121" s="626"/>
      <c r="D121" s="626"/>
      <c r="E121" s="626"/>
      <c r="F121" s="626"/>
      <c r="G121" s="626"/>
      <c r="H121" s="626"/>
      <c r="I121" s="626"/>
      <c r="J121" s="626"/>
      <c r="K121" s="626"/>
      <c r="L121" s="626"/>
      <c r="M121" s="626"/>
      <c r="N121" s="626"/>
      <c r="O121" s="626"/>
    </row>
    <row r="122" spans="1:15" s="492" customFormat="1" hidden="1" x14ac:dyDescent="0.25">
      <c r="A122" s="626"/>
      <c r="B122" s="626"/>
      <c r="C122" s="626"/>
      <c r="D122" s="626"/>
      <c r="E122" s="626"/>
      <c r="F122" s="626"/>
      <c r="G122" s="626"/>
      <c r="H122" s="626"/>
      <c r="I122" s="626"/>
      <c r="J122" s="626"/>
      <c r="K122" s="626"/>
      <c r="L122" s="626"/>
      <c r="M122" s="626"/>
      <c r="N122" s="626"/>
      <c r="O122" s="626"/>
    </row>
    <row r="123" spans="1:15" s="492" customFormat="1" hidden="1" x14ac:dyDescent="0.25">
      <c r="A123" s="626"/>
      <c r="B123" s="626"/>
      <c r="C123" s="626"/>
      <c r="D123" s="626"/>
      <c r="E123" s="626"/>
      <c r="F123" s="626"/>
      <c r="G123" s="626"/>
      <c r="H123" s="626"/>
      <c r="I123" s="626"/>
      <c r="J123" s="626"/>
      <c r="K123" s="626"/>
      <c r="L123" s="626"/>
      <c r="M123" s="626"/>
      <c r="N123" s="626"/>
      <c r="O123" s="626"/>
    </row>
    <row r="124" spans="1:15" s="492" customFormat="1" hidden="1" x14ac:dyDescent="0.25">
      <c r="A124" s="626"/>
      <c r="B124" s="626"/>
      <c r="C124" s="626"/>
      <c r="D124" s="626"/>
      <c r="E124" s="626"/>
      <c r="F124" s="626"/>
      <c r="G124" s="626"/>
      <c r="H124" s="626"/>
      <c r="I124" s="626"/>
      <c r="J124" s="626"/>
      <c r="K124" s="626"/>
      <c r="L124" s="626"/>
      <c r="M124" s="626"/>
      <c r="N124" s="626"/>
      <c r="O124" s="626"/>
    </row>
    <row r="125" spans="1:15" s="492" customFormat="1" hidden="1" x14ac:dyDescent="0.25">
      <c r="A125" s="626"/>
      <c r="B125" s="626"/>
      <c r="C125" s="626"/>
      <c r="D125" s="626"/>
      <c r="E125" s="626"/>
      <c r="F125" s="626"/>
      <c r="G125" s="626"/>
      <c r="H125" s="626"/>
      <c r="I125" s="626"/>
      <c r="J125" s="626"/>
      <c r="K125" s="626"/>
      <c r="L125" s="626"/>
      <c r="M125" s="626"/>
      <c r="N125" s="626"/>
      <c r="O125" s="626"/>
    </row>
    <row r="126" spans="1:15" s="492" customFormat="1" hidden="1" x14ac:dyDescent="0.25">
      <c r="A126" s="626"/>
      <c r="B126" s="626"/>
      <c r="C126" s="626"/>
      <c r="D126" s="626"/>
      <c r="E126" s="626"/>
      <c r="F126" s="626"/>
      <c r="G126" s="626"/>
      <c r="H126" s="626"/>
      <c r="I126" s="626"/>
      <c r="J126" s="626"/>
      <c r="K126" s="626"/>
      <c r="L126" s="626"/>
      <c r="M126" s="626"/>
      <c r="N126" s="626"/>
      <c r="O126" s="626"/>
    </row>
    <row r="127" spans="1:15" s="492" customFormat="1" hidden="1" x14ac:dyDescent="0.25">
      <c r="A127" s="627"/>
      <c r="B127" s="626"/>
      <c r="C127" s="626"/>
      <c r="D127" s="626"/>
      <c r="E127" s="626"/>
      <c r="F127" s="626"/>
      <c r="G127" s="626"/>
      <c r="H127" s="626"/>
      <c r="I127" s="626"/>
      <c r="J127" s="626"/>
      <c r="K127" s="626"/>
      <c r="L127" s="626"/>
      <c r="M127" s="626"/>
      <c r="N127" s="626"/>
      <c r="O127" s="627"/>
    </row>
    <row r="128" spans="1:15" s="492" customFormat="1" hidden="1" x14ac:dyDescent="0.25">
      <c r="A128" s="627"/>
      <c r="B128" s="626"/>
      <c r="C128" s="626"/>
      <c r="D128" s="626"/>
      <c r="E128" s="626"/>
      <c r="F128" s="626"/>
      <c r="G128" s="626"/>
      <c r="H128" s="626"/>
      <c r="I128" s="626"/>
      <c r="J128" s="626"/>
      <c r="K128" s="626"/>
      <c r="L128" s="626"/>
      <c r="M128" s="626"/>
      <c r="N128" s="626"/>
      <c r="O128" s="627"/>
    </row>
    <row r="129" spans="1:15" s="492" customFormat="1" hidden="1" x14ac:dyDescent="0.25">
      <c r="A129" s="626"/>
      <c r="B129" s="626"/>
      <c r="C129" s="626"/>
      <c r="D129" s="626"/>
      <c r="E129" s="626"/>
      <c r="F129" s="626"/>
      <c r="G129" s="626"/>
      <c r="H129" s="626"/>
      <c r="I129" s="626"/>
      <c r="J129" s="626"/>
      <c r="K129" s="626"/>
      <c r="L129" s="626"/>
      <c r="M129" s="626"/>
      <c r="N129" s="626"/>
      <c r="O129" s="626"/>
    </row>
    <row r="130" spans="1:15" s="492" customFormat="1" hidden="1" x14ac:dyDescent="0.25">
      <c r="A130" s="626"/>
      <c r="B130" s="626"/>
      <c r="C130" s="626"/>
      <c r="D130" s="626"/>
      <c r="E130" s="626"/>
      <c r="F130" s="626"/>
      <c r="G130" s="626"/>
      <c r="H130" s="626"/>
      <c r="I130" s="626"/>
      <c r="J130" s="626"/>
      <c r="K130" s="626"/>
      <c r="L130" s="626"/>
      <c r="M130" s="626"/>
      <c r="N130" s="626"/>
      <c r="O130" s="626"/>
    </row>
    <row r="131" spans="1:15" s="492" customFormat="1" hidden="1" x14ac:dyDescent="0.25">
      <c r="A131" s="626"/>
      <c r="B131" s="626"/>
      <c r="C131" s="626"/>
      <c r="D131" s="626"/>
      <c r="E131" s="626"/>
      <c r="F131" s="626"/>
      <c r="G131" s="626"/>
      <c r="H131" s="626"/>
      <c r="I131" s="626"/>
      <c r="J131" s="626"/>
      <c r="K131" s="626"/>
      <c r="L131" s="626"/>
      <c r="M131" s="626"/>
      <c r="N131" s="626"/>
      <c r="O131" s="626"/>
    </row>
    <row r="132" spans="1:15" s="492" customFormat="1" hidden="1" x14ac:dyDescent="0.25">
      <c r="A132" s="626"/>
      <c r="B132" s="626"/>
      <c r="C132" s="626"/>
      <c r="D132" s="626"/>
      <c r="E132" s="626"/>
      <c r="F132" s="626"/>
      <c r="G132" s="626"/>
      <c r="H132" s="626"/>
      <c r="I132" s="626"/>
      <c r="J132" s="626"/>
      <c r="K132" s="626"/>
      <c r="L132" s="626"/>
      <c r="M132" s="626"/>
      <c r="N132" s="626"/>
      <c r="O132" s="626"/>
    </row>
    <row r="133" spans="1:15" s="492" customFormat="1" hidden="1" x14ac:dyDescent="0.25">
      <c r="A133" s="627"/>
      <c r="B133" s="626"/>
      <c r="C133" s="626"/>
      <c r="D133" s="626"/>
      <c r="E133" s="626"/>
      <c r="F133" s="626"/>
      <c r="G133" s="626"/>
      <c r="H133" s="626"/>
      <c r="I133" s="626"/>
      <c r="J133" s="626"/>
      <c r="K133" s="626"/>
      <c r="L133" s="626"/>
      <c r="M133" s="626"/>
      <c r="N133" s="626"/>
      <c r="O133" s="627"/>
    </row>
    <row r="134" spans="1:15" s="492" customFormat="1" hidden="1" x14ac:dyDescent="0.25">
      <c r="A134" s="626"/>
      <c r="B134" s="626"/>
      <c r="C134" s="626"/>
      <c r="D134" s="626"/>
      <c r="E134" s="626"/>
      <c r="F134" s="626"/>
      <c r="G134" s="626"/>
      <c r="H134" s="626"/>
      <c r="I134" s="626"/>
      <c r="J134" s="626"/>
      <c r="K134" s="626"/>
      <c r="L134" s="626"/>
      <c r="M134" s="626"/>
      <c r="N134" s="626"/>
      <c r="O134" s="626"/>
    </row>
    <row r="135" spans="1:15" s="492" customFormat="1" hidden="1" x14ac:dyDescent="0.25">
      <c r="A135" s="626"/>
      <c r="B135" s="626"/>
      <c r="C135" s="626"/>
      <c r="D135" s="626"/>
      <c r="E135" s="626"/>
      <c r="F135" s="626"/>
      <c r="G135" s="626"/>
      <c r="H135" s="626"/>
      <c r="I135" s="626"/>
      <c r="J135" s="626"/>
      <c r="K135" s="626"/>
      <c r="L135" s="626"/>
      <c r="M135" s="626"/>
      <c r="N135" s="626"/>
      <c r="O135" s="626"/>
    </row>
    <row r="136" spans="1:15" s="492" customFormat="1" hidden="1" x14ac:dyDescent="0.25">
      <c r="A136" s="627"/>
      <c r="B136" s="626"/>
      <c r="C136" s="626"/>
      <c r="D136" s="626"/>
      <c r="E136" s="626"/>
      <c r="F136" s="626"/>
      <c r="G136" s="626"/>
      <c r="H136" s="626"/>
      <c r="I136" s="626"/>
      <c r="J136" s="626"/>
      <c r="K136" s="626"/>
      <c r="L136" s="626"/>
      <c r="M136" s="626"/>
      <c r="N136" s="626"/>
      <c r="O136" s="627"/>
    </row>
    <row r="137" spans="1:15" s="492" customFormat="1" hidden="1" x14ac:dyDescent="0.25">
      <c r="A137" s="626"/>
      <c r="B137" s="626"/>
      <c r="C137" s="626"/>
      <c r="D137" s="626"/>
      <c r="E137" s="626"/>
      <c r="F137" s="626"/>
      <c r="G137" s="626"/>
      <c r="H137" s="626"/>
      <c r="I137" s="626"/>
      <c r="J137" s="626"/>
      <c r="K137" s="626"/>
      <c r="L137" s="626"/>
      <c r="M137" s="626"/>
      <c r="N137" s="626"/>
      <c r="O137" s="626"/>
    </row>
    <row r="138" spans="1:15" s="492" customFormat="1" hidden="1" x14ac:dyDescent="0.25">
      <c r="A138" s="626"/>
      <c r="B138" s="626"/>
      <c r="C138" s="626"/>
      <c r="D138" s="626"/>
      <c r="E138" s="626"/>
      <c r="F138" s="626"/>
      <c r="G138" s="626"/>
      <c r="H138" s="626"/>
      <c r="I138" s="626"/>
      <c r="J138" s="626"/>
      <c r="K138" s="626"/>
      <c r="L138" s="626"/>
      <c r="M138" s="626"/>
      <c r="N138" s="626"/>
      <c r="O138" s="626"/>
    </row>
    <row r="139" spans="1:15" s="492" customFormat="1" hidden="1" x14ac:dyDescent="0.25">
      <c r="A139" s="626"/>
      <c r="B139" s="626"/>
      <c r="C139" s="626"/>
      <c r="D139" s="626"/>
      <c r="E139" s="626"/>
      <c r="F139" s="626"/>
      <c r="G139" s="626"/>
      <c r="H139" s="626"/>
      <c r="I139" s="626"/>
      <c r="J139" s="626"/>
      <c r="K139" s="626"/>
      <c r="L139" s="626"/>
      <c r="M139" s="626"/>
      <c r="N139" s="626"/>
      <c r="O139" s="626"/>
    </row>
    <row r="140" spans="1:15" s="492" customFormat="1" hidden="1" x14ac:dyDescent="0.25">
      <c r="A140" s="626"/>
      <c r="B140" s="627"/>
      <c r="C140" s="627"/>
      <c r="D140" s="627"/>
      <c r="E140" s="627"/>
      <c r="F140" s="627"/>
      <c r="G140" s="627"/>
      <c r="H140" s="627"/>
      <c r="I140" s="627"/>
      <c r="J140" s="627"/>
      <c r="K140" s="627"/>
      <c r="L140" s="627"/>
      <c r="M140" s="627"/>
      <c r="N140" s="627"/>
      <c r="O140" s="626"/>
    </row>
    <row r="141" spans="1:15" s="492" customFormat="1" hidden="1" x14ac:dyDescent="0.25">
      <c r="A141" s="627"/>
      <c r="B141" s="627"/>
      <c r="C141" s="627"/>
      <c r="D141" s="627"/>
      <c r="E141" s="627"/>
      <c r="F141" s="627"/>
      <c r="G141" s="627"/>
      <c r="H141" s="627"/>
      <c r="I141" s="627"/>
      <c r="J141" s="627"/>
      <c r="K141" s="627"/>
      <c r="L141" s="627"/>
      <c r="M141" s="627"/>
      <c r="N141" s="627"/>
      <c r="O141" s="627"/>
    </row>
    <row r="142" spans="1:15" s="492" customFormat="1" hidden="1" x14ac:dyDescent="0.25">
      <c r="A142" s="627"/>
      <c r="B142" s="626"/>
      <c r="C142" s="626"/>
      <c r="D142" s="626"/>
      <c r="E142" s="626"/>
      <c r="F142" s="626"/>
      <c r="G142" s="626"/>
      <c r="H142" s="626"/>
      <c r="I142" s="626"/>
      <c r="J142" s="626"/>
      <c r="K142" s="626"/>
      <c r="L142" s="626"/>
      <c r="M142" s="626"/>
      <c r="N142" s="626"/>
      <c r="O142" s="627"/>
    </row>
    <row r="143" spans="1:15" s="492" customFormat="1" hidden="1" x14ac:dyDescent="0.25">
      <c r="A143" s="627"/>
      <c r="B143" s="626"/>
      <c r="C143" s="626"/>
      <c r="D143" s="626"/>
      <c r="E143" s="626"/>
      <c r="F143" s="626"/>
      <c r="G143" s="626"/>
      <c r="H143" s="626"/>
      <c r="I143" s="626"/>
      <c r="J143" s="626"/>
      <c r="K143" s="626"/>
      <c r="L143" s="626"/>
      <c r="M143" s="626"/>
      <c r="N143" s="626"/>
      <c r="O143" s="627"/>
    </row>
    <row r="144" spans="1:15" s="492" customFormat="1" hidden="1" x14ac:dyDescent="0.25">
      <c r="A144" s="627"/>
      <c r="B144" s="626"/>
      <c r="C144" s="626"/>
      <c r="D144" s="626"/>
      <c r="E144" s="626"/>
      <c r="F144" s="626"/>
      <c r="G144" s="626"/>
      <c r="H144" s="626"/>
      <c r="I144" s="626"/>
      <c r="J144" s="626"/>
      <c r="K144" s="626"/>
      <c r="L144" s="626"/>
      <c r="M144" s="626"/>
      <c r="N144" s="626"/>
      <c r="O144" s="627"/>
    </row>
    <row r="145" spans="1:15" s="492" customFormat="1" hidden="1" x14ac:dyDescent="0.25">
      <c r="A145" s="627"/>
      <c r="B145" s="626"/>
      <c r="C145" s="626"/>
      <c r="D145" s="626"/>
      <c r="E145" s="626"/>
      <c r="F145" s="626"/>
      <c r="G145" s="626"/>
      <c r="H145" s="626"/>
      <c r="I145" s="626"/>
      <c r="J145" s="626"/>
      <c r="K145" s="626"/>
      <c r="L145" s="626"/>
      <c r="M145" s="626"/>
      <c r="N145" s="626"/>
      <c r="O145" s="627"/>
    </row>
    <row r="146" spans="1:15" s="492" customFormat="1" hidden="1" x14ac:dyDescent="0.25">
      <c r="A146" s="627"/>
      <c r="B146" s="627"/>
      <c r="C146" s="627"/>
      <c r="D146" s="627"/>
      <c r="E146" s="627"/>
      <c r="F146" s="627"/>
      <c r="G146" s="627"/>
      <c r="H146" s="627"/>
      <c r="I146" s="627"/>
      <c r="J146" s="627"/>
      <c r="K146" s="627"/>
      <c r="L146" s="627"/>
      <c r="M146" s="627"/>
      <c r="N146" s="627"/>
      <c r="O146" s="627"/>
    </row>
    <row r="147" spans="1:15" s="492" customFormat="1" hidden="1" x14ac:dyDescent="0.25">
      <c r="A147" s="627"/>
      <c r="B147" s="626"/>
      <c r="C147" s="626"/>
      <c r="D147" s="626"/>
      <c r="E147" s="626"/>
      <c r="F147" s="626"/>
      <c r="G147" s="626"/>
      <c r="H147" s="626"/>
      <c r="I147" s="626"/>
      <c r="J147" s="626"/>
      <c r="K147" s="626"/>
      <c r="L147" s="626"/>
      <c r="M147" s="626"/>
      <c r="N147" s="626"/>
      <c r="O147" s="627"/>
    </row>
    <row r="148" spans="1:15" s="492" customFormat="1" hidden="1" x14ac:dyDescent="0.25">
      <c r="A148" s="627"/>
      <c r="B148" s="626"/>
      <c r="C148" s="626"/>
      <c r="D148" s="626"/>
      <c r="E148" s="626"/>
      <c r="F148" s="626"/>
      <c r="G148" s="626"/>
      <c r="H148" s="626"/>
      <c r="I148" s="626"/>
      <c r="J148" s="626"/>
      <c r="K148" s="626"/>
      <c r="L148" s="626"/>
      <c r="M148" s="626"/>
      <c r="N148" s="626"/>
      <c r="O148" s="627"/>
    </row>
    <row r="149" spans="1:15" s="492" customFormat="1" hidden="1" x14ac:dyDescent="0.25">
      <c r="A149" s="627"/>
      <c r="B149" s="627"/>
      <c r="C149" s="627"/>
      <c r="D149" s="627"/>
      <c r="E149" s="627"/>
      <c r="F149" s="627"/>
      <c r="G149" s="627"/>
      <c r="H149" s="627"/>
      <c r="I149" s="627"/>
      <c r="J149" s="627"/>
      <c r="K149" s="627"/>
      <c r="L149" s="627"/>
      <c r="M149" s="627"/>
      <c r="N149" s="627"/>
      <c r="O149" s="627"/>
    </row>
    <row r="150" spans="1:15" s="492" customFormat="1" hidden="1" x14ac:dyDescent="0.25">
      <c r="A150" s="627"/>
      <c r="B150" s="626"/>
      <c r="C150" s="626"/>
      <c r="D150" s="626"/>
      <c r="E150" s="626"/>
      <c r="F150" s="626"/>
      <c r="G150" s="626"/>
      <c r="H150" s="626"/>
      <c r="I150" s="626"/>
      <c r="J150" s="626"/>
      <c r="K150" s="626"/>
      <c r="L150" s="626"/>
      <c r="M150" s="626"/>
      <c r="N150" s="626"/>
      <c r="O150" s="627"/>
    </row>
    <row r="151" spans="1:15" s="492" customFormat="1" hidden="1" x14ac:dyDescent="0.25">
      <c r="A151" s="627"/>
      <c r="B151" s="626"/>
      <c r="C151" s="626"/>
      <c r="D151" s="626"/>
      <c r="E151" s="626"/>
      <c r="F151" s="626"/>
      <c r="G151" s="626"/>
      <c r="H151" s="626"/>
      <c r="I151" s="626"/>
      <c r="J151" s="626"/>
      <c r="K151" s="626"/>
      <c r="L151" s="626"/>
      <c r="M151" s="626"/>
      <c r="N151" s="626"/>
      <c r="O151" s="627"/>
    </row>
    <row r="152" spans="1:15" s="492" customFormat="1" hidden="1" x14ac:dyDescent="0.25">
      <c r="A152" s="627"/>
      <c r="B152" s="626"/>
      <c r="C152" s="626"/>
      <c r="D152" s="626"/>
      <c r="E152" s="626"/>
      <c r="F152" s="626"/>
      <c r="G152" s="626"/>
      <c r="H152" s="626"/>
      <c r="I152" s="626"/>
      <c r="J152" s="626"/>
      <c r="K152" s="626"/>
      <c r="L152" s="626"/>
      <c r="M152" s="626"/>
      <c r="N152" s="626"/>
      <c r="O152" s="627"/>
    </row>
    <row r="153" spans="1:15" s="492" customFormat="1" hidden="1" x14ac:dyDescent="0.25">
      <c r="A153" s="627"/>
      <c r="B153" s="626"/>
      <c r="C153" s="626"/>
      <c r="D153" s="626"/>
      <c r="E153" s="626"/>
      <c r="F153" s="626"/>
      <c r="G153" s="626"/>
      <c r="H153" s="626"/>
      <c r="I153" s="626"/>
      <c r="J153" s="626"/>
      <c r="K153" s="626"/>
      <c r="L153" s="626"/>
      <c r="M153" s="626"/>
      <c r="N153" s="626"/>
      <c r="O153" s="627"/>
    </row>
    <row r="154" spans="1:15" s="492" customFormat="1" hidden="1" x14ac:dyDescent="0.25">
      <c r="A154" s="627"/>
      <c r="B154" s="627"/>
      <c r="C154" s="627"/>
      <c r="D154" s="627"/>
      <c r="E154" s="627"/>
      <c r="F154" s="627"/>
      <c r="G154" s="627"/>
      <c r="H154" s="627"/>
      <c r="I154" s="627"/>
      <c r="J154" s="627"/>
      <c r="K154" s="627"/>
      <c r="L154" s="627"/>
      <c r="M154" s="627"/>
      <c r="N154" s="627"/>
      <c r="O154" s="627"/>
    </row>
    <row r="155" spans="1:15" s="492" customFormat="1" hidden="1" x14ac:dyDescent="0.25">
      <c r="A155" s="627"/>
      <c r="B155" s="627"/>
      <c r="C155" s="627"/>
      <c r="D155" s="627"/>
      <c r="E155" s="627"/>
      <c r="F155" s="627"/>
      <c r="G155" s="627"/>
      <c r="H155" s="627"/>
      <c r="I155" s="627"/>
      <c r="J155" s="627"/>
      <c r="K155" s="627"/>
      <c r="L155" s="627"/>
      <c r="M155" s="627"/>
      <c r="N155" s="627"/>
      <c r="O155" s="627"/>
    </row>
    <row r="156" spans="1:15" s="492" customFormat="1" hidden="1" x14ac:dyDescent="0.25">
      <c r="A156" s="627"/>
      <c r="B156" s="627"/>
      <c r="C156" s="627"/>
      <c r="D156" s="627"/>
      <c r="E156" s="627"/>
      <c r="F156" s="627"/>
      <c r="G156" s="627"/>
      <c r="H156" s="627"/>
      <c r="I156" s="627"/>
      <c r="J156" s="627"/>
      <c r="K156" s="627"/>
      <c r="L156" s="627"/>
      <c r="M156" s="627"/>
      <c r="N156" s="627"/>
      <c r="O156" s="627"/>
    </row>
    <row r="157" spans="1:15" s="492" customFormat="1" hidden="1" x14ac:dyDescent="0.25">
      <c r="A157" s="627"/>
      <c r="B157" s="627"/>
      <c r="C157" s="627"/>
      <c r="D157" s="627"/>
      <c r="E157" s="627"/>
      <c r="F157" s="627"/>
      <c r="G157" s="627"/>
      <c r="H157" s="627"/>
      <c r="I157" s="627"/>
      <c r="J157" s="627"/>
      <c r="K157" s="627"/>
      <c r="L157" s="627"/>
      <c r="M157" s="627"/>
      <c r="N157" s="627"/>
      <c r="O157" s="627"/>
    </row>
    <row r="158" spans="1:15" hidden="1" x14ac:dyDescent="0.25"/>
    <row r="159" spans="1:15" hidden="1" x14ac:dyDescent="0.25"/>
    <row r="160" spans="1:15" hidden="1" x14ac:dyDescent="0.25"/>
    <row r="161" spans="1:15" hidden="1" x14ac:dyDescent="0.25">
      <c r="A161" s="630"/>
      <c r="B161" s="630"/>
      <c r="C161" s="630"/>
      <c r="D161" s="630"/>
      <c r="E161" s="630"/>
      <c r="F161" s="630"/>
      <c r="G161" s="630"/>
      <c r="H161" s="630"/>
      <c r="I161" s="630"/>
      <c r="J161" s="630"/>
      <c r="K161" s="630"/>
      <c r="L161" s="630"/>
      <c r="M161" s="630"/>
      <c r="N161" s="630"/>
      <c r="O161" s="630"/>
    </row>
    <row r="162" spans="1:15" s="533" customFormat="1" hidden="1" x14ac:dyDescent="0.25">
      <c r="A162" s="626"/>
      <c r="B162" s="626"/>
      <c r="C162" s="626"/>
      <c r="D162" s="626"/>
      <c r="E162" s="626"/>
      <c r="F162" s="626"/>
      <c r="G162" s="626"/>
      <c r="H162" s="626"/>
      <c r="I162" s="626"/>
      <c r="J162" s="626"/>
      <c r="K162" s="626"/>
      <c r="L162" s="626"/>
      <c r="M162" s="626"/>
      <c r="N162" s="626"/>
      <c r="O162" s="626"/>
    </row>
    <row r="163" spans="1:15" s="533" customFormat="1" ht="16.5" hidden="1" customHeight="1" x14ac:dyDescent="0.25">
      <c r="A163" s="626"/>
      <c r="B163" s="626"/>
      <c r="C163" s="626"/>
      <c r="D163" s="626"/>
      <c r="E163" s="626"/>
      <c r="F163" s="626"/>
      <c r="G163" s="626"/>
      <c r="H163" s="626"/>
      <c r="I163" s="626"/>
      <c r="J163" s="626"/>
      <c r="K163" s="626"/>
      <c r="L163" s="626"/>
      <c r="M163" s="626"/>
      <c r="N163" s="626"/>
      <c r="O163" s="626"/>
    </row>
    <row r="164" spans="1:15" s="533" customFormat="1" hidden="1" x14ac:dyDescent="0.25">
      <c r="A164" s="626"/>
      <c r="B164" s="626"/>
      <c r="C164" s="626"/>
      <c r="D164" s="626"/>
      <c r="E164" s="626"/>
      <c r="F164" s="626"/>
      <c r="G164" s="626"/>
      <c r="H164" s="626"/>
      <c r="I164" s="626"/>
      <c r="J164" s="626"/>
      <c r="K164" s="626"/>
      <c r="L164" s="626"/>
      <c r="M164" s="626"/>
      <c r="N164" s="626"/>
      <c r="O164" s="626"/>
    </row>
    <row r="165" spans="1:15" s="533" customFormat="1" hidden="1" x14ac:dyDescent="0.25">
      <c r="A165" s="626"/>
      <c r="B165" s="626"/>
      <c r="C165" s="626"/>
      <c r="D165" s="626"/>
      <c r="E165" s="626"/>
      <c r="F165" s="626"/>
      <c r="G165" s="626"/>
      <c r="H165" s="626"/>
      <c r="I165" s="626"/>
      <c r="J165" s="626"/>
      <c r="K165" s="626"/>
      <c r="L165" s="626"/>
      <c r="M165" s="626"/>
      <c r="N165" s="626"/>
      <c r="O165" s="626"/>
    </row>
    <row r="166" spans="1:15" s="533" customFormat="1" hidden="1" x14ac:dyDescent="0.25">
      <c r="A166" s="626"/>
      <c r="B166" s="626"/>
      <c r="C166" s="626"/>
      <c r="D166" s="626"/>
      <c r="E166" s="626"/>
      <c r="F166" s="626"/>
      <c r="G166" s="626"/>
      <c r="H166" s="626"/>
      <c r="I166" s="626"/>
      <c r="J166" s="626"/>
      <c r="K166" s="626"/>
      <c r="L166" s="626"/>
      <c r="M166" s="626"/>
      <c r="N166" s="626"/>
      <c r="O166" s="626"/>
    </row>
    <row r="167" spans="1:15" s="533" customFormat="1" hidden="1" x14ac:dyDescent="0.25">
      <c r="A167" s="626"/>
      <c r="B167" s="626"/>
      <c r="C167" s="626"/>
      <c r="D167" s="626"/>
      <c r="E167" s="626"/>
      <c r="F167" s="626"/>
      <c r="G167" s="626"/>
      <c r="H167" s="626"/>
      <c r="I167" s="626"/>
      <c r="J167" s="626"/>
      <c r="K167" s="626"/>
      <c r="L167" s="626"/>
      <c r="M167" s="626"/>
      <c r="N167" s="626"/>
      <c r="O167" s="626"/>
    </row>
    <row r="168" spans="1:15" s="533" customFormat="1" hidden="1" x14ac:dyDescent="0.25">
      <c r="A168" s="626"/>
      <c r="B168" s="626"/>
      <c r="C168" s="626"/>
      <c r="D168" s="626"/>
      <c r="E168" s="626"/>
      <c r="F168" s="626"/>
      <c r="G168" s="626"/>
      <c r="H168" s="626"/>
      <c r="I168" s="626"/>
      <c r="J168" s="626"/>
      <c r="K168" s="626"/>
      <c r="L168" s="626"/>
      <c r="M168" s="626"/>
      <c r="N168" s="626"/>
      <c r="O168" s="626"/>
    </row>
    <row r="169" spans="1:15" s="533" customFormat="1" hidden="1" x14ac:dyDescent="0.25">
      <c r="A169" s="626"/>
      <c r="B169" s="626"/>
      <c r="C169" s="626"/>
      <c r="D169" s="626"/>
      <c r="E169" s="626"/>
      <c r="F169" s="626"/>
      <c r="G169" s="626"/>
      <c r="H169" s="626"/>
      <c r="I169" s="626"/>
      <c r="J169" s="626"/>
      <c r="K169" s="626"/>
      <c r="L169" s="626"/>
      <c r="M169" s="626"/>
      <c r="N169" s="626"/>
      <c r="O169" s="626"/>
    </row>
    <row r="170" spans="1:15" s="533" customFormat="1" hidden="1" x14ac:dyDescent="0.25">
      <c r="A170" s="626"/>
      <c r="B170" s="626"/>
      <c r="C170" s="626"/>
      <c r="D170" s="626"/>
      <c r="E170" s="626"/>
      <c r="F170" s="626"/>
      <c r="G170" s="626"/>
      <c r="H170" s="626"/>
      <c r="I170" s="626"/>
      <c r="J170" s="626"/>
      <c r="K170" s="626"/>
      <c r="L170" s="626"/>
      <c r="M170" s="626"/>
      <c r="N170" s="626"/>
      <c r="O170" s="626"/>
    </row>
    <row r="171" spans="1:15" s="533" customFormat="1" hidden="1" x14ac:dyDescent="0.25">
      <c r="A171" s="626"/>
      <c r="B171" s="626"/>
      <c r="C171" s="626"/>
      <c r="D171" s="626"/>
      <c r="E171" s="626"/>
      <c r="F171" s="626"/>
      <c r="G171" s="626"/>
      <c r="H171" s="626"/>
      <c r="I171" s="626"/>
      <c r="J171" s="626"/>
      <c r="K171" s="626"/>
      <c r="L171" s="626"/>
      <c r="M171" s="626"/>
      <c r="N171" s="626"/>
      <c r="O171" s="626"/>
    </row>
    <row r="172" spans="1:15" s="533" customFormat="1" hidden="1" x14ac:dyDescent="0.25">
      <c r="A172" s="626"/>
      <c r="B172" s="626"/>
      <c r="C172" s="626"/>
      <c r="D172" s="626"/>
      <c r="E172" s="626"/>
      <c r="F172" s="626"/>
      <c r="G172" s="626"/>
      <c r="H172" s="626"/>
      <c r="I172" s="626"/>
      <c r="J172" s="626"/>
      <c r="K172" s="626"/>
      <c r="L172" s="626"/>
      <c r="M172" s="626"/>
      <c r="N172" s="626"/>
      <c r="O172" s="626"/>
    </row>
    <row r="173" spans="1:15" s="533" customFormat="1" hidden="1" x14ac:dyDescent="0.25">
      <c r="A173" s="626"/>
      <c r="B173" s="626"/>
      <c r="C173" s="626"/>
      <c r="D173" s="626"/>
      <c r="E173" s="626"/>
      <c r="F173" s="626"/>
      <c r="G173" s="626"/>
      <c r="H173" s="626"/>
      <c r="I173" s="626"/>
      <c r="J173" s="626"/>
      <c r="K173" s="626"/>
      <c r="L173" s="626"/>
      <c r="M173" s="626"/>
      <c r="N173" s="626"/>
      <c r="O173" s="626"/>
    </row>
    <row r="174" spans="1:15" s="533" customFormat="1" hidden="1" x14ac:dyDescent="0.25">
      <c r="A174" s="626"/>
      <c r="B174" s="626"/>
      <c r="C174" s="626"/>
      <c r="D174" s="626"/>
      <c r="E174" s="626"/>
      <c r="F174" s="626"/>
      <c r="G174" s="626"/>
      <c r="H174" s="626"/>
      <c r="I174" s="626"/>
      <c r="J174" s="626"/>
      <c r="K174" s="626"/>
      <c r="L174" s="626"/>
      <c r="M174" s="626"/>
      <c r="N174" s="626"/>
      <c r="O174" s="626"/>
    </row>
    <row r="175" spans="1:15" s="533" customFormat="1" hidden="1" x14ac:dyDescent="0.25">
      <c r="A175" s="626"/>
      <c r="B175" s="626"/>
      <c r="C175" s="626"/>
      <c r="D175" s="626"/>
      <c r="E175" s="626"/>
      <c r="F175" s="626"/>
      <c r="G175" s="626"/>
      <c r="H175" s="626"/>
      <c r="I175" s="626"/>
      <c r="J175" s="626"/>
      <c r="K175" s="626"/>
      <c r="L175" s="626"/>
      <c r="M175" s="626"/>
      <c r="N175" s="626"/>
      <c r="O175" s="626"/>
    </row>
    <row r="176" spans="1:15" s="533" customFormat="1" hidden="1" x14ac:dyDescent="0.25">
      <c r="A176" s="626"/>
      <c r="B176" s="626"/>
      <c r="C176" s="626"/>
      <c r="D176" s="626"/>
      <c r="E176" s="626"/>
      <c r="F176" s="626"/>
      <c r="G176" s="626"/>
      <c r="H176" s="626"/>
      <c r="I176" s="626"/>
      <c r="J176" s="626"/>
      <c r="K176" s="626"/>
      <c r="L176" s="626"/>
      <c r="M176" s="626"/>
      <c r="N176" s="626"/>
      <c r="O176" s="626"/>
    </row>
    <row r="177" spans="1:15" s="533" customFormat="1" hidden="1" x14ac:dyDescent="0.25">
      <c r="A177" s="626"/>
      <c r="B177" s="626"/>
      <c r="C177" s="626"/>
      <c r="D177" s="626"/>
      <c r="E177" s="626"/>
      <c r="F177" s="626"/>
      <c r="G177" s="626"/>
      <c r="H177" s="626"/>
      <c r="I177" s="626"/>
      <c r="J177" s="626"/>
      <c r="K177" s="626"/>
      <c r="L177" s="626"/>
      <c r="M177" s="626"/>
      <c r="N177" s="626"/>
      <c r="O177" s="626"/>
    </row>
    <row r="178" spans="1:15" s="533" customFormat="1" hidden="1" x14ac:dyDescent="0.25">
      <c r="A178" s="626"/>
      <c r="B178" s="626"/>
      <c r="C178" s="626"/>
      <c r="D178" s="626"/>
      <c r="E178" s="626"/>
      <c r="F178" s="626"/>
      <c r="G178" s="626"/>
      <c r="H178" s="626"/>
      <c r="I178" s="626"/>
      <c r="J178" s="626"/>
      <c r="K178" s="626"/>
      <c r="L178" s="626"/>
      <c r="M178" s="626"/>
      <c r="N178" s="626"/>
      <c r="O178" s="626"/>
    </row>
    <row r="179" spans="1:15" s="533" customFormat="1" hidden="1" x14ac:dyDescent="0.25">
      <c r="A179" s="626"/>
      <c r="B179" s="626"/>
      <c r="C179" s="626"/>
      <c r="D179" s="626"/>
      <c r="E179" s="626"/>
      <c r="F179" s="626"/>
      <c r="G179" s="626"/>
      <c r="H179" s="626"/>
      <c r="I179" s="626"/>
      <c r="J179" s="626"/>
      <c r="K179" s="626"/>
      <c r="L179" s="626"/>
      <c r="M179" s="626"/>
      <c r="N179" s="626"/>
      <c r="O179" s="626"/>
    </row>
    <row r="180" spans="1:15" s="533" customFormat="1" hidden="1" x14ac:dyDescent="0.25">
      <c r="A180" s="626"/>
      <c r="B180" s="626"/>
      <c r="C180" s="626"/>
      <c r="D180" s="626"/>
      <c r="E180" s="626"/>
      <c r="F180" s="626"/>
      <c r="G180" s="626"/>
      <c r="H180" s="626"/>
      <c r="I180" s="626"/>
      <c r="J180" s="626"/>
      <c r="K180" s="626"/>
      <c r="L180" s="626"/>
      <c r="M180" s="626"/>
      <c r="N180" s="626"/>
      <c r="O180" s="626"/>
    </row>
    <row r="181" spans="1:15" s="533" customFormat="1" hidden="1" x14ac:dyDescent="0.25">
      <c r="A181" s="626"/>
      <c r="B181" s="626"/>
      <c r="C181" s="626"/>
      <c r="D181" s="626"/>
      <c r="E181" s="626"/>
      <c r="F181" s="626"/>
      <c r="G181" s="626"/>
      <c r="H181" s="626"/>
      <c r="I181" s="626"/>
      <c r="J181" s="626"/>
      <c r="K181" s="626"/>
      <c r="L181" s="626"/>
      <c r="M181" s="626"/>
      <c r="N181" s="626"/>
      <c r="O181" s="626"/>
    </row>
    <row r="182" spans="1:15" s="533" customFormat="1" hidden="1" x14ac:dyDescent="0.25">
      <c r="A182" s="626"/>
      <c r="B182" s="626"/>
      <c r="C182" s="626"/>
      <c r="D182" s="626"/>
      <c r="E182" s="626"/>
      <c r="F182" s="626"/>
      <c r="G182" s="626"/>
      <c r="H182" s="626"/>
      <c r="I182" s="626"/>
      <c r="J182" s="626"/>
      <c r="K182" s="626"/>
      <c r="L182" s="626"/>
      <c r="M182" s="626"/>
      <c r="N182" s="626"/>
      <c r="O182" s="626"/>
    </row>
    <row r="183" spans="1:15" s="533" customFormat="1" hidden="1" x14ac:dyDescent="0.25">
      <c r="A183" s="626"/>
      <c r="B183" s="626"/>
      <c r="C183" s="626"/>
      <c r="D183" s="626"/>
      <c r="E183" s="626"/>
      <c r="F183" s="626"/>
      <c r="G183" s="626"/>
      <c r="H183" s="626"/>
      <c r="I183" s="626"/>
      <c r="J183" s="626"/>
      <c r="K183" s="626"/>
      <c r="L183" s="626"/>
      <c r="M183" s="626"/>
      <c r="N183" s="626"/>
      <c r="O183" s="626"/>
    </row>
    <row r="184" spans="1:15" s="533" customFormat="1" hidden="1" x14ac:dyDescent="0.25">
      <c r="A184" s="626"/>
      <c r="B184" s="626"/>
      <c r="C184" s="626"/>
      <c r="D184" s="626"/>
      <c r="E184" s="626"/>
      <c r="F184" s="626"/>
      <c r="G184" s="626"/>
      <c r="H184" s="626"/>
      <c r="I184" s="626"/>
      <c r="J184" s="626"/>
      <c r="K184" s="626"/>
      <c r="L184" s="626"/>
      <c r="M184" s="626"/>
      <c r="N184" s="626"/>
      <c r="O184" s="626"/>
    </row>
    <row r="185" spans="1:15" s="533" customFormat="1" hidden="1" x14ac:dyDescent="0.25">
      <c r="A185" s="626"/>
      <c r="B185" s="626"/>
      <c r="C185" s="626"/>
      <c r="D185" s="626"/>
      <c r="E185" s="626"/>
      <c r="F185" s="626"/>
      <c r="G185" s="626"/>
      <c r="H185" s="626"/>
      <c r="I185" s="626"/>
      <c r="J185" s="626"/>
      <c r="K185" s="626"/>
      <c r="L185" s="626"/>
      <c r="M185" s="626"/>
      <c r="N185" s="626"/>
      <c r="O185" s="626"/>
    </row>
    <row r="186" spans="1:15" s="533" customFormat="1" hidden="1" x14ac:dyDescent="0.25">
      <c r="A186" s="626"/>
      <c r="B186" s="626"/>
      <c r="C186" s="626"/>
      <c r="D186" s="626"/>
      <c r="E186" s="626"/>
      <c r="F186" s="626"/>
      <c r="G186" s="626"/>
      <c r="H186" s="626"/>
      <c r="I186" s="626"/>
      <c r="J186" s="626"/>
      <c r="K186" s="626"/>
      <c r="L186" s="626"/>
      <c r="M186" s="626"/>
      <c r="N186" s="626"/>
      <c r="O186" s="626"/>
    </row>
    <row r="187" spans="1:15" s="533" customFormat="1" hidden="1" x14ac:dyDescent="0.25">
      <c r="A187" s="626"/>
      <c r="B187" s="626"/>
      <c r="C187" s="626"/>
      <c r="D187" s="626"/>
      <c r="E187" s="626"/>
      <c r="F187" s="626"/>
      <c r="G187" s="626"/>
      <c r="H187" s="626"/>
      <c r="I187" s="626"/>
      <c r="J187" s="626"/>
      <c r="K187" s="626"/>
      <c r="L187" s="626"/>
      <c r="M187" s="626"/>
      <c r="N187" s="626"/>
      <c r="O187" s="626"/>
    </row>
    <row r="188" spans="1:15" s="533" customFormat="1" hidden="1" x14ac:dyDescent="0.25">
      <c r="A188" s="626"/>
      <c r="B188" s="626"/>
      <c r="C188" s="626"/>
      <c r="D188" s="626"/>
      <c r="E188" s="626"/>
      <c r="F188" s="626"/>
      <c r="G188" s="626"/>
      <c r="H188" s="626"/>
      <c r="I188" s="626"/>
      <c r="J188" s="626"/>
      <c r="K188" s="626"/>
      <c r="L188" s="626"/>
      <c r="M188" s="626"/>
      <c r="N188" s="626"/>
      <c r="O188" s="626"/>
    </row>
    <row r="189" spans="1:15" s="533" customFormat="1" hidden="1" x14ac:dyDescent="0.25">
      <c r="A189" s="626"/>
      <c r="B189" s="626"/>
      <c r="C189" s="626"/>
      <c r="D189" s="626"/>
      <c r="E189" s="626"/>
      <c r="F189" s="626"/>
      <c r="G189" s="626"/>
      <c r="H189" s="626"/>
      <c r="I189" s="626"/>
      <c r="J189" s="626"/>
      <c r="K189" s="626"/>
      <c r="L189" s="626"/>
      <c r="M189" s="626"/>
      <c r="N189" s="626"/>
      <c r="O189" s="626"/>
    </row>
    <row r="190" spans="1:15" s="533" customFormat="1" hidden="1" x14ac:dyDescent="0.25">
      <c r="A190" s="626"/>
      <c r="B190" s="626"/>
      <c r="C190" s="626"/>
      <c r="D190" s="626"/>
      <c r="E190" s="626"/>
      <c r="F190" s="626"/>
      <c r="G190" s="626"/>
      <c r="H190" s="626"/>
      <c r="I190" s="626"/>
      <c r="J190" s="626"/>
      <c r="K190" s="626"/>
      <c r="L190" s="626"/>
      <c r="M190" s="626"/>
      <c r="N190" s="626"/>
      <c r="O190" s="626"/>
    </row>
    <row r="191" spans="1:15" s="533" customFormat="1" hidden="1" x14ac:dyDescent="0.25">
      <c r="A191" s="626"/>
      <c r="B191" s="626"/>
      <c r="C191" s="626"/>
      <c r="D191" s="626"/>
      <c r="E191" s="626"/>
      <c r="F191" s="626"/>
      <c r="G191" s="626"/>
      <c r="H191" s="626"/>
      <c r="I191" s="626"/>
      <c r="J191" s="626"/>
      <c r="K191" s="626"/>
      <c r="L191" s="626"/>
      <c r="M191" s="626"/>
      <c r="N191" s="626"/>
      <c r="O191" s="626"/>
    </row>
    <row r="192" spans="1:15" s="533" customFormat="1" hidden="1" x14ac:dyDescent="0.25">
      <c r="A192" s="626"/>
      <c r="B192" s="626"/>
      <c r="C192" s="626"/>
      <c r="D192" s="626"/>
      <c r="E192" s="626"/>
      <c r="F192" s="626"/>
      <c r="G192" s="626"/>
      <c r="H192" s="626"/>
      <c r="I192" s="626"/>
      <c r="J192" s="626"/>
      <c r="K192" s="626"/>
      <c r="L192" s="626"/>
      <c r="M192" s="626"/>
      <c r="N192" s="626"/>
      <c r="O192" s="626"/>
    </row>
    <row r="193" spans="1:15" s="533" customFormat="1" hidden="1" x14ac:dyDescent="0.25">
      <c r="A193" s="626"/>
      <c r="B193" s="626"/>
      <c r="C193" s="626"/>
      <c r="D193" s="626"/>
      <c r="E193" s="626"/>
      <c r="F193" s="626"/>
      <c r="G193" s="626"/>
      <c r="H193" s="626"/>
      <c r="I193" s="626"/>
      <c r="J193" s="626"/>
      <c r="K193" s="626"/>
      <c r="L193" s="626"/>
      <c r="M193" s="626"/>
      <c r="N193" s="626"/>
      <c r="O193" s="626"/>
    </row>
    <row r="194" spans="1:15" s="533" customFormat="1" hidden="1" x14ac:dyDescent="0.25">
      <c r="A194" s="626"/>
      <c r="B194" s="626"/>
      <c r="C194" s="626"/>
      <c r="D194" s="626"/>
      <c r="E194" s="626"/>
      <c r="F194" s="626"/>
      <c r="G194" s="626"/>
      <c r="H194" s="626"/>
      <c r="I194" s="626"/>
      <c r="J194" s="626"/>
      <c r="K194" s="626"/>
      <c r="L194" s="626"/>
      <c r="M194" s="626"/>
      <c r="N194" s="626"/>
      <c r="O194" s="626"/>
    </row>
    <row r="195" spans="1:15" s="533" customFormat="1" hidden="1" x14ac:dyDescent="0.25">
      <c r="A195" s="626"/>
      <c r="B195" s="626"/>
      <c r="C195" s="626"/>
      <c r="D195" s="626"/>
      <c r="E195" s="626"/>
      <c r="F195" s="626"/>
      <c r="G195" s="626"/>
      <c r="H195" s="626"/>
      <c r="I195" s="626"/>
      <c r="J195" s="626"/>
      <c r="K195" s="626"/>
      <c r="L195" s="626"/>
      <c r="M195" s="626"/>
      <c r="N195" s="626"/>
      <c r="O195" s="626"/>
    </row>
    <row r="196" spans="1:15" s="533" customFormat="1" hidden="1" x14ac:dyDescent="0.25">
      <c r="A196" s="626"/>
      <c r="B196" s="626"/>
      <c r="C196" s="626"/>
      <c r="D196" s="626"/>
      <c r="E196" s="626"/>
      <c r="F196" s="626"/>
      <c r="G196" s="626"/>
      <c r="H196" s="626"/>
      <c r="I196" s="626"/>
      <c r="J196" s="626"/>
      <c r="K196" s="626"/>
      <c r="L196" s="626"/>
      <c r="M196" s="626"/>
      <c r="N196" s="626"/>
      <c r="O196" s="626"/>
    </row>
    <row r="197" spans="1:15" s="533" customFormat="1" hidden="1" x14ac:dyDescent="0.25">
      <c r="A197" s="626"/>
      <c r="B197" s="626"/>
      <c r="C197" s="626"/>
      <c r="D197" s="626"/>
      <c r="E197" s="626"/>
      <c r="F197" s="626"/>
      <c r="G197" s="626"/>
      <c r="H197" s="626"/>
      <c r="I197" s="626"/>
      <c r="J197" s="626"/>
      <c r="K197" s="626"/>
      <c r="L197" s="626"/>
      <c r="M197" s="626"/>
      <c r="N197" s="626"/>
      <c r="O197" s="626"/>
    </row>
    <row r="198" spans="1:15" s="533" customFormat="1" hidden="1" x14ac:dyDescent="0.25">
      <c r="A198" s="626"/>
      <c r="B198" s="626"/>
      <c r="C198" s="626"/>
      <c r="D198" s="626"/>
      <c r="E198" s="626"/>
      <c r="F198" s="626"/>
      <c r="G198" s="626"/>
      <c r="H198" s="626"/>
      <c r="I198" s="626"/>
      <c r="J198" s="626"/>
      <c r="K198" s="626"/>
      <c r="L198" s="626"/>
      <c r="M198" s="626"/>
      <c r="N198" s="626"/>
      <c r="O198" s="626"/>
    </row>
    <row r="199" spans="1:15" s="533" customFormat="1" hidden="1" x14ac:dyDescent="0.25">
      <c r="A199" s="626"/>
      <c r="B199" s="626"/>
      <c r="C199" s="626"/>
      <c r="D199" s="626"/>
      <c r="E199" s="626"/>
      <c r="F199" s="626"/>
      <c r="G199" s="626"/>
      <c r="H199" s="626"/>
      <c r="I199" s="626"/>
      <c r="J199" s="626"/>
      <c r="K199" s="626"/>
      <c r="L199" s="626"/>
      <c r="M199" s="626"/>
      <c r="N199" s="626"/>
      <c r="O199" s="626"/>
    </row>
    <row r="200" spans="1:15" s="533" customFormat="1" hidden="1" x14ac:dyDescent="0.25">
      <c r="A200" s="626"/>
      <c r="B200" s="626"/>
      <c r="C200" s="626"/>
      <c r="D200" s="626"/>
      <c r="E200" s="626"/>
      <c r="F200" s="626"/>
      <c r="G200" s="626"/>
      <c r="H200" s="626"/>
      <c r="I200" s="626"/>
      <c r="J200" s="626"/>
      <c r="K200" s="626"/>
      <c r="L200" s="626"/>
      <c r="M200" s="626"/>
      <c r="N200" s="626"/>
      <c r="O200" s="626"/>
    </row>
    <row r="201" spans="1:15" hidden="1" x14ac:dyDescent="0.25">
      <c r="A201" s="631"/>
      <c r="B201" s="631"/>
      <c r="C201" s="631"/>
      <c r="D201" s="631"/>
      <c r="E201" s="631"/>
      <c r="F201" s="631"/>
      <c r="G201" s="631"/>
      <c r="H201" s="631"/>
      <c r="I201" s="631"/>
      <c r="J201" s="631"/>
      <c r="K201" s="631"/>
      <c r="L201" s="631"/>
      <c r="M201" s="631"/>
      <c r="N201" s="631"/>
      <c r="O201" s="631"/>
    </row>
    <row r="202" spans="1:15" hidden="1" x14ac:dyDescent="0.25"/>
    <row r="203" spans="1:15" hidden="1" x14ac:dyDescent="0.25"/>
  </sheetData>
  <sheetProtection password="CC30" sheet="1" objects="1" scenarios="1" selectLockedCells="1"/>
  <mergeCells count="51">
    <mergeCell ref="B7:N7"/>
    <mergeCell ref="B1:N1"/>
    <mergeCell ref="B2:C4"/>
    <mergeCell ref="D2:N3"/>
    <mergeCell ref="D4:N4"/>
    <mergeCell ref="B6:N6"/>
    <mergeCell ref="B8:L9"/>
    <mergeCell ref="N8:N9"/>
    <mergeCell ref="B10:N10"/>
    <mergeCell ref="B32:L33"/>
    <mergeCell ref="N32:N33"/>
    <mergeCell ref="C11:D11"/>
    <mergeCell ref="C12:D12"/>
    <mergeCell ref="C13:D13"/>
    <mergeCell ref="C14:D14"/>
    <mergeCell ref="E11:F11"/>
    <mergeCell ref="E12:F12"/>
    <mergeCell ref="E13:F13"/>
    <mergeCell ref="E14:F14"/>
    <mergeCell ref="G11:N11"/>
    <mergeCell ref="G12:N12"/>
    <mergeCell ref="G13:N13"/>
    <mergeCell ref="B26:N26"/>
    <mergeCell ref="B34:N34"/>
    <mergeCell ref="B35:N37"/>
    <mergeCell ref="C27:D27"/>
    <mergeCell ref="C28:D28"/>
    <mergeCell ref="C29:D29"/>
    <mergeCell ref="C30:D30"/>
    <mergeCell ref="G28:N28"/>
    <mergeCell ref="G29:N29"/>
    <mergeCell ref="G30:N30"/>
    <mergeCell ref="E27:F27"/>
    <mergeCell ref="E28:F28"/>
    <mergeCell ref="E29:F29"/>
    <mergeCell ref="E30:F30"/>
    <mergeCell ref="G27:N27"/>
    <mergeCell ref="G14:N14"/>
    <mergeCell ref="B18:N18"/>
    <mergeCell ref="C19:G19"/>
    <mergeCell ref="C20:G20"/>
    <mergeCell ref="N24:N25"/>
    <mergeCell ref="B24:L25"/>
    <mergeCell ref="B16:L17"/>
    <mergeCell ref="N16:N17"/>
    <mergeCell ref="C21:G21"/>
    <mergeCell ref="C22:G22"/>
    <mergeCell ref="I19:N19"/>
    <mergeCell ref="I20:N20"/>
    <mergeCell ref="I21:N21"/>
    <mergeCell ref="I22:N22"/>
  </mergeCells>
  <conditionalFormatting sqref="B34:B35">
    <cfRule type="containsText" dxfId="23" priority="52" operator="containsText" text="Please describe reduction strategies underway, if any">
      <formula>NOT(ISERROR(SEARCH("Please describe reduction strategies underway, if any",B34)))</formula>
    </cfRule>
  </conditionalFormatting>
  <conditionalFormatting sqref="G11:G14">
    <cfRule type="containsText" dxfId="22" priority="47" operator="containsText" text="Please provide details here, if available (e.g. # of mowers, fuel type, etc.)">
      <formula>NOT(ISERROR(SEARCH("Please provide details here, if available (e.g. # of mowers, fuel type, etc.)",G11)))</formula>
    </cfRule>
  </conditionalFormatting>
  <conditionalFormatting sqref="B11:B14">
    <cfRule type="expression" dxfId="21" priority="41">
      <formula>B10=" "</formula>
    </cfRule>
  </conditionalFormatting>
  <conditionalFormatting sqref="C11">
    <cfRule type="containsText" dxfId="20" priority="40" operator="containsText" text="Which of the following equipment do you operate?">
      <formula>NOT(ISERROR(SEARCH("Which of the following equipment do you operate?",C11)))</formula>
    </cfRule>
  </conditionalFormatting>
  <conditionalFormatting sqref="B10:N10">
    <cfRule type="containsText" dxfId="19" priority="39" operator="containsText" text="Which of the following equipment do you operate?">
      <formula>NOT(ISERROR(SEARCH("Which of the following equipment do you operate?",B10)))</formula>
    </cfRule>
  </conditionalFormatting>
  <conditionalFormatting sqref="C13:C14">
    <cfRule type="containsText" dxfId="18" priority="35" operator="containsText" text="Which of the following equipment do you operate?">
      <formula>NOT(ISERROR(SEARCH("Which of the following equipment do you operate?",C13)))</formula>
    </cfRule>
  </conditionalFormatting>
  <conditionalFormatting sqref="C12">
    <cfRule type="containsText" dxfId="17" priority="36" operator="containsText" text="Which of the following equipment do you operate?">
      <formula>NOT(ISERROR(SEARCH("Which of the following equipment do you operate?",C12)))</formula>
    </cfRule>
  </conditionalFormatting>
  <conditionalFormatting sqref="B19:B22">
    <cfRule type="expression" dxfId="16" priority="32">
      <formula>B18=" "</formula>
    </cfRule>
  </conditionalFormatting>
  <conditionalFormatting sqref="C19">
    <cfRule type="containsText" dxfId="15" priority="30" operator="containsText" text="Which of the following equipment do you operate?">
      <formula>NOT(ISERROR(SEARCH("Which of the following equipment do you operate?",C19)))</formula>
    </cfRule>
  </conditionalFormatting>
  <conditionalFormatting sqref="B18:N18">
    <cfRule type="expression" dxfId="14" priority="22">
      <formula>$N$16="yes"</formula>
    </cfRule>
  </conditionalFormatting>
  <conditionalFormatting sqref="C20:C22">
    <cfRule type="containsText" dxfId="13" priority="24" operator="containsText" text="Which of the following equipment do you operate?">
      <formula>NOT(ISERROR(SEARCH("Which of the following equipment do you operate?",C20)))</formula>
    </cfRule>
  </conditionalFormatting>
  <conditionalFormatting sqref="C20:C22">
    <cfRule type="expression" dxfId="12" priority="23">
      <formula>$N$16&lt;&gt;"yes"</formula>
    </cfRule>
  </conditionalFormatting>
  <conditionalFormatting sqref="B18:N22">
    <cfRule type="expression" dxfId="11" priority="21">
      <formula>$N$16&lt;&gt;"yes"</formula>
    </cfRule>
  </conditionalFormatting>
  <conditionalFormatting sqref="I19:M22">
    <cfRule type="expression" dxfId="10" priority="19">
      <formula>H19="yes"</formula>
    </cfRule>
  </conditionalFormatting>
  <conditionalFormatting sqref="B34:B35">
    <cfRule type="expression" dxfId="9" priority="17">
      <formula>$N$32="yes"</formula>
    </cfRule>
  </conditionalFormatting>
  <conditionalFormatting sqref="B26:N26">
    <cfRule type="expression" dxfId="8" priority="15">
      <formula>$N$24="yes"</formula>
    </cfRule>
  </conditionalFormatting>
  <conditionalFormatting sqref="B27:B30">
    <cfRule type="expression" dxfId="7" priority="14">
      <formula>B26=" "</formula>
    </cfRule>
  </conditionalFormatting>
  <conditionalFormatting sqref="B27:B30">
    <cfRule type="expression" dxfId="6" priority="13">
      <formula>$N$24&lt;&gt;"yes"</formula>
    </cfRule>
  </conditionalFormatting>
  <conditionalFormatting sqref="B27:B30">
    <cfRule type="expression" dxfId="5" priority="12">
      <formula>$N$24&lt;&gt;"yes"</formula>
    </cfRule>
  </conditionalFormatting>
  <conditionalFormatting sqref="B26:N26 B27:G30">
    <cfRule type="expression" dxfId="4" priority="4">
      <formula>$N$24&lt;&gt;"yes"</formula>
    </cfRule>
  </conditionalFormatting>
  <conditionalFormatting sqref="B19:N22">
    <cfRule type="expression" dxfId="3" priority="3">
      <formula>$N$16="yes"</formula>
    </cfRule>
  </conditionalFormatting>
  <conditionalFormatting sqref="N19:N22">
    <cfRule type="expression" dxfId="2" priority="54">
      <formula>L19="yes"</formula>
    </cfRule>
  </conditionalFormatting>
  <conditionalFormatting sqref="G27:N30">
    <cfRule type="expression" dxfId="1" priority="2">
      <formula>E27="yes"</formula>
    </cfRule>
  </conditionalFormatting>
  <conditionalFormatting sqref="B10:N14">
    <cfRule type="expression" dxfId="0" priority="1">
      <formula>$N$8&lt;&gt;"yes"</formula>
    </cfRule>
  </conditionalFormatting>
  <pageMargins left="0.7" right="0.7" top="0.75" bottom="0.75" header="0.3" footer="0.3"/>
  <ignoredErrors>
    <ignoredError sqref="N11:N14 N19 N20:N22 B34 B26 I20:L20 I19:L19 G11:L14 H27:N27 G27 G28:N29 G30 J22:L22 J21:L2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Source!$T$1:$T$4</xm:f>
          </x14:formula1>
          <xm:sqref>N24 N16:N17 N32:N33 N8:N9 E11:F14 H19:H22 F20:F22 E27:E30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D53"/>
  <sheetViews>
    <sheetView topLeftCell="B7" workbookViewId="0">
      <selection activeCell="I29" sqref="I29"/>
    </sheetView>
  </sheetViews>
  <sheetFormatPr defaultRowHeight="15" x14ac:dyDescent="0.25"/>
  <cols>
    <col min="1" max="1" width="50.7109375" bestFit="1" customWidth="1"/>
    <col min="2" max="2" width="50.7109375" customWidth="1"/>
    <col min="4" max="4" width="13.140625" bestFit="1" customWidth="1"/>
    <col min="6" max="6" width="37.7109375" bestFit="1" customWidth="1"/>
    <col min="7" max="7" width="16.28515625" style="233" bestFit="1" customWidth="1"/>
    <col min="9" max="9" width="26.42578125" bestFit="1" customWidth="1"/>
    <col min="18" max="18" width="9.140625" style="147"/>
    <col min="19" max="19" width="14.28515625" bestFit="1" customWidth="1"/>
    <col min="20" max="20" width="29" bestFit="1" customWidth="1"/>
    <col min="21" max="22" width="49" bestFit="1" customWidth="1"/>
    <col min="24" max="24" width="44.140625" bestFit="1" customWidth="1"/>
    <col min="26" max="26" width="44.140625" bestFit="1" customWidth="1"/>
    <col min="28" max="28" width="44.140625" bestFit="1" customWidth="1"/>
    <col min="30" max="30" width="26.42578125" style="147" customWidth="1"/>
  </cols>
  <sheetData>
    <row r="1" spans="1:30" ht="15" customHeight="1" x14ac:dyDescent="0.25">
      <c r="A1" s="3" t="s">
        <v>549</v>
      </c>
      <c r="B1" s="3" t="s">
        <v>549</v>
      </c>
      <c r="D1" s="3" t="s">
        <v>569</v>
      </c>
      <c r="F1" s="60" t="s">
        <v>80</v>
      </c>
      <c r="G1" s="230" t="s">
        <v>81</v>
      </c>
      <c r="I1" s="60" t="s">
        <v>1148</v>
      </c>
      <c r="L1" s="3" t="s">
        <v>94</v>
      </c>
      <c r="M1" s="3" t="s">
        <v>98</v>
      </c>
      <c r="N1" s="3" t="s">
        <v>40</v>
      </c>
      <c r="O1" s="3" t="s">
        <v>101</v>
      </c>
      <c r="P1" s="4" t="s">
        <v>102</v>
      </c>
      <c r="Q1" s="4" t="s">
        <v>100</v>
      </c>
      <c r="S1" s="3" t="s">
        <v>1148</v>
      </c>
      <c r="T1" s="3" t="s">
        <v>1148</v>
      </c>
      <c r="U1" s="3" t="s">
        <v>1148</v>
      </c>
      <c r="V1" s="3" t="s">
        <v>1148</v>
      </c>
      <c r="W1" s="3" t="s">
        <v>1148</v>
      </c>
      <c r="X1" s="3" t="s">
        <v>1148</v>
      </c>
      <c r="Z1" s="3" t="s">
        <v>707</v>
      </c>
      <c r="AB1" s="3" t="s">
        <v>1148</v>
      </c>
      <c r="AD1" s="434" t="s">
        <v>1148</v>
      </c>
    </row>
    <row r="2" spans="1:30" x14ac:dyDescent="0.25">
      <c r="A2" s="2" t="s">
        <v>27</v>
      </c>
      <c r="B2" s="2" t="s">
        <v>29</v>
      </c>
      <c r="D2" s="2" t="s">
        <v>97</v>
      </c>
      <c r="F2" s="60" t="s">
        <v>695</v>
      </c>
      <c r="G2" s="231" t="s">
        <v>885</v>
      </c>
      <c r="I2" s="2" t="s">
        <v>82</v>
      </c>
      <c r="L2" s="2" t="s">
        <v>10</v>
      </c>
      <c r="M2" s="2" t="s">
        <v>11</v>
      </c>
      <c r="N2" s="2" t="s">
        <v>11</v>
      </c>
      <c r="O2" s="2" t="s">
        <v>36</v>
      </c>
      <c r="P2" s="2" t="s">
        <v>35</v>
      </c>
      <c r="Q2" s="2" t="s">
        <v>10</v>
      </c>
      <c r="R2" s="149"/>
      <c r="S2" s="112" t="s">
        <v>1164</v>
      </c>
      <c r="T2" s="2" t="s">
        <v>82</v>
      </c>
      <c r="U2" s="2" t="s">
        <v>504</v>
      </c>
      <c r="V2" s="85" t="s">
        <v>519</v>
      </c>
      <c r="W2" s="85" t="s">
        <v>516</v>
      </c>
      <c r="X2" s="85" t="s">
        <v>606</v>
      </c>
      <c r="Z2" s="85" t="s">
        <v>704</v>
      </c>
      <c r="AB2" s="180" t="s">
        <v>765</v>
      </c>
      <c r="AD2" s="203" t="s">
        <v>1222</v>
      </c>
    </row>
    <row r="3" spans="1:30" x14ac:dyDescent="0.25">
      <c r="A3" s="2" t="s">
        <v>103</v>
      </c>
      <c r="B3" s="2" t="s">
        <v>26</v>
      </c>
      <c r="D3" s="2" t="s">
        <v>31</v>
      </c>
      <c r="F3" s="61" t="s">
        <v>576</v>
      </c>
      <c r="G3" s="232">
        <v>293072</v>
      </c>
      <c r="I3" s="2" t="s">
        <v>83</v>
      </c>
      <c r="L3" s="2" t="s">
        <v>95</v>
      </c>
      <c r="M3" s="2" t="s">
        <v>99</v>
      </c>
      <c r="N3" s="2" t="s">
        <v>100</v>
      </c>
      <c r="O3" s="2" t="s">
        <v>96</v>
      </c>
      <c r="P3" s="2" t="s">
        <v>96</v>
      </c>
      <c r="Q3" s="2" t="s">
        <v>95</v>
      </c>
      <c r="R3" s="149"/>
      <c r="S3" s="112" t="s">
        <v>83</v>
      </c>
      <c r="T3" s="2" t="s">
        <v>83</v>
      </c>
      <c r="U3" s="2" t="s">
        <v>505</v>
      </c>
      <c r="V3" s="112" t="s">
        <v>518</v>
      </c>
      <c r="W3" s="85" t="s">
        <v>517</v>
      </c>
      <c r="X3" s="85" t="s">
        <v>607</v>
      </c>
      <c r="Z3" s="85" t="s">
        <v>705</v>
      </c>
      <c r="AB3" s="180" t="s">
        <v>791</v>
      </c>
      <c r="AD3" s="149" t="s">
        <v>1224</v>
      </c>
    </row>
    <row r="4" spans="1:30" x14ac:dyDescent="0.25">
      <c r="A4" s="2" t="s">
        <v>24</v>
      </c>
      <c r="B4" s="85" t="s">
        <v>715</v>
      </c>
      <c r="D4" s="2" t="s">
        <v>32</v>
      </c>
      <c r="F4" s="61" t="s">
        <v>48</v>
      </c>
      <c r="G4" s="232">
        <v>1916312</v>
      </c>
      <c r="I4" t="s">
        <v>1163</v>
      </c>
      <c r="L4" s="2" t="s">
        <v>96</v>
      </c>
      <c r="M4" s="2" t="s">
        <v>100</v>
      </c>
      <c r="O4" s="2" t="s">
        <v>97</v>
      </c>
      <c r="P4" s="2" t="s">
        <v>97</v>
      </c>
      <c r="Q4" s="2" t="s">
        <v>96</v>
      </c>
      <c r="R4" s="149"/>
      <c r="S4" s="112" t="s">
        <v>1165</v>
      </c>
      <c r="T4" s="2" t="s">
        <v>573</v>
      </c>
      <c r="U4" s="2" t="s">
        <v>506</v>
      </c>
      <c r="V4" s="85"/>
      <c r="W4" s="85" t="s">
        <v>515</v>
      </c>
      <c r="X4" s="85" t="s">
        <v>30</v>
      </c>
      <c r="Z4" s="85" t="s">
        <v>30</v>
      </c>
      <c r="AB4" s="180" t="s">
        <v>30</v>
      </c>
      <c r="AD4" s="147" t="s">
        <v>1223</v>
      </c>
    </row>
    <row r="5" spans="1:30" x14ac:dyDescent="0.25">
      <c r="A5" s="2" t="s">
        <v>23</v>
      </c>
      <c r="B5" s="2" t="s">
        <v>25</v>
      </c>
      <c r="D5" s="2" t="s">
        <v>230</v>
      </c>
      <c r="F5" s="61" t="s">
        <v>577</v>
      </c>
      <c r="G5" s="232">
        <v>363405</v>
      </c>
      <c r="L5" s="2" t="s">
        <v>97</v>
      </c>
      <c r="O5" s="2" t="s">
        <v>32</v>
      </c>
      <c r="P5" s="2" t="s">
        <v>100</v>
      </c>
      <c r="Q5" s="2" t="s">
        <v>97</v>
      </c>
      <c r="R5" s="149"/>
      <c r="S5" s="112" t="s">
        <v>1166</v>
      </c>
      <c r="T5" s="2" t="s">
        <v>536</v>
      </c>
      <c r="U5" s="2" t="s">
        <v>507</v>
      </c>
      <c r="V5" s="85" t="s">
        <v>30</v>
      </c>
      <c r="W5" s="85" t="s">
        <v>30</v>
      </c>
      <c r="X5" s="85"/>
    </row>
    <row r="6" spans="1:30" x14ac:dyDescent="0.25">
      <c r="A6" s="85" t="s">
        <v>738</v>
      </c>
      <c r="B6" s="2" t="s">
        <v>28</v>
      </c>
      <c r="D6" s="85" t="s">
        <v>713</v>
      </c>
      <c r="F6" s="61" t="s">
        <v>578</v>
      </c>
      <c r="G6" s="232">
        <v>487260</v>
      </c>
      <c r="L6" s="2" t="s">
        <v>11</v>
      </c>
      <c r="O6" s="2" t="s">
        <v>100</v>
      </c>
      <c r="Q6" s="2" t="s">
        <v>11</v>
      </c>
      <c r="R6" s="149"/>
    </row>
    <row r="7" spans="1:30" x14ac:dyDescent="0.25">
      <c r="A7" s="85" t="s">
        <v>739</v>
      </c>
      <c r="B7" s="2" t="s">
        <v>30</v>
      </c>
      <c r="D7" s="2" t="s">
        <v>30</v>
      </c>
      <c r="F7" s="28" t="s">
        <v>289</v>
      </c>
      <c r="G7" s="232">
        <v>2097959</v>
      </c>
      <c r="L7" s="2" t="s">
        <v>100</v>
      </c>
      <c r="Q7" s="2" t="s">
        <v>99</v>
      </c>
      <c r="R7" s="149"/>
    </row>
    <row r="8" spans="1:30" x14ac:dyDescent="0.25">
      <c r="A8" s="85" t="s">
        <v>740</v>
      </c>
      <c r="F8" s="61" t="s">
        <v>579</v>
      </c>
      <c r="G8" s="232">
        <v>325819</v>
      </c>
      <c r="Q8" s="2" t="s">
        <v>100</v>
      </c>
      <c r="R8" s="149"/>
    </row>
    <row r="9" spans="1:30" ht="13.9" customHeight="1" x14ac:dyDescent="0.25">
      <c r="A9" s="2" t="s">
        <v>30</v>
      </c>
      <c r="F9" s="61" t="s">
        <v>580</v>
      </c>
      <c r="G9" s="232">
        <v>544620</v>
      </c>
    </row>
    <row r="10" spans="1:30" x14ac:dyDescent="0.25">
      <c r="F10" s="61" t="s">
        <v>581</v>
      </c>
      <c r="G10" s="243" t="s">
        <v>885</v>
      </c>
    </row>
    <row r="11" spans="1:30" x14ac:dyDescent="0.25">
      <c r="F11" s="61" t="s">
        <v>49</v>
      </c>
      <c r="G11" s="232">
        <v>6087961</v>
      </c>
    </row>
    <row r="12" spans="1:30" x14ac:dyDescent="0.25">
      <c r="F12" s="61" t="s">
        <v>50</v>
      </c>
      <c r="G12" s="232">
        <v>1167318</v>
      </c>
    </row>
    <row r="13" spans="1:30" x14ac:dyDescent="0.25">
      <c r="F13" s="61" t="s">
        <v>51</v>
      </c>
      <c r="G13" s="232">
        <v>145304</v>
      </c>
    </row>
    <row r="14" spans="1:30" x14ac:dyDescent="0.25">
      <c r="F14" s="61" t="s">
        <v>77</v>
      </c>
      <c r="G14" s="243" t="s">
        <v>885</v>
      </c>
    </row>
    <row r="15" spans="1:30" x14ac:dyDescent="0.25">
      <c r="F15" s="61" t="s">
        <v>52</v>
      </c>
      <c r="G15" s="232">
        <v>1700550</v>
      </c>
    </row>
    <row r="16" spans="1:30" x14ac:dyDescent="0.25">
      <c r="F16" s="61" t="s">
        <v>53</v>
      </c>
      <c r="G16" s="232">
        <v>2354206</v>
      </c>
    </row>
    <row r="17" spans="6:7" x14ac:dyDescent="0.25">
      <c r="F17" s="61" t="s">
        <v>54</v>
      </c>
      <c r="G17" s="232">
        <v>754231</v>
      </c>
    </row>
    <row r="18" spans="6:7" x14ac:dyDescent="0.25">
      <c r="F18" s="61" t="s">
        <v>55</v>
      </c>
      <c r="G18" s="232">
        <v>561414</v>
      </c>
    </row>
    <row r="19" spans="6:7" x14ac:dyDescent="0.25">
      <c r="F19" s="61" t="s">
        <v>582</v>
      </c>
      <c r="G19" s="232">
        <v>2926439</v>
      </c>
    </row>
    <row r="20" spans="6:7" x14ac:dyDescent="0.25">
      <c r="F20" s="61" t="s">
        <v>78</v>
      </c>
      <c r="G20" s="243" t="s">
        <v>885</v>
      </c>
    </row>
    <row r="21" spans="6:7" x14ac:dyDescent="0.25">
      <c r="F21" s="61" t="s">
        <v>56</v>
      </c>
      <c r="G21" s="232">
        <v>1567686</v>
      </c>
    </row>
    <row r="22" spans="6:7" x14ac:dyDescent="0.25">
      <c r="F22" s="61" t="s">
        <v>57</v>
      </c>
      <c r="G22" s="232">
        <v>1409954</v>
      </c>
    </row>
    <row r="23" spans="6:7" x14ac:dyDescent="0.25">
      <c r="F23" s="1109" t="s">
        <v>1303</v>
      </c>
      <c r="G23" s="232">
        <v>286651</v>
      </c>
    </row>
    <row r="24" spans="6:7" x14ac:dyDescent="0.25">
      <c r="F24" s="61" t="s">
        <v>59</v>
      </c>
      <c r="G24" s="232">
        <v>591210</v>
      </c>
    </row>
    <row r="25" spans="6:7" x14ac:dyDescent="0.25">
      <c r="F25" s="61" t="s">
        <v>60</v>
      </c>
      <c r="G25" s="232">
        <v>245231</v>
      </c>
    </row>
    <row r="26" spans="6:7" x14ac:dyDescent="0.25">
      <c r="F26" s="61" t="s">
        <v>583</v>
      </c>
      <c r="G26" s="232">
        <v>571984</v>
      </c>
    </row>
    <row r="27" spans="6:7" x14ac:dyDescent="0.25">
      <c r="F27" s="61" t="s">
        <v>61</v>
      </c>
      <c r="G27" s="232">
        <v>388000</v>
      </c>
    </row>
    <row r="28" spans="6:7" x14ac:dyDescent="0.25">
      <c r="F28" s="61" t="s">
        <v>62</v>
      </c>
      <c r="G28" s="232">
        <v>1158728</v>
      </c>
    </row>
    <row r="29" spans="6:7" x14ac:dyDescent="0.25">
      <c r="F29" s="61" t="s">
        <v>584</v>
      </c>
      <c r="G29" s="232">
        <v>797073</v>
      </c>
    </row>
    <row r="30" spans="6:7" x14ac:dyDescent="0.25">
      <c r="F30" s="61" t="s">
        <v>585</v>
      </c>
      <c r="G30" s="232">
        <v>964835</v>
      </c>
    </row>
    <row r="31" spans="6:7" x14ac:dyDescent="0.25">
      <c r="F31" s="61" t="s">
        <v>586</v>
      </c>
      <c r="G31" s="243" t="s">
        <v>885</v>
      </c>
    </row>
    <row r="32" spans="6:7" x14ac:dyDescent="0.25">
      <c r="F32" s="61" t="s">
        <v>587</v>
      </c>
      <c r="G32" s="232">
        <v>556147</v>
      </c>
    </row>
    <row r="33" spans="6:7" x14ac:dyDescent="0.25">
      <c r="F33" s="61" t="s">
        <v>593</v>
      </c>
      <c r="G33" s="232">
        <v>0</v>
      </c>
    </row>
    <row r="34" spans="6:7" x14ac:dyDescent="0.25">
      <c r="F34" s="61" t="s">
        <v>588</v>
      </c>
      <c r="G34" s="232">
        <v>35000</v>
      </c>
    </row>
    <row r="35" spans="6:7" x14ac:dyDescent="0.25">
      <c r="F35" s="61" t="s">
        <v>589</v>
      </c>
      <c r="G35" s="243" t="s">
        <v>885</v>
      </c>
    </row>
    <row r="36" spans="6:7" x14ac:dyDescent="0.25">
      <c r="F36" s="61" t="s">
        <v>79</v>
      </c>
      <c r="G36" s="243" t="s">
        <v>885</v>
      </c>
    </row>
    <row r="37" spans="6:7" x14ac:dyDescent="0.25">
      <c r="F37" s="61" t="s">
        <v>63</v>
      </c>
      <c r="G37" s="232">
        <v>534602</v>
      </c>
    </row>
    <row r="38" spans="6:7" x14ac:dyDescent="0.25">
      <c r="F38" s="61" t="s">
        <v>64</v>
      </c>
      <c r="G38" s="232">
        <v>1537990</v>
      </c>
    </row>
    <row r="39" spans="6:7" x14ac:dyDescent="0.25">
      <c r="F39" s="61" t="s">
        <v>590</v>
      </c>
      <c r="G39" s="232">
        <v>429810</v>
      </c>
    </row>
    <row r="40" spans="6:7" x14ac:dyDescent="0.25">
      <c r="F40" s="61" t="s">
        <v>591</v>
      </c>
      <c r="G40" s="232">
        <v>463255</v>
      </c>
    </row>
    <row r="41" spans="6:7" x14ac:dyDescent="0.25">
      <c r="F41" s="61" t="s">
        <v>65</v>
      </c>
      <c r="G41" s="232">
        <v>442006</v>
      </c>
    </row>
    <row r="42" spans="6:7" x14ac:dyDescent="0.25">
      <c r="F42" s="61" t="s">
        <v>66</v>
      </c>
      <c r="G42" s="232">
        <v>368529</v>
      </c>
    </row>
    <row r="43" spans="6:7" x14ac:dyDescent="0.25">
      <c r="F43" s="61" t="s">
        <v>67</v>
      </c>
      <c r="G43" s="232">
        <v>431626</v>
      </c>
    </row>
    <row r="44" spans="6:7" x14ac:dyDescent="0.25">
      <c r="F44" s="61" t="s">
        <v>68</v>
      </c>
      <c r="G44" s="232">
        <v>1662428</v>
      </c>
    </row>
    <row r="45" spans="6:7" x14ac:dyDescent="0.25">
      <c r="F45" s="61" t="s">
        <v>592</v>
      </c>
      <c r="G45" s="232">
        <v>1072615</v>
      </c>
    </row>
    <row r="46" spans="6:7" x14ac:dyDescent="0.25">
      <c r="F46" s="61" t="s">
        <v>69</v>
      </c>
      <c r="G46" s="232">
        <v>4721833</v>
      </c>
    </row>
    <row r="47" spans="6:7" x14ac:dyDescent="0.25">
      <c r="F47" s="61" t="s">
        <v>70</v>
      </c>
      <c r="G47" s="232">
        <v>12888849</v>
      </c>
    </row>
    <row r="48" spans="6:7" x14ac:dyDescent="0.25">
      <c r="F48" s="61" t="s">
        <v>71</v>
      </c>
      <c r="G48" s="232">
        <v>2917783</v>
      </c>
    </row>
    <row r="49" spans="6:7" x14ac:dyDescent="0.25">
      <c r="F49" s="61" t="s">
        <v>72</v>
      </c>
      <c r="G49" s="232">
        <v>2773752</v>
      </c>
    </row>
    <row r="50" spans="6:7" x14ac:dyDescent="0.25">
      <c r="F50" s="61" t="s">
        <v>73</v>
      </c>
      <c r="G50" s="232">
        <v>4414515</v>
      </c>
    </row>
    <row r="51" spans="6:7" x14ac:dyDescent="0.25">
      <c r="F51" s="61" t="s">
        <v>74</v>
      </c>
      <c r="G51" s="232">
        <v>3342108</v>
      </c>
    </row>
    <row r="52" spans="6:7" x14ac:dyDescent="0.25">
      <c r="F52" s="61" t="s">
        <v>75</v>
      </c>
      <c r="G52" s="232">
        <v>1491963</v>
      </c>
    </row>
    <row r="53" spans="6:7" x14ac:dyDescent="0.25">
      <c r="F53" s="61" t="s">
        <v>76</v>
      </c>
      <c r="G53" s="232">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topLeftCell="A10" workbookViewId="0">
      <selection activeCell="A11" sqref="A11"/>
    </sheetView>
  </sheetViews>
  <sheetFormatPr defaultColWidth="0" defaultRowHeight="15" zeroHeight="1" x14ac:dyDescent="0.25"/>
  <cols>
    <col min="1" max="1" width="2.28515625" style="227" customWidth="1"/>
    <col min="2" max="2" width="19" style="489" customWidth="1"/>
    <col min="3" max="15" width="10.140625" style="489" customWidth="1"/>
    <col min="16" max="16" width="15.5703125" style="489" customWidth="1"/>
    <col min="17" max="17" width="23.85546875" style="492" customWidth="1"/>
    <col min="18" max="16384" width="9.140625" style="489" hidden="1"/>
  </cols>
  <sheetData>
    <row r="1" spans="1:17" ht="15.75" thickBot="1" x14ac:dyDescent="0.3">
      <c r="B1" s="724" t="s">
        <v>548</v>
      </c>
      <c r="C1" s="724"/>
      <c r="D1" s="724"/>
      <c r="E1" s="724"/>
      <c r="F1" s="724"/>
      <c r="G1" s="724"/>
      <c r="H1" s="724"/>
      <c r="I1" s="724"/>
      <c r="J1" s="724"/>
      <c r="K1" s="724"/>
      <c r="L1" s="724"/>
      <c r="M1" s="724"/>
      <c r="N1" s="724"/>
      <c r="O1" s="724"/>
      <c r="P1" s="724"/>
    </row>
    <row r="2" spans="1:17" ht="21" customHeight="1" thickBot="1" x14ac:dyDescent="0.3">
      <c r="B2" s="725" t="s">
        <v>746</v>
      </c>
      <c r="C2" s="725"/>
      <c r="D2" s="725"/>
      <c r="E2" s="725"/>
      <c r="F2" s="725"/>
      <c r="G2" s="725"/>
      <c r="H2" s="725"/>
      <c r="I2" s="725"/>
      <c r="J2" s="725"/>
      <c r="K2" s="725"/>
      <c r="L2" s="725"/>
      <c r="M2" s="725"/>
      <c r="N2" s="725"/>
      <c r="O2" s="725"/>
      <c r="P2" s="725"/>
    </row>
    <row r="3" spans="1:17" ht="21" customHeight="1" thickBot="1" x14ac:dyDescent="0.3">
      <c r="B3" s="725"/>
      <c r="C3" s="725"/>
      <c r="D3" s="725"/>
      <c r="E3" s="725"/>
      <c r="F3" s="725"/>
      <c r="G3" s="725"/>
      <c r="H3" s="725"/>
      <c r="I3" s="725"/>
      <c r="J3" s="725"/>
      <c r="K3" s="725"/>
      <c r="L3" s="725"/>
      <c r="M3" s="725"/>
      <c r="N3" s="725"/>
      <c r="O3" s="725"/>
      <c r="P3" s="725"/>
    </row>
    <row r="4" spans="1:17" ht="21" customHeight="1" thickBot="1" x14ac:dyDescent="0.3">
      <c r="B4" s="725"/>
      <c r="C4" s="725"/>
      <c r="D4" s="725"/>
      <c r="E4" s="725"/>
      <c r="F4" s="725"/>
      <c r="G4" s="725"/>
      <c r="H4" s="725"/>
      <c r="I4" s="725"/>
      <c r="J4" s="725"/>
      <c r="K4" s="725"/>
      <c r="L4" s="725"/>
      <c r="M4" s="725"/>
      <c r="N4" s="725"/>
      <c r="O4" s="725"/>
      <c r="P4" s="725"/>
    </row>
    <row r="5" spans="1:17" s="227" customFormat="1" x14ac:dyDescent="0.25"/>
    <row r="6" spans="1:17" x14ac:dyDescent="0.25">
      <c r="B6" s="711" t="s">
        <v>1267</v>
      </c>
      <c r="C6" s="711"/>
      <c r="D6" s="711"/>
      <c r="E6" s="711"/>
      <c r="F6" s="711"/>
      <c r="G6" s="711"/>
      <c r="H6" s="711"/>
      <c r="I6" s="711"/>
      <c r="J6" s="711"/>
      <c r="K6" s="711"/>
      <c r="L6" s="711"/>
      <c r="M6" s="711"/>
      <c r="N6" s="711"/>
      <c r="O6" s="711"/>
      <c r="P6" s="711"/>
    </row>
    <row r="7" spans="1:17" x14ac:dyDescent="0.25">
      <c r="B7" s="711"/>
      <c r="C7" s="711"/>
      <c r="D7" s="711"/>
      <c r="E7" s="711"/>
      <c r="F7" s="711"/>
      <c r="G7" s="711"/>
      <c r="H7" s="711"/>
      <c r="I7" s="711"/>
      <c r="J7" s="711"/>
      <c r="K7" s="711"/>
      <c r="L7" s="711"/>
      <c r="M7" s="711"/>
      <c r="N7" s="711"/>
      <c r="O7" s="711"/>
      <c r="P7" s="711"/>
    </row>
    <row r="8" spans="1:17" x14ac:dyDescent="0.25">
      <c r="B8" s="711"/>
      <c r="C8" s="711"/>
      <c r="D8" s="711"/>
      <c r="E8" s="711"/>
      <c r="F8" s="711"/>
      <c r="G8" s="711"/>
      <c r="H8" s="711"/>
      <c r="I8" s="711"/>
      <c r="J8" s="711"/>
      <c r="K8" s="711"/>
      <c r="L8" s="711"/>
      <c r="M8" s="711"/>
      <c r="N8" s="711"/>
      <c r="O8" s="711"/>
      <c r="P8" s="711"/>
    </row>
    <row r="9" spans="1:17" x14ac:dyDescent="0.25">
      <c r="B9" s="711"/>
      <c r="C9" s="711"/>
      <c r="D9" s="711"/>
      <c r="E9" s="711"/>
      <c r="F9" s="711"/>
      <c r="G9" s="711"/>
      <c r="H9" s="711"/>
      <c r="I9" s="711"/>
      <c r="J9" s="711"/>
      <c r="K9" s="711"/>
      <c r="L9" s="711"/>
      <c r="M9" s="711"/>
      <c r="N9" s="711"/>
      <c r="O9" s="711"/>
      <c r="P9" s="711"/>
    </row>
    <row r="10" spans="1:17" s="492" customFormat="1" ht="16.5" thickBot="1" x14ac:dyDescent="0.3">
      <c r="A10" s="493"/>
      <c r="B10" s="228"/>
      <c r="C10" s="228"/>
      <c r="D10" s="228"/>
      <c r="E10" s="228"/>
      <c r="F10" s="228"/>
      <c r="G10" s="228"/>
      <c r="H10" s="228"/>
      <c r="I10" s="228"/>
      <c r="J10" s="228"/>
      <c r="K10" s="228"/>
      <c r="L10" s="228"/>
      <c r="M10" s="228"/>
      <c r="N10" s="228"/>
      <c r="O10" s="228"/>
      <c r="P10" s="228"/>
    </row>
    <row r="11" spans="1:17" s="137" customFormat="1" ht="19.5" thickBot="1" x14ac:dyDescent="0.3">
      <c r="A11" s="491"/>
      <c r="B11" s="726" t="s">
        <v>1094</v>
      </c>
      <c r="C11" s="727"/>
      <c r="D11" s="727"/>
      <c r="E11" s="727"/>
      <c r="F11" s="727"/>
      <c r="G11" s="727"/>
      <c r="H11" s="727"/>
      <c r="I11" s="727"/>
      <c r="J11" s="727"/>
      <c r="K11" s="727"/>
      <c r="L11" s="727"/>
      <c r="M11" s="727"/>
      <c r="N11" s="727"/>
      <c r="O11" s="727"/>
      <c r="P11" s="728"/>
      <c r="Q11" s="183"/>
    </row>
    <row r="12" spans="1:17" s="137" customFormat="1" x14ac:dyDescent="0.25">
      <c r="A12" s="490"/>
      <c r="B12" s="712" t="s">
        <v>195</v>
      </c>
      <c r="C12" s="721" t="s">
        <v>1107</v>
      </c>
      <c r="D12" s="721"/>
      <c r="E12" s="721"/>
      <c r="F12" s="721"/>
      <c r="G12" s="721"/>
      <c r="H12" s="721"/>
      <c r="I12" s="721"/>
      <c r="J12" s="721"/>
      <c r="K12" s="721"/>
      <c r="L12" s="721"/>
      <c r="M12" s="721"/>
      <c r="N12" s="721"/>
      <c r="O12" s="721"/>
      <c r="P12" s="721"/>
      <c r="Q12" s="183"/>
    </row>
    <row r="13" spans="1:17" s="137" customFormat="1" x14ac:dyDescent="0.25">
      <c r="A13" s="490"/>
      <c r="B13" s="720"/>
      <c r="C13" s="722"/>
      <c r="D13" s="722"/>
      <c r="E13" s="722"/>
      <c r="F13" s="722"/>
      <c r="G13" s="722"/>
      <c r="H13" s="722"/>
      <c r="I13" s="722"/>
      <c r="J13" s="722"/>
      <c r="K13" s="722"/>
      <c r="L13" s="722"/>
      <c r="M13" s="722"/>
      <c r="N13" s="722"/>
      <c r="O13" s="722"/>
      <c r="P13" s="722"/>
      <c r="Q13" s="183"/>
    </row>
    <row r="14" spans="1:17" s="137" customFormat="1" ht="15.75" thickBot="1" x14ac:dyDescent="0.3">
      <c r="A14" s="490"/>
      <c r="B14" s="713"/>
      <c r="C14" s="722"/>
      <c r="D14" s="722"/>
      <c r="E14" s="722"/>
      <c r="F14" s="722"/>
      <c r="G14" s="722"/>
      <c r="H14" s="722"/>
      <c r="I14" s="722"/>
      <c r="J14" s="722"/>
      <c r="K14" s="722"/>
      <c r="L14" s="722"/>
      <c r="M14" s="722"/>
      <c r="N14" s="722"/>
      <c r="O14" s="722"/>
      <c r="P14" s="722"/>
      <c r="Q14" s="183"/>
    </row>
    <row r="15" spans="1:17" s="137" customFormat="1" x14ac:dyDescent="0.25">
      <c r="A15" s="490"/>
      <c r="B15" s="712" t="s">
        <v>81</v>
      </c>
      <c r="C15" s="714" t="s">
        <v>1108</v>
      </c>
      <c r="D15" s="714"/>
      <c r="E15" s="714"/>
      <c r="F15" s="714"/>
      <c r="G15" s="714"/>
      <c r="H15" s="714"/>
      <c r="I15" s="714"/>
      <c r="J15" s="714"/>
      <c r="K15" s="714"/>
      <c r="L15" s="714"/>
      <c r="M15" s="714"/>
      <c r="N15" s="714"/>
      <c r="O15" s="714"/>
      <c r="P15" s="714"/>
      <c r="Q15" s="183"/>
    </row>
    <row r="16" spans="1:17" s="137" customFormat="1" x14ac:dyDescent="0.25">
      <c r="A16" s="490"/>
      <c r="B16" s="720"/>
      <c r="C16" s="719"/>
      <c r="D16" s="719"/>
      <c r="E16" s="719"/>
      <c r="F16" s="719"/>
      <c r="G16" s="719"/>
      <c r="H16" s="719"/>
      <c r="I16" s="719"/>
      <c r="J16" s="719"/>
      <c r="K16" s="719"/>
      <c r="L16" s="719"/>
      <c r="M16" s="719"/>
      <c r="N16" s="719"/>
      <c r="O16" s="719"/>
      <c r="P16" s="719"/>
      <c r="Q16" s="183"/>
    </row>
    <row r="17" spans="1:17" s="137" customFormat="1" ht="18" customHeight="1" thickBot="1" x14ac:dyDescent="0.3">
      <c r="A17" s="490"/>
      <c r="B17" s="713"/>
      <c r="C17" s="719"/>
      <c r="D17" s="719"/>
      <c r="E17" s="719"/>
      <c r="F17" s="719"/>
      <c r="G17" s="719"/>
      <c r="H17" s="719"/>
      <c r="I17" s="719"/>
      <c r="J17" s="719"/>
      <c r="K17" s="719"/>
      <c r="L17" s="719"/>
      <c r="M17" s="719"/>
      <c r="N17" s="719"/>
      <c r="O17" s="719"/>
      <c r="P17" s="719"/>
      <c r="Q17" s="183"/>
    </row>
    <row r="18" spans="1:17" s="137" customFormat="1" x14ac:dyDescent="0.25">
      <c r="A18" s="490"/>
      <c r="B18" s="712" t="s">
        <v>551</v>
      </c>
      <c r="C18" s="721" t="s">
        <v>559</v>
      </c>
      <c r="D18" s="721"/>
      <c r="E18" s="721"/>
      <c r="F18" s="721"/>
      <c r="G18" s="721"/>
      <c r="H18" s="721"/>
      <c r="I18" s="721"/>
      <c r="J18" s="721"/>
      <c r="K18" s="721"/>
      <c r="L18" s="721"/>
      <c r="M18" s="721"/>
      <c r="N18" s="721"/>
      <c r="O18" s="721"/>
      <c r="P18" s="721"/>
      <c r="Q18" s="183"/>
    </row>
    <row r="19" spans="1:17" s="137" customFormat="1" x14ac:dyDescent="0.25">
      <c r="A19" s="490"/>
      <c r="B19" s="720"/>
      <c r="C19" s="722"/>
      <c r="D19" s="722"/>
      <c r="E19" s="722"/>
      <c r="F19" s="722"/>
      <c r="G19" s="722"/>
      <c r="H19" s="722"/>
      <c r="I19" s="722"/>
      <c r="J19" s="722"/>
      <c r="K19" s="722"/>
      <c r="L19" s="722"/>
      <c r="M19" s="722"/>
      <c r="N19" s="722"/>
      <c r="O19" s="722"/>
      <c r="P19" s="722"/>
      <c r="Q19" s="183"/>
    </row>
    <row r="20" spans="1:17" s="137" customFormat="1" x14ac:dyDescent="0.25">
      <c r="A20" s="490"/>
      <c r="B20" s="720"/>
      <c r="C20" s="722"/>
      <c r="D20" s="722"/>
      <c r="E20" s="722"/>
      <c r="F20" s="722"/>
      <c r="G20" s="722"/>
      <c r="H20" s="722"/>
      <c r="I20" s="722"/>
      <c r="J20" s="722"/>
      <c r="K20" s="722"/>
      <c r="L20" s="722"/>
      <c r="M20" s="722"/>
      <c r="N20" s="722"/>
      <c r="O20" s="722"/>
      <c r="P20" s="722"/>
      <c r="Q20" s="183"/>
    </row>
    <row r="21" spans="1:17" s="137" customFormat="1" ht="15.75" thickBot="1" x14ac:dyDescent="0.3">
      <c r="A21" s="490"/>
      <c r="B21" s="713"/>
      <c r="C21" s="723"/>
      <c r="D21" s="723"/>
      <c r="E21" s="723"/>
      <c r="F21" s="723"/>
      <c r="G21" s="723"/>
      <c r="H21" s="723"/>
      <c r="I21" s="723"/>
      <c r="J21" s="723"/>
      <c r="K21" s="723"/>
      <c r="L21" s="723"/>
      <c r="M21" s="723"/>
      <c r="N21" s="723"/>
      <c r="O21" s="723"/>
      <c r="P21" s="723"/>
      <c r="Q21" s="183"/>
    </row>
    <row r="22" spans="1:17" s="137" customFormat="1" x14ac:dyDescent="0.25">
      <c r="A22" s="490"/>
      <c r="B22" s="712" t="s">
        <v>552</v>
      </c>
      <c r="C22" s="721" t="s">
        <v>510</v>
      </c>
      <c r="D22" s="721"/>
      <c r="E22" s="721"/>
      <c r="F22" s="721"/>
      <c r="G22" s="721"/>
      <c r="H22" s="721"/>
      <c r="I22" s="721"/>
      <c r="J22" s="721"/>
      <c r="K22" s="721"/>
      <c r="L22" s="721"/>
      <c r="M22" s="721"/>
      <c r="N22" s="721"/>
      <c r="O22" s="721"/>
      <c r="P22" s="721"/>
      <c r="Q22" s="183"/>
    </row>
    <row r="23" spans="1:17" s="137" customFormat="1" x14ac:dyDescent="0.25">
      <c r="A23" s="490"/>
      <c r="B23" s="720"/>
      <c r="C23" s="722"/>
      <c r="D23" s="722"/>
      <c r="E23" s="722"/>
      <c r="F23" s="722"/>
      <c r="G23" s="722"/>
      <c r="H23" s="722"/>
      <c r="I23" s="722"/>
      <c r="J23" s="722"/>
      <c r="K23" s="722"/>
      <c r="L23" s="722"/>
      <c r="M23" s="722"/>
      <c r="N23" s="722"/>
      <c r="O23" s="722"/>
      <c r="P23" s="722"/>
      <c r="Q23" s="183"/>
    </row>
    <row r="24" spans="1:17" s="137" customFormat="1" ht="15.75" thickBot="1" x14ac:dyDescent="0.3">
      <c r="A24" s="490"/>
      <c r="B24" s="713"/>
      <c r="C24" s="723"/>
      <c r="D24" s="723"/>
      <c r="E24" s="723"/>
      <c r="F24" s="723"/>
      <c r="G24" s="723"/>
      <c r="H24" s="723"/>
      <c r="I24" s="723"/>
      <c r="J24" s="723"/>
      <c r="K24" s="723"/>
      <c r="L24" s="723"/>
      <c r="M24" s="723"/>
      <c r="N24" s="723"/>
      <c r="O24" s="723"/>
      <c r="P24" s="723"/>
      <c r="Q24" s="183"/>
    </row>
    <row r="25" spans="1:17" s="137" customFormat="1" x14ac:dyDescent="0.25">
      <c r="A25" s="490"/>
      <c r="B25" s="712" t="s">
        <v>553</v>
      </c>
      <c r="C25" s="721" t="s">
        <v>511</v>
      </c>
      <c r="D25" s="721"/>
      <c r="E25" s="721"/>
      <c r="F25" s="721"/>
      <c r="G25" s="721"/>
      <c r="H25" s="721"/>
      <c r="I25" s="721"/>
      <c r="J25" s="721"/>
      <c r="K25" s="721"/>
      <c r="L25" s="721"/>
      <c r="M25" s="721"/>
      <c r="N25" s="721"/>
      <c r="O25" s="721"/>
      <c r="P25" s="721"/>
      <c r="Q25" s="183"/>
    </row>
    <row r="26" spans="1:17" s="137" customFormat="1" x14ac:dyDescent="0.25">
      <c r="A26" s="490"/>
      <c r="B26" s="720"/>
      <c r="C26" s="722"/>
      <c r="D26" s="722"/>
      <c r="E26" s="722"/>
      <c r="F26" s="722"/>
      <c r="G26" s="722"/>
      <c r="H26" s="722"/>
      <c r="I26" s="722"/>
      <c r="J26" s="722"/>
      <c r="K26" s="722"/>
      <c r="L26" s="722"/>
      <c r="M26" s="722"/>
      <c r="N26" s="722"/>
      <c r="O26" s="722"/>
      <c r="P26" s="722"/>
      <c r="Q26" s="183"/>
    </row>
    <row r="27" spans="1:17" s="137" customFormat="1" ht="15.75" thickBot="1" x14ac:dyDescent="0.3">
      <c r="A27" s="490"/>
      <c r="B27" s="713"/>
      <c r="C27" s="723"/>
      <c r="D27" s="723"/>
      <c r="E27" s="723"/>
      <c r="F27" s="723"/>
      <c r="G27" s="723"/>
      <c r="H27" s="723"/>
      <c r="I27" s="723"/>
      <c r="J27" s="723"/>
      <c r="K27" s="723"/>
      <c r="L27" s="723"/>
      <c r="M27" s="723"/>
      <c r="N27" s="723"/>
      <c r="O27" s="723"/>
      <c r="P27" s="723"/>
      <c r="Q27" s="183"/>
    </row>
    <row r="28" spans="1:17" s="137" customFormat="1" x14ac:dyDescent="0.25">
      <c r="A28" s="490"/>
      <c r="B28" s="712" t="s">
        <v>251</v>
      </c>
      <c r="C28" s="714" t="s">
        <v>1109</v>
      </c>
      <c r="D28" s="714"/>
      <c r="E28" s="714"/>
      <c r="F28" s="714"/>
      <c r="G28" s="714"/>
      <c r="H28" s="714"/>
      <c r="I28" s="714"/>
      <c r="J28" s="714"/>
      <c r="K28" s="714"/>
      <c r="L28" s="714"/>
      <c r="M28" s="714"/>
      <c r="N28" s="714"/>
      <c r="O28" s="714"/>
      <c r="P28" s="714"/>
      <c r="Q28" s="183"/>
    </row>
    <row r="29" spans="1:17" s="137" customFormat="1" x14ac:dyDescent="0.25">
      <c r="A29" s="490"/>
      <c r="B29" s="720"/>
      <c r="C29" s="719"/>
      <c r="D29" s="719"/>
      <c r="E29" s="719"/>
      <c r="F29" s="719"/>
      <c r="G29" s="719"/>
      <c r="H29" s="719"/>
      <c r="I29" s="719"/>
      <c r="J29" s="719"/>
      <c r="K29" s="719"/>
      <c r="L29" s="719"/>
      <c r="M29" s="719"/>
      <c r="N29" s="719"/>
      <c r="O29" s="719"/>
      <c r="P29" s="719"/>
      <c r="Q29" s="183"/>
    </row>
    <row r="30" spans="1:17" s="137" customFormat="1" x14ac:dyDescent="0.25">
      <c r="A30" s="490"/>
      <c r="B30" s="720"/>
      <c r="C30" s="719"/>
      <c r="D30" s="719"/>
      <c r="E30" s="719"/>
      <c r="F30" s="719"/>
      <c r="G30" s="719"/>
      <c r="H30" s="719"/>
      <c r="I30" s="719"/>
      <c r="J30" s="719"/>
      <c r="K30" s="719"/>
      <c r="L30" s="719"/>
      <c r="M30" s="719"/>
      <c r="N30" s="719"/>
      <c r="O30" s="719"/>
      <c r="P30" s="719"/>
      <c r="Q30" s="183"/>
    </row>
    <row r="31" spans="1:17" s="137" customFormat="1" ht="15.75" thickBot="1" x14ac:dyDescent="0.3">
      <c r="A31" s="490"/>
      <c r="B31" s="713"/>
      <c r="C31" s="715"/>
      <c r="D31" s="715"/>
      <c r="E31" s="715"/>
      <c r="F31" s="715"/>
      <c r="G31" s="715"/>
      <c r="H31" s="715"/>
      <c r="I31" s="715"/>
      <c r="J31" s="715"/>
      <c r="K31" s="715"/>
      <c r="L31" s="715"/>
      <c r="M31" s="715"/>
      <c r="N31" s="715"/>
      <c r="O31" s="715"/>
      <c r="P31" s="715"/>
      <c r="Q31" s="183"/>
    </row>
    <row r="32" spans="1:17" s="137" customFormat="1" x14ac:dyDescent="0.25">
      <c r="A32" s="490"/>
      <c r="B32" s="712" t="s">
        <v>198</v>
      </c>
      <c r="C32" s="721" t="s">
        <v>558</v>
      </c>
      <c r="D32" s="721"/>
      <c r="E32" s="721"/>
      <c r="F32" s="721"/>
      <c r="G32" s="721"/>
      <c r="H32" s="721"/>
      <c r="I32" s="721"/>
      <c r="J32" s="721"/>
      <c r="K32" s="721"/>
      <c r="L32" s="721"/>
      <c r="M32" s="721"/>
      <c r="N32" s="721"/>
      <c r="O32" s="721"/>
      <c r="P32" s="721"/>
      <c r="Q32" s="183"/>
    </row>
    <row r="33" spans="1:17" s="137" customFormat="1" x14ac:dyDescent="0.25">
      <c r="A33" s="490"/>
      <c r="B33" s="720"/>
      <c r="C33" s="722"/>
      <c r="D33" s="722"/>
      <c r="E33" s="722"/>
      <c r="F33" s="722"/>
      <c r="G33" s="722"/>
      <c r="H33" s="722"/>
      <c r="I33" s="722"/>
      <c r="J33" s="722"/>
      <c r="K33" s="722"/>
      <c r="L33" s="722"/>
      <c r="M33" s="722"/>
      <c r="N33" s="722"/>
      <c r="O33" s="722"/>
      <c r="P33" s="722"/>
      <c r="Q33" s="183"/>
    </row>
    <row r="34" spans="1:17" s="137" customFormat="1" x14ac:dyDescent="0.25">
      <c r="A34" s="490"/>
      <c r="B34" s="720"/>
      <c r="C34" s="722"/>
      <c r="D34" s="722"/>
      <c r="E34" s="722"/>
      <c r="F34" s="722"/>
      <c r="G34" s="722"/>
      <c r="H34" s="722"/>
      <c r="I34" s="722"/>
      <c r="J34" s="722"/>
      <c r="K34" s="722"/>
      <c r="L34" s="722"/>
      <c r="M34" s="722"/>
      <c r="N34" s="722"/>
      <c r="O34" s="722"/>
      <c r="P34" s="722"/>
      <c r="Q34" s="183"/>
    </row>
    <row r="35" spans="1:17" s="137" customFormat="1" ht="15.75" thickBot="1" x14ac:dyDescent="0.3">
      <c r="A35" s="490"/>
      <c r="B35" s="713"/>
      <c r="C35" s="723"/>
      <c r="D35" s="723"/>
      <c r="E35" s="723"/>
      <c r="F35" s="723"/>
      <c r="G35" s="723"/>
      <c r="H35" s="723"/>
      <c r="I35" s="723"/>
      <c r="J35" s="723"/>
      <c r="K35" s="723"/>
      <c r="L35" s="723"/>
      <c r="M35" s="723"/>
      <c r="N35" s="723"/>
      <c r="O35" s="723"/>
      <c r="P35" s="723"/>
      <c r="Q35" s="183"/>
    </row>
    <row r="36" spans="1:17" s="137" customFormat="1" x14ac:dyDescent="0.25">
      <c r="A36" s="490"/>
      <c r="B36" s="712" t="s">
        <v>184</v>
      </c>
      <c r="C36" s="721" t="s">
        <v>512</v>
      </c>
      <c r="D36" s="721"/>
      <c r="E36" s="721"/>
      <c r="F36" s="721"/>
      <c r="G36" s="721"/>
      <c r="H36" s="721"/>
      <c r="I36" s="721"/>
      <c r="J36" s="721"/>
      <c r="K36" s="721"/>
      <c r="L36" s="721"/>
      <c r="M36" s="721"/>
      <c r="N36" s="721"/>
      <c r="O36" s="721"/>
      <c r="P36" s="721"/>
      <c r="Q36" s="183"/>
    </row>
    <row r="37" spans="1:17" s="137" customFormat="1" x14ac:dyDescent="0.25">
      <c r="A37" s="490"/>
      <c r="B37" s="720"/>
      <c r="C37" s="722"/>
      <c r="D37" s="722"/>
      <c r="E37" s="722"/>
      <c r="F37" s="722"/>
      <c r="G37" s="722"/>
      <c r="H37" s="722"/>
      <c r="I37" s="722"/>
      <c r="J37" s="722"/>
      <c r="K37" s="722"/>
      <c r="L37" s="722"/>
      <c r="M37" s="722"/>
      <c r="N37" s="722"/>
      <c r="O37" s="722"/>
      <c r="P37" s="722"/>
      <c r="Q37" s="183"/>
    </row>
    <row r="38" spans="1:17" s="137" customFormat="1" ht="15.75" thickBot="1" x14ac:dyDescent="0.3">
      <c r="A38" s="490"/>
      <c r="B38" s="713"/>
      <c r="C38" s="723"/>
      <c r="D38" s="723"/>
      <c r="E38" s="723"/>
      <c r="F38" s="723"/>
      <c r="G38" s="723"/>
      <c r="H38" s="723"/>
      <c r="I38" s="723"/>
      <c r="J38" s="723"/>
      <c r="K38" s="723"/>
      <c r="L38" s="723"/>
      <c r="M38" s="723"/>
      <c r="N38" s="723"/>
      <c r="O38" s="723"/>
      <c r="P38" s="723"/>
      <c r="Q38" s="183"/>
    </row>
    <row r="39" spans="1:17" s="137" customFormat="1" x14ac:dyDescent="0.25">
      <c r="A39" s="490"/>
      <c r="B39" s="712" t="s">
        <v>503</v>
      </c>
      <c r="C39" s="714" t="s">
        <v>555</v>
      </c>
      <c r="D39" s="714"/>
      <c r="E39" s="714"/>
      <c r="F39" s="714"/>
      <c r="G39" s="714"/>
      <c r="H39" s="714"/>
      <c r="I39" s="714"/>
      <c r="J39" s="714"/>
      <c r="K39" s="714"/>
      <c r="L39" s="714"/>
      <c r="M39" s="714"/>
      <c r="N39" s="714"/>
      <c r="O39" s="714"/>
      <c r="P39" s="714"/>
      <c r="Q39" s="183"/>
    </row>
    <row r="40" spans="1:17" s="137" customFormat="1" ht="15.75" thickBot="1" x14ac:dyDescent="0.3">
      <c r="A40" s="490"/>
      <c r="B40" s="713"/>
      <c r="C40" s="715"/>
      <c r="D40" s="715"/>
      <c r="E40" s="715"/>
      <c r="F40" s="715"/>
      <c r="G40" s="715"/>
      <c r="H40" s="715"/>
      <c r="I40" s="715"/>
      <c r="J40" s="715"/>
      <c r="K40" s="715"/>
      <c r="L40" s="715"/>
      <c r="M40" s="715"/>
      <c r="N40" s="715"/>
      <c r="O40" s="715"/>
      <c r="P40" s="715"/>
      <c r="Q40" s="183"/>
    </row>
    <row r="41" spans="1:17" s="137" customFormat="1" x14ac:dyDescent="0.25">
      <c r="A41" s="490"/>
      <c r="B41" s="712" t="s">
        <v>514</v>
      </c>
      <c r="C41" s="714" t="s">
        <v>556</v>
      </c>
      <c r="D41" s="714"/>
      <c r="E41" s="714"/>
      <c r="F41" s="714"/>
      <c r="G41" s="714"/>
      <c r="H41" s="714"/>
      <c r="I41" s="714"/>
      <c r="J41" s="714"/>
      <c r="K41" s="714"/>
      <c r="L41" s="714"/>
      <c r="M41" s="714"/>
      <c r="N41" s="714"/>
      <c r="O41" s="714"/>
      <c r="P41" s="714"/>
      <c r="Q41" s="183"/>
    </row>
    <row r="42" spans="1:17" s="137" customFormat="1" ht="15.75" thickBot="1" x14ac:dyDescent="0.3">
      <c r="A42" s="490"/>
      <c r="B42" s="713"/>
      <c r="C42" s="715"/>
      <c r="D42" s="715"/>
      <c r="E42" s="715"/>
      <c r="F42" s="715"/>
      <c r="G42" s="715"/>
      <c r="H42" s="715"/>
      <c r="I42" s="715"/>
      <c r="J42" s="715"/>
      <c r="K42" s="715"/>
      <c r="L42" s="715"/>
      <c r="M42" s="715"/>
      <c r="N42" s="715"/>
      <c r="O42" s="715"/>
      <c r="P42" s="715"/>
      <c r="Q42" s="183"/>
    </row>
    <row r="43" spans="1:17" s="137" customFormat="1" x14ac:dyDescent="0.25">
      <c r="A43" s="490"/>
      <c r="B43" s="712" t="s">
        <v>537</v>
      </c>
      <c r="C43" s="714" t="s">
        <v>557</v>
      </c>
      <c r="D43" s="714"/>
      <c r="E43" s="714"/>
      <c r="F43" s="714"/>
      <c r="G43" s="714"/>
      <c r="H43" s="714"/>
      <c r="I43" s="714"/>
      <c r="J43" s="714"/>
      <c r="K43" s="714"/>
      <c r="L43" s="714"/>
      <c r="M43" s="714"/>
      <c r="N43" s="714"/>
      <c r="O43" s="714"/>
      <c r="P43" s="714"/>
      <c r="Q43" s="183"/>
    </row>
    <row r="44" spans="1:17" s="137" customFormat="1" ht="15.75" thickBot="1" x14ac:dyDescent="0.3">
      <c r="A44" s="490"/>
      <c r="B44" s="713"/>
      <c r="C44" s="715"/>
      <c r="D44" s="715"/>
      <c r="E44" s="715"/>
      <c r="F44" s="715"/>
      <c r="G44" s="715"/>
      <c r="H44" s="715"/>
      <c r="I44" s="715"/>
      <c r="J44" s="715"/>
      <c r="K44" s="715"/>
      <c r="L44" s="715"/>
      <c r="M44" s="715"/>
      <c r="N44" s="715"/>
      <c r="O44" s="715"/>
      <c r="P44" s="715"/>
      <c r="Q44" s="183"/>
    </row>
    <row r="45" spans="1:17" s="137" customFormat="1" ht="15" customHeight="1" x14ac:dyDescent="0.25">
      <c r="A45" s="490"/>
      <c r="B45" s="712" t="s">
        <v>541</v>
      </c>
      <c r="C45" s="714" t="s">
        <v>554</v>
      </c>
      <c r="D45" s="714"/>
      <c r="E45" s="714"/>
      <c r="F45" s="714"/>
      <c r="G45" s="714"/>
      <c r="H45" s="714"/>
      <c r="I45" s="714"/>
      <c r="J45" s="714"/>
      <c r="K45" s="714"/>
      <c r="L45" s="714"/>
      <c r="M45" s="714"/>
      <c r="N45" s="714"/>
      <c r="O45" s="714"/>
      <c r="P45" s="714"/>
      <c r="Q45" s="183"/>
    </row>
    <row r="46" spans="1:17" s="137" customFormat="1" ht="15.75" customHeight="1" thickBot="1" x14ac:dyDescent="0.3">
      <c r="A46" s="490"/>
      <c r="B46" s="713"/>
      <c r="C46" s="715"/>
      <c r="D46" s="715"/>
      <c r="E46" s="715"/>
      <c r="F46" s="715"/>
      <c r="G46" s="715"/>
      <c r="H46" s="715"/>
      <c r="I46" s="715"/>
      <c r="J46" s="715"/>
      <c r="K46" s="715"/>
      <c r="L46" s="715"/>
      <c r="M46" s="715"/>
      <c r="N46" s="715"/>
      <c r="O46" s="715"/>
      <c r="P46" s="715"/>
      <c r="Q46" s="183"/>
    </row>
    <row r="47" spans="1:17" s="137" customFormat="1" ht="15.75" customHeight="1" x14ac:dyDescent="0.25">
      <c r="A47" s="490"/>
      <c r="B47" s="717" t="s">
        <v>1172</v>
      </c>
      <c r="C47" s="714" t="s">
        <v>1226</v>
      </c>
      <c r="D47" s="714"/>
      <c r="E47" s="714"/>
      <c r="F47" s="714"/>
      <c r="G47" s="714"/>
      <c r="H47" s="714"/>
      <c r="I47" s="714"/>
      <c r="J47" s="714"/>
      <c r="K47" s="714"/>
      <c r="L47" s="714"/>
      <c r="M47" s="714"/>
      <c r="N47" s="714"/>
      <c r="O47" s="714"/>
      <c r="P47" s="714"/>
      <c r="Q47" s="183"/>
    </row>
    <row r="48" spans="1:17" s="137" customFormat="1" ht="15.75" customHeight="1" x14ac:dyDescent="0.25">
      <c r="A48" s="490"/>
      <c r="B48" s="718"/>
      <c r="C48" s="719"/>
      <c r="D48" s="719"/>
      <c r="E48" s="719"/>
      <c r="F48" s="719"/>
      <c r="G48" s="719"/>
      <c r="H48" s="719"/>
      <c r="I48" s="719"/>
      <c r="J48" s="719"/>
      <c r="K48" s="719"/>
      <c r="L48" s="719"/>
      <c r="M48" s="719"/>
      <c r="N48" s="719"/>
      <c r="O48" s="719"/>
      <c r="P48" s="719"/>
      <c r="Q48" s="183"/>
    </row>
    <row r="49" spans="1:16" s="492" customFormat="1" ht="15.75" thickBot="1" x14ac:dyDescent="0.3">
      <c r="A49" s="227"/>
      <c r="B49" s="494"/>
      <c r="C49" s="494"/>
      <c r="D49" s="494"/>
      <c r="E49" s="494"/>
      <c r="F49" s="494"/>
      <c r="G49" s="494"/>
      <c r="H49" s="494"/>
      <c r="I49" s="494"/>
      <c r="J49" s="494"/>
      <c r="K49" s="494"/>
      <c r="L49" s="494"/>
      <c r="M49" s="494"/>
      <c r="N49" s="494"/>
      <c r="O49" s="494"/>
      <c r="P49" s="494"/>
    </row>
    <row r="50" spans="1:16" ht="15.75" thickBot="1" x14ac:dyDescent="0.3">
      <c r="B50" s="716" t="s">
        <v>238</v>
      </c>
      <c r="C50" s="716"/>
      <c r="D50" s="716"/>
      <c r="E50" s="716"/>
      <c r="F50" s="716"/>
      <c r="G50" s="716"/>
      <c r="H50" s="716"/>
      <c r="I50" s="716"/>
      <c r="J50" s="716"/>
      <c r="K50" s="716"/>
      <c r="L50" s="716"/>
      <c r="M50" s="716"/>
      <c r="N50" s="716"/>
      <c r="O50" s="716"/>
      <c r="P50" s="716"/>
    </row>
    <row r="51" spans="1:16" ht="15.75" thickBot="1" x14ac:dyDescent="0.3">
      <c r="B51" s="709" t="s">
        <v>747</v>
      </c>
      <c r="C51" s="709"/>
      <c r="D51" s="709"/>
      <c r="E51" s="709"/>
      <c r="F51" s="709"/>
      <c r="G51" s="709"/>
      <c r="H51" s="709"/>
      <c r="I51" s="709"/>
      <c r="J51" s="709"/>
      <c r="K51" s="709"/>
      <c r="L51" s="709"/>
      <c r="M51" s="709"/>
      <c r="N51" s="709"/>
      <c r="O51" s="709"/>
      <c r="P51" s="709"/>
    </row>
    <row r="52" spans="1:16" ht="15.75" thickBot="1" x14ac:dyDescent="0.3">
      <c r="B52" s="709"/>
      <c r="C52" s="709"/>
      <c r="D52" s="709"/>
      <c r="E52" s="709"/>
      <c r="F52" s="709"/>
      <c r="G52" s="709"/>
      <c r="H52" s="709"/>
      <c r="I52" s="709"/>
      <c r="J52" s="709"/>
      <c r="K52" s="709"/>
      <c r="L52" s="709"/>
      <c r="M52" s="709"/>
      <c r="N52" s="709"/>
      <c r="O52" s="709"/>
      <c r="P52" s="709"/>
    </row>
    <row r="53" spans="1:16" ht="15.75" thickBot="1" x14ac:dyDescent="0.3">
      <c r="B53" s="709"/>
      <c r="C53" s="709"/>
      <c r="D53" s="709"/>
      <c r="E53" s="709"/>
      <c r="F53" s="709"/>
      <c r="G53" s="709"/>
      <c r="H53" s="709"/>
      <c r="I53" s="709"/>
      <c r="J53" s="709"/>
      <c r="K53" s="709"/>
      <c r="L53" s="709"/>
      <c r="M53" s="709"/>
      <c r="N53" s="709"/>
      <c r="O53" s="709"/>
      <c r="P53" s="709"/>
    </row>
    <row r="54" spans="1:16" ht="15" customHeight="1" x14ac:dyDescent="0.25">
      <c r="B54" s="710" t="s">
        <v>1267</v>
      </c>
      <c r="C54" s="710"/>
      <c r="D54" s="710"/>
      <c r="E54" s="710"/>
      <c r="F54" s="710"/>
      <c r="G54" s="710"/>
      <c r="H54" s="710"/>
      <c r="I54" s="710"/>
      <c r="J54" s="710"/>
      <c r="K54" s="710"/>
      <c r="L54" s="710"/>
      <c r="M54" s="710"/>
      <c r="N54" s="710"/>
      <c r="O54" s="710"/>
      <c r="P54" s="710"/>
    </row>
    <row r="55" spans="1:16" ht="15" customHeight="1" x14ac:dyDescent="0.25">
      <c r="B55" s="711"/>
      <c r="C55" s="711"/>
      <c r="D55" s="711"/>
      <c r="E55" s="711"/>
      <c r="F55" s="711"/>
      <c r="G55" s="711"/>
      <c r="H55" s="711"/>
      <c r="I55" s="711"/>
      <c r="J55" s="711"/>
      <c r="K55" s="711"/>
      <c r="L55" s="711"/>
      <c r="M55" s="711"/>
      <c r="N55" s="711"/>
      <c r="O55" s="711"/>
      <c r="P55" s="711"/>
    </row>
    <row r="56" spans="1:16" ht="15" customHeight="1" x14ac:dyDescent="0.25">
      <c r="B56" s="711"/>
      <c r="C56" s="711"/>
      <c r="D56" s="711"/>
      <c r="E56" s="711"/>
      <c r="F56" s="711"/>
      <c r="G56" s="711"/>
      <c r="H56" s="711"/>
      <c r="I56" s="711"/>
      <c r="J56" s="711"/>
      <c r="K56" s="711"/>
      <c r="L56" s="711"/>
      <c r="M56" s="711"/>
      <c r="N56" s="711"/>
      <c r="O56" s="711"/>
      <c r="P56" s="711"/>
    </row>
    <row r="57" spans="1:16" ht="15" customHeight="1" x14ac:dyDescent="0.25">
      <c r="B57" s="711"/>
      <c r="C57" s="711"/>
      <c r="D57" s="711"/>
      <c r="E57" s="711"/>
      <c r="F57" s="711"/>
      <c r="G57" s="711"/>
      <c r="H57" s="711"/>
      <c r="I57" s="711"/>
      <c r="J57" s="711"/>
      <c r="K57" s="711"/>
      <c r="L57" s="711"/>
      <c r="M57" s="711"/>
      <c r="N57" s="711"/>
      <c r="O57" s="711"/>
      <c r="P57" s="711"/>
    </row>
    <row r="58" spans="1:16" ht="15.75" customHeight="1" x14ac:dyDescent="0.25">
      <c r="B58" s="711"/>
      <c r="C58" s="711"/>
      <c r="D58" s="711"/>
      <c r="E58" s="711"/>
      <c r="F58" s="711"/>
      <c r="G58" s="711"/>
      <c r="H58" s="711"/>
      <c r="I58" s="711"/>
      <c r="J58" s="711"/>
      <c r="K58" s="711"/>
      <c r="L58" s="711"/>
      <c r="M58" s="711"/>
      <c r="N58" s="711"/>
      <c r="O58" s="711"/>
      <c r="P58" s="711"/>
    </row>
    <row r="59" spans="1:16" ht="15" hidden="1" customHeight="1" x14ac:dyDescent="0.25">
      <c r="A59" s="489"/>
      <c r="B59" s="711"/>
      <c r="C59" s="711"/>
      <c r="D59" s="711"/>
      <c r="E59" s="711"/>
      <c r="F59" s="711"/>
      <c r="G59" s="711"/>
      <c r="H59" s="711"/>
      <c r="I59" s="711"/>
      <c r="J59" s="711"/>
      <c r="K59" s="711"/>
      <c r="L59" s="711"/>
      <c r="M59" s="711"/>
      <c r="N59" s="711"/>
      <c r="O59" s="711"/>
      <c r="P59" s="711"/>
    </row>
    <row r="60" spans="1:16" s="492" customFormat="1" x14ac:dyDescent="0.25">
      <c r="A60" s="227"/>
      <c r="B60" s="711"/>
      <c r="C60" s="711"/>
      <c r="D60" s="711"/>
      <c r="E60" s="711"/>
      <c r="F60" s="711"/>
      <c r="G60" s="711"/>
      <c r="H60" s="711"/>
      <c r="I60" s="711"/>
      <c r="J60" s="711"/>
      <c r="K60" s="711"/>
      <c r="L60" s="711"/>
      <c r="M60" s="711"/>
      <c r="N60" s="711"/>
      <c r="O60" s="711"/>
      <c r="P60" s="711"/>
    </row>
  </sheetData>
  <sheetProtection sheet="1" objects="1" scenarios="1" selectLockedCells="1"/>
  <mergeCells count="33">
    <mergeCell ref="B1:P1"/>
    <mergeCell ref="B2:P4"/>
    <mergeCell ref="B6:P9"/>
    <mergeCell ref="B11:P11"/>
    <mergeCell ref="B12:B14"/>
    <mergeCell ref="C12:P14"/>
    <mergeCell ref="B15:B17"/>
    <mergeCell ref="C15:P17"/>
    <mergeCell ref="B18:B21"/>
    <mergeCell ref="C18:P21"/>
    <mergeCell ref="B22:B24"/>
    <mergeCell ref="C22:P24"/>
    <mergeCell ref="B25:B27"/>
    <mergeCell ref="C25:P27"/>
    <mergeCell ref="B28:B31"/>
    <mergeCell ref="C28:P31"/>
    <mergeCell ref="B32:B35"/>
    <mergeCell ref="C32:P35"/>
    <mergeCell ref="B36:B38"/>
    <mergeCell ref="C36:P38"/>
    <mergeCell ref="B39:B40"/>
    <mergeCell ref="C39:P40"/>
    <mergeCell ref="B41:B42"/>
    <mergeCell ref="C41:P42"/>
    <mergeCell ref="B51:P53"/>
    <mergeCell ref="B54:P60"/>
    <mergeCell ref="B43:B44"/>
    <mergeCell ref="C43:P44"/>
    <mergeCell ref="B45:B46"/>
    <mergeCell ref="C45:P46"/>
    <mergeCell ref="B50:P50"/>
    <mergeCell ref="B47:B48"/>
    <mergeCell ref="C47:P48"/>
  </mergeCells>
  <hyperlinks>
    <hyperlink ref="B12:B14" location="'Contact Information'!A1" display="Contact Info"/>
    <hyperlink ref="B15:B17" location="'Square Footage'!A1" display="Square Footage"/>
    <hyperlink ref="B18:B21" location="'Electricity Consumption'!A1" display="Electricity Consumption"/>
    <hyperlink ref="B22:B24" location="'Building Fuel Consumption'!A1" display="Building Fuel Consumption"/>
    <hyperlink ref="B25:B27" location="'Vehicle&amp;Other Fuel Consumption'!A1" display="Vehicle &amp; Other Fuel Consumption"/>
    <hyperlink ref="B36:B38" location="'EE Projects'!A1" display="EE Projects"/>
    <hyperlink ref="B28:B31" location="'Installed Clean Power'!A1" display="Installed Clean Power"/>
    <hyperlink ref="B39:B40" location="'EV Charging Stations'!A1" display="EV Charging Stations"/>
    <hyperlink ref="B41" location="Recycling!A1" display="Recycling"/>
    <hyperlink ref="B43" location="'Water Use'!A1" display="Water Use"/>
    <hyperlink ref="B45" location="Sustainability!A1" display="Sustainability"/>
    <hyperlink ref="B47:B48" location="Landscaping!A1" display="Landscaping"/>
    <hyperlink ref="B32:B35" location="'Vehicle Fleet'!A1" display="Vehicle Fleet"/>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29"/>
  <sheetViews>
    <sheetView zoomScaleNormal="100" workbookViewId="0">
      <selection activeCell="J9" sqref="J9:N9"/>
    </sheetView>
  </sheetViews>
  <sheetFormatPr defaultColWidth="0" defaultRowHeight="15" zeroHeight="1" x14ac:dyDescent="0.25"/>
  <cols>
    <col min="1" max="1" width="4.42578125" customWidth="1"/>
    <col min="2" max="2" width="9.140625" customWidth="1"/>
    <col min="3" max="3" width="14" customWidth="1"/>
    <col min="4" max="4" width="12.5703125" customWidth="1"/>
    <col min="5" max="8" width="9.140625" customWidth="1"/>
    <col min="9" max="9" width="10.42578125" customWidth="1"/>
    <col min="10" max="10" width="9.140625" customWidth="1"/>
    <col min="11" max="11" width="13" customWidth="1"/>
    <col min="12" max="13" width="9.140625" customWidth="1"/>
    <col min="14" max="14" width="15.7109375" customWidth="1"/>
    <col min="15" max="15" width="22.85546875" style="147" customWidth="1"/>
    <col min="16" max="16" width="10.85546875" customWidth="1"/>
    <col min="17" max="17" width="0" hidden="1" customWidth="1"/>
    <col min="18" max="16384" width="9.140625" hidden="1"/>
  </cols>
  <sheetData>
    <row r="1" spans="1:16" ht="15.75" thickBot="1" x14ac:dyDescent="0.3">
      <c r="A1" s="128"/>
      <c r="B1" s="754" t="s">
        <v>509</v>
      </c>
      <c r="C1" s="755"/>
      <c r="D1" s="755"/>
      <c r="E1" s="755"/>
      <c r="F1" s="755"/>
      <c r="G1" s="755"/>
      <c r="H1" s="755"/>
      <c r="I1" s="755"/>
      <c r="J1" s="755"/>
      <c r="K1" s="755"/>
      <c r="L1" s="755"/>
      <c r="M1" s="755"/>
      <c r="N1" s="755"/>
      <c r="O1" s="756"/>
      <c r="P1" s="128"/>
    </row>
    <row r="2" spans="1:16" ht="15" customHeight="1" x14ac:dyDescent="0.25">
      <c r="A2" s="128"/>
      <c r="B2" s="757" t="s">
        <v>195</v>
      </c>
      <c r="C2" s="745" t="s">
        <v>1142</v>
      </c>
      <c r="D2" s="746"/>
      <c r="E2" s="746"/>
      <c r="F2" s="746"/>
      <c r="G2" s="746"/>
      <c r="H2" s="746"/>
      <c r="I2" s="746"/>
      <c r="J2" s="746"/>
      <c r="K2" s="746"/>
      <c r="L2" s="746"/>
      <c r="M2" s="746"/>
      <c r="N2" s="746"/>
      <c r="O2" s="747"/>
      <c r="P2" s="128"/>
    </row>
    <row r="3" spans="1:16" x14ac:dyDescent="0.25">
      <c r="A3" s="128"/>
      <c r="B3" s="758"/>
      <c r="C3" s="748"/>
      <c r="D3" s="749"/>
      <c r="E3" s="749"/>
      <c r="F3" s="749"/>
      <c r="G3" s="749"/>
      <c r="H3" s="749"/>
      <c r="I3" s="749"/>
      <c r="J3" s="749"/>
      <c r="K3" s="749"/>
      <c r="L3" s="749"/>
      <c r="M3" s="749"/>
      <c r="N3" s="749"/>
      <c r="O3" s="750"/>
      <c r="P3" s="128"/>
    </row>
    <row r="4" spans="1:16" ht="15.75" thickBot="1" x14ac:dyDescent="0.3">
      <c r="A4" s="128"/>
      <c r="B4" s="758"/>
      <c r="C4" s="751" t="s">
        <v>1254</v>
      </c>
      <c r="D4" s="752"/>
      <c r="E4" s="752"/>
      <c r="F4" s="752"/>
      <c r="G4" s="752"/>
      <c r="H4" s="752"/>
      <c r="I4" s="752"/>
      <c r="J4" s="752"/>
      <c r="K4" s="752"/>
      <c r="L4" s="752"/>
      <c r="M4" s="752"/>
      <c r="N4" s="752"/>
      <c r="O4" s="753"/>
      <c r="P4" s="128"/>
    </row>
    <row r="5" spans="1:16" ht="15" customHeight="1" thickBot="1" x14ac:dyDescent="0.3">
      <c r="A5" s="128"/>
      <c r="B5" s="759"/>
      <c r="C5" s="735" t="s">
        <v>1103</v>
      </c>
      <c r="D5" s="736"/>
      <c r="E5" s="736"/>
      <c r="F5" s="736"/>
      <c r="G5" s="736"/>
      <c r="H5" s="736"/>
      <c r="I5" s="736"/>
      <c r="J5" s="736"/>
      <c r="K5" s="736"/>
      <c r="L5" s="736"/>
      <c r="M5" s="736"/>
      <c r="N5" s="736"/>
      <c r="O5" s="737"/>
      <c r="P5" s="128"/>
    </row>
    <row r="6" spans="1:16" ht="15.75" thickBot="1" x14ac:dyDescent="0.3">
      <c r="A6" s="128"/>
      <c r="B6" s="128"/>
      <c r="C6" s="128"/>
      <c r="D6" s="128"/>
      <c r="E6" s="128"/>
      <c r="F6" s="128"/>
      <c r="G6" s="128"/>
      <c r="H6" s="128"/>
      <c r="I6" s="128"/>
      <c r="J6" s="128"/>
      <c r="K6" s="128"/>
      <c r="L6" s="128"/>
      <c r="M6" s="128"/>
      <c r="N6" s="128"/>
      <c r="O6" s="128"/>
      <c r="P6" s="128"/>
    </row>
    <row r="7" spans="1:16" ht="21.75" thickBot="1" x14ac:dyDescent="0.3">
      <c r="A7" s="128"/>
      <c r="B7" s="738" t="s">
        <v>84</v>
      </c>
      <c r="C7" s="739"/>
      <c r="D7" s="739"/>
      <c r="E7" s="739"/>
      <c r="F7" s="739"/>
      <c r="G7" s="739"/>
      <c r="H7" s="739"/>
      <c r="I7" s="739"/>
      <c r="J7" s="739"/>
      <c r="K7" s="739"/>
      <c r="L7" s="739"/>
      <c r="M7" s="739"/>
      <c r="N7" s="739"/>
      <c r="O7" s="740"/>
      <c r="P7" s="128"/>
    </row>
    <row r="8" spans="1:16" s="200" customFormat="1" ht="15.75" x14ac:dyDescent="0.25">
      <c r="A8" s="205"/>
      <c r="J8" s="206"/>
      <c r="K8" s="207"/>
      <c r="L8" s="207"/>
      <c r="M8" s="207"/>
      <c r="N8" s="205"/>
      <c r="O8" s="205"/>
      <c r="P8" s="205"/>
    </row>
    <row r="9" spans="1:16" s="209" customFormat="1" ht="31.5" customHeight="1" x14ac:dyDescent="0.25">
      <c r="A9" s="207"/>
      <c r="D9" s="743" t="s">
        <v>5</v>
      </c>
      <c r="E9" s="743"/>
      <c r="F9" s="743"/>
      <c r="G9" s="743"/>
      <c r="H9" s="743"/>
      <c r="I9" s="744"/>
      <c r="J9" s="741" t="s">
        <v>695</v>
      </c>
      <c r="K9" s="742"/>
      <c r="L9" s="742"/>
      <c r="M9" s="742"/>
      <c r="N9" s="742"/>
      <c r="O9" s="207"/>
      <c r="P9" s="207"/>
    </row>
    <row r="10" spans="1:16" s="209" customFormat="1" ht="15.75" x14ac:dyDescent="0.25">
      <c r="A10" s="207"/>
      <c r="B10" s="208"/>
      <c r="C10" s="208"/>
      <c r="D10" s="208"/>
      <c r="E10" s="206"/>
      <c r="F10" s="206"/>
      <c r="G10" s="206"/>
      <c r="H10" s="206"/>
      <c r="I10" s="206"/>
      <c r="J10" s="206"/>
      <c r="K10" s="207"/>
      <c r="L10" s="207"/>
      <c r="M10" s="207"/>
      <c r="N10" s="207"/>
      <c r="O10" s="207"/>
      <c r="P10" s="207"/>
    </row>
    <row r="11" spans="1:16" s="201" customFormat="1" ht="18.75" customHeight="1" thickBot="1" x14ac:dyDescent="0.3">
      <c r="A11" s="205"/>
      <c r="B11" s="732" t="s">
        <v>1095</v>
      </c>
      <c r="C11" s="732"/>
      <c r="D11" s="733" t="str">
        <f>IFERROR(VLOOKUP($J$9,'Contacts Source'!$A$1:$I$53,2,FALSE),"")</f>
        <v>-</v>
      </c>
      <c r="E11" s="733"/>
      <c r="F11" s="733"/>
      <c r="G11" s="733"/>
      <c r="H11" s="733"/>
      <c r="I11" s="733"/>
      <c r="J11" s="732" t="s">
        <v>1115</v>
      </c>
      <c r="K11" s="732"/>
      <c r="L11" s="733" t="str">
        <f>IFERROR(VLOOKUP($J$9,'Contacts Source'!$A$1:$I$53,4,FALSE),"")</f>
        <v>-</v>
      </c>
      <c r="M11" s="733"/>
      <c r="N11" s="733"/>
      <c r="O11" s="733"/>
      <c r="P11" s="205"/>
    </row>
    <row r="12" spans="1:16" s="201" customFormat="1" ht="18.75" customHeight="1" x14ac:dyDescent="0.25">
      <c r="A12" s="205"/>
      <c r="B12" s="730" t="s">
        <v>1116</v>
      </c>
      <c r="C12" s="730"/>
      <c r="D12" s="734" t="str">
        <f>IFERROR(VLOOKUP($J$9,'Contacts Source'!$A$1:$I$53,3,FALSE),"")</f>
        <v>-</v>
      </c>
      <c r="E12" s="734"/>
      <c r="F12" s="734"/>
      <c r="G12" s="734"/>
      <c r="H12" s="734"/>
      <c r="I12" s="734"/>
      <c r="J12" s="730" t="s">
        <v>4</v>
      </c>
      <c r="K12" s="730"/>
      <c r="L12" s="734" t="str">
        <f>IFERROR(VLOOKUP($J$9,'Contacts Source'!$A$1:$I$53,5,FALSE),"")</f>
        <v>-</v>
      </c>
      <c r="M12" s="734"/>
      <c r="N12" s="734"/>
      <c r="O12" s="734"/>
      <c r="P12" s="205"/>
    </row>
    <row r="13" spans="1:16" s="201" customFormat="1" ht="18.75" customHeight="1" x14ac:dyDescent="0.25">
      <c r="A13" s="205"/>
      <c r="B13" s="235"/>
      <c r="C13" s="235"/>
      <c r="D13" s="235"/>
      <c r="E13" s="236"/>
      <c r="F13" s="236"/>
      <c r="G13" s="236"/>
      <c r="H13" s="236"/>
      <c r="I13" s="236"/>
      <c r="J13" s="235"/>
      <c r="K13" s="235"/>
      <c r="L13" s="236"/>
      <c r="M13" s="236"/>
      <c r="N13" s="236"/>
      <c r="O13" s="236"/>
      <c r="P13" s="205"/>
    </row>
    <row r="14" spans="1:16" s="201" customFormat="1" ht="18.75" customHeight="1" thickBot="1" x14ac:dyDescent="0.3">
      <c r="A14" s="205"/>
      <c r="B14" s="732" t="s">
        <v>1096</v>
      </c>
      <c r="C14" s="732"/>
      <c r="D14" s="733" t="str">
        <f>IFERROR(VLOOKUP($J$9,'Contacts Source'!$A$1:$I$53,6,FALSE),"")</f>
        <v>-</v>
      </c>
      <c r="E14" s="733"/>
      <c r="F14" s="733"/>
      <c r="G14" s="733"/>
      <c r="H14" s="733"/>
      <c r="I14" s="733"/>
      <c r="J14" s="732" t="s">
        <v>1115</v>
      </c>
      <c r="K14" s="732"/>
      <c r="L14" s="733" t="str">
        <f>IFERROR(VLOOKUP($J$9,'Contacts Source'!$A$1:$I$53,8,FALSE),"")</f>
        <v>-</v>
      </c>
      <c r="M14" s="733"/>
      <c r="N14" s="733"/>
      <c r="O14" s="733"/>
      <c r="P14" s="205"/>
    </row>
    <row r="15" spans="1:16" s="201" customFormat="1" ht="18.75" customHeight="1" x14ac:dyDescent="0.25">
      <c r="A15" s="205"/>
      <c r="B15" s="730" t="s">
        <v>1116</v>
      </c>
      <c r="C15" s="730"/>
      <c r="D15" s="734" t="str">
        <f>IFERROR(VLOOKUP($J$9,'Contacts Source'!$A$1:$I$53,7,FALSE),"")</f>
        <v>-</v>
      </c>
      <c r="E15" s="734"/>
      <c r="F15" s="734"/>
      <c r="G15" s="734"/>
      <c r="H15" s="734"/>
      <c r="I15" s="734"/>
      <c r="J15" s="730" t="s">
        <v>4</v>
      </c>
      <c r="K15" s="730"/>
      <c r="L15" s="734" t="str">
        <f>IFERROR(VLOOKUP($J$9,'Contacts Source'!$A$1:$I$53,9,FALSE),"")</f>
        <v>-</v>
      </c>
      <c r="M15" s="734"/>
      <c r="N15" s="734"/>
      <c r="O15" s="734"/>
      <c r="P15" s="205"/>
    </row>
    <row r="16" spans="1:16" s="200" customFormat="1" ht="18.75" customHeight="1" x14ac:dyDescent="0.25">
      <c r="A16" s="205"/>
      <c r="B16" s="235"/>
      <c r="C16" s="235"/>
      <c r="D16" s="235"/>
      <c r="E16" s="236"/>
      <c r="F16" s="236"/>
      <c r="G16" s="236"/>
      <c r="H16" s="236"/>
      <c r="I16" s="236"/>
      <c r="J16" s="235"/>
      <c r="K16" s="235"/>
      <c r="L16" s="236"/>
      <c r="M16" s="236"/>
      <c r="N16" s="236"/>
      <c r="O16" s="236"/>
      <c r="P16" s="205"/>
    </row>
    <row r="17" spans="1:16" s="200" customFormat="1" ht="18.75" customHeight="1" thickBot="1" x14ac:dyDescent="0.3">
      <c r="A17" s="205"/>
      <c r="B17" s="732" t="s">
        <v>1102</v>
      </c>
      <c r="C17" s="732"/>
      <c r="D17" s="729"/>
      <c r="E17" s="729"/>
      <c r="F17" s="729"/>
      <c r="G17" s="729"/>
      <c r="H17" s="729"/>
      <c r="I17" s="729"/>
      <c r="J17" s="732" t="s">
        <v>1115</v>
      </c>
      <c r="K17" s="732"/>
      <c r="L17" s="729"/>
      <c r="M17" s="729"/>
      <c r="N17" s="729"/>
      <c r="O17" s="729"/>
      <c r="P17" s="205"/>
    </row>
    <row r="18" spans="1:16" s="200" customFormat="1" ht="18.75" customHeight="1" x14ac:dyDescent="0.25">
      <c r="A18" s="205"/>
      <c r="B18" s="730" t="s">
        <v>1116</v>
      </c>
      <c r="C18" s="730"/>
      <c r="D18" s="731"/>
      <c r="E18" s="731"/>
      <c r="F18" s="731"/>
      <c r="G18" s="731"/>
      <c r="H18" s="731"/>
      <c r="I18" s="731"/>
      <c r="J18" s="730" t="s">
        <v>4</v>
      </c>
      <c r="K18" s="730"/>
      <c r="L18" s="731"/>
      <c r="M18" s="731"/>
      <c r="N18" s="731"/>
      <c r="O18" s="731"/>
      <c r="P18" s="205"/>
    </row>
    <row r="19" spans="1:16" s="200" customFormat="1" ht="18.75" customHeight="1" x14ac:dyDescent="0.25">
      <c r="A19" s="205"/>
      <c r="B19" s="235"/>
      <c r="C19" s="235"/>
      <c r="D19" s="235"/>
      <c r="E19" s="236"/>
      <c r="F19" s="236"/>
      <c r="G19" s="236"/>
      <c r="H19" s="236"/>
      <c r="I19" s="236"/>
      <c r="J19" s="235"/>
      <c r="K19" s="235"/>
      <c r="L19" s="236"/>
      <c r="M19" s="236"/>
      <c r="N19" s="236"/>
      <c r="O19" s="236"/>
      <c r="P19" s="205"/>
    </row>
    <row r="20" spans="1:16" s="200" customFormat="1" ht="18.75" customHeight="1" thickBot="1" x14ac:dyDescent="0.3">
      <c r="B20" s="732" t="s">
        <v>1104</v>
      </c>
      <c r="C20" s="732"/>
      <c r="D20" s="729"/>
      <c r="E20" s="729"/>
      <c r="F20" s="729"/>
      <c r="G20" s="729"/>
      <c r="H20" s="729"/>
      <c r="I20" s="729"/>
      <c r="J20" s="732" t="s">
        <v>1115</v>
      </c>
      <c r="K20" s="732"/>
      <c r="L20" s="729"/>
      <c r="M20" s="729"/>
      <c r="N20" s="729"/>
      <c r="O20" s="729"/>
    </row>
    <row r="21" spans="1:16" s="200" customFormat="1" ht="18.75" customHeight="1" x14ac:dyDescent="0.25">
      <c r="B21" s="730" t="s">
        <v>1116</v>
      </c>
      <c r="C21" s="730"/>
      <c r="D21" s="731"/>
      <c r="E21" s="731"/>
      <c r="F21" s="731"/>
      <c r="G21" s="731"/>
      <c r="H21" s="731"/>
      <c r="I21" s="731"/>
      <c r="J21" s="730" t="s">
        <v>4</v>
      </c>
      <c r="K21" s="730"/>
      <c r="L21" s="731"/>
      <c r="M21" s="731"/>
      <c r="N21" s="731"/>
      <c r="O21" s="731"/>
    </row>
    <row r="22" spans="1:16" s="125" customFormat="1" x14ac:dyDescent="0.25">
      <c r="B22" s="126"/>
      <c r="C22" s="126"/>
      <c r="D22" s="126"/>
      <c r="E22" s="126"/>
      <c r="F22" s="126"/>
      <c r="G22" s="126"/>
      <c r="H22" s="126"/>
      <c r="I22" s="126"/>
      <c r="J22" s="126"/>
      <c r="K22" s="126"/>
      <c r="L22" s="126"/>
      <c r="M22" s="126"/>
      <c r="N22" s="126"/>
      <c r="O22" s="126"/>
    </row>
    <row r="23" spans="1:16" s="125" customFormat="1" hidden="1" x14ac:dyDescent="0.25"/>
    <row r="24" spans="1:16" s="125" customFormat="1" hidden="1" x14ac:dyDescent="0.25"/>
    <row r="25" spans="1:16" s="125" customFormat="1" hidden="1" x14ac:dyDescent="0.25"/>
    <row r="26" spans="1:16" s="125" customFormat="1" hidden="1" x14ac:dyDescent="0.25"/>
    <row r="27" spans="1:16" s="125" customFormat="1" hidden="1" x14ac:dyDescent="0.25"/>
    <row r="28" spans="1:16" hidden="1" x14ac:dyDescent="0.25"/>
    <row r="29" spans="1:16" s="125" customFormat="1" hidden="1" x14ac:dyDescent="0.25"/>
  </sheetData>
  <sheetProtection password="CC30" sheet="1" objects="1" scenarios="1" selectLockedCells="1"/>
  <mergeCells count="40">
    <mergeCell ref="C2:O3"/>
    <mergeCell ref="C4:O4"/>
    <mergeCell ref="B1:O1"/>
    <mergeCell ref="L15:O15"/>
    <mergeCell ref="J15:K15"/>
    <mergeCell ref="J12:K12"/>
    <mergeCell ref="J14:K14"/>
    <mergeCell ref="L11:O11"/>
    <mergeCell ref="L12:O12"/>
    <mergeCell ref="B12:C12"/>
    <mergeCell ref="D11:I11"/>
    <mergeCell ref="D12:I12"/>
    <mergeCell ref="B14:C14"/>
    <mergeCell ref="D14:I14"/>
    <mergeCell ref="B2:B5"/>
    <mergeCell ref="J11:K11"/>
    <mergeCell ref="C5:O5"/>
    <mergeCell ref="B7:O7"/>
    <mergeCell ref="J9:N9"/>
    <mergeCell ref="B11:C11"/>
    <mergeCell ref="J17:K17"/>
    <mergeCell ref="D9:I9"/>
    <mergeCell ref="J18:K18"/>
    <mergeCell ref="L17:O17"/>
    <mergeCell ref="L18:O18"/>
    <mergeCell ref="L14:O14"/>
    <mergeCell ref="B15:C15"/>
    <mergeCell ref="D15:I15"/>
    <mergeCell ref="B17:C17"/>
    <mergeCell ref="D17:I17"/>
    <mergeCell ref="B18:C18"/>
    <mergeCell ref="D18:I18"/>
    <mergeCell ref="L20:O20"/>
    <mergeCell ref="J21:K21"/>
    <mergeCell ref="L21:O21"/>
    <mergeCell ref="B20:C20"/>
    <mergeCell ref="D20:I20"/>
    <mergeCell ref="B21:C21"/>
    <mergeCell ref="D21:I21"/>
    <mergeCell ref="J20:K20"/>
  </mergeCells>
  <conditionalFormatting sqref="J9:N9">
    <cfRule type="containsText" dxfId="55" priority="2" operator="containsText" text="please">
      <formula>NOT(ISERROR(SEARCH("please",J9)))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Selection" error="Please select your agency from the dropdown menu, as all subsequent tabs will use this information for autpopulated fields.">
          <x14:formula1>
            <xm:f>'Contacts Source'!$A$2:$A$53</xm:f>
          </x14:formula1>
          <xm:sqref>J9:N9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AE44"/>
  <sheetViews>
    <sheetView showGridLines="0" topLeftCell="A4" workbookViewId="0">
      <selection activeCell="L16" sqref="L16:O16"/>
    </sheetView>
  </sheetViews>
  <sheetFormatPr defaultColWidth="0" defaultRowHeight="15" zeroHeight="1" x14ac:dyDescent="0.25"/>
  <cols>
    <col min="1" max="1" width="2.7109375" style="5" customWidth="1"/>
    <col min="2" max="2" width="6.7109375" style="5" customWidth="1"/>
    <col min="3" max="3" width="9.140625" style="5" customWidth="1"/>
    <col min="4" max="4" width="14.85546875" style="5" customWidth="1"/>
    <col min="5" max="5" width="16.5703125" style="5" customWidth="1"/>
    <col min="6" max="6" width="9.140625" style="5" customWidth="1"/>
    <col min="7" max="7" width="12" style="5" customWidth="1"/>
    <col min="8" max="8" width="9" style="5" customWidth="1"/>
    <col min="9" max="9" width="12.5703125" style="5" customWidth="1"/>
    <col min="10" max="10" width="9.28515625" style="5" customWidth="1"/>
    <col min="11" max="12" width="9.140625" style="5" customWidth="1"/>
    <col min="13" max="13" width="14.5703125" style="5" customWidth="1"/>
    <col min="14" max="14" width="6.42578125" style="5" customWidth="1"/>
    <col min="15" max="15" width="26.5703125" style="5" customWidth="1"/>
    <col min="16" max="16" width="14.85546875" style="219" customWidth="1"/>
    <col min="17" max="31" width="0" style="5" hidden="1" customWidth="1"/>
    <col min="32" max="16384" width="9.140625" style="5" hidden="1"/>
  </cols>
  <sheetData>
    <row r="1" spans="1:16" ht="15" customHeight="1" thickBot="1" x14ac:dyDescent="0.3">
      <c r="B1" s="781" t="s">
        <v>509</v>
      </c>
      <c r="C1" s="781"/>
      <c r="D1" s="781"/>
      <c r="E1" s="781"/>
      <c r="F1" s="781"/>
      <c r="G1" s="781"/>
      <c r="H1" s="781"/>
      <c r="I1" s="781"/>
      <c r="J1" s="781"/>
      <c r="K1" s="781"/>
      <c r="L1" s="781"/>
      <c r="M1" s="781"/>
      <c r="N1" s="781"/>
      <c r="O1" s="781"/>
      <c r="P1" s="214"/>
    </row>
    <row r="2" spans="1:16" ht="15" customHeight="1" thickBot="1" x14ac:dyDescent="0.3">
      <c r="B2" s="785" t="s">
        <v>81</v>
      </c>
      <c r="C2" s="785"/>
      <c r="D2" s="785"/>
      <c r="E2" s="783" t="s">
        <v>542</v>
      </c>
      <c r="F2" s="783"/>
      <c r="G2" s="783"/>
      <c r="H2" s="783"/>
      <c r="I2" s="783"/>
      <c r="J2" s="783"/>
      <c r="K2" s="783"/>
      <c r="L2" s="783"/>
      <c r="M2" s="783"/>
      <c r="N2" s="783"/>
      <c r="O2" s="783"/>
      <c r="P2" s="213"/>
    </row>
    <row r="3" spans="1:16" ht="15.75" thickBot="1" x14ac:dyDescent="0.3">
      <c r="B3" s="785"/>
      <c r="C3" s="785"/>
      <c r="D3" s="785"/>
      <c r="E3" s="783"/>
      <c r="F3" s="783"/>
      <c r="G3" s="783"/>
      <c r="H3" s="783"/>
      <c r="I3" s="783"/>
      <c r="J3" s="783"/>
      <c r="K3" s="783"/>
      <c r="L3" s="783"/>
      <c r="M3" s="783"/>
      <c r="N3" s="783"/>
      <c r="O3" s="783"/>
      <c r="P3" s="213"/>
    </row>
    <row r="4" spans="1:16" ht="15.75" thickBot="1" x14ac:dyDescent="0.3">
      <c r="B4" s="785"/>
      <c r="C4" s="785"/>
      <c r="D4" s="785"/>
      <c r="E4" s="783"/>
      <c r="F4" s="783"/>
      <c r="G4" s="783"/>
      <c r="H4" s="783"/>
      <c r="I4" s="783"/>
      <c r="J4" s="783"/>
      <c r="K4" s="783"/>
      <c r="L4" s="783"/>
      <c r="M4" s="783"/>
      <c r="N4" s="783"/>
      <c r="O4" s="783"/>
      <c r="P4" s="213"/>
    </row>
    <row r="5" spans="1:16" ht="17.25" customHeight="1" thickBot="1" x14ac:dyDescent="0.3">
      <c r="B5" s="785"/>
      <c r="C5" s="785"/>
      <c r="D5" s="785"/>
      <c r="E5" s="784" t="s">
        <v>1113</v>
      </c>
      <c r="F5" s="784"/>
      <c r="G5" s="784"/>
      <c r="H5" s="784"/>
      <c r="I5" s="784"/>
      <c r="J5" s="784"/>
      <c r="K5" s="784"/>
      <c r="L5" s="784"/>
      <c r="M5" s="784"/>
      <c r="N5" s="784"/>
      <c r="O5" s="784"/>
      <c r="P5" s="213"/>
    </row>
    <row r="6" spans="1:16" ht="15.75" thickBot="1" x14ac:dyDescent="0.3"/>
    <row r="7" spans="1:16" s="13" customFormat="1" ht="21.75" thickBot="1" x14ac:dyDescent="0.35">
      <c r="B7" s="782" t="s">
        <v>508</v>
      </c>
      <c r="C7" s="782"/>
      <c r="D7" s="782"/>
      <c r="E7" s="782"/>
      <c r="F7" s="782"/>
      <c r="G7" s="782"/>
      <c r="H7" s="782"/>
      <c r="I7" s="782"/>
      <c r="J7" s="782"/>
      <c r="K7" s="782"/>
      <c r="L7" s="782"/>
      <c r="M7" s="782"/>
      <c r="N7" s="782"/>
      <c r="O7" s="782"/>
      <c r="P7" s="215"/>
    </row>
    <row r="8" spans="1:16" x14ac:dyDescent="0.25">
      <c r="B8" s="786" t="s">
        <v>1176</v>
      </c>
      <c r="C8" s="787"/>
      <c r="D8" s="787"/>
      <c r="E8" s="787"/>
      <c r="F8" s="787"/>
      <c r="G8" s="787"/>
      <c r="H8" s="787"/>
      <c r="I8" s="787"/>
      <c r="J8" s="787"/>
      <c r="K8" s="787"/>
      <c r="L8" s="787"/>
      <c r="M8" s="787"/>
      <c r="N8" s="787"/>
      <c r="O8" s="788"/>
      <c r="P8" s="213"/>
    </row>
    <row r="9" spans="1:16" x14ac:dyDescent="0.25">
      <c r="A9" s="186"/>
      <c r="B9" s="789"/>
      <c r="C9" s="790"/>
      <c r="D9" s="790"/>
      <c r="E9" s="790"/>
      <c r="F9" s="790"/>
      <c r="G9" s="790"/>
      <c r="H9" s="790"/>
      <c r="I9" s="790"/>
      <c r="J9" s="790"/>
      <c r="K9" s="790"/>
      <c r="L9" s="790"/>
      <c r="M9" s="790"/>
      <c r="N9" s="790"/>
      <c r="O9" s="791"/>
      <c r="P9" s="213"/>
    </row>
    <row r="10" spans="1:16" ht="15.75" thickBot="1" x14ac:dyDescent="0.3">
      <c r="B10" s="792"/>
      <c r="C10" s="793"/>
      <c r="D10" s="793"/>
      <c r="E10" s="793"/>
      <c r="F10" s="793"/>
      <c r="G10" s="793"/>
      <c r="H10" s="793"/>
      <c r="I10" s="793"/>
      <c r="J10" s="793"/>
      <c r="K10" s="793"/>
      <c r="L10" s="793"/>
      <c r="M10" s="793"/>
      <c r="N10" s="793"/>
      <c r="O10" s="794"/>
      <c r="P10" s="213"/>
    </row>
    <row r="11" spans="1:16" x14ac:dyDescent="0.25">
      <c r="B11" s="174"/>
      <c r="C11" s="436"/>
      <c r="D11" s="436"/>
      <c r="E11" s="436"/>
      <c r="F11" s="436"/>
      <c r="G11" s="436"/>
      <c r="H11" s="436"/>
      <c r="I11" s="436"/>
      <c r="J11" s="436"/>
      <c r="K11" s="174"/>
      <c r="L11" s="174"/>
      <c r="M11" s="174"/>
      <c r="N11" s="174"/>
      <c r="O11" s="174"/>
      <c r="P11" s="213"/>
    </row>
    <row r="12" spans="1:16" s="184" customFormat="1" ht="38.25" hidden="1" customHeight="1" thickBot="1" x14ac:dyDescent="0.3">
      <c r="E12" s="801" t="s">
        <v>5</v>
      </c>
      <c r="F12" s="801"/>
      <c r="G12" s="801"/>
      <c r="H12" s="801"/>
      <c r="I12" s="802" t="str">
        <f>'Contact Information'!J9</f>
        <v>Please select your answer from the dropdown</v>
      </c>
      <c r="J12" s="802"/>
      <c r="K12" s="802"/>
      <c r="L12" s="802"/>
      <c r="M12" s="802"/>
      <c r="N12" s="802"/>
      <c r="P12" s="220"/>
    </row>
    <row r="13" spans="1:16" s="6" customFormat="1" ht="1.5" customHeight="1" thickBot="1" x14ac:dyDescent="0.3">
      <c r="J13" s="44"/>
      <c r="P13" s="129"/>
    </row>
    <row r="14" spans="1:16" s="184" customFormat="1" ht="31.5" customHeight="1" thickBot="1" x14ac:dyDescent="0.3">
      <c r="B14" s="226">
        <v>1</v>
      </c>
      <c r="C14" s="798" t="s">
        <v>998</v>
      </c>
      <c r="D14" s="799"/>
      <c r="E14" s="799"/>
      <c r="F14" s="799"/>
      <c r="G14" s="799"/>
      <c r="H14" s="799"/>
      <c r="I14" s="799"/>
      <c r="J14" s="799"/>
      <c r="K14" s="800"/>
      <c r="L14" s="795" t="str">
        <f>IFERROR(VLOOKUP($I$12,Source!$F$3:$G$53,2,FALSE), "Please Select Your Agency/Campus on Contact Tab")</f>
        <v>Please Select Your Agency/Campus on Contact Tab</v>
      </c>
      <c r="M14" s="796"/>
      <c r="N14" s="796"/>
      <c r="O14" s="797"/>
      <c r="P14" s="229"/>
    </row>
    <row r="15" spans="1:16" s="212" customFormat="1" x14ac:dyDescent="0.25">
      <c r="P15" s="129"/>
    </row>
    <row r="16" spans="1:16" s="184" customFormat="1" ht="15.75" x14ac:dyDescent="0.25">
      <c r="B16" s="811">
        <v>2</v>
      </c>
      <c r="C16" s="805" t="s">
        <v>999</v>
      </c>
      <c r="D16" s="806"/>
      <c r="E16" s="806"/>
      <c r="F16" s="806"/>
      <c r="G16" s="806"/>
      <c r="H16" s="806"/>
      <c r="I16" s="806"/>
      <c r="J16" s="806"/>
      <c r="K16" s="806"/>
      <c r="L16" s="803" t="s">
        <v>1148</v>
      </c>
      <c r="M16" s="804"/>
      <c r="N16" s="804"/>
      <c r="O16" s="804"/>
      <c r="P16" s="437"/>
    </row>
    <row r="17" spans="1:19" s="438" customFormat="1" ht="15.75" x14ac:dyDescent="0.25">
      <c r="B17" s="811"/>
      <c r="C17" s="805" t="str">
        <f>IF(L16="no","Please provide updated square footage (in space at right)","")</f>
        <v/>
      </c>
      <c r="D17" s="806"/>
      <c r="E17" s="806"/>
      <c r="F17" s="806"/>
      <c r="G17" s="806"/>
      <c r="H17" s="806"/>
      <c r="I17" s="806"/>
      <c r="J17" s="806"/>
      <c r="K17" s="806"/>
      <c r="L17" s="807"/>
      <c r="M17" s="807"/>
      <c r="N17" s="807"/>
      <c r="O17" s="807"/>
      <c r="P17" s="207"/>
    </row>
    <row r="18" spans="1:19" s="121" customFormat="1" x14ac:dyDescent="0.25">
      <c r="P18" s="217"/>
    </row>
    <row r="19" spans="1:19" s="121" customFormat="1" ht="15.75" x14ac:dyDescent="0.25">
      <c r="B19" s="812" t="str">
        <f>IF(L16="no","For increases or decreases in square footage, provide available details below:","")</f>
        <v/>
      </c>
      <c r="C19" s="813"/>
      <c r="D19" s="813"/>
      <c r="E19" s="813"/>
      <c r="F19" s="813"/>
      <c r="G19" s="813"/>
      <c r="H19" s="813"/>
      <c r="I19" s="813"/>
      <c r="J19" s="813"/>
      <c r="K19" s="813"/>
      <c r="L19" s="813"/>
      <c r="M19" s="813"/>
      <c r="N19" s="813"/>
      <c r="O19" s="813"/>
      <c r="P19" s="217"/>
    </row>
    <row r="20" spans="1:19" s="184" customFormat="1" ht="17.25" customHeight="1" thickBot="1" x14ac:dyDescent="0.3">
      <c r="B20" s="767" t="s">
        <v>1105</v>
      </c>
      <c r="C20" s="767"/>
      <c r="D20" s="767"/>
      <c r="E20" s="767"/>
      <c r="F20" s="767" t="s">
        <v>711</v>
      </c>
      <c r="G20" s="767"/>
      <c r="H20" s="767"/>
      <c r="I20" s="767" t="s">
        <v>81</v>
      </c>
      <c r="J20" s="767"/>
      <c r="K20" s="767"/>
      <c r="L20" s="767" t="s">
        <v>1258</v>
      </c>
      <c r="M20" s="767"/>
      <c r="N20" s="767"/>
      <c r="O20" s="424" t="s">
        <v>1112</v>
      </c>
      <c r="P20" s="218"/>
      <c r="R20" s="778" t="s">
        <v>702</v>
      </c>
      <c r="S20" s="779"/>
    </row>
    <row r="21" spans="1:19" ht="15.75" customHeight="1" thickBot="1" x14ac:dyDescent="0.3">
      <c r="B21" s="808"/>
      <c r="C21" s="808"/>
      <c r="D21" s="808"/>
      <c r="E21" s="809"/>
      <c r="F21" s="768"/>
      <c r="G21" s="769"/>
      <c r="H21" s="769"/>
      <c r="I21" s="768"/>
      <c r="J21" s="769"/>
      <c r="K21" s="777"/>
      <c r="L21" s="768"/>
      <c r="M21" s="769"/>
      <c r="N21" s="777"/>
      <c r="O21" s="478"/>
      <c r="P21" s="221"/>
      <c r="Q21" s="211"/>
      <c r="R21" s="780"/>
      <c r="S21" s="780"/>
    </row>
    <row r="22" spans="1:19" ht="15.75" customHeight="1" thickBot="1" x14ac:dyDescent="0.3">
      <c r="B22" s="776"/>
      <c r="C22" s="776"/>
      <c r="D22" s="776"/>
      <c r="E22" s="810"/>
      <c r="F22" s="479"/>
      <c r="G22" s="480"/>
      <c r="H22" s="480"/>
      <c r="I22" s="764"/>
      <c r="J22" s="762"/>
      <c r="K22" s="763"/>
      <c r="L22" s="764"/>
      <c r="M22" s="762"/>
      <c r="N22" s="763"/>
      <c r="O22" s="478"/>
      <c r="P22" s="222"/>
      <c r="Q22" s="119"/>
      <c r="R22" s="118"/>
      <c r="S22" s="119"/>
    </row>
    <row r="23" spans="1:19" ht="15.75" customHeight="1" thickBot="1" x14ac:dyDescent="0.3">
      <c r="B23" s="776"/>
      <c r="C23" s="776"/>
      <c r="D23" s="776"/>
      <c r="E23" s="810"/>
      <c r="F23" s="479"/>
      <c r="G23" s="480"/>
      <c r="H23" s="480"/>
      <c r="I23" s="764"/>
      <c r="J23" s="762"/>
      <c r="K23" s="763"/>
      <c r="L23" s="764"/>
      <c r="M23" s="762"/>
      <c r="N23" s="763"/>
      <c r="O23" s="478"/>
      <c r="P23" s="221"/>
      <c r="Q23" s="211"/>
      <c r="R23" s="765"/>
      <c r="S23" s="766"/>
    </row>
    <row r="24" spans="1:19" ht="15.75" customHeight="1" thickBot="1" x14ac:dyDescent="0.3">
      <c r="B24" s="776"/>
      <c r="C24" s="776"/>
      <c r="D24" s="776"/>
      <c r="E24" s="810"/>
      <c r="F24" s="764"/>
      <c r="G24" s="762"/>
      <c r="H24" s="762"/>
      <c r="I24" s="764"/>
      <c r="J24" s="762"/>
      <c r="K24" s="763"/>
      <c r="L24" s="764"/>
      <c r="M24" s="762"/>
      <c r="N24" s="763"/>
      <c r="O24" s="481"/>
      <c r="P24" s="221"/>
      <c r="Q24" s="211"/>
      <c r="R24" s="780"/>
      <c r="S24" s="780"/>
    </row>
    <row r="25" spans="1:19" ht="15.75" customHeight="1" x14ac:dyDescent="0.25">
      <c r="A25" s="186"/>
      <c r="B25" s="776"/>
      <c r="C25" s="776"/>
      <c r="D25" s="776"/>
      <c r="E25" s="776"/>
      <c r="F25" s="775"/>
      <c r="G25" s="776"/>
      <c r="H25" s="776"/>
      <c r="I25" s="775"/>
      <c r="J25" s="776"/>
      <c r="K25" s="776"/>
      <c r="L25" s="775"/>
      <c r="M25" s="776"/>
      <c r="N25" s="776"/>
      <c r="O25" s="482"/>
      <c r="P25" s="221"/>
      <c r="Q25" s="211"/>
      <c r="R25" s="780"/>
      <c r="S25" s="780"/>
    </row>
    <row r="26" spans="1:19" s="212" customFormat="1" ht="12" customHeight="1" x14ac:dyDescent="0.25">
      <c r="P26" s="129"/>
    </row>
    <row r="27" spans="1:19" ht="17.25" customHeight="1" x14ac:dyDescent="0.25">
      <c r="B27" s="811">
        <v>3</v>
      </c>
      <c r="C27" s="770" t="s">
        <v>703</v>
      </c>
      <c r="D27" s="771"/>
      <c r="E27" s="771"/>
      <c r="F27" s="771"/>
      <c r="G27" s="771"/>
      <c r="H27" s="771"/>
      <c r="I27" s="771"/>
      <c r="J27" s="771"/>
      <c r="K27" s="772"/>
      <c r="L27" s="773" t="s">
        <v>1148</v>
      </c>
      <c r="M27" s="774"/>
      <c r="N27" s="774"/>
      <c r="O27" s="774"/>
      <c r="P27" s="216"/>
    </row>
    <row r="28" spans="1:19" customFormat="1" ht="15.75" x14ac:dyDescent="0.25">
      <c r="B28" s="814"/>
      <c r="C28" s="815" t="str">
        <f>IF(L27="yes","Please provide details below","")</f>
        <v/>
      </c>
      <c r="D28" s="816"/>
      <c r="E28" s="816"/>
      <c r="F28" s="816"/>
      <c r="G28" s="816"/>
      <c r="H28" s="816"/>
      <c r="I28" s="816"/>
      <c r="J28" s="816"/>
      <c r="K28" s="816"/>
      <c r="L28" s="816"/>
      <c r="M28" s="816"/>
      <c r="N28" s="816"/>
      <c r="O28" s="816"/>
      <c r="P28" s="131"/>
    </row>
    <row r="29" spans="1:19" s="64" customFormat="1" ht="6.75" customHeight="1" x14ac:dyDescent="0.25">
      <c r="B29" s="123"/>
      <c r="C29" s="124"/>
      <c r="D29" s="124"/>
      <c r="E29" s="210"/>
      <c r="F29" s="124"/>
      <c r="G29" s="124"/>
      <c r="H29" s="124"/>
      <c r="I29" s="124"/>
      <c r="J29" s="124"/>
      <c r="K29" s="124"/>
      <c r="L29" s="124"/>
      <c r="M29" s="124"/>
      <c r="N29" s="124"/>
      <c r="O29" s="124"/>
      <c r="P29" s="131"/>
    </row>
    <row r="30" spans="1:19" s="234" customFormat="1" ht="17.25" customHeight="1" thickBot="1" x14ac:dyDescent="0.3">
      <c r="B30" s="767" t="s">
        <v>1105</v>
      </c>
      <c r="C30" s="767"/>
      <c r="D30" s="767"/>
      <c r="E30" s="767"/>
      <c r="F30" s="767" t="s">
        <v>1110</v>
      </c>
      <c r="G30" s="767"/>
      <c r="H30" s="767"/>
      <c r="I30" s="767" t="s">
        <v>1111</v>
      </c>
      <c r="J30" s="767"/>
      <c r="K30" s="767"/>
      <c r="L30" s="767" t="s">
        <v>1258</v>
      </c>
      <c r="M30" s="767"/>
      <c r="N30" s="767"/>
      <c r="O30" s="308" t="s">
        <v>712</v>
      </c>
      <c r="P30" s="223"/>
    </row>
    <row r="31" spans="1:19" customFormat="1" ht="15.75" thickBot="1" x14ac:dyDescent="0.3">
      <c r="B31" s="762"/>
      <c r="C31" s="762"/>
      <c r="D31" s="762"/>
      <c r="E31" s="763"/>
      <c r="F31" s="764"/>
      <c r="G31" s="762"/>
      <c r="H31" s="762"/>
      <c r="I31" s="764"/>
      <c r="J31" s="762"/>
      <c r="K31" s="763"/>
      <c r="L31" s="764"/>
      <c r="M31" s="762"/>
      <c r="N31" s="763"/>
      <c r="O31" s="481"/>
      <c r="P31" s="222"/>
    </row>
    <row r="32" spans="1:19" s="83" customFormat="1" ht="15.75" thickBot="1" x14ac:dyDescent="0.3">
      <c r="B32" s="762"/>
      <c r="C32" s="762"/>
      <c r="D32" s="762"/>
      <c r="E32" s="763"/>
      <c r="F32" s="764"/>
      <c r="G32" s="762"/>
      <c r="H32" s="763"/>
      <c r="I32" s="764"/>
      <c r="J32" s="762"/>
      <c r="K32" s="763"/>
      <c r="L32" s="764"/>
      <c r="M32" s="762"/>
      <c r="N32" s="763"/>
      <c r="O32" s="478"/>
      <c r="P32" s="222"/>
    </row>
    <row r="33" spans="2:16" s="83" customFormat="1" ht="15.75" thickBot="1" x14ac:dyDescent="0.3">
      <c r="B33" s="762"/>
      <c r="C33" s="762"/>
      <c r="D33" s="762"/>
      <c r="E33" s="763"/>
      <c r="F33" s="764"/>
      <c r="G33" s="762"/>
      <c r="H33" s="763"/>
      <c r="I33" s="764"/>
      <c r="J33" s="762"/>
      <c r="K33" s="763"/>
      <c r="L33" s="764"/>
      <c r="M33" s="762"/>
      <c r="N33" s="763"/>
      <c r="O33" s="478"/>
      <c r="P33" s="222"/>
    </row>
    <row r="34" spans="2:16" customFormat="1" ht="15.75" thickBot="1" x14ac:dyDescent="0.3">
      <c r="B34" s="762"/>
      <c r="C34" s="762"/>
      <c r="D34" s="762"/>
      <c r="E34" s="763"/>
      <c r="F34" s="764"/>
      <c r="G34" s="762"/>
      <c r="H34" s="762"/>
      <c r="I34" s="764"/>
      <c r="J34" s="762"/>
      <c r="K34" s="763"/>
      <c r="L34" s="764"/>
      <c r="M34" s="762"/>
      <c r="N34" s="763"/>
      <c r="O34" s="478"/>
      <c r="P34" s="222"/>
    </row>
    <row r="35" spans="2:16" customFormat="1" ht="15.75" thickBot="1" x14ac:dyDescent="0.3">
      <c r="B35" s="762"/>
      <c r="C35" s="762"/>
      <c r="D35" s="762"/>
      <c r="E35" s="763"/>
      <c r="F35" s="764"/>
      <c r="G35" s="762"/>
      <c r="H35" s="762"/>
      <c r="I35" s="764"/>
      <c r="J35" s="762"/>
      <c r="K35" s="763"/>
      <c r="L35" s="764"/>
      <c r="M35" s="762"/>
      <c r="N35" s="763"/>
      <c r="O35" s="478"/>
      <c r="P35" s="222"/>
    </row>
    <row r="36" spans="2:16" s="83" customFormat="1" x14ac:dyDescent="0.25">
      <c r="B36" s="120"/>
      <c r="C36" s="130"/>
      <c r="D36" s="130"/>
      <c r="E36" s="130"/>
      <c r="F36" s="130"/>
      <c r="G36" s="130"/>
      <c r="H36" s="130"/>
      <c r="I36" s="130"/>
      <c r="J36" s="130"/>
      <c r="K36" s="130"/>
      <c r="L36" s="130"/>
      <c r="M36" s="130"/>
      <c r="N36" s="130"/>
      <c r="O36" s="130"/>
      <c r="P36" s="222"/>
    </row>
    <row r="37" spans="2:16" s="83" customFormat="1" ht="15" customHeight="1" thickBot="1" x14ac:dyDescent="0.3">
      <c r="B37" s="760" t="s">
        <v>714</v>
      </c>
      <c r="C37" s="760"/>
      <c r="D37" s="760"/>
      <c r="E37" s="760"/>
      <c r="F37" s="760"/>
      <c r="G37" s="760"/>
      <c r="H37" s="760"/>
      <c r="I37" s="760"/>
      <c r="J37" s="760"/>
      <c r="K37" s="760"/>
      <c r="L37" s="760"/>
      <c r="M37" s="760"/>
      <c r="N37" s="760"/>
      <c r="O37" s="760"/>
      <c r="P37" s="224"/>
    </row>
    <row r="38" spans="2:16" s="83" customFormat="1" x14ac:dyDescent="0.25">
      <c r="B38" s="761"/>
      <c r="C38" s="761"/>
      <c r="D38" s="761"/>
      <c r="E38" s="761"/>
      <c r="F38" s="761"/>
      <c r="G38" s="761"/>
      <c r="H38" s="761"/>
      <c r="I38" s="761"/>
      <c r="J38" s="761"/>
      <c r="K38" s="761"/>
      <c r="L38" s="761"/>
      <c r="M38" s="761"/>
      <c r="N38" s="761"/>
      <c r="O38" s="761"/>
      <c r="P38" s="225"/>
    </row>
    <row r="39" spans="2:16" x14ac:dyDescent="0.25">
      <c r="B39" s="761"/>
      <c r="C39" s="761"/>
      <c r="D39" s="761"/>
      <c r="E39" s="761"/>
      <c r="F39" s="761"/>
      <c r="G39" s="761"/>
      <c r="H39" s="761"/>
      <c r="I39" s="761"/>
      <c r="J39" s="761"/>
      <c r="K39" s="761"/>
      <c r="L39" s="761"/>
      <c r="M39" s="761"/>
      <c r="N39" s="761"/>
      <c r="O39" s="761"/>
      <c r="P39" s="225"/>
    </row>
    <row r="40" spans="2:16" x14ac:dyDescent="0.25">
      <c r="B40" s="761"/>
      <c r="C40" s="761"/>
      <c r="D40" s="761"/>
      <c r="E40" s="761"/>
      <c r="F40" s="761"/>
      <c r="G40" s="761"/>
      <c r="H40" s="761"/>
      <c r="I40" s="761"/>
      <c r="J40" s="761"/>
      <c r="K40" s="761"/>
      <c r="L40" s="761"/>
      <c r="M40" s="761"/>
      <c r="N40" s="761"/>
      <c r="O40" s="761"/>
      <c r="P40" s="225"/>
    </row>
    <row r="41" spans="2:16" x14ac:dyDescent="0.25">
      <c r="B41" s="761"/>
      <c r="C41" s="761"/>
      <c r="D41" s="761"/>
      <c r="E41" s="761"/>
      <c r="F41" s="761"/>
      <c r="G41" s="761"/>
      <c r="H41" s="761"/>
      <c r="I41" s="761"/>
      <c r="J41" s="761"/>
      <c r="K41" s="761"/>
      <c r="L41" s="761"/>
      <c r="M41" s="761"/>
      <c r="N41" s="761"/>
      <c r="O41" s="761"/>
      <c r="P41" s="225"/>
    </row>
    <row r="42" spans="2:16" x14ac:dyDescent="0.25"/>
    <row r="43" spans="2:16" x14ac:dyDescent="0.25"/>
    <row r="44" spans="2:16" x14ac:dyDescent="0.25"/>
  </sheetData>
  <sheetProtection password="CC30" sheet="1" objects="1" scenarios="1" selectLockedCells="1"/>
  <mergeCells count="73">
    <mergeCell ref="B25:E25"/>
    <mergeCell ref="F25:H25"/>
    <mergeCell ref="L31:N31"/>
    <mergeCell ref="B27:B28"/>
    <mergeCell ref="F30:H30"/>
    <mergeCell ref="B30:E30"/>
    <mergeCell ref="F31:H31"/>
    <mergeCell ref="B31:E31"/>
    <mergeCell ref="C28:O28"/>
    <mergeCell ref="I31:K31"/>
    <mergeCell ref="I32:K32"/>
    <mergeCell ref="I33:K33"/>
    <mergeCell ref="L25:N25"/>
    <mergeCell ref="R25:S25"/>
    <mergeCell ref="I30:K30"/>
    <mergeCell ref="L30:N30"/>
    <mergeCell ref="I24:K24"/>
    <mergeCell ref="L16:O16"/>
    <mergeCell ref="C17:K17"/>
    <mergeCell ref="C16:K16"/>
    <mergeCell ref="L17:O17"/>
    <mergeCell ref="B20:E20"/>
    <mergeCell ref="B21:E21"/>
    <mergeCell ref="B22:E22"/>
    <mergeCell ref="B23:E23"/>
    <mergeCell ref="L23:N23"/>
    <mergeCell ref="B16:B17"/>
    <mergeCell ref="B19:O19"/>
    <mergeCell ref="B24:E24"/>
    <mergeCell ref="I23:K23"/>
    <mergeCell ref="L24:N24"/>
    <mergeCell ref="B8:O10"/>
    <mergeCell ref="L14:O14"/>
    <mergeCell ref="C14:K14"/>
    <mergeCell ref="E12:H12"/>
    <mergeCell ref="I12:N12"/>
    <mergeCell ref="B1:O1"/>
    <mergeCell ref="B7:O7"/>
    <mergeCell ref="E2:O4"/>
    <mergeCell ref="E5:O5"/>
    <mergeCell ref="B2:D5"/>
    <mergeCell ref="R23:S23"/>
    <mergeCell ref="F20:H20"/>
    <mergeCell ref="F21:H21"/>
    <mergeCell ref="C27:K27"/>
    <mergeCell ref="L27:O27"/>
    <mergeCell ref="I25:K25"/>
    <mergeCell ref="L20:N20"/>
    <mergeCell ref="L21:N21"/>
    <mergeCell ref="L22:N22"/>
    <mergeCell ref="R20:S20"/>
    <mergeCell ref="R21:S21"/>
    <mergeCell ref="R24:S24"/>
    <mergeCell ref="F24:H24"/>
    <mergeCell ref="I20:K20"/>
    <mergeCell ref="I21:K21"/>
    <mergeCell ref="I22:K22"/>
    <mergeCell ref="B37:O37"/>
    <mergeCell ref="B38:O41"/>
    <mergeCell ref="B32:E32"/>
    <mergeCell ref="B33:E33"/>
    <mergeCell ref="B34:E34"/>
    <mergeCell ref="B35:E35"/>
    <mergeCell ref="L33:N33"/>
    <mergeCell ref="L34:N34"/>
    <mergeCell ref="F35:H35"/>
    <mergeCell ref="L35:N35"/>
    <mergeCell ref="I35:K35"/>
    <mergeCell ref="F32:H32"/>
    <mergeCell ref="F33:H33"/>
    <mergeCell ref="F34:H34"/>
    <mergeCell ref="I34:K34"/>
    <mergeCell ref="L32:N32"/>
  </mergeCells>
  <conditionalFormatting sqref="C28:O28">
    <cfRule type="expression" dxfId="54" priority="11">
      <formula>$L$27="yes"</formula>
    </cfRule>
  </conditionalFormatting>
  <conditionalFormatting sqref="B19 L17">
    <cfRule type="expression" dxfId="53" priority="2">
      <formula>$L$16="no"</formula>
    </cfRule>
  </conditionalFormatting>
  <conditionalFormatting sqref="L17">
    <cfRule type="expression" dxfId="52"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Source!$I$1:$I$3</xm:f>
          </x14:formula1>
          <xm:sqref>L16:P16</xm:sqref>
        </x14:dataValidation>
        <x14:dataValidation type="list" allowBlank="1" showInputMessage="1" showErrorMessage="1">
          <x14:formula1>
            <xm:f>Source!T1:T3</xm:f>
          </x14:formula1>
          <xm:sqref>L27:P27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R153"/>
  <sheetViews>
    <sheetView showGridLines="0" workbookViewId="0">
      <selection activeCell="C18" sqref="C18"/>
    </sheetView>
  </sheetViews>
  <sheetFormatPr defaultColWidth="0" defaultRowHeight="15.75" zeroHeight="1" x14ac:dyDescent="0.25"/>
  <cols>
    <col min="1" max="1" width="2.42578125" style="16" customWidth="1"/>
    <col min="2" max="2" width="34.140625" style="16" customWidth="1"/>
    <col min="3" max="3" width="21.42578125" style="16" bestFit="1" customWidth="1"/>
    <col min="4" max="4" width="9.85546875" style="16" bestFit="1" customWidth="1"/>
    <col min="5" max="5" width="22.28515625" style="18" customWidth="1"/>
    <col min="6" max="6" width="20.85546875" style="18" customWidth="1"/>
    <col min="7" max="7" width="27.140625" style="18" customWidth="1"/>
    <col min="8" max="8" width="30" style="16" customWidth="1"/>
    <col min="9" max="9" width="7.28515625" style="16" customWidth="1"/>
    <col min="10" max="10" width="29.7109375" style="16" hidden="1" customWidth="1"/>
    <col min="11" max="18" width="0" style="16" hidden="1" customWidth="1"/>
    <col min="19" max="16384" width="9.140625" style="16" hidden="1"/>
  </cols>
  <sheetData>
    <row r="1" spans="2:18" ht="16.5" thickBot="1" x14ac:dyDescent="0.3">
      <c r="B1" s="844" t="s">
        <v>509</v>
      </c>
      <c r="C1" s="844"/>
      <c r="D1" s="844"/>
      <c r="E1" s="844"/>
      <c r="F1" s="844"/>
      <c r="G1" s="844"/>
      <c r="H1" s="844"/>
      <c r="R1" s="45"/>
    </row>
    <row r="2" spans="2:18" ht="15.75" customHeight="1" x14ac:dyDescent="0.25">
      <c r="B2" s="852" t="s">
        <v>868</v>
      </c>
      <c r="C2" s="846" t="s">
        <v>1178</v>
      </c>
      <c r="D2" s="847"/>
      <c r="E2" s="847"/>
      <c r="F2" s="847"/>
      <c r="G2" s="847"/>
      <c r="H2" s="847"/>
      <c r="R2" s="45"/>
    </row>
    <row r="3" spans="2:18" x14ac:dyDescent="0.25">
      <c r="B3" s="853"/>
      <c r="C3" s="848"/>
      <c r="D3" s="849"/>
      <c r="E3" s="849"/>
      <c r="F3" s="849"/>
      <c r="G3" s="849"/>
      <c r="H3" s="849"/>
      <c r="R3" s="45"/>
    </row>
    <row r="4" spans="2:18" ht="33.75" customHeight="1" x14ac:dyDescent="0.25">
      <c r="B4" s="853"/>
      <c r="C4" s="848"/>
      <c r="D4" s="849"/>
      <c r="E4" s="849"/>
      <c r="F4" s="849"/>
      <c r="G4" s="849"/>
      <c r="H4" s="849"/>
      <c r="R4" s="45"/>
    </row>
    <row r="5" spans="2:18" x14ac:dyDescent="0.25">
      <c r="B5" s="853"/>
      <c r="C5" s="850" t="s">
        <v>565</v>
      </c>
      <c r="D5" s="851"/>
      <c r="E5" s="851"/>
      <c r="F5" s="851"/>
      <c r="G5" s="851"/>
      <c r="H5" s="851"/>
      <c r="I5" s="45"/>
      <c r="J5" s="45"/>
      <c r="K5" s="45"/>
      <c r="L5" s="45"/>
      <c r="M5" s="45"/>
      <c r="N5" s="45"/>
      <c r="O5" s="45"/>
      <c r="P5" s="45"/>
      <c r="Q5" s="45"/>
    </row>
    <row r="6" spans="2:18" x14ac:dyDescent="0.25">
      <c r="P6" s="45"/>
      <c r="Q6" s="45"/>
    </row>
    <row r="7" spans="2:18" ht="21.75" thickBot="1" x14ac:dyDescent="0.3">
      <c r="B7" s="845" t="s">
        <v>871</v>
      </c>
      <c r="C7" s="845"/>
      <c r="D7" s="845"/>
      <c r="E7" s="845"/>
      <c r="F7" s="845"/>
      <c r="G7" s="845"/>
      <c r="H7" s="845"/>
      <c r="P7" s="45"/>
      <c r="Q7" s="45"/>
    </row>
    <row r="8" spans="2:18" ht="24.75" customHeight="1" x14ac:dyDescent="0.25">
      <c r="B8" s="309" t="s">
        <v>870</v>
      </c>
      <c r="C8" s="310"/>
      <c r="D8" s="310"/>
      <c r="E8" s="310"/>
      <c r="F8" s="310"/>
      <c r="G8" s="310"/>
      <c r="H8" s="310"/>
      <c r="P8" s="45"/>
      <c r="Q8" s="45"/>
    </row>
    <row r="9" spans="2:18" ht="24.75" customHeight="1" x14ac:dyDescent="0.25">
      <c r="B9" s="311" t="s">
        <v>566</v>
      </c>
      <c r="C9" s="311"/>
      <c r="D9" s="311"/>
      <c r="E9" s="311"/>
      <c r="F9" s="311"/>
      <c r="G9" s="311"/>
      <c r="H9" s="311"/>
      <c r="P9" s="45"/>
      <c r="Q9" s="45"/>
    </row>
    <row r="10" spans="2:18" ht="24.75" customHeight="1" x14ac:dyDescent="0.25">
      <c r="B10" s="312" t="s">
        <v>567</v>
      </c>
      <c r="C10" s="312"/>
      <c r="D10" s="312"/>
      <c r="E10" s="312"/>
      <c r="F10" s="312"/>
      <c r="G10" s="312"/>
      <c r="H10" s="312"/>
      <c r="P10" s="45"/>
      <c r="Q10" s="45"/>
    </row>
    <row r="11" spans="2:18" ht="24.75" customHeight="1" x14ac:dyDescent="0.25">
      <c r="B11" s="311" t="s">
        <v>568</v>
      </c>
      <c r="C11" s="311"/>
      <c r="D11" s="311"/>
      <c r="E11" s="311"/>
      <c r="F11" s="311"/>
      <c r="G11" s="311"/>
      <c r="H11" s="311"/>
      <c r="P11" s="45"/>
      <c r="Q11" s="45"/>
    </row>
    <row r="12" spans="2:18" ht="24.75" customHeight="1" x14ac:dyDescent="0.25">
      <c r="B12" s="312" t="s">
        <v>1180</v>
      </c>
      <c r="C12" s="312"/>
      <c r="D12" s="312"/>
      <c r="E12" s="312"/>
      <c r="F12" s="312"/>
      <c r="G12" s="312"/>
      <c r="H12" s="312"/>
      <c r="P12" s="45"/>
      <c r="Q12" s="45"/>
    </row>
    <row r="13" spans="2:18" x14ac:dyDescent="0.25">
      <c r="P13" s="45"/>
      <c r="Q13" s="45"/>
    </row>
    <row r="14" spans="2:18" ht="21" x14ac:dyDescent="0.25">
      <c r="B14" s="828" t="s">
        <v>544</v>
      </c>
      <c r="C14" s="828"/>
      <c r="D14" s="828"/>
      <c r="E14" s="828"/>
      <c r="F14" s="828"/>
      <c r="G14" s="828"/>
      <c r="H14" s="828"/>
      <c r="P14" s="45"/>
      <c r="Q14" s="45"/>
    </row>
    <row r="15" spans="2:18" ht="21" x14ac:dyDescent="0.25">
      <c r="B15" s="828" t="s">
        <v>869</v>
      </c>
      <c r="C15" s="828"/>
      <c r="D15" s="828"/>
      <c r="E15" s="828"/>
      <c r="F15" s="828"/>
      <c r="G15" s="828"/>
      <c r="H15" s="828"/>
    </row>
    <row r="16" spans="2:18" ht="27.75" customHeight="1" x14ac:dyDescent="0.25">
      <c r="B16" s="824" t="s">
        <v>6</v>
      </c>
      <c r="C16" s="824" t="s">
        <v>748</v>
      </c>
      <c r="D16" s="824" t="s">
        <v>7</v>
      </c>
      <c r="E16" s="342" t="s">
        <v>19</v>
      </c>
      <c r="F16" s="829" t="s">
        <v>1138</v>
      </c>
      <c r="G16" s="824" t="s">
        <v>8</v>
      </c>
      <c r="H16" s="824"/>
    </row>
    <row r="17" spans="2:9" ht="27.75" customHeight="1" thickBot="1" x14ac:dyDescent="0.3">
      <c r="B17" s="824"/>
      <c r="C17" s="824"/>
      <c r="D17" s="824"/>
      <c r="E17" s="341" t="s">
        <v>1177</v>
      </c>
      <c r="F17" s="829"/>
      <c r="G17" s="824"/>
      <c r="H17" s="824"/>
    </row>
    <row r="18" spans="2:9" ht="25.5" customHeight="1" x14ac:dyDescent="0.25">
      <c r="B18" s="313" t="s">
        <v>217</v>
      </c>
      <c r="C18" s="314">
        <v>0</v>
      </c>
      <c r="D18" s="315" t="s">
        <v>9</v>
      </c>
      <c r="E18" s="316">
        <v>0</v>
      </c>
      <c r="F18" s="317">
        <f>IFERROR(E18/C18,0)</f>
        <v>0</v>
      </c>
      <c r="G18" s="854"/>
      <c r="H18" s="854"/>
      <c r="I18" s="17">
        <f>IFERROR((E18/C18)&lt;3,0)</f>
        <v>0</v>
      </c>
    </row>
    <row r="19" spans="2:9" x14ac:dyDescent="0.25">
      <c r="I19" s="17"/>
    </row>
    <row r="20" spans="2:9" ht="21" x14ac:dyDescent="0.25">
      <c r="B20" s="828" t="s">
        <v>543</v>
      </c>
      <c r="C20" s="828"/>
      <c r="D20" s="828"/>
      <c r="E20" s="828"/>
      <c r="F20" s="828"/>
      <c r="G20" s="828"/>
      <c r="H20" s="828"/>
      <c r="I20" s="17"/>
    </row>
    <row r="21" spans="2:9" ht="21" x14ac:dyDescent="0.25">
      <c r="B21" s="828" t="s">
        <v>561</v>
      </c>
      <c r="C21" s="828"/>
      <c r="D21" s="828"/>
      <c r="E21" s="828"/>
      <c r="F21" s="828"/>
      <c r="G21" s="828"/>
      <c r="H21" s="828"/>
      <c r="I21" s="17"/>
    </row>
    <row r="22" spans="2:9" x14ac:dyDescent="0.25">
      <c r="B22" s="858" t="s">
        <v>88</v>
      </c>
      <c r="C22" s="858"/>
      <c r="D22" s="858"/>
      <c r="E22" s="858"/>
      <c r="F22" s="858"/>
      <c r="G22" s="858"/>
      <c r="H22" s="858"/>
      <c r="I22" s="17"/>
    </row>
    <row r="23" spans="2:9" ht="18.75" customHeight="1" x14ac:dyDescent="0.25">
      <c r="B23" s="824" t="s">
        <v>6</v>
      </c>
      <c r="C23" s="829" t="s">
        <v>867</v>
      </c>
      <c r="D23" s="824" t="s">
        <v>7</v>
      </c>
      <c r="E23" s="829" t="s">
        <v>1179</v>
      </c>
      <c r="F23" s="829"/>
      <c r="G23" s="829" t="s">
        <v>8</v>
      </c>
      <c r="H23" s="829"/>
      <c r="I23" s="17"/>
    </row>
    <row r="24" spans="2:9" ht="18.75" customHeight="1" x14ac:dyDescent="0.25">
      <c r="B24" s="824"/>
      <c r="C24" s="829"/>
      <c r="D24" s="824"/>
      <c r="E24" s="829"/>
      <c r="F24" s="829"/>
      <c r="G24" s="829"/>
      <c r="H24" s="829"/>
      <c r="I24" s="17"/>
    </row>
    <row r="25" spans="2:9" ht="18.75" customHeight="1" thickBot="1" x14ac:dyDescent="0.3">
      <c r="B25" s="825"/>
      <c r="C25" s="830"/>
      <c r="D25" s="825"/>
      <c r="E25" s="830"/>
      <c r="F25" s="830"/>
      <c r="G25" s="830"/>
      <c r="H25" s="830"/>
      <c r="I25" s="17"/>
    </row>
    <row r="26" spans="2:9" ht="24" customHeight="1" x14ac:dyDescent="0.25">
      <c r="B26" s="822" t="s">
        <v>239</v>
      </c>
      <c r="C26" s="822"/>
      <c r="D26" s="822"/>
      <c r="E26" s="822"/>
      <c r="F26" s="822"/>
      <c r="G26" s="822"/>
      <c r="H26" s="822"/>
      <c r="I26" s="17"/>
    </row>
    <row r="27" spans="2:9" ht="16.5" thickBot="1" x14ac:dyDescent="0.3">
      <c r="B27" s="349" t="s">
        <v>240</v>
      </c>
      <c r="C27" s="350">
        <v>0</v>
      </c>
      <c r="D27" s="351" t="s">
        <v>9</v>
      </c>
      <c r="E27" s="837" t="s">
        <v>218</v>
      </c>
      <c r="F27" s="837"/>
      <c r="G27" s="820"/>
      <c r="H27" s="820"/>
      <c r="I27" s="17">
        <f>IFERROR((#REF!/C27)&lt;3,0)</f>
        <v>0</v>
      </c>
    </row>
    <row r="28" spans="2:9" x14ac:dyDescent="0.25">
      <c r="B28" s="352" t="s">
        <v>241</v>
      </c>
      <c r="C28" s="353">
        <v>0</v>
      </c>
      <c r="D28" s="354" t="s">
        <v>20</v>
      </c>
      <c r="E28" s="827"/>
      <c r="F28" s="827"/>
      <c r="G28" s="819"/>
      <c r="H28" s="819"/>
      <c r="I28" s="17">
        <f>IFERROR((E28/C28)&lt;3,0)</f>
        <v>0</v>
      </c>
    </row>
    <row r="29" spans="2:9" ht="24" customHeight="1" x14ac:dyDescent="0.25">
      <c r="B29" s="822" t="s">
        <v>113</v>
      </c>
      <c r="C29" s="822"/>
      <c r="D29" s="822"/>
      <c r="E29" s="822"/>
      <c r="F29" s="822"/>
      <c r="G29" s="822"/>
      <c r="H29" s="822"/>
      <c r="I29" s="17">
        <f>IFERROR((E31/C31)&lt;3,0)</f>
        <v>0</v>
      </c>
    </row>
    <row r="30" spans="2:9" ht="16.5" thickBot="1" x14ac:dyDescent="0.3">
      <c r="B30" s="349" t="s">
        <v>700</v>
      </c>
      <c r="C30" s="350">
        <v>0</v>
      </c>
      <c r="D30" s="351" t="s">
        <v>9</v>
      </c>
      <c r="E30" s="826"/>
      <c r="F30" s="826"/>
      <c r="G30" s="820"/>
      <c r="H30" s="820"/>
      <c r="I30" s="17"/>
    </row>
    <row r="31" spans="2:9" x14ac:dyDescent="0.25">
      <c r="B31" s="352" t="s">
        <v>242</v>
      </c>
      <c r="C31" s="353">
        <v>0</v>
      </c>
      <c r="D31" s="354" t="s">
        <v>9</v>
      </c>
      <c r="E31" s="827"/>
      <c r="F31" s="827"/>
      <c r="G31" s="819"/>
      <c r="H31" s="819"/>
      <c r="I31" s="17">
        <f>IFERROR((E33/C33)&lt;3,0)</f>
        <v>0</v>
      </c>
    </row>
    <row r="32" spans="2:9" ht="24" customHeight="1" x14ac:dyDescent="0.25">
      <c r="B32" s="822" t="s">
        <v>23</v>
      </c>
      <c r="C32" s="822"/>
      <c r="D32" s="822"/>
      <c r="E32" s="822"/>
      <c r="F32" s="822"/>
      <c r="G32" s="822"/>
      <c r="H32" s="822"/>
      <c r="I32" s="17">
        <f>IFERROR((E34/C34)&lt;3,0)</f>
        <v>0</v>
      </c>
    </row>
    <row r="33" spans="2:9" ht="16.5" thickBot="1" x14ac:dyDescent="0.3">
      <c r="B33" s="349" t="s">
        <v>700</v>
      </c>
      <c r="C33" s="350">
        <v>0</v>
      </c>
      <c r="D33" s="351" t="s">
        <v>9</v>
      </c>
      <c r="E33" s="826"/>
      <c r="F33" s="826"/>
      <c r="G33" s="820"/>
      <c r="H33" s="820"/>
      <c r="I33" s="17"/>
    </row>
    <row r="34" spans="2:9" x14ac:dyDescent="0.25">
      <c r="B34" s="352" t="s">
        <v>242</v>
      </c>
      <c r="C34" s="353">
        <v>0</v>
      </c>
      <c r="D34" s="354" t="s">
        <v>9</v>
      </c>
      <c r="E34" s="827"/>
      <c r="F34" s="827"/>
      <c r="G34" s="819"/>
      <c r="H34" s="819"/>
      <c r="I34" s="17">
        <f>IFERROR((E36/C36)&lt;3,0)</f>
        <v>0</v>
      </c>
    </row>
    <row r="35" spans="2:9" ht="24" customHeight="1" x14ac:dyDescent="0.25">
      <c r="B35" s="822" t="s">
        <v>24</v>
      </c>
      <c r="C35" s="822"/>
      <c r="D35" s="822"/>
      <c r="E35" s="822"/>
      <c r="F35" s="822"/>
      <c r="G35" s="822"/>
      <c r="H35" s="822"/>
      <c r="I35" s="17">
        <f>IFERROR((E37/C37)&lt;3,0)</f>
        <v>0</v>
      </c>
    </row>
    <row r="36" spans="2:9" ht="16.5" thickBot="1" x14ac:dyDescent="0.3">
      <c r="B36" s="349" t="s">
        <v>700</v>
      </c>
      <c r="C36" s="350">
        <v>0</v>
      </c>
      <c r="D36" s="351" t="s">
        <v>9</v>
      </c>
      <c r="E36" s="826"/>
      <c r="F36" s="826"/>
      <c r="G36" s="820"/>
      <c r="H36" s="820"/>
      <c r="I36" s="17"/>
    </row>
    <row r="37" spans="2:9" x14ac:dyDescent="0.25">
      <c r="B37" s="352" t="s">
        <v>242</v>
      </c>
      <c r="C37" s="353">
        <v>0</v>
      </c>
      <c r="D37" s="354" t="s">
        <v>9</v>
      </c>
      <c r="E37" s="827"/>
      <c r="F37" s="827"/>
      <c r="G37" s="819"/>
      <c r="H37" s="819"/>
      <c r="I37" s="17">
        <f>IFERROR((E39/C39)&lt;3,0)</f>
        <v>0</v>
      </c>
    </row>
    <row r="38" spans="2:9" ht="24" customHeight="1" x14ac:dyDescent="0.25">
      <c r="B38" s="822" t="s">
        <v>243</v>
      </c>
      <c r="C38" s="822"/>
      <c r="D38" s="822"/>
      <c r="E38" s="822"/>
      <c r="F38" s="822"/>
      <c r="G38" s="822"/>
      <c r="H38" s="822"/>
      <c r="I38" s="17">
        <f>IFERROR((E40/C40)&lt;3,0)</f>
        <v>0</v>
      </c>
    </row>
    <row r="39" spans="2:9" ht="16.5" thickBot="1" x14ac:dyDescent="0.3">
      <c r="B39" s="349" t="s">
        <v>700</v>
      </c>
      <c r="C39" s="350">
        <v>0</v>
      </c>
      <c r="D39" s="351" t="s">
        <v>9</v>
      </c>
      <c r="E39" s="826"/>
      <c r="F39" s="826"/>
      <c r="G39" s="820"/>
      <c r="H39" s="820"/>
      <c r="I39" s="17"/>
    </row>
    <row r="40" spans="2:9" x14ac:dyDescent="0.25">
      <c r="B40" s="352" t="s">
        <v>242</v>
      </c>
      <c r="C40" s="353">
        <v>0</v>
      </c>
      <c r="D40" s="354" t="s">
        <v>9</v>
      </c>
      <c r="E40" s="827"/>
      <c r="F40" s="827"/>
      <c r="G40" s="819"/>
      <c r="H40" s="819"/>
      <c r="I40" s="17">
        <f>IFERROR((#REF!/C42)&lt;3,0)</f>
        <v>0</v>
      </c>
    </row>
    <row r="41" spans="2:9" ht="24" customHeight="1" x14ac:dyDescent="0.25">
      <c r="B41" s="822" t="s">
        <v>244</v>
      </c>
      <c r="C41" s="822"/>
      <c r="D41" s="822"/>
      <c r="E41" s="822"/>
      <c r="F41" s="822"/>
      <c r="G41" s="822"/>
      <c r="H41" s="822"/>
      <c r="I41" s="17">
        <f>IFERROR((E43/C43)&lt;3,0)</f>
        <v>0</v>
      </c>
    </row>
    <row r="42" spans="2:9" ht="16.5" thickBot="1" x14ac:dyDescent="0.3">
      <c r="B42" s="349" t="s">
        <v>700</v>
      </c>
      <c r="C42" s="350">
        <v>0</v>
      </c>
      <c r="D42" s="351" t="s">
        <v>9</v>
      </c>
      <c r="E42" s="837" t="s">
        <v>219</v>
      </c>
      <c r="F42" s="837"/>
      <c r="G42" s="820"/>
      <c r="H42" s="820"/>
      <c r="I42" s="17"/>
    </row>
    <row r="43" spans="2:9" x14ac:dyDescent="0.25">
      <c r="B43" s="352" t="s">
        <v>242</v>
      </c>
      <c r="C43" s="353">
        <v>0</v>
      </c>
      <c r="D43" s="354" t="s">
        <v>9</v>
      </c>
      <c r="E43" s="827"/>
      <c r="F43" s="827"/>
      <c r="G43" s="819"/>
      <c r="H43" s="819"/>
      <c r="I43" s="17"/>
    </row>
    <row r="44" spans="2:9" x14ac:dyDescent="0.25">
      <c r="B44" s="17"/>
      <c r="C44" s="17"/>
      <c r="D44" s="17"/>
      <c r="E44" s="17"/>
      <c r="F44" s="17"/>
      <c r="G44" s="17"/>
      <c r="H44" s="17"/>
      <c r="I44" s="17"/>
    </row>
    <row r="45" spans="2:9" ht="21" x14ac:dyDescent="0.25">
      <c r="B45" s="828" t="s">
        <v>562</v>
      </c>
      <c r="C45" s="828"/>
      <c r="D45" s="828"/>
      <c r="E45" s="828"/>
      <c r="F45" s="828"/>
      <c r="G45" s="828"/>
      <c r="H45" s="828"/>
      <c r="I45" s="17"/>
    </row>
    <row r="46" spans="2:9" ht="21" x14ac:dyDescent="0.25">
      <c r="B46" s="828" t="s">
        <v>560</v>
      </c>
      <c r="C46" s="828"/>
      <c r="D46" s="828"/>
      <c r="E46" s="828"/>
      <c r="F46" s="828"/>
      <c r="G46" s="828"/>
      <c r="H46" s="828"/>
      <c r="I46" s="17"/>
    </row>
    <row r="47" spans="2:9" x14ac:dyDescent="0.25">
      <c r="B47" s="858" t="s">
        <v>193</v>
      </c>
      <c r="C47" s="858"/>
      <c r="D47" s="858" t="s">
        <v>9</v>
      </c>
      <c r="E47" s="858">
        <v>0</v>
      </c>
      <c r="F47" s="858"/>
      <c r="G47" s="858"/>
      <c r="H47" s="858"/>
      <c r="I47" s="17"/>
    </row>
    <row r="48" spans="2:9" ht="15.75" customHeight="1" x14ac:dyDescent="0.25">
      <c r="B48" s="824" t="s">
        <v>6</v>
      </c>
      <c r="C48" s="829" t="s">
        <v>867</v>
      </c>
      <c r="D48" s="824" t="s">
        <v>7</v>
      </c>
      <c r="E48" s="821" t="s">
        <v>1097</v>
      </c>
      <c r="F48" s="829" t="s">
        <v>1132</v>
      </c>
      <c r="G48" s="829" t="s">
        <v>1179</v>
      </c>
      <c r="H48" s="824" t="s">
        <v>8</v>
      </c>
      <c r="I48" s="17"/>
    </row>
    <row r="49" spans="2:9" x14ac:dyDescent="0.25">
      <c r="B49" s="824"/>
      <c r="C49" s="824"/>
      <c r="D49" s="824"/>
      <c r="E49" s="821"/>
      <c r="F49" s="829"/>
      <c r="G49" s="829"/>
      <c r="H49" s="824"/>
      <c r="I49" s="17"/>
    </row>
    <row r="50" spans="2:9" ht="16.5" thickBot="1" x14ac:dyDescent="0.3">
      <c r="B50" s="824"/>
      <c r="C50" s="824"/>
      <c r="D50" s="824"/>
      <c r="E50" s="821"/>
      <c r="F50" s="829"/>
      <c r="G50" s="829"/>
      <c r="H50" s="824"/>
      <c r="I50" s="17"/>
    </row>
    <row r="51" spans="2:9" ht="24" customHeight="1" x14ac:dyDescent="0.25">
      <c r="B51" s="836" t="s">
        <v>239</v>
      </c>
      <c r="C51" s="836"/>
      <c r="D51" s="836"/>
      <c r="E51" s="836"/>
      <c r="F51" s="836"/>
      <c r="G51" s="836"/>
      <c r="H51" s="836"/>
      <c r="I51" s="17"/>
    </row>
    <row r="52" spans="2:9" ht="16.5" thickBot="1" x14ac:dyDescent="0.3">
      <c r="B52" s="346" t="s">
        <v>240</v>
      </c>
      <c r="C52" s="347">
        <v>0</v>
      </c>
      <c r="D52" s="348" t="s">
        <v>9</v>
      </c>
      <c r="E52" s="360">
        <v>0</v>
      </c>
      <c r="F52" s="360">
        <v>0</v>
      </c>
      <c r="G52" s="361" t="s">
        <v>218</v>
      </c>
      <c r="H52" s="362"/>
      <c r="I52" s="17"/>
    </row>
    <row r="53" spans="2:9" x14ac:dyDescent="0.25">
      <c r="B53" s="344" t="s">
        <v>241</v>
      </c>
      <c r="C53" s="343">
        <v>0</v>
      </c>
      <c r="D53" s="345" t="s">
        <v>20</v>
      </c>
      <c r="E53" s="355">
        <v>0</v>
      </c>
      <c r="F53" s="355">
        <v>0</v>
      </c>
      <c r="G53" s="357"/>
      <c r="H53" s="357"/>
      <c r="I53" s="17"/>
    </row>
    <row r="54" spans="2:9" ht="24" customHeight="1" x14ac:dyDescent="0.25">
      <c r="B54" s="822" t="s">
        <v>113</v>
      </c>
      <c r="C54" s="822"/>
      <c r="D54" s="822"/>
      <c r="E54" s="822"/>
      <c r="F54" s="822"/>
      <c r="G54" s="822"/>
      <c r="H54" s="822"/>
      <c r="I54" s="17"/>
    </row>
    <row r="55" spans="2:9" ht="16.5" thickBot="1" x14ac:dyDescent="0.3">
      <c r="B55" s="346" t="s">
        <v>700</v>
      </c>
      <c r="C55" s="347">
        <v>0</v>
      </c>
      <c r="D55" s="348" t="s">
        <v>9</v>
      </c>
      <c r="E55" s="360">
        <v>0</v>
      </c>
      <c r="F55" s="360">
        <v>0</v>
      </c>
      <c r="G55" s="362"/>
      <c r="H55" s="362"/>
      <c r="I55" s="17"/>
    </row>
    <row r="56" spans="2:9" x14ac:dyDescent="0.25">
      <c r="B56" s="344" t="s">
        <v>242</v>
      </c>
      <c r="C56" s="343">
        <v>0</v>
      </c>
      <c r="D56" s="345" t="s">
        <v>9</v>
      </c>
      <c r="E56" s="355">
        <v>0</v>
      </c>
      <c r="F56" s="355">
        <v>0</v>
      </c>
      <c r="G56" s="358"/>
      <c r="H56" s="359"/>
      <c r="I56" s="17"/>
    </row>
    <row r="57" spans="2:9" ht="24" customHeight="1" x14ac:dyDescent="0.25">
      <c r="B57" s="822" t="s">
        <v>23</v>
      </c>
      <c r="C57" s="822"/>
      <c r="D57" s="822"/>
      <c r="E57" s="822"/>
      <c r="F57" s="822"/>
      <c r="G57" s="822"/>
      <c r="H57" s="822"/>
      <c r="I57" s="17"/>
    </row>
    <row r="58" spans="2:9" ht="16.5" thickBot="1" x14ac:dyDescent="0.3">
      <c r="B58" s="346" t="s">
        <v>700</v>
      </c>
      <c r="C58" s="347">
        <v>0</v>
      </c>
      <c r="D58" s="348" t="s">
        <v>9</v>
      </c>
      <c r="E58" s="360">
        <v>0</v>
      </c>
      <c r="F58" s="360">
        <v>0</v>
      </c>
      <c r="G58" s="363"/>
      <c r="H58" s="364"/>
      <c r="I58" s="17"/>
    </row>
    <row r="59" spans="2:9" x14ac:dyDescent="0.25">
      <c r="B59" s="344" t="s">
        <v>242</v>
      </c>
      <c r="C59" s="343">
        <v>0</v>
      </c>
      <c r="D59" s="345" t="s">
        <v>9</v>
      </c>
      <c r="E59" s="355">
        <v>0</v>
      </c>
      <c r="F59" s="355">
        <v>0</v>
      </c>
      <c r="G59" s="358"/>
      <c r="H59" s="357"/>
      <c r="I59" s="17">
        <f>IFERROR((E47/C47)&lt;3,0)</f>
        <v>0</v>
      </c>
    </row>
    <row r="60" spans="2:9" ht="24" customHeight="1" x14ac:dyDescent="0.25">
      <c r="B60" s="822" t="s">
        <v>24</v>
      </c>
      <c r="C60" s="822"/>
      <c r="D60" s="822"/>
      <c r="E60" s="822"/>
      <c r="F60" s="822"/>
      <c r="G60" s="822"/>
      <c r="H60" s="822"/>
      <c r="I60" s="17">
        <f t="shared" ref="I60:I66" si="0">IFERROR((F61/C61)&lt;3,0)</f>
        <v>0</v>
      </c>
    </row>
    <row r="61" spans="2:9" ht="16.5" thickBot="1" x14ac:dyDescent="0.3">
      <c r="B61" s="346" t="s">
        <v>700</v>
      </c>
      <c r="C61" s="347">
        <v>0</v>
      </c>
      <c r="D61" s="348" t="s">
        <v>9</v>
      </c>
      <c r="E61" s="360">
        <v>0</v>
      </c>
      <c r="F61" s="360">
        <v>0</v>
      </c>
      <c r="G61" s="363"/>
      <c r="H61" s="362"/>
      <c r="I61" s="17">
        <f t="shared" si="0"/>
        <v>0</v>
      </c>
    </row>
    <row r="62" spans="2:9" x14ac:dyDescent="0.25">
      <c r="B62" s="344" t="s">
        <v>242</v>
      </c>
      <c r="C62" s="343">
        <v>0</v>
      </c>
      <c r="D62" s="345" t="s">
        <v>9</v>
      </c>
      <c r="E62" s="355">
        <v>0</v>
      </c>
      <c r="F62" s="355">
        <v>0</v>
      </c>
      <c r="G62" s="358"/>
      <c r="H62" s="357"/>
      <c r="I62" s="17">
        <f t="shared" si="0"/>
        <v>0</v>
      </c>
    </row>
    <row r="63" spans="2:9" ht="24" customHeight="1" x14ac:dyDescent="0.25">
      <c r="B63" s="822" t="s">
        <v>243</v>
      </c>
      <c r="C63" s="822"/>
      <c r="D63" s="822"/>
      <c r="E63" s="822"/>
      <c r="F63" s="822"/>
      <c r="G63" s="822"/>
      <c r="H63" s="822"/>
      <c r="I63" s="17">
        <f t="shared" si="0"/>
        <v>0</v>
      </c>
    </row>
    <row r="64" spans="2:9" ht="16.5" thickBot="1" x14ac:dyDescent="0.3">
      <c r="B64" s="346" t="s">
        <v>700</v>
      </c>
      <c r="C64" s="347">
        <v>0</v>
      </c>
      <c r="D64" s="348" t="s">
        <v>9</v>
      </c>
      <c r="E64" s="360">
        <v>0</v>
      </c>
      <c r="F64" s="360">
        <v>0</v>
      </c>
      <c r="G64" s="363"/>
      <c r="H64" s="362"/>
      <c r="I64" s="17">
        <f t="shared" si="0"/>
        <v>0</v>
      </c>
    </row>
    <row r="65" spans="2:9" x14ac:dyDescent="0.25">
      <c r="B65" s="344" t="s">
        <v>242</v>
      </c>
      <c r="C65" s="343">
        <v>0</v>
      </c>
      <c r="D65" s="345" t="s">
        <v>9</v>
      </c>
      <c r="E65" s="355">
        <v>0</v>
      </c>
      <c r="F65" s="355">
        <v>0</v>
      </c>
      <c r="G65" s="358"/>
      <c r="H65" s="357"/>
      <c r="I65" s="17">
        <f t="shared" si="0"/>
        <v>0</v>
      </c>
    </row>
    <row r="66" spans="2:9" ht="24" customHeight="1" x14ac:dyDescent="0.25">
      <c r="B66" s="822" t="s">
        <v>244</v>
      </c>
      <c r="C66" s="822"/>
      <c r="D66" s="822"/>
      <c r="E66" s="822"/>
      <c r="F66" s="822"/>
      <c r="G66" s="822"/>
      <c r="H66" s="822"/>
      <c r="I66" s="17">
        <f t="shared" si="0"/>
        <v>0</v>
      </c>
    </row>
    <row r="67" spans="2:9" ht="16.5" thickBot="1" x14ac:dyDescent="0.3">
      <c r="B67" s="346" t="s">
        <v>700</v>
      </c>
      <c r="C67" s="347">
        <v>0</v>
      </c>
      <c r="D67" s="348" t="s">
        <v>9</v>
      </c>
      <c r="E67" s="360">
        <v>0</v>
      </c>
      <c r="F67" s="360">
        <v>0</v>
      </c>
      <c r="G67" s="361" t="s">
        <v>219</v>
      </c>
      <c r="H67" s="362"/>
    </row>
    <row r="68" spans="2:9" x14ac:dyDescent="0.25">
      <c r="B68" s="344" t="s">
        <v>242</v>
      </c>
      <c r="C68" s="343">
        <v>0</v>
      </c>
      <c r="D68" s="345" t="s">
        <v>9</v>
      </c>
      <c r="E68" s="355">
        <v>0</v>
      </c>
      <c r="F68" s="355">
        <v>0</v>
      </c>
      <c r="G68" s="356" t="s">
        <v>219</v>
      </c>
      <c r="H68" s="357"/>
    </row>
    <row r="69" spans="2:9" x14ac:dyDescent="0.25"/>
    <row r="70" spans="2:9" ht="18.75" customHeight="1" x14ac:dyDescent="0.25">
      <c r="B70" s="828" t="s">
        <v>563</v>
      </c>
      <c r="C70" s="828"/>
      <c r="D70" s="828"/>
      <c r="E70" s="828"/>
      <c r="F70" s="828"/>
      <c r="G70" s="828"/>
      <c r="H70" s="828"/>
    </row>
    <row r="71" spans="2:9" ht="21" x14ac:dyDescent="0.25">
      <c r="B71" s="828" t="s">
        <v>697</v>
      </c>
      <c r="C71" s="828"/>
      <c r="D71" s="828" t="s">
        <v>9</v>
      </c>
      <c r="E71" s="828">
        <v>0</v>
      </c>
      <c r="F71" s="828"/>
      <c r="G71" s="828"/>
      <c r="H71" s="828"/>
    </row>
    <row r="72" spans="2:9" x14ac:dyDescent="0.25">
      <c r="B72" s="824" t="s">
        <v>6</v>
      </c>
      <c r="C72" s="829" t="s">
        <v>749</v>
      </c>
      <c r="D72" s="824" t="s">
        <v>7</v>
      </c>
      <c r="E72" s="829" t="s">
        <v>19</v>
      </c>
      <c r="F72" s="829" t="s">
        <v>1097</v>
      </c>
      <c r="G72" s="829" t="s">
        <v>609</v>
      </c>
      <c r="H72" s="824" t="s">
        <v>608</v>
      </c>
      <c r="I72" s="17">
        <f>IFERROR((#REF!/#REF!)&lt;3,0)</f>
        <v>0</v>
      </c>
    </row>
    <row r="73" spans="2:9" ht="15.75" customHeight="1" thickBot="1" x14ac:dyDescent="0.3">
      <c r="B73" s="825"/>
      <c r="C73" s="830"/>
      <c r="D73" s="825"/>
      <c r="E73" s="830"/>
      <c r="F73" s="830"/>
      <c r="G73" s="830"/>
      <c r="H73" s="825"/>
      <c r="I73" s="17">
        <f>IFERROR((E74/C74)&lt;3,0)</f>
        <v>0</v>
      </c>
    </row>
    <row r="74" spans="2:9" ht="17.25" customHeight="1" thickBot="1" x14ac:dyDescent="0.3">
      <c r="B74" s="372" t="s">
        <v>574</v>
      </c>
      <c r="C74" s="367">
        <v>0</v>
      </c>
      <c r="D74" s="377" t="s">
        <v>9</v>
      </c>
      <c r="E74" s="368">
        <v>0</v>
      </c>
      <c r="F74" s="379">
        <f>IFERROR(E74/C74,0)</f>
        <v>0</v>
      </c>
      <c r="G74" s="843" t="s">
        <v>549</v>
      </c>
      <c r="H74" s="855"/>
      <c r="I74" s="17"/>
    </row>
    <row r="75" spans="2:9" ht="17.25" customHeight="1" thickBot="1" x14ac:dyDescent="0.3">
      <c r="B75" s="344" t="s">
        <v>575</v>
      </c>
      <c r="C75" s="365">
        <v>0</v>
      </c>
      <c r="D75" s="378" t="s">
        <v>9</v>
      </c>
      <c r="E75" s="366">
        <v>0</v>
      </c>
      <c r="F75" s="380">
        <f>IFERROR(E75/C75,0)</f>
        <v>0</v>
      </c>
      <c r="G75" s="818"/>
      <c r="H75" s="856"/>
      <c r="I75" s="17"/>
    </row>
    <row r="76" spans="2:9" ht="15.75" customHeight="1" x14ac:dyDescent="0.25">
      <c r="B76" s="841" t="str">
        <f>IF(G74="other","Please provide 'Other' technology details here","")</f>
        <v/>
      </c>
      <c r="C76" s="841"/>
      <c r="D76" s="841"/>
      <c r="E76" s="841"/>
      <c r="F76" s="841"/>
      <c r="G76" s="841"/>
      <c r="H76" s="841"/>
      <c r="I76" s="17"/>
    </row>
    <row r="77" spans="2:9" s="127" customFormat="1" ht="6.75" customHeight="1" thickBot="1" x14ac:dyDescent="0.3">
      <c r="B77" s="823"/>
      <c r="C77" s="823"/>
      <c r="D77" s="823"/>
      <c r="E77" s="823"/>
      <c r="F77" s="823"/>
      <c r="G77" s="823"/>
      <c r="H77" s="823"/>
      <c r="I77" s="185"/>
    </row>
    <row r="78" spans="2:9" ht="17.25" customHeight="1" thickBot="1" x14ac:dyDescent="0.3">
      <c r="B78" s="372" t="s">
        <v>574</v>
      </c>
      <c r="C78" s="343">
        <v>0</v>
      </c>
      <c r="D78" s="345" t="s">
        <v>9</v>
      </c>
      <c r="E78" s="355">
        <v>0</v>
      </c>
      <c r="F78" s="373">
        <f>IFERROR(E78/C78,0)</f>
        <v>0</v>
      </c>
      <c r="G78" s="817" t="s">
        <v>549</v>
      </c>
      <c r="H78" s="857"/>
      <c r="I78" s="17"/>
    </row>
    <row r="79" spans="2:9" ht="17.25" customHeight="1" thickBot="1" x14ac:dyDescent="0.3">
      <c r="B79" s="344" t="s">
        <v>575</v>
      </c>
      <c r="C79" s="365">
        <v>0</v>
      </c>
      <c r="D79" s="378" t="s">
        <v>9</v>
      </c>
      <c r="E79" s="366">
        <v>0</v>
      </c>
      <c r="F79" s="380">
        <f>IFERROR(E79/C79,0)</f>
        <v>0</v>
      </c>
      <c r="G79" s="818"/>
      <c r="H79" s="856"/>
      <c r="I79" s="17"/>
    </row>
    <row r="80" spans="2:9" ht="15.75" customHeight="1" x14ac:dyDescent="0.25">
      <c r="B80" s="838" t="str">
        <f>IF(G78="other","Please provide 'Other' technology details here","")</f>
        <v/>
      </c>
      <c r="C80" s="838"/>
      <c r="D80" s="838"/>
      <c r="E80" s="838"/>
      <c r="F80" s="838"/>
      <c r="G80" s="838"/>
      <c r="H80" s="838"/>
      <c r="I80" s="17"/>
    </row>
    <row r="81" spans="2:11" s="127" customFormat="1" ht="6.75" customHeight="1" thickBot="1" x14ac:dyDescent="0.3">
      <c r="B81" s="842"/>
      <c r="C81" s="842"/>
      <c r="D81" s="842"/>
      <c r="E81" s="842"/>
      <c r="F81" s="842"/>
      <c r="G81" s="842"/>
      <c r="H81" s="842"/>
      <c r="I81" s="185"/>
    </row>
    <row r="82" spans="2:11" ht="17.25" customHeight="1" thickBot="1" x14ac:dyDescent="0.3">
      <c r="B82" s="372" t="s">
        <v>574</v>
      </c>
      <c r="C82" s="343">
        <v>0</v>
      </c>
      <c r="D82" s="345" t="s">
        <v>9</v>
      </c>
      <c r="E82" s="355">
        <v>0</v>
      </c>
      <c r="F82" s="373">
        <f>IFERROR(E82/C82,0)</f>
        <v>0</v>
      </c>
      <c r="G82" s="817" t="s">
        <v>549</v>
      </c>
      <c r="H82" s="857"/>
      <c r="I82" s="17"/>
    </row>
    <row r="83" spans="2:11" ht="17.25" customHeight="1" thickBot="1" x14ac:dyDescent="0.3">
      <c r="B83" s="344" t="s">
        <v>575</v>
      </c>
      <c r="C83" s="365">
        <v>0</v>
      </c>
      <c r="D83" s="378" t="s">
        <v>9</v>
      </c>
      <c r="E83" s="366">
        <v>0</v>
      </c>
      <c r="F83" s="380">
        <f>IFERROR(E83/C83,0)</f>
        <v>0</v>
      </c>
      <c r="G83" s="817"/>
      <c r="H83" s="856"/>
      <c r="I83" s="17"/>
    </row>
    <row r="84" spans="2:11" x14ac:dyDescent="0.25">
      <c r="B84" s="841" t="str">
        <f>IF(G82="other","Please provide 'Other' technology details here","")</f>
        <v/>
      </c>
      <c r="C84" s="841"/>
      <c r="D84" s="841"/>
      <c r="E84" s="841"/>
      <c r="F84" s="841"/>
      <c r="G84" s="841"/>
      <c r="H84" s="841"/>
    </row>
    <row r="85" spans="2:11" x14ac:dyDescent="0.25">
      <c r="E85" s="16"/>
      <c r="F85" s="16"/>
      <c r="G85" s="16"/>
    </row>
    <row r="86" spans="2:11" ht="21" x14ac:dyDescent="0.25">
      <c r="B86" s="369" t="s">
        <v>564</v>
      </c>
      <c r="C86" s="369"/>
      <c r="D86" s="369"/>
      <c r="E86" s="369"/>
      <c r="F86" s="369"/>
      <c r="G86" s="369"/>
      <c r="H86" s="369"/>
    </row>
    <row r="87" spans="2:11" ht="21" x14ac:dyDescent="0.25">
      <c r="B87" s="369" t="s">
        <v>1189</v>
      </c>
      <c r="C87" s="369"/>
      <c r="D87" s="369"/>
      <c r="E87" s="369"/>
      <c r="F87" s="369"/>
      <c r="G87" s="369"/>
      <c r="H87" s="369"/>
    </row>
    <row r="88" spans="2:11" x14ac:dyDescent="0.25">
      <c r="B88" s="824" t="s">
        <v>6</v>
      </c>
      <c r="C88" s="824" t="s">
        <v>750</v>
      </c>
      <c r="D88" s="824" t="s">
        <v>7</v>
      </c>
      <c r="E88" s="829" t="s">
        <v>19</v>
      </c>
      <c r="F88" s="829" t="s">
        <v>1192</v>
      </c>
      <c r="G88" s="829" t="s">
        <v>1193</v>
      </c>
      <c r="H88" s="824" t="s">
        <v>8</v>
      </c>
    </row>
    <row r="89" spans="2:11" x14ac:dyDescent="0.25">
      <c r="B89" s="824"/>
      <c r="C89" s="824"/>
      <c r="D89" s="824"/>
      <c r="E89" s="829"/>
      <c r="F89" s="829"/>
      <c r="G89" s="829"/>
      <c r="H89" s="824"/>
    </row>
    <row r="90" spans="2:11" ht="16.5" thickBot="1" x14ac:dyDescent="0.3">
      <c r="B90" s="824"/>
      <c r="C90" s="824"/>
      <c r="D90" s="824"/>
      <c r="E90" s="829"/>
      <c r="F90" s="829"/>
      <c r="G90" s="829"/>
      <c r="H90" s="824"/>
    </row>
    <row r="91" spans="2:11" s="204" customFormat="1" ht="23.25" customHeight="1" x14ac:dyDescent="0.25">
      <c r="B91" s="840" t="s">
        <v>1191</v>
      </c>
      <c r="C91" s="840"/>
      <c r="D91" s="840"/>
      <c r="E91" s="840"/>
      <c r="F91" s="840"/>
      <c r="G91" s="840"/>
      <c r="H91" s="840"/>
    </row>
    <row r="92" spans="2:11" ht="18" customHeight="1" x14ac:dyDescent="0.25">
      <c r="B92" s="376" t="s">
        <v>1190</v>
      </c>
      <c r="C92" s="343">
        <v>0</v>
      </c>
      <c r="D92" s="345" t="s">
        <v>89</v>
      </c>
      <c r="E92" s="355">
        <v>0</v>
      </c>
      <c r="F92" s="373">
        <f>IFERROR(E92/C92,0)</f>
        <v>0</v>
      </c>
      <c r="G92" s="374"/>
      <c r="H92" s="375"/>
    </row>
    <row r="93" spans="2:11" ht="23.25" customHeight="1" x14ac:dyDescent="0.25">
      <c r="B93" s="839" t="s">
        <v>245</v>
      </c>
      <c r="C93" s="839"/>
      <c r="D93" s="839"/>
      <c r="E93" s="839"/>
      <c r="F93" s="839"/>
      <c r="G93" s="839"/>
      <c r="H93" s="839"/>
      <c r="J93" s="17"/>
      <c r="K93" s="17"/>
    </row>
    <row r="94" spans="2:11" ht="17.25" customHeight="1" thickBot="1" x14ac:dyDescent="0.3">
      <c r="B94" s="346" t="s">
        <v>246</v>
      </c>
      <c r="C94" s="347">
        <v>0</v>
      </c>
      <c r="D94" s="495" t="s">
        <v>90</v>
      </c>
      <c r="E94" s="360">
        <v>0</v>
      </c>
      <c r="F94" s="497">
        <f>IFERROR(E94/C94,0)</f>
        <v>0</v>
      </c>
      <c r="G94" s="499"/>
      <c r="H94" s="501"/>
      <c r="J94" s="17"/>
      <c r="K94" s="17"/>
    </row>
    <row r="95" spans="2:11" ht="17.25" customHeight="1" thickBot="1" x14ac:dyDescent="0.3">
      <c r="B95" s="372" t="s">
        <v>247</v>
      </c>
      <c r="C95" s="365">
        <v>0</v>
      </c>
      <c r="D95" s="496" t="s">
        <v>90</v>
      </c>
      <c r="E95" s="366">
        <v>0</v>
      </c>
      <c r="F95" s="498">
        <f>IFERROR(E95/C95,0)</f>
        <v>0</v>
      </c>
      <c r="G95" s="500"/>
      <c r="H95" s="502"/>
      <c r="J95" s="17"/>
      <c r="K95" s="17"/>
    </row>
    <row r="96" spans="2:11" ht="17.25" customHeight="1" thickBot="1" x14ac:dyDescent="0.3">
      <c r="B96" s="372" t="s">
        <v>248</v>
      </c>
      <c r="C96" s="365">
        <v>0</v>
      </c>
      <c r="D96" s="496" t="s">
        <v>90</v>
      </c>
      <c r="E96" s="366">
        <v>0</v>
      </c>
      <c r="F96" s="498">
        <f>IFERROR(E96/C96,0)</f>
        <v>0</v>
      </c>
      <c r="G96" s="500"/>
      <c r="H96" s="502"/>
      <c r="J96" s="17"/>
      <c r="K96" s="17"/>
    </row>
    <row r="97" spans="2:11" ht="17.25" customHeight="1" x14ac:dyDescent="0.25">
      <c r="B97" s="831" t="s">
        <v>249</v>
      </c>
      <c r="C97" s="832">
        <v>0</v>
      </c>
      <c r="D97" s="833" t="s">
        <v>90</v>
      </c>
      <c r="E97" s="834">
        <v>0</v>
      </c>
      <c r="F97" s="835">
        <v>0</v>
      </c>
      <c r="G97" s="371" t="s">
        <v>189</v>
      </c>
      <c r="H97" s="503"/>
      <c r="J97" s="17"/>
      <c r="K97" s="17"/>
    </row>
    <row r="98" spans="2:11" ht="17.25" customHeight="1" x14ac:dyDescent="0.25">
      <c r="B98" s="831"/>
      <c r="C98" s="832"/>
      <c r="D98" s="833"/>
      <c r="E98" s="834"/>
      <c r="F98" s="835"/>
      <c r="G98" s="371" t="s">
        <v>190</v>
      </c>
      <c r="H98" s="503"/>
      <c r="J98" s="17"/>
      <c r="K98" s="17"/>
    </row>
    <row r="99" spans="2:11" ht="17.25" customHeight="1" x14ac:dyDescent="0.25">
      <c r="B99" s="831"/>
      <c r="C99" s="832"/>
      <c r="D99" s="833"/>
      <c r="E99" s="834"/>
      <c r="F99" s="835"/>
      <c r="G99" s="371" t="s">
        <v>191</v>
      </c>
      <c r="H99" s="503"/>
      <c r="J99" s="17"/>
      <c r="K99" s="17"/>
    </row>
    <row r="100" spans="2:11" x14ac:dyDescent="0.25"/>
    <row r="101" spans="2:11" x14ac:dyDescent="0.25">
      <c r="C101" s="483"/>
    </row>
    <row r="102" spans="2:11" x14ac:dyDescent="0.25"/>
    <row r="103" spans="2:11" x14ac:dyDescent="0.25"/>
    <row r="104" spans="2:11" x14ac:dyDescent="0.25"/>
    <row r="105" spans="2:11" x14ac:dyDescent="0.25"/>
    <row r="106" spans="2:11" x14ac:dyDescent="0.25"/>
    <row r="107" spans="2:11" x14ac:dyDescent="0.25"/>
    <row r="108" spans="2:11" x14ac:dyDescent="0.25"/>
    <row r="109" spans="2:11" x14ac:dyDescent="0.25"/>
    <row r="110" spans="2:11" x14ac:dyDescent="0.25"/>
    <row r="111" spans="2:11" x14ac:dyDescent="0.25">
      <c r="E111" s="16"/>
      <c r="F111" s="16"/>
      <c r="G111" s="16"/>
    </row>
    <row r="112" spans="2:11" x14ac:dyDescent="0.25">
      <c r="E112" s="16"/>
      <c r="F112" s="16"/>
      <c r="G112" s="16"/>
    </row>
    <row r="113" spans="5:7" x14ac:dyDescent="0.25">
      <c r="E113" s="16"/>
      <c r="F113" s="16"/>
      <c r="G113" s="16"/>
    </row>
    <row r="114" spans="5:7" x14ac:dyDescent="0.25">
      <c r="E114" s="16"/>
      <c r="F114" s="16"/>
      <c r="G114" s="16"/>
    </row>
    <row r="115" spans="5:7" x14ac:dyDescent="0.25">
      <c r="E115" s="16"/>
      <c r="F115" s="16"/>
      <c r="G115" s="16"/>
    </row>
    <row r="116" spans="5:7" x14ac:dyDescent="0.25">
      <c r="E116" s="16"/>
      <c r="F116" s="16"/>
      <c r="G116" s="16"/>
    </row>
    <row r="117" spans="5:7" x14ac:dyDescent="0.25">
      <c r="E117" s="16"/>
      <c r="F117" s="16"/>
      <c r="G117" s="16"/>
    </row>
    <row r="118" spans="5:7" x14ac:dyDescent="0.25">
      <c r="E118" s="16"/>
      <c r="F118" s="16"/>
      <c r="G118" s="16"/>
    </row>
    <row r="119" spans="5:7" x14ac:dyDescent="0.25">
      <c r="E119" s="16"/>
      <c r="F119" s="16"/>
      <c r="G119" s="16"/>
    </row>
    <row r="120" spans="5:7" x14ac:dyDescent="0.25">
      <c r="E120" s="16"/>
      <c r="F120" s="16"/>
      <c r="G120" s="16"/>
    </row>
    <row r="121" spans="5:7" x14ac:dyDescent="0.25">
      <c r="E121" s="16"/>
      <c r="F121" s="16"/>
      <c r="G121" s="16"/>
    </row>
    <row r="122" spans="5:7" x14ac:dyDescent="0.25">
      <c r="E122" s="16"/>
      <c r="F122" s="16"/>
      <c r="G122" s="16"/>
    </row>
    <row r="123" spans="5:7" x14ac:dyDescent="0.25">
      <c r="E123" s="16"/>
      <c r="F123" s="16"/>
      <c r="G123" s="16"/>
    </row>
    <row r="124" spans="5:7" x14ac:dyDescent="0.25">
      <c r="E124" s="16"/>
      <c r="F124" s="16"/>
      <c r="G124" s="16"/>
    </row>
    <row r="125" spans="5:7" x14ac:dyDescent="0.25">
      <c r="E125" s="16"/>
      <c r="F125" s="16"/>
      <c r="G125" s="16"/>
    </row>
    <row r="126" spans="5:7" x14ac:dyDescent="0.25">
      <c r="E126" s="16"/>
      <c r="F126" s="16"/>
      <c r="G126" s="16"/>
    </row>
    <row r="127" spans="5:7" x14ac:dyDescent="0.25">
      <c r="E127" s="16"/>
      <c r="F127" s="16"/>
      <c r="G127" s="16"/>
    </row>
    <row r="128" spans="5:7" x14ac:dyDescent="0.25">
      <c r="E128" s="16"/>
      <c r="F128" s="16"/>
      <c r="G128" s="16"/>
    </row>
    <row r="129" spans="5:7" x14ac:dyDescent="0.25">
      <c r="E129" s="16"/>
      <c r="F129" s="16"/>
      <c r="G129" s="16"/>
    </row>
    <row r="130" spans="5:7" hidden="1" x14ac:dyDescent="0.25">
      <c r="E130" s="16"/>
      <c r="F130" s="16"/>
      <c r="G130" s="16"/>
    </row>
    <row r="131" spans="5:7" hidden="1" x14ac:dyDescent="0.25">
      <c r="E131" s="16"/>
      <c r="F131" s="16"/>
      <c r="G131" s="16"/>
    </row>
    <row r="132" spans="5:7" x14ac:dyDescent="0.25">
      <c r="E132" s="16"/>
      <c r="F132" s="16"/>
      <c r="G132" s="16"/>
    </row>
    <row r="133" spans="5:7" x14ac:dyDescent="0.25">
      <c r="E133" s="16"/>
      <c r="F133" s="16"/>
      <c r="G133" s="16"/>
    </row>
    <row r="134" spans="5:7" x14ac:dyDescent="0.25">
      <c r="E134" s="16"/>
      <c r="F134" s="16"/>
      <c r="G134" s="16"/>
    </row>
    <row r="135" spans="5:7" x14ac:dyDescent="0.25">
      <c r="E135" s="16"/>
      <c r="F135" s="16"/>
      <c r="G135" s="16"/>
    </row>
    <row r="136" spans="5:7" x14ac:dyDescent="0.25">
      <c r="E136" s="16"/>
      <c r="F136" s="16"/>
      <c r="G136" s="16"/>
    </row>
    <row r="137" spans="5:7" x14ac:dyDescent="0.25">
      <c r="E137" s="16"/>
      <c r="F137" s="16"/>
      <c r="G137" s="16"/>
    </row>
    <row r="138" spans="5:7" x14ac:dyDescent="0.25">
      <c r="E138" s="16"/>
      <c r="F138" s="16"/>
      <c r="G138" s="16"/>
    </row>
    <row r="139" spans="5:7" x14ac:dyDescent="0.25">
      <c r="E139" s="16"/>
      <c r="F139" s="16"/>
      <c r="G139" s="16"/>
    </row>
    <row r="140" spans="5:7" x14ac:dyDescent="0.25">
      <c r="E140" s="16"/>
      <c r="F140" s="16"/>
      <c r="G140" s="16"/>
    </row>
    <row r="141" spans="5:7" x14ac:dyDescent="0.25">
      <c r="E141" s="16"/>
      <c r="F141" s="16"/>
      <c r="G141" s="16"/>
    </row>
    <row r="142" spans="5:7" x14ac:dyDescent="0.25">
      <c r="E142" s="16"/>
      <c r="F142" s="16"/>
      <c r="G142" s="16"/>
    </row>
    <row r="143" spans="5:7" x14ac:dyDescent="0.25">
      <c r="E143" s="16"/>
      <c r="F143" s="16"/>
      <c r="G143" s="16"/>
    </row>
    <row r="144" spans="5:7" x14ac:dyDescent="0.25">
      <c r="E144" s="16"/>
      <c r="F144" s="16"/>
      <c r="G144" s="16"/>
    </row>
    <row r="145" spans="5:7" x14ac:dyDescent="0.25">
      <c r="E145" s="16"/>
      <c r="F145" s="16"/>
      <c r="G145" s="16"/>
    </row>
    <row r="146" spans="5:7" x14ac:dyDescent="0.25">
      <c r="E146" s="16"/>
      <c r="F146" s="16"/>
      <c r="G146" s="16"/>
    </row>
    <row r="147" spans="5:7" x14ac:dyDescent="0.25">
      <c r="E147" s="16"/>
      <c r="F147" s="16"/>
      <c r="G147" s="16"/>
    </row>
    <row r="148" spans="5:7" x14ac:dyDescent="0.25">
      <c r="E148" s="16"/>
      <c r="F148" s="16"/>
      <c r="G148" s="16"/>
    </row>
    <row r="149" spans="5:7" x14ac:dyDescent="0.25">
      <c r="E149" s="16"/>
      <c r="F149" s="16"/>
      <c r="G149" s="16"/>
    </row>
    <row r="150" spans="5:7" x14ac:dyDescent="0.25">
      <c r="E150" s="16"/>
      <c r="F150" s="16"/>
      <c r="G150" s="16"/>
    </row>
    <row r="151" spans="5:7" x14ac:dyDescent="0.25"/>
    <row r="152" spans="5:7" x14ac:dyDescent="0.25"/>
    <row r="153" spans="5:7" x14ac:dyDescent="0.25"/>
  </sheetData>
  <sheetProtection password="CC30" sheet="1" objects="1" scenarios="1" selectLockedCells="1"/>
  <mergeCells count="101">
    <mergeCell ref="B29:H29"/>
    <mergeCell ref="B32:H32"/>
    <mergeCell ref="B35:H35"/>
    <mergeCell ref="B38:H38"/>
    <mergeCell ref="B22:H22"/>
    <mergeCell ref="D23:D25"/>
    <mergeCell ref="E31:F31"/>
    <mergeCell ref="E33:F33"/>
    <mergeCell ref="E34:F34"/>
    <mergeCell ref="E36:F36"/>
    <mergeCell ref="G31:H31"/>
    <mergeCell ref="G27:H27"/>
    <mergeCell ref="G28:H28"/>
    <mergeCell ref="H74:H75"/>
    <mergeCell ref="H78:H79"/>
    <mergeCell ref="H82:H83"/>
    <mergeCell ref="B20:H20"/>
    <mergeCell ref="G23:H25"/>
    <mergeCell ref="F48:F50"/>
    <mergeCell ref="B72:B73"/>
    <mergeCell ref="D48:D50"/>
    <mergeCell ref="G48:G50"/>
    <mergeCell ref="B47:H47"/>
    <mergeCell ref="B71:H71"/>
    <mergeCell ref="B70:H70"/>
    <mergeCell ref="E43:F43"/>
    <mergeCell ref="B60:H60"/>
    <mergeCell ref="B63:H63"/>
    <mergeCell ref="B66:H66"/>
    <mergeCell ref="E27:F27"/>
    <mergeCell ref="E28:F28"/>
    <mergeCell ref="E30:F30"/>
    <mergeCell ref="E37:F37"/>
    <mergeCell ref="G33:H33"/>
    <mergeCell ref="B21:H21"/>
    <mergeCell ref="B26:H26"/>
    <mergeCell ref="G30:H30"/>
    <mergeCell ref="B1:H1"/>
    <mergeCell ref="B14:H14"/>
    <mergeCell ref="B7:H7"/>
    <mergeCell ref="B15:H15"/>
    <mergeCell ref="C2:H4"/>
    <mergeCell ref="C5:H5"/>
    <mergeCell ref="B2:B5"/>
    <mergeCell ref="E23:F25"/>
    <mergeCell ref="G18:H18"/>
    <mergeCell ref="B16:B17"/>
    <mergeCell ref="C16:C17"/>
    <mergeCell ref="D16:D17"/>
    <mergeCell ref="G16:H17"/>
    <mergeCell ref="F16:F17"/>
    <mergeCell ref="B23:B25"/>
    <mergeCell ref="C23:C25"/>
    <mergeCell ref="B97:B99"/>
    <mergeCell ref="C97:C99"/>
    <mergeCell ref="D97:D99"/>
    <mergeCell ref="E97:E99"/>
    <mergeCell ref="F97:F99"/>
    <mergeCell ref="B51:H51"/>
    <mergeCell ref="B54:H54"/>
    <mergeCell ref="B57:H57"/>
    <mergeCell ref="E42:F42"/>
    <mergeCell ref="B80:H80"/>
    <mergeCell ref="B93:H93"/>
    <mergeCell ref="B91:H91"/>
    <mergeCell ref="F88:F90"/>
    <mergeCell ref="E88:E90"/>
    <mergeCell ref="B84:H84"/>
    <mergeCell ref="G82:G83"/>
    <mergeCell ref="B81:H81"/>
    <mergeCell ref="G88:G90"/>
    <mergeCell ref="H88:H90"/>
    <mergeCell ref="B88:B90"/>
    <mergeCell ref="C88:C90"/>
    <mergeCell ref="D88:D90"/>
    <mergeCell ref="B76:H76"/>
    <mergeCell ref="G74:G75"/>
    <mergeCell ref="G78:G79"/>
    <mergeCell ref="G34:H34"/>
    <mergeCell ref="G36:H36"/>
    <mergeCell ref="G37:H37"/>
    <mergeCell ref="G39:H39"/>
    <mergeCell ref="E48:E50"/>
    <mergeCell ref="B41:H41"/>
    <mergeCell ref="G40:H40"/>
    <mergeCell ref="G42:H42"/>
    <mergeCell ref="G43:H43"/>
    <mergeCell ref="B77:H77"/>
    <mergeCell ref="H72:H73"/>
    <mergeCell ref="E39:F39"/>
    <mergeCell ref="E40:F40"/>
    <mergeCell ref="B45:H45"/>
    <mergeCell ref="B46:H46"/>
    <mergeCell ref="B48:B50"/>
    <mergeCell ref="C48:C50"/>
    <mergeCell ref="H48:H50"/>
    <mergeCell ref="C72:C73"/>
    <mergeCell ref="D72:D73"/>
    <mergeCell ref="E72:E73"/>
    <mergeCell ref="F72:F73"/>
    <mergeCell ref="G72:G73"/>
  </mergeCells>
  <conditionalFormatting sqref="B76 B80 B84">
    <cfRule type="containsText" dxfId="51" priority="1" operator="containsText" text="Please provide 'Other' technology details here">
      <formula>NOT(ISERROR(SEARCH("Please provide 'Other' technology details here",B76)))</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Source!$A$1:$A$9</xm:f>
          </x14:formula1>
          <xm:sqref>G78:G79 G82:G83 G74:G75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I31"/>
  <sheetViews>
    <sheetView showGridLines="0" workbookViewId="0">
      <selection activeCell="C11" sqref="C11"/>
    </sheetView>
  </sheetViews>
  <sheetFormatPr defaultColWidth="0" defaultRowHeight="15.75" zeroHeight="1" x14ac:dyDescent="0.25"/>
  <cols>
    <col min="1" max="1" width="2.85546875" style="19" customWidth="1"/>
    <col min="2" max="2" width="45.42578125" style="19" customWidth="1"/>
    <col min="3" max="3" width="19.28515625" style="19" bestFit="1" customWidth="1"/>
    <col min="4" max="4" width="12.28515625" style="19" customWidth="1"/>
    <col min="5" max="5" width="18.5703125" style="19" customWidth="1"/>
    <col min="6" max="6" width="13.42578125" style="19" customWidth="1"/>
    <col min="7" max="7" width="26" style="19" customWidth="1"/>
    <col min="8" max="8" width="30.7109375" style="19" customWidth="1"/>
    <col min="9" max="9" width="5" style="19" customWidth="1"/>
    <col min="10" max="16384" width="9.140625" style="19" hidden="1"/>
  </cols>
  <sheetData>
    <row r="1" spans="1:9" ht="16.5" thickBot="1" x14ac:dyDescent="0.3">
      <c r="B1" s="844" t="s">
        <v>509</v>
      </c>
      <c r="C1" s="844"/>
      <c r="D1" s="844"/>
      <c r="E1" s="844"/>
      <c r="F1" s="844"/>
      <c r="G1" s="844"/>
      <c r="H1" s="844"/>
    </row>
    <row r="2" spans="1:9" ht="15.75" customHeight="1" x14ac:dyDescent="0.25">
      <c r="B2" s="859" t="s">
        <v>183</v>
      </c>
      <c r="C2" s="860" t="s">
        <v>1156</v>
      </c>
      <c r="D2" s="861"/>
      <c r="E2" s="861"/>
      <c r="F2" s="861"/>
      <c r="G2" s="861"/>
      <c r="H2" s="861"/>
    </row>
    <row r="3" spans="1:9" x14ac:dyDescent="0.25">
      <c r="B3" s="859"/>
      <c r="C3" s="862"/>
      <c r="D3" s="863"/>
      <c r="E3" s="863"/>
      <c r="F3" s="863"/>
      <c r="G3" s="863"/>
      <c r="H3" s="863"/>
    </row>
    <row r="4" spans="1:9" x14ac:dyDescent="0.25">
      <c r="B4" s="859"/>
      <c r="C4" s="862"/>
      <c r="D4" s="863"/>
      <c r="E4" s="863"/>
      <c r="F4" s="863"/>
      <c r="G4" s="863"/>
      <c r="H4" s="863"/>
    </row>
    <row r="5" spans="1:9" ht="19.5" customHeight="1" thickBot="1" x14ac:dyDescent="0.3">
      <c r="B5" s="859"/>
      <c r="C5" s="867" t="s">
        <v>1133</v>
      </c>
      <c r="D5" s="868"/>
      <c r="E5" s="868"/>
      <c r="F5" s="868"/>
      <c r="G5" s="868"/>
      <c r="H5" s="868"/>
    </row>
    <row r="6" spans="1:9" ht="28.5" customHeight="1" x14ac:dyDescent="0.25"/>
    <row r="7" spans="1:9" s="250" customFormat="1" ht="25.5" customHeight="1" x14ac:dyDescent="0.25">
      <c r="B7" s="864" t="s">
        <v>85</v>
      </c>
      <c r="C7" s="864"/>
      <c r="D7" s="864"/>
      <c r="E7" s="864"/>
      <c r="F7" s="864"/>
      <c r="G7" s="864"/>
      <c r="H7" s="864"/>
    </row>
    <row r="8" spans="1:9" s="259" customFormat="1" ht="18.75" customHeight="1" x14ac:dyDescent="0.3">
      <c r="A8" s="14"/>
      <c r="B8" s="865" t="s">
        <v>6</v>
      </c>
      <c r="C8" s="866" t="s">
        <v>751</v>
      </c>
      <c r="D8" s="865" t="s">
        <v>1135</v>
      </c>
      <c r="E8" s="866" t="s">
        <v>19</v>
      </c>
      <c r="F8" s="866" t="s">
        <v>1137</v>
      </c>
      <c r="G8" s="866" t="s">
        <v>1134</v>
      </c>
      <c r="H8" s="865" t="s">
        <v>8</v>
      </c>
    </row>
    <row r="9" spans="1:9" s="259" customFormat="1" ht="18.75" x14ac:dyDescent="0.3">
      <c r="A9" s="14"/>
      <c r="B9" s="865"/>
      <c r="C9" s="866"/>
      <c r="D9" s="865"/>
      <c r="E9" s="866"/>
      <c r="F9" s="866"/>
      <c r="G9" s="866"/>
      <c r="H9" s="865"/>
    </row>
    <row r="10" spans="1:9" s="259" customFormat="1" ht="19.5" thickBot="1" x14ac:dyDescent="0.35">
      <c r="A10" s="251"/>
      <c r="B10" s="865"/>
      <c r="C10" s="866"/>
      <c r="D10" s="865"/>
      <c r="E10" s="866"/>
      <c r="F10" s="866"/>
      <c r="G10" s="866"/>
      <c r="H10" s="865"/>
    </row>
    <row r="11" spans="1:9" s="250" customFormat="1" ht="19.5" customHeight="1" x14ac:dyDescent="0.25">
      <c r="B11" s="441" t="s">
        <v>3</v>
      </c>
      <c r="C11" s="326">
        <v>0</v>
      </c>
      <c r="D11" s="337" t="s">
        <v>10</v>
      </c>
      <c r="E11" s="328">
        <v>0</v>
      </c>
      <c r="F11" s="329">
        <f>IFERROR(E11/C11,0)</f>
        <v>0</v>
      </c>
      <c r="G11" s="338"/>
      <c r="H11" s="330"/>
      <c r="I11" s="252">
        <f>IFERROR((E11/C11)&lt;3,0)</f>
        <v>0</v>
      </c>
    </row>
    <row r="12" spans="1:9" s="250" customFormat="1" ht="19.5" customHeight="1" x14ac:dyDescent="0.25">
      <c r="B12" s="312" t="s">
        <v>33</v>
      </c>
      <c r="C12" s="318">
        <v>0</v>
      </c>
      <c r="D12" s="336" t="s">
        <v>10</v>
      </c>
      <c r="E12" s="320">
        <v>0</v>
      </c>
      <c r="F12" s="321">
        <f t="shared" ref="F12:F24" si="0">IFERROR(E12/C12,0)</f>
        <v>0</v>
      </c>
      <c r="G12" s="324" t="s">
        <v>1154</v>
      </c>
      <c r="H12" s="323"/>
      <c r="I12" s="252">
        <f>IFERROR((E12/C12)&lt;3,0)</f>
        <v>0</v>
      </c>
    </row>
    <row r="13" spans="1:9" s="250" customFormat="1" ht="19.5" customHeight="1" x14ac:dyDescent="0.25">
      <c r="B13" s="442"/>
      <c r="C13" s="253"/>
      <c r="D13" s="254"/>
      <c r="E13" s="253"/>
      <c r="F13" s="253"/>
      <c r="G13" s="254"/>
      <c r="H13" s="254"/>
      <c r="I13" s="252"/>
    </row>
    <row r="14" spans="1:9" s="255" customFormat="1" ht="19.5" customHeight="1" thickBot="1" x14ac:dyDescent="0.3">
      <c r="B14" s="443" t="s">
        <v>12</v>
      </c>
      <c r="C14" s="326">
        <v>0</v>
      </c>
      <c r="D14" s="327" t="s">
        <v>11</v>
      </c>
      <c r="E14" s="328">
        <v>0</v>
      </c>
      <c r="F14" s="329">
        <f t="shared" si="0"/>
        <v>0</v>
      </c>
      <c r="G14" s="338"/>
      <c r="H14" s="330"/>
      <c r="I14" s="256">
        <f t="shared" ref="I14:I19" si="1">IFERROR((E14/C14)&lt;5,0)</f>
        <v>0</v>
      </c>
    </row>
    <row r="15" spans="1:9" s="257" customFormat="1" ht="19.5" customHeight="1" thickBot="1" x14ac:dyDescent="0.3">
      <c r="B15" s="444" t="s">
        <v>13</v>
      </c>
      <c r="C15" s="331">
        <v>0</v>
      </c>
      <c r="D15" s="332" t="s">
        <v>11</v>
      </c>
      <c r="E15" s="333">
        <v>0</v>
      </c>
      <c r="F15" s="334">
        <f t="shared" si="0"/>
        <v>0</v>
      </c>
      <c r="G15" s="339" t="s">
        <v>1155</v>
      </c>
      <c r="H15" s="335"/>
      <c r="I15" s="258">
        <f t="shared" si="1"/>
        <v>0</v>
      </c>
    </row>
    <row r="16" spans="1:9" s="257" customFormat="1" ht="19.5" customHeight="1" thickBot="1" x14ac:dyDescent="0.3">
      <c r="B16" s="445" t="s">
        <v>34</v>
      </c>
      <c r="C16" s="331">
        <v>0</v>
      </c>
      <c r="D16" s="332" t="s">
        <v>11</v>
      </c>
      <c r="E16" s="333">
        <v>0</v>
      </c>
      <c r="F16" s="334">
        <f>IFERROR(E16/C16,0)</f>
        <v>0</v>
      </c>
      <c r="G16" s="340"/>
      <c r="H16" s="335"/>
      <c r="I16" s="258">
        <f t="shared" si="1"/>
        <v>0</v>
      </c>
    </row>
    <row r="17" spans="2:9" s="257" customFormat="1" ht="19.5" customHeight="1" thickBot="1" x14ac:dyDescent="0.3">
      <c r="B17" s="444" t="s">
        <v>15</v>
      </c>
      <c r="C17" s="331">
        <v>0</v>
      </c>
      <c r="D17" s="332" t="s">
        <v>11</v>
      </c>
      <c r="E17" s="333">
        <v>0</v>
      </c>
      <c r="F17" s="334">
        <f t="shared" si="0"/>
        <v>0</v>
      </c>
      <c r="G17" s="340"/>
      <c r="H17" s="335"/>
      <c r="I17" s="258">
        <f t="shared" si="1"/>
        <v>0</v>
      </c>
    </row>
    <row r="18" spans="2:9" s="257" customFormat="1" ht="19.5" customHeight="1" thickBot="1" x14ac:dyDescent="0.3">
      <c r="B18" s="444" t="s">
        <v>16</v>
      </c>
      <c r="C18" s="331">
        <v>0</v>
      </c>
      <c r="D18" s="332" t="s">
        <v>11</v>
      </c>
      <c r="E18" s="333">
        <v>0</v>
      </c>
      <c r="F18" s="334">
        <f t="shared" si="0"/>
        <v>0</v>
      </c>
      <c r="G18" s="340"/>
      <c r="H18" s="335"/>
      <c r="I18" s="258">
        <f t="shared" si="1"/>
        <v>0</v>
      </c>
    </row>
    <row r="19" spans="2:9" s="250" customFormat="1" ht="19.5" customHeight="1" x14ac:dyDescent="0.25">
      <c r="B19" s="446" t="s">
        <v>250</v>
      </c>
      <c r="C19" s="318">
        <v>0</v>
      </c>
      <c r="D19" s="319" t="s">
        <v>11</v>
      </c>
      <c r="E19" s="320">
        <v>0</v>
      </c>
      <c r="F19" s="321">
        <f t="shared" si="0"/>
        <v>0</v>
      </c>
      <c r="G19" s="322"/>
      <c r="H19" s="323"/>
      <c r="I19" s="252">
        <f t="shared" si="1"/>
        <v>0</v>
      </c>
    </row>
    <row r="20" spans="2:9" s="250" customFormat="1" ht="19.5" customHeight="1" x14ac:dyDescent="0.25">
      <c r="B20" s="442"/>
      <c r="C20" s="254"/>
      <c r="D20" s="254"/>
      <c r="E20" s="253"/>
      <c r="F20" s="253"/>
      <c r="G20" s="254"/>
      <c r="H20" s="254"/>
    </row>
    <row r="21" spans="2:9" s="255" customFormat="1" ht="19.5" customHeight="1" thickBot="1" x14ac:dyDescent="0.3">
      <c r="B21" s="443" t="s">
        <v>17</v>
      </c>
      <c r="C21" s="326">
        <v>0</v>
      </c>
      <c r="D21" s="327" t="s">
        <v>35</v>
      </c>
      <c r="E21" s="328">
        <v>0</v>
      </c>
      <c r="F21" s="329">
        <f t="shared" si="0"/>
        <v>0</v>
      </c>
      <c r="G21" s="323"/>
      <c r="H21" s="330"/>
    </row>
    <row r="22" spans="2:9" s="257" customFormat="1" ht="19.5" customHeight="1" thickBot="1" x14ac:dyDescent="0.3">
      <c r="B22" s="444" t="s">
        <v>92</v>
      </c>
      <c r="C22" s="331">
        <v>0</v>
      </c>
      <c r="D22" s="332" t="s">
        <v>36</v>
      </c>
      <c r="E22" s="333">
        <v>0</v>
      </c>
      <c r="F22" s="334">
        <f t="shared" si="0"/>
        <v>0</v>
      </c>
      <c r="G22" s="335"/>
      <c r="H22" s="335"/>
    </row>
    <row r="23" spans="2:9" s="257" customFormat="1" ht="19.5" customHeight="1" thickBot="1" x14ac:dyDescent="0.3">
      <c r="B23" s="444" t="s">
        <v>91</v>
      </c>
      <c r="C23" s="331">
        <v>0</v>
      </c>
      <c r="D23" s="332" t="s">
        <v>36</v>
      </c>
      <c r="E23" s="333">
        <v>0</v>
      </c>
      <c r="F23" s="334">
        <f t="shared" si="0"/>
        <v>0</v>
      </c>
      <c r="G23" s="335"/>
      <c r="H23" s="335"/>
    </row>
    <row r="24" spans="2:9" s="250" customFormat="1" ht="19.5" customHeight="1" x14ac:dyDescent="0.25">
      <c r="B24" s="447" t="s">
        <v>18</v>
      </c>
      <c r="C24" s="318">
        <v>0</v>
      </c>
      <c r="D24" s="325" t="s">
        <v>569</v>
      </c>
      <c r="E24" s="320">
        <v>0</v>
      </c>
      <c r="F24" s="321">
        <f t="shared" si="0"/>
        <v>0</v>
      </c>
      <c r="G24" s="322"/>
      <c r="H24" s="323"/>
    </row>
    <row r="25" spans="2:9" x14ac:dyDescent="0.25">
      <c r="E25" s="56"/>
      <c r="F25" s="56"/>
    </row>
    <row r="26" spans="2:9" x14ac:dyDescent="0.25">
      <c r="E26" s="56"/>
      <c r="F26" s="56"/>
    </row>
    <row r="27" spans="2:9" x14ac:dyDescent="0.25">
      <c r="E27" s="56"/>
      <c r="F27" s="56"/>
    </row>
    <row r="28" spans="2:9" x14ac:dyDescent="0.25">
      <c r="E28" s="56"/>
      <c r="F28" s="56"/>
    </row>
    <row r="29" spans="2:9" x14ac:dyDescent="0.25"/>
    <row r="30" spans="2:9" x14ac:dyDescent="0.25"/>
    <row r="31" spans="2:9" x14ac:dyDescent="0.25"/>
  </sheetData>
  <sheetProtection password="CC30" sheet="1" objects="1" scenarios="1" selectLockedCells="1"/>
  <mergeCells count="12">
    <mergeCell ref="B2:B5"/>
    <mergeCell ref="C2:H4"/>
    <mergeCell ref="B1:H1"/>
    <mergeCell ref="B7:H7"/>
    <mergeCell ref="B8:B10"/>
    <mergeCell ref="C8:C10"/>
    <mergeCell ref="D8:D10"/>
    <mergeCell ref="E8:E10"/>
    <mergeCell ref="H8:H10"/>
    <mergeCell ref="C5:H5"/>
    <mergeCell ref="F8:F10"/>
    <mergeCell ref="G8:G10"/>
  </mergeCells>
  <conditionalFormatting sqref="F11">
    <cfRule type="expression" dxfId="50" priority="16">
      <formula>$I11=FALSE</formula>
    </cfRule>
  </conditionalFormatting>
  <conditionalFormatting sqref="F12">
    <cfRule type="expression" dxfId="49" priority="15">
      <formula>$I12=FALSE</formula>
    </cfRule>
  </conditionalFormatting>
  <conditionalFormatting sqref="F14">
    <cfRule type="expression" dxfId="48" priority="13">
      <formula>$I14=FALSE</formula>
    </cfRule>
  </conditionalFormatting>
  <conditionalFormatting sqref="F15">
    <cfRule type="expression" dxfId="47" priority="12">
      <formula>$I15=FALSE</formula>
    </cfRule>
  </conditionalFormatting>
  <conditionalFormatting sqref="F17">
    <cfRule type="expression" dxfId="46" priority="10">
      <formula>$I17=FALSE</formula>
    </cfRule>
  </conditionalFormatting>
  <conditionalFormatting sqref="F18">
    <cfRule type="expression" dxfId="45" priority="4">
      <formula>$I18=FALSE</formula>
    </cfRule>
  </conditionalFormatting>
  <conditionalFormatting sqref="F19">
    <cfRule type="expression" dxfId="44" priority="1">
      <formula>$I19=FALSE</formula>
    </cfRule>
  </conditionalFormatting>
  <conditionalFormatting sqref="F16">
    <cfRule type="expression" dxfId="43" priority="11">
      <formula>$I16=FALSE</formula>
    </cfRule>
  </conditionalFormatting>
  <pageMargins left="0.7" right="0.7" top="0.75" bottom="0.75" header="0.3" footer="0.3"/>
  <pageSetup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Source!$D$1:$D$7</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P38"/>
  <sheetViews>
    <sheetView showGridLines="0" workbookViewId="0">
      <selection activeCell="C11" sqref="C11"/>
    </sheetView>
  </sheetViews>
  <sheetFormatPr defaultColWidth="0" defaultRowHeight="15" zeroHeight="1" x14ac:dyDescent="0.25"/>
  <cols>
    <col min="1" max="1" width="1.42578125" style="1" customWidth="1"/>
    <col min="2" max="2" width="31.7109375" style="1" customWidth="1"/>
    <col min="3" max="3" width="19.28515625" style="1" bestFit="1" customWidth="1"/>
    <col min="4" max="4" width="12" style="1" bestFit="1" customWidth="1"/>
    <col min="5" max="5" width="21.85546875" style="1" customWidth="1"/>
    <col min="6" max="6" width="11.85546875" style="1" customWidth="1"/>
    <col min="7" max="7" width="34.140625" style="1" customWidth="1"/>
    <col min="8" max="8" width="36.5703125" style="1" customWidth="1"/>
    <col min="9" max="9" width="4.85546875" style="1" customWidth="1"/>
    <col min="10" max="16" width="0" style="1" hidden="1" customWidth="1"/>
    <col min="17" max="16384" width="9.140625" style="1" hidden="1"/>
  </cols>
  <sheetData>
    <row r="1" spans="2:16" ht="15.75" thickBot="1" x14ac:dyDescent="0.3">
      <c r="B1" s="844" t="s">
        <v>509</v>
      </c>
      <c r="C1" s="844"/>
      <c r="D1" s="844"/>
      <c r="E1" s="844"/>
      <c r="F1" s="844"/>
      <c r="G1" s="844"/>
      <c r="H1" s="844"/>
    </row>
    <row r="2" spans="2:16" ht="15" customHeight="1" x14ac:dyDescent="0.25">
      <c r="B2" s="859" t="s">
        <v>194</v>
      </c>
      <c r="C2" s="846" t="s">
        <v>1157</v>
      </c>
      <c r="D2" s="847"/>
      <c r="E2" s="847"/>
      <c r="F2" s="847"/>
      <c r="G2" s="847"/>
      <c r="H2" s="847"/>
      <c r="I2" s="45"/>
      <c r="J2" s="45"/>
      <c r="K2" s="45"/>
      <c r="L2" s="45"/>
      <c r="M2" s="45"/>
      <c r="N2" s="45"/>
      <c r="O2" s="45"/>
      <c r="P2" s="45"/>
    </row>
    <row r="3" spans="2:16" ht="15" customHeight="1" x14ac:dyDescent="0.25">
      <c r="B3" s="859"/>
      <c r="C3" s="848"/>
      <c r="D3" s="849"/>
      <c r="E3" s="849"/>
      <c r="F3" s="849"/>
      <c r="G3" s="849"/>
      <c r="H3" s="849"/>
      <c r="I3" s="45"/>
      <c r="J3" s="45"/>
      <c r="K3" s="45"/>
      <c r="L3" s="45"/>
      <c r="M3" s="45"/>
      <c r="N3" s="45"/>
      <c r="O3" s="45"/>
      <c r="P3" s="45"/>
    </row>
    <row r="4" spans="2:16" ht="15" customHeight="1" thickBot="1" x14ac:dyDescent="0.3">
      <c r="B4" s="859"/>
      <c r="C4" s="882"/>
      <c r="D4" s="883"/>
      <c r="E4" s="883"/>
      <c r="F4" s="883"/>
      <c r="G4" s="883"/>
      <c r="H4" s="883"/>
      <c r="I4" s="45"/>
      <c r="J4" s="45"/>
      <c r="K4" s="45"/>
      <c r="L4" s="45"/>
      <c r="M4" s="45"/>
      <c r="N4" s="45"/>
      <c r="O4" s="45"/>
      <c r="P4" s="45"/>
    </row>
    <row r="5" spans="2:16" ht="21" customHeight="1" thickBot="1" x14ac:dyDescent="0.3">
      <c r="B5" s="859"/>
      <c r="C5" s="867" t="s">
        <v>565</v>
      </c>
      <c r="D5" s="868"/>
      <c r="E5" s="868"/>
      <c r="F5" s="868"/>
      <c r="G5" s="868"/>
      <c r="H5" s="868"/>
      <c r="I5" s="45"/>
      <c r="J5" s="45"/>
      <c r="K5" s="45"/>
      <c r="L5" s="45"/>
      <c r="M5" s="45"/>
      <c r="N5" s="45"/>
      <c r="O5" s="45"/>
      <c r="P5" s="45"/>
    </row>
    <row r="6" spans="2:16" ht="18.75" customHeight="1" x14ac:dyDescent="0.25"/>
    <row r="7" spans="2:16" ht="23.25" customHeight="1" thickBot="1" x14ac:dyDescent="0.3">
      <c r="B7" s="881" t="s">
        <v>42</v>
      </c>
      <c r="C7" s="881"/>
      <c r="D7" s="881"/>
      <c r="E7" s="881"/>
      <c r="F7" s="881"/>
      <c r="G7" s="881"/>
      <c r="H7" s="881"/>
    </row>
    <row r="8" spans="2:16" s="22" customFormat="1" ht="18.75" x14ac:dyDescent="0.3">
      <c r="B8" s="875" t="s">
        <v>1141</v>
      </c>
      <c r="C8" s="878" t="s">
        <v>748</v>
      </c>
      <c r="D8" s="875" t="s">
        <v>1135</v>
      </c>
      <c r="E8" s="878" t="s">
        <v>19</v>
      </c>
      <c r="F8" s="869" t="s">
        <v>1137</v>
      </c>
      <c r="G8" s="869" t="s">
        <v>1134</v>
      </c>
      <c r="H8" s="875" t="s">
        <v>8</v>
      </c>
    </row>
    <row r="9" spans="2:16" s="22" customFormat="1" ht="15.75" customHeight="1" x14ac:dyDescent="0.3">
      <c r="B9" s="876"/>
      <c r="C9" s="879"/>
      <c r="D9" s="876"/>
      <c r="E9" s="879"/>
      <c r="F9" s="870"/>
      <c r="G9" s="870"/>
      <c r="H9" s="876"/>
    </row>
    <row r="10" spans="2:16" s="265" customFormat="1" ht="8.25" customHeight="1" thickBot="1" x14ac:dyDescent="0.35">
      <c r="B10" s="877"/>
      <c r="C10" s="880"/>
      <c r="D10" s="877"/>
      <c r="E10" s="880"/>
      <c r="F10" s="871"/>
      <c r="G10" s="871"/>
      <c r="H10" s="877"/>
    </row>
    <row r="11" spans="2:16" s="262" customFormat="1" ht="19.5" customHeight="1" thickBot="1" x14ac:dyDescent="0.3">
      <c r="B11" s="448" t="s">
        <v>37</v>
      </c>
      <c r="C11" s="277">
        <v>0</v>
      </c>
      <c r="D11" s="505" t="s">
        <v>11</v>
      </c>
      <c r="E11" s="269">
        <v>0</v>
      </c>
      <c r="F11" s="264">
        <f t="shared" ref="F11:F19" si="0">IFERROR(E11/C11,0)</f>
        <v>0</v>
      </c>
      <c r="G11" s="270"/>
      <c r="H11" s="274"/>
      <c r="I11" s="263">
        <f>IFERROR((E11/C11)&lt;10,0)</f>
        <v>0</v>
      </c>
    </row>
    <row r="12" spans="2:16" s="262" customFormat="1" ht="19.5" customHeight="1" thickBot="1" x14ac:dyDescent="0.3">
      <c r="B12" s="448" t="s">
        <v>38</v>
      </c>
      <c r="C12" s="277">
        <v>0</v>
      </c>
      <c r="D12" s="505" t="s">
        <v>11</v>
      </c>
      <c r="E12" s="269">
        <v>0</v>
      </c>
      <c r="F12" s="264">
        <f t="shared" si="0"/>
        <v>0</v>
      </c>
      <c r="G12" s="270"/>
      <c r="H12" s="274"/>
      <c r="I12" s="263">
        <f t="shared" ref="I12:I19" si="1">IFERROR((E12/C12)&lt;10,0)</f>
        <v>0</v>
      </c>
    </row>
    <row r="13" spans="2:16" s="262" customFormat="1" ht="19.5" customHeight="1" thickBot="1" x14ac:dyDescent="0.3">
      <c r="B13" s="448" t="s">
        <v>44</v>
      </c>
      <c r="C13" s="277">
        <v>0</v>
      </c>
      <c r="D13" s="505" t="s">
        <v>11</v>
      </c>
      <c r="E13" s="269">
        <v>0</v>
      </c>
      <c r="F13" s="264">
        <f t="shared" si="0"/>
        <v>0</v>
      </c>
      <c r="G13" s="282" t="s">
        <v>14</v>
      </c>
      <c r="H13" s="274"/>
      <c r="I13" s="263">
        <f t="shared" si="1"/>
        <v>0</v>
      </c>
    </row>
    <row r="14" spans="2:16" s="262" customFormat="1" ht="19.5" customHeight="1" thickBot="1" x14ac:dyDescent="0.3">
      <c r="B14" s="448" t="s">
        <v>39</v>
      </c>
      <c r="C14" s="277">
        <v>0</v>
      </c>
      <c r="D14" s="505" t="s">
        <v>11</v>
      </c>
      <c r="E14" s="269">
        <v>0</v>
      </c>
      <c r="F14" s="264">
        <f t="shared" si="0"/>
        <v>0</v>
      </c>
      <c r="G14" s="276"/>
      <c r="H14" s="274"/>
      <c r="I14" s="263">
        <f t="shared" si="1"/>
        <v>0</v>
      </c>
    </row>
    <row r="15" spans="2:16" s="262" customFormat="1" ht="19.5" customHeight="1" thickBot="1" x14ac:dyDescent="0.3">
      <c r="B15" s="448" t="s">
        <v>45</v>
      </c>
      <c r="C15" s="277">
        <v>0</v>
      </c>
      <c r="D15" s="505" t="s">
        <v>11</v>
      </c>
      <c r="E15" s="269">
        <v>0</v>
      </c>
      <c r="F15" s="264">
        <f t="shared" si="0"/>
        <v>0</v>
      </c>
      <c r="G15" s="276"/>
      <c r="H15" s="274"/>
      <c r="I15" s="263">
        <f t="shared" si="1"/>
        <v>0</v>
      </c>
    </row>
    <row r="16" spans="2:16" s="262" customFormat="1" ht="19.5" customHeight="1" thickBot="1" x14ac:dyDescent="0.3">
      <c r="B16" s="448" t="s">
        <v>40</v>
      </c>
      <c r="C16" s="277">
        <v>0</v>
      </c>
      <c r="D16" s="505" t="s">
        <v>11</v>
      </c>
      <c r="E16" s="269">
        <v>0</v>
      </c>
      <c r="F16" s="264">
        <f t="shared" si="0"/>
        <v>0</v>
      </c>
      <c r="G16" s="276"/>
      <c r="H16" s="274"/>
      <c r="I16" s="263">
        <f t="shared" si="1"/>
        <v>0</v>
      </c>
    </row>
    <row r="17" spans="2:9" s="262" customFormat="1" ht="19.5" customHeight="1" thickBot="1" x14ac:dyDescent="0.3">
      <c r="B17" s="448" t="s">
        <v>47</v>
      </c>
      <c r="C17" s="277">
        <v>0</v>
      </c>
      <c r="D17" s="505" t="s">
        <v>11</v>
      </c>
      <c r="E17" s="269">
        <v>0</v>
      </c>
      <c r="F17" s="264">
        <f t="shared" si="0"/>
        <v>0</v>
      </c>
      <c r="G17" s="270"/>
      <c r="H17" s="274"/>
      <c r="I17" s="263">
        <f t="shared" si="1"/>
        <v>0</v>
      </c>
    </row>
    <row r="18" spans="2:9" s="262" customFormat="1" ht="19.5" customHeight="1" thickBot="1" x14ac:dyDescent="0.3">
      <c r="B18" s="448" t="s">
        <v>41</v>
      </c>
      <c r="C18" s="277">
        <v>0</v>
      </c>
      <c r="D18" s="505" t="s">
        <v>9</v>
      </c>
      <c r="E18" s="269">
        <v>0</v>
      </c>
      <c r="F18" s="264">
        <f t="shared" si="0"/>
        <v>0</v>
      </c>
      <c r="G18" s="282" t="s">
        <v>46</v>
      </c>
      <c r="H18" s="274"/>
      <c r="I18" s="263">
        <f t="shared" si="1"/>
        <v>0</v>
      </c>
    </row>
    <row r="19" spans="2:9" s="262" customFormat="1" ht="19.5" customHeight="1" thickBot="1" x14ac:dyDescent="0.3">
      <c r="B19" s="448" t="s">
        <v>30</v>
      </c>
      <c r="C19" s="268">
        <v>0</v>
      </c>
      <c r="D19" s="278" t="s">
        <v>569</v>
      </c>
      <c r="E19" s="269">
        <v>0</v>
      </c>
      <c r="F19" s="264">
        <f t="shared" si="0"/>
        <v>0</v>
      </c>
      <c r="G19" s="271"/>
      <c r="H19" s="274"/>
      <c r="I19" s="263">
        <f t="shared" si="1"/>
        <v>0</v>
      </c>
    </row>
    <row r="20" spans="2:9" ht="16.5" customHeight="1" x14ac:dyDescent="0.25">
      <c r="B20" s="16"/>
      <c r="C20" s="16"/>
      <c r="D20" s="16"/>
      <c r="E20" s="16"/>
      <c r="F20" s="16"/>
      <c r="G20" s="16"/>
      <c r="H20" s="16"/>
    </row>
    <row r="21" spans="2:9" s="23" customFormat="1" ht="21" x14ac:dyDescent="0.35">
      <c r="B21" s="874" t="s">
        <v>43</v>
      </c>
      <c r="C21" s="874"/>
      <c r="D21" s="874"/>
      <c r="E21" s="874"/>
      <c r="F21" s="874"/>
      <c r="G21" s="874"/>
      <c r="H21" s="874"/>
    </row>
    <row r="22" spans="2:9" ht="17.25" customHeight="1" x14ac:dyDescent="0.25">
      <c r="B22" s="872" t="s">
        <v>1136</v>
      </c>
      <c r="C22" s="872"/>
      <c r="D22" s="872"/>
      <c r="E22" s="872"/>
      <c r="F22" s="872"/>
      <c r="G22" s="872"/>
      <c r="H22" s="872"/>
    </row>
    <row r="23" spans="2:9" ht="17.25" customHeight="1" thickBot="1" x14ac:dyDescent="0.3">
      <c r="B23" s="873"/>
      <c r="C23" s="873"/>
      <c r="D23" s="873"/>
      <c r="E23" s="873"/>
      <c r="F23" s="873"/>
      <c r="G23" s="873"/>
      <c r="H23" s="873"/>
    </row>
    <row r="24" spans="2:9" s="266" customFormat="1" ht="42" customHeight="1" thickBot="1" x14ac:dyDescent="0.3">
      <c r="B24" s="267" t="s">
        <v>1139</v>
      </c>
      <c r="C24" s="281" t="s">
        <v>748</v>
      </c>
      <c r="D24" s="267" t="s">
        <v>1135</v>
      </c>
      <c r="E24" s="267" t="s">
        <v>19</v>
      </c>
      <c r="F24" s="281" t="s">
        <v>1138</v>
      </c>
      <c r="G24" s="267" t="s">
        <v>1140</v>
      </c>
      <c r="H24" s="267" t="s">
        <v>8</v>
      </c>
    </row>
    <row r="25" spans="2:9" ht="16.5" thickBot="1" x14ac:dyDescent="0.3">
      <c r="B25" s="279"/>
      <c r="C25" s="268">
        <v>0</v>
      </c>
      <c r="D25" s="246"/>
      <c r="E25" s="269">
        <v>0</v>
      </c>
      <c r="F25" s="248">
        <f t="shared" ref="F25:F30" si="2">IFERROR(E25/C25,0)</f>
        <v>0</v>
      </c>
      <c r="G25" s="270"/>
      <c r="H25" s="274"/>
      <c r="I25" s="12">
        <f>IFERROR((E25/C25)&lt;10,0)</f>
        <v>0</v>
      </c>
    </row>
    <row r="26" spans="2:9" s="260" customFormat="1" ht="16.5" thickBot="1" x14ac:dyDescent="0.3">
      <c r="B26" s="280"/>
      <c r="C26" s="272">
        <v>0</v>
      </c>
      <c r="D26" s="244"/>
      <c r="E26" s="273">
        <v>0</v>
      </c>
      <c r="F26" s="247">
        <f t="shared" si="2"/>
        <v>0</v>
      </c>
      <c r="G26" s="245"/>
      <c r="H26" s="275"/>
      <c r="I26" s="261">
        <f>IFERROR((E26/C26)&lt;10,0)</f>
        <v>0</v>
      </c>
    </row>
    <row r="27" spans="2:9" s="262" customFormat="1" ht="16.5" thickBot="1" x14ac:dyDescent="0.3">
      <c r="B27" s="279"/>
      <c r="C27" s="268">
        <v>0</v>
      </c>
      <c r="D27" s="246"/>
      <c r="E27" s="269">
        <v>0</v>
      </c>
      <c r="F27" s="248">
        <f t="shared" si="2"/>
        <v>0</v>
      </c>
      <c r="G27" s="270"/>
      <c r="H27" s="274"/>
      <c r="I27" s="263"/>
    </row>
    <row r="28" spans="2:9" s="262" customFormat="1" ht="16.5" thickBot="1" x14ac:dyDescent="0.3">
      <c r="B28" s="279"/>
      <c r="C28" s="268">
        <v>0</v>
      </c>
      <c r="D28" s="246"/>
      <c r="E28" s="269">
        <v>0</v>
      </c>
      <c r="F28" s="248">
        <f t="shared" si="2"/>
        <v>0</v>
      </c>
      <c r="G28" s="270"/>
      <c r="H28" s="274"/>
      <c r="I28" s="263">
        <f>IFERROR((E28/C28)&lt;10,0)</f>
        <v>0</v>
      </c>
    </row>
    <row r="29" spans="2:9" s="262" customFormat="1" ht="16.5" thickBot="1" x14ac:dyDescent="0.3">
      <c r="B29" s="249"/>
      <c r="C29" s="268">
        <v>0</v>
      </c>
      <c r="D29" s="246"/>
      <c r="E29" s="269">
        <v>0</v>
      </c>
      <c r="F29" s="248">
        <f t="shared" si="2"/>
        <v>0</v>
      </c>
      <c r="G29" s="270"/>
      <c r="H29" s="274"/>
      <c r="I29" s="263">
        <f>IFERROR((E29/C29)&lt;10,0)</f>
        <v>0</v>
      </c>
    </row>
    <row r="30" spans="2:9" s="262" customFormat="1" ht="16.5" thickBot="1" x14ac:dyDescent="0.3">
      <c r="B30" s="249"/>
      <c r="C30" s="268">
        <v>0</v>
      </c>
      <c r="D30" s="246"/>
      <c r="E30" s="269">
        <v>0</v>
      </c>
      <c r="F30" s="248">
        <f t="shared" si="2"/>
        <v>0</v>
      </c>
      <c r="G30" s="271"/>
      <c r="H30" s="274"/>
      <c r="I30" s="263">
        <f>IFERROR((E30/C30)&lt;10,0)</f>
        <v>0</v>
      </c>
    </row>
    <row r="31" spans="2:9" s="6" customFormat="1" x14ac:dyDescent="0.25">
      <c r="B31" s="504"/>
    </row>
    <row r="32" spans="2:9" hidden="1" x14ac:dyDescent="0.25">
      <c r="B32" s="11"/>
      <c r="C32" s="11"/>
      <c r="D32" s="11"/>
      <c r="E32" s="11"/>
      <c r="F32" s="11"/>
      <c r="G32" s="11"/>
      <c r="H32" s="11"/>
    </row>
    <row r="33" spans="2:8" hidden="1" x14ac:dyDescent="0.25">
      <c r="B33" s="11"/>
      <c r="C33" s="11"/>
      <c r="D33" s="11"/>
      <c r="E33" s="11"/>
      <c r="F33" s="11"/>
      <c r="G33" s="11"/>
      <c r="H33" s="11"/>
    </row>
    <row r="34" spans="2:8" hidden="1" x14ac:dyDescent="0.25">
      <c r="B34" s="11"/>
      <c r="C34" s="11"/>
      <c r="D34" s="11"/>
      <c r="E34" s="11"/>
      <c r="F34" s="11"/>
      <c r="G34" s="11"/>
      <c r="H34" s="11"/>
    </row>
    <row r="35" spans="2:8" hidden="1" x14ac:dyDescent="0.25">
      <c r="B35" s="11"/>
      <c r="C35" s="11"/>
      <c r="D35" s="11"/>
      <c r="E35" s="11"/>
      <c r="F35" s="11"/>
      <c r="G35" s="11"/>
      <c r="H35" s="11"/>
    </row>
    <row r="36" spans="2:8" x14ac:dyDescent="0.25"/>
    <row r="37" spans="2:8" x14ac:dyDescent="0.25"/>
    <row r="38" spans="2:8" x14ac:dyDescent="0.25"/>
  </sheetData>
  <sheetProtection password="CC30" sheet="1" objects="1" scenarios="1" selectLockedCells="1"/>
  <mergeCells count="14">
    <mergeCell ref="B7:H7"/>
    <mergeCell ref="B1:H1"/>
    <mergeCell ref="C2:H4"/>
    <mergeCell ref="B2:B5"/>
    <mergeCell ref="C5:H5"/>
    <mergeCell ref="F8:F10"/>
    <mergeCell ref="G8:G10"/>
    <mergeCell ref="B22:H23"/>
    <mergeCell ref="B21:H21"/>
    <mergeCell ref="B8:B10"/>
    <mergeCell ref="C8:C10"/>
    <mergeCell ref="D8:D10"/>
    <mergeCell ref="E8:E10"/>
    <mergeCell ref="H8:H10"/>
  </mergeCells>
  <conditionalFormatting sqref="F11">
    <cfRule type="expression" dxfId="42" priority="25">
      <formula>$I11=FALSE</formula>
    </cfRule>
  </conditionalFormatting>
  <conditionalFormatting sqref="F12">
    <cfRule type="expression" dxfId="41" priority="24">
      <formula>$I12=FALSE</formula>
    </cfRule>
  </conditionalFormatting>
  <conditionalFormatting sqref="F13">
    <cfRule type="expression" dxfId="40" priority="23">
      <formula>$I13=FALSE</formula>
    </cfRule>
  </conditionalFormatting>
  <conditionalFormatting sqref="F14">
    <cfRule type="expression" dxfId="39" priority="22">
      <formula>$I14=FALSE</formula>
    </cfRule>
  </conditionalFormatting>
  <conditionalFormatting sqref="F15">
    <cfRule type="expression" dxfId="38" priority="21">
      <formula>$I15=FALSE</formula>
    </cfRule>
  </conditionalFormatting>
  <conditionalFormatting sqref="F16">
    <cfRule type="expression" dxfId="37" priority="20">
      <formula>$I16=FALSE</formula>
    </cfRule>
  </conditionalFormatting>
  <conditionalFormatting sqref="F17">
    <cfRule type="expression" dxfId="36" priority="19">
      <formula>$I17=FALSE</formula>
    </cfRule>
  </conditionalFormatting>
  <conditionalFormatting sqref="F18">
    <cfRule type="expression" dxfId="35" priority="18">
      <formula>$I18=FALSE</formula>
    </cfRule>
  </conditionalFormatting>
  <conditionalFormatting sqref="F19">
    <cfRule type="expression" dxfId="34" priority="17">
      <formula>$I19=FALSE</formula>
    </cfRule>
  </conditionalFormatting>
  <conditionalFormatting sqref="F25:F26 F28:F30">
    <cfRule type="expression" dxfId="33" priority="1">
      <formula>$I25=FALSE</formula>
    </cfRule>
  </conditionalFormatting>
  <pageMargins left="0.7" right="0.7" top="0.75" bottom="0.75" header="0.3" footer="0.3"/>
  <pageSetup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Source!D1:D7</xm:f>
          </x14:formula1>
          <xm:sqref>D19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XFC92"/>
  <sheetViews>
    <sheetView showGridLines="0" workbookViewId="0">
      <selection activeCell="G55" sqref="G55"/>
    </sheetView>
  </sheetViews>
  <sheetFormatPr defaultColWidth="0" defaultRowHeight="15.75" zeroHeight="1" x14ac:dyDescent="0.25"/>
  <cols>
    <col min="1" max="1" width="1.42578125" style="16" customWidth="1"/>
    <col min="2" max="2" width="10.140625" style="16" customWidth="1"/>
    <col min="3" max="3" width="35.42578125" style="16" customWidth="1"/>
    <col min="4" max="4" width="2.7109375" style="16" customWidth="1"/>
    <col min="5" max="5" width="26" style="16" customWidth="1"/>
    <col min="6" max="6" width="17.28515625" style="404" customWidth="1"/>
    <col min="7" max="7" width="26.85546875" style="18" customWidth="1"/>
    <col min="8" max="8" width="25" style="16" customWidth="1"/>
    <col min="9" max="9" width="30.5703125" style="16" customWidth="1"/>
    <col min="10" max="10" width="4" style="456" customWidth="1"/>
    <col min="11" max="17" width="0" style="16" hidden="1" customWidth="1"/>
    <col min="18" max="16383" width="9.140625" style="16" hidden="1"/>
    <col min="16384" max="16384" width="1" style="16" customWidth="1"/>
  </cols>
  <sheetData>
    <row r="1" spans="2:17" ht="16.5" thickBot="1" x14ac:dyDescent="0.3">
      <c r="B1" s="844" t="s">
        <v>509</v>
      </c>
      <c r="C1" s="844"/>
      <c r="D1" s="844"/>
      <c r="E1" s="844"/>
      <c r="F1" s="844"/>
      <c r="G1" s="844"/>
      <c r="H1" s="844"/>
      <c r="I1" s="844"/>
    </row>
    <row r="2" spans="2:17" ht="15.75" customHeight="1" x14ac:dyDescent="0.25">
      <c r="B2" s="859" t="s">
        <v>502</v>
      </c>
      <c r="C2" s="913" t="s">
        <v>546</v>
      </c>
      <c r="D2" s="914"/>
      <c r="E2" s="914"/>
      <c r="F2" s="914"/>
      <c r="G2" s="914"/>
      <c r="H2" s="914"/>
      <c r="I2" s="914"/>
      <c r="J2" s="633"/>
      <c r="K2" s="46"/>
      <c r="L2" s="46"/>
      <c r="M2" s="46"/>
      <c r="N2" s="46"/>
      <c r="O2" s="46"/>
      <c r="P2" s="46"/>
      <c r="Q2" s="46"/>
    </row>
    <row r="3" spans="2:17" x14ac:dyDescent="0.25">
      <c r="B3" s="859"/>
      <c r="C3" s="913"/>
      <c r="D3" s="914"/>
      <c r="E3" s="914"/>
      <c r="F3" s="914"/>
      <c r="G3" s="914"/>
      <c r="H3" s="914"/>
      <c r="I3" s="914"/>
      <c r="J3" s="633"/>
      <c r="K3" s="46"/>
      <c r="L3" s="46"/>
      <c r="M3" s="46"/>
      <c r="N3" s="46"/>
      <c r="O3" s="46"/>
      <c r="P3" s="46"/>
      <c r="Q3" s="46"/>
    </row>
    <row r="4" spans="2:17" ht="15.75" customHeight="1" thickBot="1" x14ac:dyDescent="0.3">
      <c r="B4" s="859"/>
      <c r="C4" s="915" t="s">
        <v>866</v>
      </c>
      <c r="D4" s="916"/>
      <c r="E4" s="916"/>
      <c r="F4" s="916"/>
      <c r="G4" s="916"/>
      <c r="H4" s="916"/>
      <c r="I4" s="916"/>
      <c r="J4" s="633"/>
      <c r="K4" s="46"/>
      <c r="L4" s="46"/>
      <c r="M4" s="46"/>
      <c r="N4" s="46"/>
      <c r="O4" s="46"/>
      <c r="P4" s="46"/>
      <c r="Q4" s="46"/>
    </row>
    <row r="5" spans="2:17" x14ac:dyDescent="0.25">
      <c r="B5" s="859"/>
      <c r="C5" s="910" t="s">
        <v>572</v>
      </c>
      <c r="D5" s="911"/>
      <c r="E5" s="911"/>
      <c r="F5" s="911"/>
      <c r="G5" s="911"/>
      <c r="H5" s="911"/>
      <c r="I5" s="911"/>
      <c r="J5" s="633"/>
      <c r="K5" s="46"/>
      <c r="L5" s="46"/>
      <c r="M5" s="46"/>
      <c r="N5" s="46"/>
      <c r="O5" s="46"/>
      <c r="P5" s="46"/>
      <c r="Q5" s="46"/>
    </row>
    <row r="6" spans="2:17" ht="14.25" customHeight="1" x14ac:dyDescent="0.25"/>
    <row r="7" spans="2:17" s="204" customFormat="1" ht="30.75" hidden="1" customHeight="1" x14ac:dyDescent="0.25">
      <c r="D7" s="732" t="s">
        <v>5</v>
      </c>
      <c r="E7" s="732"/>
      <c r="F7" s="919"/>
      <c r="G7" s="917" t="str">
        <f>'Contact Information'!J9</f>
        <v>Please select your answer from the dropdown</v>
      </c>
      <c r="H7" s="918"/>
      <c r="J7" s="634"/>
    </row>
    <row r="8" spans="2:17" ht="6" customHeight="1" x14ac:dyDescent="0.25">
      <c r="G8" s="16"/>
    </row>
    <row r="9" spans="2:17" ht="21.75" thickBot="1" x14ac:dyDescent="0.3">
      <c r="B9" s="912" t="s">
        <v>1125</v>
      </c>
      <c r="C9" s="912"/>
      <c r="D9" s="912"/>
      <c r="E9" s="912"/>
      <c r="F9" s="912"/>
      <c r="G9" s="912"/>
      <c r="H9" s="912"/>
      <c r="I9" s="912"/>
    </row>
    <row r="10" spans="2:17" ht="15.75" customHeight="1" x14ac:dyDescent="0.25">
      <c r="B10" s="905" t="s">
        <v>544</v>
      </c>
      <c r="C10" s="903" t="s">
        <v>1120</v>
      </c>
      <c r="D10" s="903"/>
      <c r="E10" s="903"/>
      <c r="F10" s="903"/>
      <c r="G10" s="903"/>
      <c r="H10" s="903"/>
      <c r="I10" s="903"/>
    </row>
    <row r="11" spans="2:17" ht="17.25" customHeight="1" thickBot="1" x14ac:dyDescent="0.3">
      <c r="B11" s="905"/>
      <c r="C11" s="920"/>
      <c r="D11" s="920"/>
      <c r="E11" s="920"/>
      <c r="F11" s="920"/>
      <c r="G11" s="920"/>
      <c r="H11" s="920"/>
      <c r="I11" s="920"/>
    </row>
    <row r="12" spans="2:17" ht="15.75" customHeight="1" x14ac:dyDescent="0.25">
      <c r="B12" s="904" t="s">
        <v>1119</v>
      </c>
      <c r="C12" s="902" t="s">
        <v>1121</v>
      </c>
      <c r="D12" s="902"/>
      <c r="E12" s="902"/>
      <c r="F12" s="902"/>
      <c r="G12" s="902"/>
      <c r="H12" s="902"/>
      <c r="I12" s="902"/>
    </row>
    <row r="13" spans="2:17" ht="17.25" customHeight="1" x14ac:dyDescent="0.25">
      <c r="B13" s="905"/>
      <c r="C13" s="903"/>
      <c r="D13" s="903"/>
      <c r="E13" s="903"/>
      <c r="F13" s="903"/>
      <c r="G13" s="903"/>
      <c r="H13" s="903"/>
      <c r="I13" s="903"/>
    </row>
    <row r="14" spans="2:17" ht="19.5" customHeight="1" x14ac:dyDescent="0.25"/>
    <row r="15" spans="2:17" ht="18.75" x14ac:dyDescent="0.25">
      <c r="B15" s="899" t="s">
        <v>550</v>
      </c>
      <c r="C15" s="899"/>
      <c r="D15" s="899"/>
      <c r="E15" s="899"/>
      <c r="F15" s="899"/>
      <c r="G15" s="899"/>
      <c r="H15" s="899"/>
      <c r="I15" s="899"/>
    </row>
    <row r="16" spans="2:17" ht="18.75" x14ac:dyDescent="0.25">
      <c r="B16" s="899" t="s">
        <v>1100</v>
      </c>
      <c r="C16" s="899"/>
      <c r="D16" s="899"/>
      <c r="E16" s="899"/>
      <c r="F16" s="899"/>
      <c r="G16" s="899"/>
      <c r="H16" s="899"/>
      <c r="I16" s="899"/>
    </row>
    <row r="17" spans="1:10" ht="15.75" customHeight="1" x14ac:dyDescent="0.25">
      <c r="B17" s="909" t="s">
        <v>708</v>
      </c>
      <c r="C17" s="909"/>
      <c r="D17" s="909"/>
      <c r="E17" s="909"/>
      <c r="F17" s="909"/>
      <c r="G17" s="909"/>
      <c r="H17" s="909"/>
      <c r="I17" s="909"/>
    </row>
    <row r="18" spans="1:10" ht="15.75" customHeight="1" x14ac:dyDescent="0.25">
      <c r="B18" s="901" t="s">
        <v>1242</v>
      </c>
      <c r="C18" s="901"/>
      <c r="D18" s="901"/>
      <c r="E18" s="901"/>
      <c r="F18" s="901"/>
      <c r="G18" s="901"/>
      <c r="H18" s="901"/>
      <c r="I18" s="901"/>
    </row>
    <row r="19" spans="1:10" ht="16.5" thickBot="1" x14ac:dyDescent="0.3">
      <c r="B19" s="908" t="s">
        <v>1101</v>
      </c>
      <c r="C19" s="908"/>
      <c r="D19" s="908"/>
      <c r="E19" s="908"/>
      <c r="F19" s="908"/>
      <c r="G19" s="908"/>
      <c r="H19" s="908"/>
      <c r="I19" s="908"/>
    </row>
    <row r="20" spans="1:10" ht="19.5" customHeight="1" thickBot="1" x14ac:dyDescent="0.3">
      <c r="B20" s="237"/>
      <c r="C20" s="891" t="s">
        <v>86</v>
      </c>
      <c r="D20" s="891"/>
      <c r="E20" s="288" t="s">
        <v>87</v>
      </c>
      <c r="F20" s="405" t="s">
        <v>499</v>
      </c>
      <c r="G20" s="288" t="s">
        <v>22</v>
      </c>
      <c r="H20" s="289" t="s">
        <v>701</v>
      </c>
      <c r="I20" s="289" t="s">
        <v>706</v>
      </c>
    </row>
    <row r="21" spans="1:10" s="17" customFormat="1" ht="16.5" thickBot="1" x14ac:dyDescent="0.3">
      <c r="A21" s="16"/>
      <c r="B21" s="394">
        <v>1</v>
      </c>
      <c r="C21" s="906" t="str">
        <f>IFERROR(VLOOKUP($G$7&amp;$B21,'Renewable &amp; Onsite Gen Sites'!$A:AA,5,FALSE)," ")</f>
        <v xml:space="preserve"> </v>
      </c>
      <c r="D21" s="907"/>
      <c r="E21" s="387" t="str">
        <f>IFERROR(VLOOKUP($G$7&amp;$B21,'Renewable &amp; Onsite Gen Sites'!$A:AA,8,FALSE)," ")</f>
        <v xml:space="preserve"> </v>
      </c>
      <c r="F21" s="406" t="str">
        <f>IFERROR(VLOOKUP($G$7&amp;$B21,'Renewable &amp; Onsite Gen Sites'!$A:AA,13,FALSE)," ")</f>
        <v xml:space="preserve"> </v>
      </c>
      <c r="G21" s="387" t="str">
        <f>IFERROR(VLOOKUP($G$7&amp;$B21,'Renewable &amp; Onsite Gen Sites'!$A:AA,3,FALSE)," ")</f>
        <v xml:space="preserve"> </v>
      </c>
      <c r="H21" s="389" t="str">
        <f>IFERROR(VLOOKUP($G$7&amp;$B21,'Renewable &amp; Onsite Gen Sites'!$A:AA,15,FALSE)," ")</f>
        <v xml:space="preserve"> </v>
      </c>
      <c r="I21" s="395"/>
      <c r="J21" s="456" t="str">
        <f>IFERROR(VLOOKUP($G$7&amp;$B21,'Renewable &amp; Onsite Gen Sites'!$A:AA,20,FALSE)," ")</f>
        <v xml:space="preserve"> </v>
      </c>
    </row>
    <row r="22" spans="1:10" s="17" customFormat="1" ht="16.5" thickBot="1" x14ac:dyDescent="0.3">
      <c r="A22" s="16"/>
      <c r="B22" s="393">
        <v>2</v>
      </c>
      <c r="C22" s="892" t="str">
        <f>IFERROR(VLOOKUP($G$7&amp;$B22,'Renewable &amp; Onsite Gen Sites'!$A:AA,5,FALSE)," ")</f>
        <v xml:space="preserve"> </v>
      </c>
      <c r="D22" s="893"/>
      <c r="E22" s="390" t="str">
        <f>IFERROR(VLOOKUP($G$7&amp;$B22,'Renewable &amp; Onsite Gen Sites'!$A:AA,8,FALSE)," ")</f>
        <v xml:space="preserve"> </v>
      </c>
      <c r="F22" s="407" t="str">
        <f>IFERROR(VLOOKUP($G$7&amp;$B22,'Renewable &amp; Onsite Gen Sites'!$A:AA,13,FALSE)," ")</f>
        <v xml:space="preserve"> </v>
      </c>
      <c r="G22" s="390" t="str">
        <f>IFERROR(VLOOKUP($G$7&amp;$B22,'Renewable &amp; Onsite Gen Sites'!$A:AA,3,FALSE)," ")</f>
        <v xml:space="preserve"> </v>
      </c>
      <c r="H22" s="392" t="str">
        <f>IFERROR(VLOOKUP($G$7&amp;$B22,'Renewable &amp; Onsite Gen Sites'!$A:AA,15,FALSE)," ")</f>
        <v xml:space="preserve"> </v>
      </c>
      <c r="I22" s="395"/>
      <c r="J22" s="456" t="str">
        <f>IFERROR(VLOOKUP($G$7&amp;$B22,'Renewable &amp; Onsite Gen Sites'!$A:AA,20,FALSE)," ")</f>
        <v xml:space="preserve"> </v>
      </c>
    </row>
    <row r="23" spans="1:10" s="17" customFormat="1" ht="16.5" thickBot="1" x14ac:dyDescent="0.3">
      <c r="A23" s="16"/>
      <c r="B23" s="393">
        <v>3</v>
      </c>
      <c r="C23" s="892" t="str">
        <f>IFERROR(VLOOKUP($G$7&amp;$B23,'Renewable &amp; Onsite Gen Sites'!$A:AA,5,FALSE)," ")</f>
        <v xml:space="preserve"> </v>
      </c>
      <c r="D23" s="893"/>
      <c r="E23" s="390" t="str">
        <f>IFERROR(VLOOKUP($G$7&amp;$B23,'Renewable &amp; Onsite Gen Sites'!$A:AA,8,FALSE)," ")</f>
        <v xml:space="preserve"> </v>
      </c>
      <c r="F23" s="407" t="str">
        <f>IFERROR(VLOOKUP($G$7&amp;$B23,'Renewable &amp; Onsite Gen Sites'!$A:AA,13,FALSE)," ")</f>
        <v xml:space="preserve"> </v>
      </c>
      <c r="G23" s="390" t="str">
        <f>IFERROR(VLOOKUP($G$7&amp;$B23,'Renewable &amp; Onsite Gen Sites'!$A:AA,3,FALSE)," ")</f>
        <v xml:space="preserve"> </v>
      </c>
      <c r="H23" s="392" t="str">
        <f>IFERROR(VLOOKUP($G$7&amp;$B23,'Renewable &amp; Onsite Gen Sites'!$A:AA,15,FALSE)," ")</f>
        <v xml:space="preserve"> </v>
      </c>
      <c r="I23" s="395"/>
      <c r="J23" s="456" t="str">
        <f>IFERROR(VLOOKUP($G$7&amp;$B23,'Renewable &amp; Onsite Gen Sites'!$A:AA,20,FALSE)," ")</f>
        <v xml:space="preserve"> </v>
      </c>
    </row>
    <row r="24" spans="1:10" s="17" customFormat="1" ht="16.5" thickBot="1" x14ac:dyDescent="0.3">
      <c r="A24" s="16"/>
      <c r="B24" s="393">
        <v>4</v>
      </c>
      <c r="C24" s="892" t="str">
        <f>IFERROR(VLOOKUP($G$7&amp;$B24,'Renewable &amp; Onsite Gen Sites'!$A:AA,5,FALSE)," ")</f>
        <v xml:space="preserve"> </v>
      </c>
      <c r="D24" s="893"/>
      <c r="E24" s="390" t="str">
        <f>IFERROR(VLOOKUP($G$7&amp;$B24,'Renewable &amp; Onsite Gen Sites'!$A:AA,8,FALSE)," ")</f>
        <v xml:space="preserve"> </v>
      </c>
      <c r="F24" s="407" t="str">
        <f>IFERROR(VLOOKUP($G$7&amp;$B24,'Renewable &amp; Onsite Gen Sites'!$A:AA,13,FALSE)," ")</f>
        <v xml:space="preserve"> </v>
      </c>
      <c r="G24" s="390" t="str">
        <f>IFERROR(VLOOKUP($G$7&amp;$B24,'Renewable &amp; Onsite Gen Sites'!$A:AA,3,FALSE)," ")</f>
        <v xml:space="preserve"> </v>
      </c>
      <c r="H24" s="392" t="str">
        <f>IFERROR(VLOOKUP($G$7&amp;$B24,'Renewable &amp; Onsite Gen Sites'!$A:AA,15,FALSE)," ")</f>
        <v xml:space="preserve"> </v>
      </c>
      <c r="I24" s="395"/>
      <c r="J24" s="456" t="str">
        <f>IFERROR(VLOOKUP($G$7&amp;$B24,'Renewable &amp; Onsite Gen Sites'!$A:AA,20,FALSE)," ")</f>
        <v xml:space="preserve"> </v>
      </c>
    </row>
    <row r="25" spans="1:10" s="457" customFormat="1" ht="16.5" thickBot="1" x14ac:dyDescent="0.3">
      <c r="A25" s="238"/>
      <c r="B25" s="394">
        <v>5</v>
      </c>
      <c r="C25" s="892" t="str">
        <f>IFERROR(VLOOKUP($G$7&amp;$B25,'Renewable &amp; Onsite Gen Sites'!$A:AA,5,FALSE)," ")</f>
        <v xml:space="preserve"> </v>
      </c>
      <c r="D25" s="893"/>
      <c r="E25" s="387" t="str">
        <f>IFERROR(VLOOKUP($G$7&amp;$B25,'Renewable &amp; Onsite Gen Sites'!$A:AA,8,FALSE)," ")</f>
        <v xml:space="preserve"> </v>
      </c>
      <c r="F25" s="407" t="str">
        <f>IFERROR(VLOOKUP($G$7&amp;$B25,'Renewable &amp; Onsite Gen Sites'!$A:AA,13,FALSE)," ")</f>
        <v xml:space="preserve"> </v>
      </c>
      <c r="G25" s="387" t="str">
        <f>IFERROR(VLOOKUP($G$7&amp;$B25,'Renewable &amp; Onsite Gen Sites'!$A:AA,3,FALSE)," ")</f>
        <v xml:space="preserve"> </v>
      </c>
      <c r="H25" s="389" t="str">
        <f>IFERROR(VLOOKUP($G$7&amp;$B25,'Renewable &amp; Onsite Gen Sites'!$A:AA,15,FALSE)," ")</f>
        <v xml:space="preserve"> </v>
      </c>
      <c r="I25" s="395"/>
      <c r="J25" s="456" t="str">
        <f>IFERROR(VLOOKUP($G$7&amp;$B25,'Renewable &amp; Onsite Gen Sites'!$A:AA,20,FALSE)," ")</f>
        <v xml:space="preserve"> </v>
      </c>
    </row>
    <row r="26" spans="1:10" s="240" customFormat="1" ht="16.5" thickBot="1" x14ac:dyDescent="0.3">
      <c r="B26" s="393">
        <v>6</v>
      </c>
      <c r="C26" s="892" t="str">
        <f>IFERROR(VLOOKUP($G$7&amp;$B26,'Renewable &amp; Onsite Gen Sites'!$A:AA,5,FALSE)," ")</f>
        <v xml:space="preserve"> </v>
      </c>
      <c r="D26" s="893"/>
      <c r="E26" s="390" t="str">
        <f>IFERROR(VLOOKUP($G$7&amp;$B26,'Renewable &amp; Onsite Gen Sites'!$A:AA,8,FALSE)," ")</f>
        <v xml:space="preserve"> </v>
      </c>
      <c r="F26" s="407" t="str">
        <f>IFERROR(VLOOKUP($G$7&amp;$B26,'Renewable &amp; Onsite Gen Sites'!$A:AA,13,FALSE)," ")</f>
        <v xml:space="preserve"> </v>
      </c>
      <c r="G26" s="390" t="str">
        <f>IFERROR(VLOOKUP($G$7&amp;$B26,'Renewable &amp; Onsite Gen Sites'!$A:AA,3,FALSE)," ")</f>
        <v xml:space="preserve"> </v>
      </c>
      <c r="H26" s="392" t="str">
        <f>IFERROR(VLOOKUP($G$7&amp;$B26,'Renewable &amp; Onsite Gen Sites'!$A:AA,15,FALSE)," ")</f>
        <v xml:space="preserve"> </v>
      </c>
      <c r="I26" s="395"/>
      <c r="J26" s="456" t="str">
        <f>IFERROR(VLOOKUP($G$7&amp;$B26,'Renewable &amp; Onsite Gen Sites'!$A:AA,20,FALSE)," ")</f>
        <v xml:space="preserve"> </v>
      </c>
    </row>
    <row r="27" spans="1:10" s="240" customFormat="1" ht="16.5" thickBot="1" x14ac:dyDescent="0.3">
      <c r="B27" s="393">
        <v>7</v>
      </c>
      <c r="C27" s="892" t="str">
        <f>IFERROR(VLOOKUP($G$7&amp;$B27,'Renewable &amp; Onsite Gen Sites'!$A:AA,5,FALSE)," ")</f>
        <v xml:space="preserve"> </v>
      </c>
      <c r="D27" s="893"/>
      <c r="E27" s="390" t="str">
        <f>IFERROR(VLOOKUP($G$7&amp;$B27,'Renewable &amp; Onsite Gen Sites'!$A:AA,8,FALSE)," ")</f>
        <v xml:space="preserve"> </v>
      </c>
      <c r="F27" s="407" t="str">
        <f>IFERROR(VLOOKUP($G$7&amp;$B27,'Renewable &amp; Onsite Gen Sites'!$A:AA,13,FALSE)," ")</f>
        <v xml:space="preserve"> </v>
      </c>
      <c r="G27" s="390" t="str">
        <f>IFERROR(VLOOKUP($G$7&amp;$B27,'Renewable &amp; Onsite Gen Sites'!$A:AA,3,FALSE)," ")</f>
        <v xml:space="preserve"> </v>
      </c>
      <c r="H27" s="392" t="str">
        <f>IFERROR(VLOOKUP($G$7&amp;$B27,'Renewable &amp; Onsite Gen Sites'!$A:AA,15,FALSE)," ")</f>
        <v xml:space="preserve"> </v>
      </c>
      <c r="I27" s="395"/>
      <c r="J27" s="456" t="str">
        <f>IFERROR(VLOOKUP($G$7&amp;$B27,'Renewable &amp; Onsite Gen Sites'!$A:AA,20,FALSE)," ")</f>
        <v xml:space="preserve"> </v>
      </c>
    </row>
    <row r="28" spans="1:10" s="240" customFormat="1" ht="16.5" thickBot="1" x14ac:dyDescent="0.3">
      <c r="B28" s="393">
        <v>8</v>
      </c>
      <c r="C28" s="892" t="str">
        <f>IFERROR(VLOOKUP($G$7&amp;$B28,'Renewable &amp; Onsite Gen Sites'!$A:AA,5,FALSE)," ")</f>
        <v xml:space="preserve"> </v>
      </c>
      <c r="D28" s="893"/>
      <c r="E28" s="390" t="str">
        <f>IFERROR(VLOOKUP($G$7&amp;$B28,'Renewable &amp; Onsite Gen Sites'!$A:AA,8,FALSE)," ")</f>
        <v xml:space="preserve"> </v>
      </c>
      <c r="F28" s="407" t="str">
        <f>IFERROR(VLOOKUP($G$7&amp;$B28,'Renewable &amp; Onsite Gen Sites'!$A:AA,13,FALSE)," ")</f>
        <v xml:space="preserve"> </v>
      </c>
      <c r="G28" s="390" t="str">
        <f>IFERROR(VLOOKUP($G$7&amp;$B28,'Renewable &amp; Onsite Gen Sites'!$A:AA,3,FALSE)," ")</f>
        <v xml:space="preserve"> </v>
      </c>
      <c r="H28" s="392" t="str">
        <f>IFERROR(VLOOKUP($G$7&amp;$B28,'Renewable &amp; Onsite Gen Sites'!$A:AA,15,FALSE)," ")</f>
        <v xml:space="preserve"> </v>
      </c>
      <c r="I28" s="395"/>
      <c r="J28" s="456" t="str">
        <f>IFERROR(VLOOKUP($G$7&amp;$B28,'Renewable &amp; Onsite Gen Sites'!$A:AA,20,FALSE)," ")</f>
        <v xml:space="preserve"> </v>
      </c>
    </row>
    <row r="29" spans="1:10" s="240" customFormat="1" ht="16.5" thickBot="1" x14ac:dyDescent="0.3">
      <c r="B29" s="393">
        <v>9</v>
      </c>
      <c r="C29" s="892" t="str">
        <f>IFERROR(VLOOKUP($G$7&amp;$B29,'Renewable &amp; Onsite Gen Sites'!$A:AA,5,FALSE)," ")</f>
        <v xml:space="preserve"> </v>
      </c>
      <c r="D29" s="893"/>
      <c r="E29" s="390" t="str">
        <f>IFERROR(VLOOKUP($G$7&amp;$B29,'Renewable &amp; Onsite Gen Sites'!$A:AA,8,FALSE)," ")</f>
        <v xml:space="preserve"> </v>
      </c>
      <c r="F29" s="407" t="str">
        <f>IFERROR(VLOOKUP($G$7&amp;$B29,'Renewable &amp; Onsite Gen Sites'!$A:AA,13,FALSE)," ")</f>
        <v xml:space="preserve"> </v>
      </c>
      <c r="G29" s="398" t="str">
        <f>IFERROR(VLOOKUP($G$7&amp;$B29,'Renewable &amp; Onsite Gen Sites'!$A:AA,3,FALSE)," ")</f>
        <v xml:space="preserve"> </v>
      </c>
      <c r="H29" s="392" t="str">
        <f>IFERROR(VLOOKUP($G$7&amp;$B29,'Renewable &amp; Onsite Gen Sites'!$A:AA,15,FALSE)," ")</f>
        <v xml:space="preserve"> </v>
      </c>
      <c r="I29" s="395"/>
      <c r="J29" s="456" t="str">
        <f>IFERROR(VLOOKUP($G$7&amp;$B29,'Renewable &amp; Onsite Gen Sites'!$A:AA,20,FALSE)," ")</f>
        <v xml:space="preserve"> </v>
      </c>
    </row>
    <row r="30" spans="1:10" s="240" customFormat="1" ht="16.5" thickBot="1" x14ac:dyDescent="0.3">
      <c r="B30" s="393">
        <v>10</v>
      </c>
      <c r="C30" s="892" t="str">
        <f>IFERROR(VLOOKUP($G$7&amp;$B30,'Renewable &amp; Onsite Gen Sites'!$A:AA,5,FALSE)," ")</f>
        <v xml:space="preserve"> </v>
      </c>
      <c r="D30" s="893"/>
      <c r="E30" s="390" t="str">
        <f>IFERROR(VLOOKUP($G$7&amp;$B30,'Renewable &amp; Onsite Gen Sites'!$A:AA,8,FALSE)," ")</f>
        <v xml:space="preserve"> </v>
      </c>
      <c r="F30" s="407" t="str">
        <f>IFERROR(VLOOKUP($G$7&amp;$B30,'Renewable &amp; Onsite Gen Sites'!$A:AA,13,FALSE)," ")</f>
        <v xml:space="preserve"> </v>
      </c>
      <c r="G30" s="390" t="str">
        <f>IFERROR(VLOOKUP($G$7&amp;$B30,'Renewable &amp; Onsite Gen Sites'!$A:AA,3,FALSE)," ")</f>
        <v xml:space="preserve"> </v>
      </c>
      <c r="H30" s="392" t="str">
        <f>IFERROR(VLOOKUP($G$7&amp;$B30,'Renewable &amp; Onsite Gen Sites'!$A:AA,15,FALSE)," ")</f>
        <v xml:space="preserve"> </v>
      </c>
      <c r="I30" s="395"/>
      <c r="J30" s="456" t="str">
        <f>IFERROR(VLOOKUP($G$7&amp;$B30,'Renewable &amp; Onsite Gen Sites'!$A:AA,20,FALSE)," ")</f>
        <v xml:space="preserve"> </v>
      </c>
    </row>
    <row r="31" spans="1:10" s="240" customFormat="1" ht="16.5" thickBot="1" x14ac:dyDescent="0.3">
      <c r="B31" s="393">
        <v>11</v>
      </c>
      <c r="C31" s="892" t="str">
        <f>IFERROR(VLOOKUP($G$7&amp;$B31,'Renewable &amp; Onsite Gen Sites'!$A:AA,5,FALSE)," ")</f>
        <v xml:space="preserve"> </v>
      </c>
      <c r="D31" s="893"/>
      <c r="E31" s="390" t="str">
        <f>IFERROR(VLOOKUP($G$7&amp;$B31,'Renewable &amp; Onsite Gen Sites'!$A:AA,8,FALSE)," ")</f>
        <v xml:space="preserve"> </v>
      </c>
      <c r="F31" s="407" t="str">
        <f>IFERROR(VLOOKUP($G$7&amp;$B31,'Renewable &amp; Onsite Gen Sites'!$A:AA,13,FALSE)," ")</f>
        <v xml:space="preserve"> </v>
      </c>
      <c r="G31" s="390" t="str">
        <f>IFERROR(VLOOKUP($G$7&amp;$B31,'Renewable &amp; Onsite Gen Sites'!$A:AA,3,FALSE)," ")</f>
        <v xml:space="preserve"> </v>
      </c>
      <c r="H31" s="392" t="str">
        <f>IFERROR(VLOOKUP($G$7&amp;$B31,'Renewable &amp; Onsite Gen Sites'!$A:AA,15,FALSE)," ")</f>
        <v xml:space="preserve"> </v>
      </c>
      <c r="I31" s="395"/>
      <c r="J31" s="456" t="str">
        <f>IFERROR(VLOOKUP($G$7&amp;$B31,'Renewable &amp; Onsite Gen Sites'!$A:AA,20,FALSE)," ")</f>
        <v xml:space="preserve"> </v>
      </c>
    </row>
    <row r="32" spans="1:10" s="240" customFormat="1" ht="16.5" thickBot="1" x14ac:dyDescent="0.3">
      <c r="B32" s="393">
        <v>12</v>
      </c>
      <c r="C32" s="892" t="str">
        <f>IFERROR(VLOOKUP($G$7&amp;$B32,'Renewable &amp; Onsite Gen Sites'!$A:AA,5,FALSE)," ")</f>
        <v xml:space="preserve"> </v>
      </c>
      <c r="D32" s="893"/>
      <c r="E32" s="390" t="str">
        <f>IFERROR(VLOOKUP($G$7&amp;$B32,'Renewable &amp; Onsite Gen Sites'!$A:AA,8,FALSE)," ")</f>
        <v xml:space="preserve"> </v>
      </c>
      <c r="F32" s="407" t="str">
        <f>IFERROR(VLOOKUP($G$7&amp;$B32,'Renewable &amp; Onsite Gen Sites'!$A:AA,13,FALSE)," ")</f>
        <v xml:space="preserve"> </v>
      </c>
      <c r="G32" s="390" t="str">
        <f>IFERROR(VLOOKUP($G$7&amp;$B32,'Renewable &amp; Onsite Gen Sites'!$A:AA,3,FALSE)," ")</f>
        <v xml:space="preserve"> </v>
      </c>
      <c r="H32" s="392" t="str">
        <f>IFERROR(VLOOKUP($G$7&amp;$B32,'Renewable &amp; Onsite Gen Sites'!$A:AA,15,FALSE)," ")</f>
        <v xml:space="preserve"> </v>
      </c>
      <c r="I32" s="395"/>
      <c r="J32" s="456" t="str">
        <f>IFERROR(VLOOKUP($G$7&amp;$B32,'Renewable &amp; Onsite Gen Sites'!$A:AA,20,FALSE)," ")</f>
        <v xml:space="preserve"> </v>
      </c>
    </row>
    <row r="33" spans="2:11" s="240" customFormat="1" ht="16.5" thickBot="1" x14ac:dyDescent="0.3">
      <c r="B33" s="393">
        <v>13</v>
      </c>
      <c r="C33" s="892" t="str">
        <f>IFERROR(VLOOKUP($G$7&amp;$B33,'Renewable &amp; Onsite Gen Sites'!$A:AA,5,FALSE)," ")</f>
        <v xml:space="preserve"> </v>
      </c>
      <c r="D33" s="893"/>
      <c r="E33" s="390" t="str">
        <f>IFERROR(VLOOKUP($G$7&amp;$B33,'Renewable &amp; Onsite Gen Sites'!$A:AA,8,FALSE)," ")</f>
        <v xml:space="preserve"> </v>
      </c>
      <c r="F33" s="407" t="str">
        <f>IFERROR(VLOOKUP($G$7&amp;$B33,'Renewable &amp; Onsite Gen Sites'!$A:AA,13,FALSE)," ")</f>
        <v xml:space="preserve"> </v>
      </c>
      <c r="G33" s="390" t="str">
        <f>IFERROR(VLOOKUP($G$7&amp;$B33,'Renewable &amp; Onsite Gen Sites'!$A:AA,3,FALSE)," ")</f>
        <v xml:space="preserve"> </v>
      </c>
      <c r="H33" s="392" t="str">
        <f>IFERROR(VLOOKUP($G$7&amp;$B33,'Renewable &amp; Onsite Gen Sites'!$A:AA,15,FALSE)," ")</f>
        <v xml:space="preserve"> </v>
      </c>
      <c r="I33" s="395"/>
      <c r="J33" s="456" t="str">
        <f>IFERROR(VLOOKUP($G$7&amp;$B33,'Renewable &amp; Onsite Gen Sites'!$A:AA,20,FALSE)," ")</f>
        <v xml:space="preserve"> </v>
      </c>
    </row>
    <row r="34" spans="2:11" s="240" customFormat="1" ht="16.5" thickBot="1" x14ac:dyDescent="0.3">
      <c r="B34" s="393">
        <v>14</v>
      </c>
      <c r="C34" s="892" t="str">
        <f>IFERROR(VLOOKUP($G$7&amp;$B34,'Renewable &amp; Onsite Gen Sites'!$A:AA,5,FALSE)," ")</f>
        <v xml:space="preserve"> </v>
      </c>
      <c r="D34" s="893"/>
      <c r="E34" s="390" t="str">
        <f>IFERROR(VLOOKUP($G$7&amp;$B34,'Renewable &amp; Onsite Gen Sites'!$A:AA,8,FALSE)," ")</f>
        <v xml:space="preserve"> </v>
      </c>
      <c r="F34" s="407" t="str">
        <f>IFERROR(VLOOKUP($G$7&amp;$B34,'Renewable &amp; Onsite Gen Sites'!$A:AA,13,FALSE)," ")</f>
        <v xml:space="preserve"> </v>
      </c>
      <c r="G34" s="390" t="str">
        <f>IFERROR(VLOOKUP($G$7&amp;$B34,'Renewable &amp; Onsite Gen Sites'!$A:AA,3,FALSE)," ")</f>
        <v xml:space="preserve"> </v>
      </c>
      <c r="H34" s="392" t="str">
        <f>IFERROR(VLOOKUP($G$7&amp;$B34,'Renewable &amp; Onsite Gen Sites'!$A:AA,15,FALSE)," ")</f>
        <v xml:space="preserve"> </v>
      </c>
      <c r="I34" s="395"/>
      <c r="J34" s="456" t="str">
        <f>IFERROR(VLOOKUP($G$7&amp;$B34,'Renewable &amp; Onsite Gen Sites'!$A:AA,20,FALSE)," ")</f>
        <v xml:space="preserve"> </v>
      </c>
    </row>
    <row r="35" spans="2:11" s="240" customFormat="1" ht="16.5" thickBot="1" x14ac:dyDescent="0.3">
      <c r="B35" s="397">
        <v>15</v>
      </c>
      <c r="C35" s="892" t="str">
        <f>IFERROR(VLOOKUP($G$7&amp;$B35,'Renewable &amp; Onsite Gen Sites'!$A:AA,5,FALSE)," ")</f>
        <v xml:space="preserve"> </v>
      </c>
      <c r="D35" s="893"/>
      <c r="E35" s="398" t="str">
        <f>IFERROR(VLOOKUP($G$7&amp;$B35,'Renewable &amp; Onsite Gen Sites'!$A:AA,8,FALSE)," ")</f>
        <v xml:space="preserve"> </v>
      </c>
      <c r="F35" s="407" t="str">
        <f>IFERROR(VLOOKUP($G$7&amp;$B35,'Renewable &amp; Onsite Gen Sites'!$A:AA,13,FALSE)," ")</f>
        <v xml:space="preserve"> </v>
      </c>
      <c r="G35" s="398" t="str">
        <f>IFERROR(VLOOKUP($G$7&amp;$B35,'Renewable &amp; Onsite Gen Sites'!$A:AA,3,FALSE)," ")</f>
        <v xml:space="preserve"> </v>
      </c>
      <c r="H35" s="392" t="str">
        <f>IFERROR(VLOOKUP($G$7&amp;$B35,'Renewable &amp; Onsite Gen Sites'!$A:AA,15,FALSE)," ")</f>
        <v xml:space="preserve"> </v>
      </c>
      <c r="I35" s="395"/>
      <c r="J35" s="456" t="str">
        <f>IFERROR(VLOOKUP($G$7&amp;$B35,'Renewable &amp; Onsite Gen Sites'!$A:AA,20,FALSE)," ")</f>
        <v xml:space="preserve"> </v>
      </c>
    </row>
    <row r="36" spans="2:11" s="240" customFormat="1" ht="16.5" thickBot="1" x14ac:dyDescent="0.3">
      <c r="B36" s="399">
        <v>16</v>
      </c>
      <c r="C36" s="892" t="str">
        <f>IFERROR(VLOOKUP($G$7&amp;$B36,'Renewable &amp; Onsite Gen Sites'!$A:AA,5,FALSE)," ")</f>
        <v xml:space="preserve"> </v>
      </c>
      <c r="D36" s="893"/>
      <c r="E36" s="453" t="str">
        <f>IFERROR(VLOOKUP($G$7&amp;$B36,'Renewable &amp; Onsite Gen Sites'!$A:AA,8,FALSE)," ")</f>
        <v xml:space="preserve"> </v>
      </c>
      <c r="F36" s="454" t="str">
        <f>IFERROR(VLOOKUP($G$7&amp;$B36,'Renewable &amp; Onsite Gen Sites'!$A:AA,13,FALSE)," ")</f>
        <v xml:space="preserve"> </v>
      </c>
      <c r="G36" s="453" t="str">
        <f>IFERROR(VLOOKUP($G$7&amp;$B36,'Renewable &amp; Onsite Gen Sites'!$A:AA,3,FALSE)," ")</f>
        <v xml:space="preserve"> </v>
      </c>
      <c r="H36" s="455" t="str">
        <f>IFERROR(VLOOKUP($G$7&amp;$B36,'Renewable &amp; Onsite Gen Sites'!$A:AA,15,FALSE)," ")</f>
        <v xml:space="preserve"> </v>
      </c>
      <c r="I36" s="395"/>
      <c r="J36" s="456" t="str">
        <f>IFERROR(VLOOKUP($G$7&amp;$B36,'Renewable &amp; Onsite Gen Sites'!$A:AA,20,FALSE)," ")</f>
        <v xml:space="preserve"> </v>
      </c>
    </row>
    <row r="37" spans="2:11" s="240" customFormat="1" ht="18.75" customHeight="1" thickBot="1" x14ac:dyDescent="0.3">
      <c r="B37" s="894" t="s">
        <v>1250</v>
      </c>
      <c r="C37" s="894"/>
      <c r="D37" s="894"/>
      <c r="E37" s="894"/>
      <c r="F37" s="894"/>
      <c r="G37" s="894"/>
      <c r="H37" s="894"/>
      <c r="I37" s="894"/>
      <c r="J37" s="635"/>
      <c r="K37" s="381"/>
    </row>
    <row r="38" spans="2:11" s="241" customFormat="1" ht="16.5" thickBot="1" x14ac:dyDescent="0.3">
      <c r="B38" s="506"/>
      <c r="C38" s="895" t="s">
        <v>1099</v>
      </c>
      <c r="D38" s="895"/>
      <c r="E38" s="507" t="str">
        <f>IFERROR(VLOOKUP($G$7&amp;$B38,'Renewable &amp; Onsite Gen Sites'!$A:AA,8,FALSE)," ")</f>
        <v xml:space="preserve"> </v>
      </c>
      <c r="F38" s="508" t="str">
        <f>IFERROR(VLOOKUP($G$7&amp;$B38,'Renewable &amp; Onsite Gen Sites'!$A:AA,13,FALSE)," ")</f>
        <v xml:space="preserve"> </v>
      </c>
      <c r="G38" s="509" t="s">
        <v>549</v>
      </c>
      <c r="H38" s="507" t="str">
        <f>IFERROR(VLOOKUP($G$7&amp;$B38,'Renewable &amp; Onsite Gen Sites'!$A:AA,15,FALSE)," ")</f>
        <v xml:space="preserve"> </v>
      </c>
      <c r="I38" s="452"/>
      <c r="J38" s="636"/>
      <c r="K38" s="238"/>
    </row>
    <row r="39" spans="2:11" s="238" customFormat="1" ht="16.5" thickBot="1" x14ac:dyDescent="0.3">
      <c r="B39" s="510"/>
      <c r="C39" s="884" t="s">
        <v>1099</v>
      </c>
      <c r="D39" s="884"/>
      <c r="E39" s="511" t="str">
        <f>IFERROR(VLOOKUP($G$7&amp;$B39,'Renewable &amp; Onsite Gen Sites'!$A:AA,8,FALSE)," ")</f>
        <v xml:space="preserve"> </v>
      </c>
      <c r="F39" s="512" t="str">
        <f>IFERROR(VLOOKUP($G$7&amp;$B39,'Renewable &amp; Onsite Gen Sites'!$A:AA,13,FALSE)," ")</f>
        <v xml:space="preserve"> </v>
      </c>
      <c r="G39" s="396" t="s">
        <v>549</v>
      </c>
      <c r="H39" s="511" t="str">
        <f>IFERROR(VLOOKUP($G$7&amp;$B39,'Renewable &amp; Onsite Gen Sites'!$A:AA,15,FALSE)," ")</f>
        <v xml:space="preserve"> </v>
      </c>
      <c r="I39" s="395"/>
      <c r="J39" s="637"/>
      <c r="K39" s="241"/>
    </row>
    <row r="40" spans="2:11" ht="16.5" thickBot="1" x14ac:dyDescent="0.3">
      <c r="B40" s="510"/>
      <c r="C40" s="884" t="s">
        <v>1099</v>
      </c>
      <c r="D40" s="884"/>
      <c r="E40" s="511" t="str">
        <f>IFERROR(VLOOKUP($G$7&amp;$B40,'Renewable &amp; Onsite Gen Sites'!$A:AA,8,FALSE)," ")</f>
        <v xml:space="preserve"> </v>
      </c>
      <c r="F40" s="512" t="str">
        <f>IFERROR(VLOOKUP($G$7&amp;$B40,'Renewable &amp; Onsite Gen Sites'!$A:AA,13,FALSE)," ")</f>
        <v xml:space="preserve"> </v>
      </c>
      <c r="G40" s="396" t="s">
        <v>549</v>
      </c>
      <c r="H40" s="511" t="str">
        <f>IFERROR(VLOOKUP($G$7&amp;$B40,'Renewable &amp; Onsite Gen Sites'!$A:AA,15,FALSE)," ")</f>
        <v xml:space="preserve"> </v>
      </c>
      <c r="I40" s="395"/>
      <c r="J40" s="636"/>
      <c r="K40" s="238"/>
    </row>
    <row r="41" spans="2:11" ht="16.5" thickBot="1" x14ac:dyDescent="0.3">
      <c r="B41" s="510"/>
      <c r="C41" s="884" t="s">
        <v>1099</v>
      </c>
      <c r="D41" s="884"/>
      <c r="E41" s="511" t="str">
        <f>IFERROR(VLOOKUP($G$7&amp;$B41,'Renewable &amp; Onsite Gen Sites'!$A:AA,8,FALSE)," ")</f>
        <v xml:space="preserve"> </v>
      </c>
      <c r="F41" s="512" t="str">
        <f>IFERROR(VLOOKUP($G$7&amp;$B41,'Renewable &amp; Onsite Gen Sites'!$A:AA,13,FALSE)," ")</f>
        <v xml:space="preserve"> </v>
      </c>
      <c r="G41" s="396" t="s">
        <v>549</v>
      </c>
      <c r="H41" s="511" t="str">
        <f>IFERROR(VLOOKUP($G$7&amp;$B41,'Renewable &amp; Onsite Gen Sites'!$A:AA,15,FALSE)," ")</f>
        <v xml:space="preserve"> </v>
      </c>
      <c r="I41" s="395"/>
    </row>
    <row r="42" spans="2:11" ht="25.5" customHeight="1" x14ac:dyDescent="0.25">
      <c r="C42" s="20"/>
      <c r="D42" s="20"/>
      <c r="E42" s="20"/>
      <c r="F42" s="408"/>
      <c r="G42" s="21"/>
      <c r="H42" s="20"/>
    </row>
    <row r="43" spans="2:11" ht="18.75" x14ac:dyDescent="0.25">
      <c r="B43" s="898" t="s">
        <v>1122</v>
      </c>
      <c r="C43" s="899"/>
      <c r="D43" s="899"/>
      <c r="E43" s="899"/>
      <c r="F43" s="899"/>
      <c r="G43" s="899"/>
      <c r="H43" s="899"/>
      <c r="I43" s="899"/>
    </row>
    <row r="44" spans="2:11" ht="18.75" x14ac:dyDescent="0.25">
      <c r="B44" s="898" t="s">
        <v>1098</v>
      </c>
      <c r="C44" s="899"/>
      <c r="D44" s="899"/>
      <c r="E44" s="899"/>
      <c r="F44" s="899"/>
      <c r="G44" s="899"/>
      <c r="H44" s="899"/>
      <c r="I44" s="899"/>
    </row>
    <row r="45" spans="2:11" ht="16.5" thickBot="1" x14ac:dyDescent="0.3">
      <c r="B45" s="900" t="s">
        <v>570</v>
      </c>
      <c r="C45" s="900"/>
      <c r="D45" s="900"/>
      <c r="E45" s="900"/>
      <c r="F45" s="900"/>
      <c r="G45" s="900"/>
      <c r="H45" s="900"/>
      <c r="I45" s="900"/>
    </row>
    <row r="46" spans="2:11" s="238" customFormat="1" ht="18.75" customHeight="1" thickBot="1" x14ac:dyDescent="0.3">
      <c r="B46" s="897" t="s">
        <v>1145</v>
      </c>
      <c r="C46" s="897"/>
      <c r="D46" s="897"/>
      <c r="E46" s="897"/>
      <c r="F46" s="897"/>
      <c r="G46" s="897"/>
      <c r="H46" s="897"/>
      <c r="I46" s="897"/>
      <c r="J46" s="456"/>
      <c r="K46" s="16"/>
    </row>
    <row r="47" spans="2:11" ht="16.5" thickBot="1" x14ac:dyDescent="0.3">
      <c r="B47" s="286"/>
      <c r="C47" s="896" t="s">
        <v>86</v>
      </c>
      <c r="D47" s="896"/>
      <c r="E47" s="286" t="s">
        <v>87</v>
      </c>
      <c r="F47" s="409" t="s">
        <v>21</v>
      </c>
      <c r="G47" s="287" t="s">
        <v>500</v>
      </c>
      <c r="H47" s="286" t="s">
        <v>22</v>
      </c>
      <c r="I47" s="290" t="s">
        <v>706</v>
      </c>
      <c r="J47" s="636"/>
      <c r="K47" s="238"/>
    </row>
    <row r="48" spans="2:11" ht="16.5" thickBot="1" x14ac:dyDescent="0.3">
      <c r="B48" s="387">
        <v>1</v>
      </c>
      <c r="C48" s="887" t="str">
        <f>IFERROR(VLOOKUP($G$7&amp;$B48,'Renewable Thermal Sites'!A:F,6,FALSE)," ")</f>
        <v xml:space="preserve"> </v>
      </c>
      <c r="D48" s="888"/>
      <c r="E48" s="388" t="str">
        <f>IFERROR(VLOOKUP($G$7&amp;$B48,'Renewable Thermal Sites'!A:H,8,FALSE)," ")</f>
        <v xml:space="preserve"> </v>
      </c>
      <c r="F48" s="406" t="str">
        <f>IFERROR(VLOOKUP($G$7&amp;$B48,'Renewable Thermal Sites'!A:I,9,FALSE)," ")</f>
        <v xml:space="preserve"> </v>
      </c>
      <c r="G48" s="389" t="str">
        <f>IFERROR(VLOOKUP($G$7&amp;$B48,'Renewable Thermal Sites'!A:J,10,FALSE)," ")</f>
        <v xml:space="preserve"> </v>
      </c>
      <c r="H48" s="389" t="str">
        <f>IFERROR(VLOOKUP($G$7&amp;$B48,'Renewable Thermal Sites'!A:I,3,FALSE)," ")</f>
        <v xml:space="preserve"> </v>
      </c>
      <c r="I48" s="395"/>
    </row>
    <row r="49" spans="2:11" ht="16.5" thickBot="1" x14ac:dyDescent="0.3">
      <c r="B49" s="390">
        <v>2</v>
      </c>
      <c r="C49" s="889" t="str">
        <f>IFERROR(VLOOKUP($G$7&amp;$B49,'Renewable Thermal Sites'!A:F,6,FALSE)," ")</f>
        <v xml:space="preserve"> </v>
      </c>
      <c r="D49" s="890"/>
      <c r="E49" s="391" t="str">
        <f>IFERROR(VLOOKUP($G$7&amp;$B49,'Renewable Thermal Sites'!A:H,8,FALSE)," ")</f>
        <v xml:space="preserve"> </v>
      </c>
      <c r="F49" s="407" t="str">
        <f>IFERROR(VLOOKUP($G$7&amp;$B49,'Renewable Thermal Sites'!A:I,9,FALSE)," ")</f>
        <v xml:space="preserve"> </v>
      </c>
      <c r="G49" s="392" t="str">
        <f>IFERROR(VLOOKUP($G$7&amp;$B49,'Renewable Thermal Sites'!A:J,10,FALSE)," ")</f>
        <v xml:space="preserve"> </v>
      </c>
      <c r="H49" s="392" t="str">
        <f>IFERROR(VLOOKUP($G$7&amp;$B49,'Renewable Thermal Sites'!A:I,3,FALSE)," ")</f>
        <v xml:space="preserve"> </v>
      </c>
      <c r="I49" s="395"/>
    </row>
    <row r="50" spans="2:11" ht="16.5" thickBot="1" x14ac:dyDescent="0.3">
      <c r="B50" s="390">
        <v>3</v>
      </c>
      <c r="C50" s="889" t="str">
        <f>IFERROR(VLOOKUP($G$7&amp;$B50,'Renewable Thermal Sites'!A:F,6,FALSE)," ")</f>
        <v xml:space="preserve"> </v>
      </c>
      <c r="D50" s="890"/>
      <c r="E50" s="391" t="str">
        <f>IFERROR(VLOOKUP($G$7&amp;$B50,'Renewable Thermal Sites'!A:H,8,FALSE)," ")</f>
        <v xml:space="preserve"> </v>
      </c>
      <c r="F50" s="407" t="str">
        <f>IFERROR(VLOOKUP($G$7&amp;$B50,'Renewable Thermal Sites'!A:I,9,FALSE)," ")</f>
        <v xml:space="preserve"> </v>
      </c>
      <c r="G50" s="392" t="str">
        <f>IFERROR(VLOOKUP($G$7&amp;$B50,'Renewable Thermal Sites'!A:J,10,FALSE)," ")</f>
        <v xml:space="preserve"> </v>
      </c>
      <c r="H50" s="392" t="str">
        <f>IFERROR(VLOOKUP($G$7&amp;$B50,'Renewable Thermal Sites'!A:I,3,FALSE)," ")</f>
        <v xml:space="preserve"> </v>
      </c>
      <c r="I50" s="395"/>
    </row>
    <row r="51" spans="2:11" ht="16.5" thickBot="1" x14ac:dyDescent="0.3">
      <c r="B51" s="390">
        <v>4</v>
      </c>
      <c r="C51" s="889" t="str">
        <f>IFERROR(VLOOKUP($G$7&amp;$B51,'Renewable Thermal Sites'!A:F,6,FALSE)," ")</f>
        <v xml:space="preserve"> </v>
      </c>
      <c r="D51" s="890"/>
      <c r="E51" s="391" t="str">
        <f>IFERROR(VLOOKUP($G$7&amp;$B51,'Renewable Thermal Sites'!A:H,8,FALSE)," ")</f>
        <v xml:space="preserve"> </v>
      </c>
      <c r="F51" s="407" t="str">
        <f>IFERROR(VLOOKUP($G$7&amp;$B51,'Renewable Thermal Sites'!A:I,9,FALSE)," ")</f>
        <v xml:space="preserve"> </v>
      </c>
      <c r="G51" s="392" t="str">
        <f>IFERROR(VLOOKUP($G$7&amp;$B51,'Renewable Thermal Sites'!A:J,10,FALSE)," ")</f>
        <v xml:space="preserve"> </v>
      </c>
      <c r="H51" s="392" t="str">
        <f>IFERROR(VLOOKUP($G$7&amp;$B51,'Renewable Thermal Sites'!A:I,3,FALSE)," ")</f>
        <v xml:space="preserve"> </v>
      </c>
      <c r="I51" s="395"/>
    </row>
    <row r="52" spans="2:11" ht="16.5" thickBot="1" x14ac:dyDescent="0.3">
      <c r="B52" s="390">
        <v>5</v>
      </c>
      <c r="C52" s="889" t="str">
        <f>IFERROR(VLOOKUP($G$7&amp;$B52,'Renewable Thermal Sites'!A:F,6,FALSE)," ")</f>
        <v xml:space="preserve"> </v>
      </c>
      <c r="D52" s="890"/>
      <c r="E52" s="391" t="str">
        <f>IFERROR(VLOOKUP($G$7&amp;$B52,'Renewable Thermal Sites'!A:H,8,FALSE)," ")</f>
        <v xml:space="preserve"> </v>
      </c>
      <c r="F52" s="407" t="str">
        <f>IFERROR(VLOOKUP($G$7&amp;$B52,'Renewable Thermal Sites'!A:I,9,FALSE)," ")</f>
        <v xml:space="preserve"> </v>
      </c>
      <c r="G52" s="392" t="str">
        <f>IFERROR(VLOOKUP($G$7&amp;$B52,'Renewable Thermal Sites'!A:J,10,FALSE)," ")</f>
        <v xml:space="preserve"> </v>
      </c>
      <c r="H52" s="392" t="str">
        <f>IFERROR(VLOOKUP($G$7&amp;$B52,'Renewable Thermal Sites'!A:I,3,FALSE)," ")</f>
        <v xml:space="preserve"> </v>
      </c>
      <c r="I52" s="395"/>
    </row>
    <row r="53" spans="2:11" ht="19.5" customHeight="1" thickBot="1" x14ac:dyDescent="0.3">
      <c r="B53" s="891" t="s">
        <v>1251</v>
      </c>
      <c r="C53" s="891"/>
      <c r="D53" s="891"/>
      <c r="E53" s="891"/>
      <c r="F53" s="891"/>
      <c r="G53" s="891"/>
      <c r="H53" s="891"/>
      <c r="I53" s="891"/>
      <c r="J53" s="638"/>
      <c r="K53" s="382"/>
    </row>
    <row r="54" spans="2:11" ht="16.5" thickBot="1" x14ac:dyDescent="0.3">
      <c r="B54" s="513"/>
      <c r="C54" s="884" t="s">
        <v>1099</v>
      </c>
      <c r="D54" s="884"/>
      <c r="E54" s="514"/>
      <c r="F54" s="515"/>
      <c r="G54" s="396" t="s">
        <v>569</v>
      </c>
      <c r="H54" s="396" t="s">
        <v>549</v>
      </c>
      <c r="I54" s="516"/>
    </row>
    <row r="55" spans="2:11" ht="16.5" thickBot="1" x14ac:dyDescent="0.3">
      <c r="B55" s="513"/>
      <c r="C55" s="884" t="s">
        <v>1099</v>
      </c>
      <c r="D55" s="884"/>
      <c r="E55" s="514"/>
      <c r="F55" s="515"/>
      <c r="G55" s="396" t="s">
        <v>569</v>
      </c>
      <c r="H55" s="396" t="s">
        <v>549</v>
      </c>
      <c r="I55" s="516"/>
    </row>
    <row r="56" spans="2:11" ht="16.5" thickBot="1" x14ac:dyDescent="0.3">
      <c r="B56" s="513"/>
      <c r="C56" s="884" t="s">
        <v>1099</v>
      </c>
      <c r="D56" s="884"/>
      <c r="E56" s="514"/>
      <c r="F56" s="515"/>
      <c r="G56" s="396" t="s">
        <v>569</v>
      </c>
      <c r="H56" s="396" t="s">
        <v>549</v>
      </c>
      <c r="I56" s="516"/>
    </row>
    <row r="57" spans="2:11" ht="16.5" thickBot="1" x14ac:dyDescent="0.3">
      <c r="B57" s="513"/>
      <c r="C57" s="884" t="s">
        <v>1099</v>
      </c>
      <c r="D57" s="884"/>
      <c r="E57" s="514"/>
      <c r="F57" s="515"/>
      <c r="G57" s="396" t="s">
        <v>569</v>
      </c>
      <c r="H57" s="396" t="s">
        <v>549</v>
      </c>
      <c r="I57" s="516"/>
    </row>
    <row r="58" spans="2:11" ht="17.25" hidden="1" customHeight="1" x14ac:dyDescent="0.25">
      <c r="B58" s="239">
        <v>10</v>
      </c>
      <c r="C58" s="885" t="s">
        <v>1099</v>
      </c>
      <c r="D58" s="886"/>
      <c r="E58" s="383"/>
      <c r="F58" s="410"/>
      <c r="G58" s="384" t="s">
        <v>569</v>
      </c>
      <c r="H58" s="385" t="s">
        <v>549</v>
      </c>
      <c r="I58" s="386"/>
    </row>
    <row r="59" spans="2:11" hidden="1" x14ac:dyDescent="0.25">
      <c r="I59" s="57"/>
    </row>
    <row r="60" spans="2:11" hidden="1" x14ac:dyDescent="0.25">
      <c r="G60" s="16"/>
    </row>
    <row r="61" spans="2:11" x14ac:dyDescent="0.25">
      <c r="G61" s="16"/>
    </row>
    <row r="62" spans="2:11" x14ac:dyDescent="0.25">
      <c r="G62" s="16"/>
    </row>
    <row r="63" spans="2:11" x14ac:dyDescent="0.25">
      <c r="G63" s="16"/>
    </row>
    <row r="64" spans="2:11" x14ac:dyDescent="0.25"/>
    <row r="65" spans="9:9" x14ac:dyDescent="0.25"/>
    <row r="66" spans="9:9" x14ac:dyDescent="0.25"/>
    <row r="67" spans="9:9" x14ac:dyDescent="0.25"/>
    <row r="68" spans="9:9" x14ac:dyDescent="0.25"/>
    <row r="69" spans="9:9" x14ac:dyDescent="0.25"/>
    <row r="70" spans="9:9" x14ac:dyDescent="0.25">
      <c r="I70" s="450"/>
    </row>
    <row r="71" spans="9:9" x14ac:dyDescent="0.25">
      <c r="I71" s="450"/>
    </row>
    <row r="72" spans="9:9" ht="16.5" thickBot="1" x14ac:dyDescent="0.3">
      <c r="I72" s="451"/>
    </row>
    <row r="73" spans="9:9" x14ac:dyDescent="0.25"/>
    <row r="74" spans="9:9" x14ac:dyDescent="0.25"/>
    <row r="75" spans="9:9" x14ac:dyDescent="0.25"/>
    <row r="76" spans="9:9" x14ac:dyDescent="0.25"/>
    <row r="77" spans="9:9" x14ac:dyDescent="0.25"/>
    <row r="78" spans="9:9" x14ac:dyDescent="0.25"/>
    <row r="79" spans="9:9" x14ac:dyDescent="0.25"/>
    <row r="80" spans="9:9" x14ac:dyDescent="0.25"/>
    <row r="81" x14ac:dyDescent="0.25"/>
    <row r="82" hidden="1" x14ac:dyDescent="0.25"/>
    <row r="83" x14ac:dyDescent="0.25"/>
    <row r="84" x14ac:dyDescent="0.25"/>
    <row r="85" x14ac:dyDescent="0.25"/>
    <row r="86" x14ac:dyDescent="0.25"/>
    <row r="87" x14ac:dyDescent="0.25"/>
    <row r="88" x14ac:dyDescent="0.25"/>
    <row r="89" x14ac:dyDescent="0.25"/>
    <row r="90" x14ac:dyDescent="0.25"/>
    <row r="91" hidden="1" x14ac:dyDescent="0.25"/>
    <row r="92" hidden="1" x14ac:dyDescent="0.25"/>
  </sheetData>
  <sheetProtection password="CC30" sheet="1" objects="1" scenarios="1" selectLockedCells="1"/>
  <mergeCells count="55">
    <mergeCell ref="C29:D29"/>
    <mergeCell ref="C30:D30"/>
    <mergeCell ref="B1:I1"/>
    <mergeCell ref="B19:I19"/>
    <mergeCell ref="B17:I17"/>
    <mergeCell ref="B2:B5"/>
    <mergeCell ref="B16:I16"/>
    <mergeCell ref="C5:I5"/>
    <mergeCell ref="B15:I15"/>
    <mergeCell ref="B9:I9"/>
    <mergeCell ref="C2:I3"/>
    <mergeCell ref="C4:I4"/>
    <mergeCell ref="G7:H7"/>
    <mergeCell ref="D7:F7"/>
    <mergeCell ref="C10:I11"/>
    <mergeCell ref="B10:B11"/>
    <mergeCell ref="B18:I18"/>
    <mergeCell ref="C12:I13"/>
    <mergeCell ref="B12:B13"/>
    <mergeCell ref="C27:D27"/>
    <mergeCell ref="C28:D28"/>
    <mergeCell ref="C20:D20"/>
    <mergeCell ref="C21:D21"/>
    <mergeCell ref="C24:D24"/>
    <mergeCell ref="C25:D25"/>
    <mergeCell ref="C26:D26"/>
    <mergeCell ref="C22:D22"/>
    <mergeCell ref="C23:D23"/>
    <mergeCell ref="C47:D47"/>
    <mergeCell ref="B46:I46"/>
    <mergeCell ref="B43:I43"/>
    <mergeCell ref="B44:I44"/>
    <mergeCell ref="B45:I45"/>
    <mergeCell ref="C41:D41"/>
    <mergeCell ref="C31:D31"/>
    <mergeCell ref="C32:D32"/>
    <mergeCell ref="C33:D33"/>
    <mergeCell ref="C34:D34"/>
    <mergeCell ref="C36:D36"/>
    <mergeCell ref="C35:D35"/>
    <mergeCell ref="B37:I37"/>
    <mergeCell ref="C38:D38"/>
    <mergeCell ref="C39:D39"/>
    <mergeCell ref="C40:D40"/>
    <mergeCell ref="C57:D57"/>
    <mergeCell ref="C58:D58"/>
    <mergeCell ref="C48:D48"/>
    <mergeCell ref="C49:D49"/>
    <mergeCell ref="C50:D50"/>
    <mergeCell ref="C51:D51"/>
    <mergeCell ref="C52:D52"/>
    <mergeCell ref="B53:I53"/>
    <mergeCell ref="C54:D54"/>
    <mergeCell ref="C55:D55"/>
    <mergeCell ref="C56:D56"/>
  </mergeCells>
  <conditionalFormatting sqref="C21:D36">
    <cfRule type="expression" dxfId="32" priority="6">
      <formula>J21="in progress"</formula>
    </cfRule>
  </conditionalFormatting>
  <conditionalFormatting sqref="E21:E36">
    <cfRule type="expression" dxfId="31" priority="4">
      <formula>J21="in progress"</formula>
    </cfRule>
  </conditionalFormatting>
  <conditionalFormatting sqref="F21:F36">
    <cfRule type="expression" dxfId="30" priority="3">
      <formula>J21="in progress"</formula>
    </cfRule>
  </conditionalFormatting>
  <conditionalFormatting sqref="G21:G36">
    <cfRule type="expression" dxfId="29" priority="2">
      <formula>J21="in progress"</formula>
    </cfRule>
  </conditionalFormatting>
  <conditionalFormatting sqref="H21:H36">
    <cfRule type="expression" dxfId="28" priority="1">
      <formula>J21="in progress"</formula>
    </cfRule>
  </conditionalFormatting>
  <pageMargins left="0.7" right="0.7" top="0.75" bottom="0.75" header="0.3" footer="0.3"/>
  <pageSetup scale="45" fitToHeight="0" orientation="landscape" r:id="rId1"/>
  <ignoredErrors>
    <ignoredError sqref="E38:I41"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Source!$O$2:$O$6</xm:f>
          </x14:formula1>
          <xm:sqref>G54:G58</xm:sqref>
        </x14:dataValidation>
        <x14:dataValidation type="list" allowBlank="1" showInputMessage="1" showErrorMessage="1">
          <x14:formula1>
            <xm:f>Source!$D$1:$D$7</xm:f>
          </x14:formula1>
          <xm:sqref>G48:G52</xm:sqref>
        </x14:dataValidation>
        <x14:dataValidation type="list" allowBlank="1" showInputMessage="1" showErrorMessage="1">
          <x14:formula1>
            <xm:f>Source!$B$1:$B$7</xm:f>
          </x14:formula1>
          <xm:sqref>H54:H58</xm:sqref>
        </x14:dataValidation>
        <x14:dataValidation type="list" allowBlank="1" showInputMessage="1" showErrorMessage="1">
          <x14:formula1>
            <xm:f>Source!$A$1:$A$9</xm:f>
          </x14:formula1>
          <xm:sqref>G38:G41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Intro</vt:lpstr>
      <vt:lpstr>Contacts Source</vt:lpstr>
      <vt:lpstr>Instructions</vt:lpstr>
      <vt:lpstr>Contact Information</vt:lpstr>
      <vt:lpstr>Square Footage</vt:lpstr>
      <vt:lpstr>Electricity Consumption</vt:lpstr>
      <vt:lpstr>Building Fuel Consumption</vt:lpstr>
      <vt:lpstr>Vehicle&amp;Other Fuel Consumption</vt:lpstr>
      <vt:lpstr>Installed Clean Power</vt:lpstr>
      <vt:lpstr>Renewable &amp; Onsite Gen Sites</vt:lpstr>
      <vt:lpstr>Renewable Thermal Sites</vt:lpstr>
      <vt:lpstr>Vehicle Fleet</vt:lpstr>
      <vt:lpstr>EV Charging Stations</vt:lpstr>
      <vt:lpstr>EV Charging Stations source</vt:lpstr>
      <vt:lpstr>EE Projects</vt:lpstr>
      <vt:lpstr>Water Use</vt:lpstr>
      <vt:lpstr>Source Water</vt:lpstr>
      <vt:lpstr>Recycling</vt:lpstr>
      <vt:lpstr>Sustainability</vt:lpstr>
      <vt:lpstr>Landscaping</vt:lpstr>
      <vt:lpstr>Source</vt:lpstr>
      <vt:lpstr>AgencyCampus</vt:lpstr>
      <vt:lpstr>Names</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murrutia;Ckehne@MassMail.State.MA.US</dc:creator>
  <cp:lastModifiedBy>Kehne, Chelsea (ENE)</cp:lastModifiedBy>
  <dcterms:created xsi:type="dcterms:W3CDTF">2013-07-16T13:39:49Z</dcterms:created>
  <dcterms:modified xsi:type="dcterms:W3CDTF">2018-11-09T15:23:50Z</dcterms:modified>
</cp:coreProperties>
</file>