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205" yWindow="660" windowWidth="7455" windowHeight="5145" tabRatio="855"/>
  </bookViews>
  <sheets>
    <sheet name="1.RESIDENTIAL " sheetId="1" r:id="rId1"/>
    <sheet name="1.2.WOOD-BURNING-EPA" sheetId="5" r:id="rId2"/>
    <sheet name="2.COMMERCIAL" sheetId="2" r:id="rId3"/>
    <sheet name="3.SMALL INDUSTRIAL" sheetId="3" r:id="rId4"/>
    <sheet name="4.COMMERC COOKING-EPA" sheetId="4" r:id="rId5"/>
  </sheets>
  <definedNames>
    <definedName name="COPEAK">'1.RESIDENTIAL '!#REF!</definedName>
    <definedName name="Print_Area_MI">'1.RESIDENTIAL '!$A$1:$L$26</definedName>
  </definedNames>
  <calcPr calcId="125725"/>
</workbook>
</file>

<file path=xl/calcChain.xml><?xml version="1.0" encoding="utf-8"?>
<calcChain xmlns="http://schemas.openxmlformats.org/spreadsheetml/2006/main">
  <c r="I1257" i="5"/>
  <c r="G1256"/>
  <c r="J1255"/>
  <c r="H1254"/>
  <c r="G1243"/>
  <c r="J1242"/>
  <c r="H1241"/>
  <c r="G1230"/>
  <c r="J1229"/>
  <c r="H1228"/>
  <c r="G1217"/>
  <c r="J1216"/>
  <c r="H1215"/>
  <c r="G1204"/>
  <c r="J1203"/>
  <c r="H1202"/>
  <c r="G1191"/>
  <c r="J1190"/>
  <c r="H1189"/>
  <c r="G1178"/>
  <c r="J1177"/>
  <c r="H1176"/>
  <c r="G1165"/>
  <c r="J1164"/>
  <c r="H1163"/>
  <c r="G1152"/>
  <c r="J1151"/>
  <c r="H1150"/>
  <c r="G1139"/>
  <c r="J1138"/>
  <c r="H1137"/>
  <c r="G1126"/>
  <c r="J1125"/>
  <c r="H1124"/>
  <c r="G1113"/>
  <c r="J1112"/>
  <c r="H1111"/>
  <c r="G1100"/>
  <c r="J1099"/>
  <c r="H1098"/>
  <c r="G1087"/>
  <c r="G1257"/>
  <c r="J1086"/>
  <c r="J1256"/>
  <c r="H1085"/>
  <c r="H1257"/>
  <c r="I1074"/>
  <c r="G1074"/>
  <c r="G1073"/>
  <c r="H1071"/>
  <c r="G1061"/>
  <c r="H1059"/>
  <c r="G1049"/>
  <c r="H1047"/>
  <c r="G1037"/>
  <c r="H1035"/>
  <c r="G1025"/>
  <c r="H1023"/>
  <c r="G1013"/>
  <c r="H1011"/>
  <c r="G1001"/>
  <c r="H999"/>
  <c r="G989"/>
  <c r="H987"/>
  <c r="G977"/>
  <c r="H975"/>
  <c r="G965"/>
  <c r="H963"/>
  <c r="G953"/>
  <c r="H951"/>
  <c r="G941"/>
  <c r="H939"/>
  <c r="G929"/>
  <c r="H927"/>
  <c r="G917"/>
  <c r="H915"/>
  <c r="H1074"/>
  <c r="I905"/>
  <c r="H905"/>
  <c r="G904"/>
  <c r="H902"/>
  <c r="G891"/>
  <c r="H889"/>
  <c r="G878"/>
  <c r="H876"/>
  <c r="G865"/>
  <c r="H863"/>
  <c r="G852"/>
  <c r="H850"/>
  <c r="G840"/>
  <c r="H838"/>
  <c r="G827"/>
  <c r="H825"/>
  <c r="G814"/>
  <c r="H812"/>
  <c r="G801"/>
  <c r="H799"/>
  <c r="G788"/>
  <c r="H786"/>
  <c r="G775"/>
  <c r="H773"/>
  <c r="G762"/>
  <c r="H760"/>
  <c r="G749"/>
  <c r="H747"/>
  <c r="G736"/>
  <c r="G905"/>
  <c r="H734"/>
  <c r="I723"/>
  <c r="G723"/>
  <c r="G722"/>
  <c r="H720"/>
  <c r="G709"/>
  <c r="H707"/>
  <c r="G696"/>
  <c r="H694"/>
  <c r="G683"/>
  <c r="H681"/>
  <c r="G670"/>
  <c r="H668"/>
  <c r="G657"/>
  <c r="H655"/>
  <c r="G644"/>
  <c r="H642"/>
  <c r="G631"/>
  <c r="H629"/>
  <c r="G618"/>
  <c r="H616"/>
  <c r="G605"/>
  <c r="H603"/>
  <c r="G592"/>
  <c r="H590"/>
  <c r="G579"/>
  <c r="H577"/>
  <c r="G566"/>
  <c r="H564"/>
  <c r="G553"/>
  <c r="H551"/>
  <c r="H723"/>
  <c r="I540"/>
  <c r="G539"/>
  <c r="J538"/>
  <c r="H537"/>
  <c r="G526"/>
  <c r="J525"/>
  <c r="H524"/>
  <c r="G513"/>
  <c r="J512"/>
  <c r="H511"/>
  <c r="G500"/>
  <c r="J499"/>
  <c r="H498"/>
  <c r="G487"/>
  <c r="J486"/>
  <c r="H485"/>
  <c r="G474"/>
  <c r="J473"/>
  <c r="H472"/>
  <c r="G461"/>
  <c r="J460"/>
  <c r="H459"/>
  <c r="G448"/>
  <c r="J447"/>
  <c r="H446"/>
  <c r="G435"/>
  <c r="J434"/>
  <c r="H433"/>
  <c r="G422"/>
  <c r="J421"/>
  <c r="H420"/>
  <c r="G409"/>
  <c r="J408"/>
  <c r="H407"/>
  <c r="G396"/>
  <c r="J395"/>
  <c r="H394"/>
  <c r="G383"/>
  <c r="J382"/>
  <c r="H381"/>
  <c r="G370"/>
  <c r="G540"/>
  <c r="J369"/>
  <c r="J540"/>
  <c r="H368"/>
  <c r="H540"/>
  <c r="I357"/>
  <c r="G356"/>
  <c r="H354"/>
  <c r="G344"/>
  <c r="H342"/>
  <c r="G332"/>
  <c r="H330"/>
  <c r="G320"/>
  <c r="H318"/>
  <c r="G308"/>
  <c r="H306"/>
  <c r="G296"/>
  <c r="H294"/>
  <c r="G284"/>
  <c r="H282"/>
  <c r="G272"/>
  <c r="H270"/>
  <c r="G260"/>
  <c r="H258"/>
  <c r="G248"/>
  <c r="H246"/>
  <c r="G236"/>
  <c r="H234"/>
  <c r="G224"/>
  <c r="H222"/>
  <c r="G212"/>
  <c r="H210"/>
  <c r="G200"/>
  <c r="G357"/>
  <c r="H198"/>
  <c r="H357"/>
  <c r="J187"/>
  <c r="J188"/>
  <c r="I187"/>
  <c r="K187"/>
  <c r="G185"/>
  <c r="K184"/>
  <c r="J184"/>
  <c r="K183"/>
  <c r="K185"/>
  <c r="H183"/>
  <c r="G172"/>
  <c r="K171"/>
  <c r="J171"/>
  <c r="K170"/>
  <c r="K172"/>
  <c r="H170"/>
  <c r="G159"/>
  <c r="K158"/>
  <c r="J158"/>
  <c r="K157"/>
  <c r="K159"/>
  <c r="H157"/>
  <c r="G146"/>
  <c r="K145"/>
  <c r="J145"/>
  <c r="K144"/>
  <c r="K146"/>
  <c r="H144"/>
  <c r="G133"/>
  <c r="K132"/>
  <c r="J132"/>
  <c r="K131"/>
  <c r="K133"/>
  <c r="H131"/>
  <c r="G120"/>
  <c r="K119"/>
  <c r="J119"/>
  <c r="K118"/>
  <c r="K120"/>
  <c r="H118"/>
  <c r="G107"/>
  <c r="K106"/>
  <c r="J106"/>
  <c r="K105"/>
  <c r="K107"/>
  <c r="H105"/>
  <c r="G94"/>
  <c r="K93"/>
  <c r="J93"/>
  <c r="K92"/>
  <c r="K94"/>
  <c r="H92"/>
  <c r="G81"/>
  <c r="K80"/>
  <c r="J80"/>
  <c r="K79"/>
  <c r="K81"/>
  <c r="H79"/>
  <c r="G68"/>
  <c r="K67"/>
  <c r="J67"/>
  <c r="K66"/>
  <c r="K68"/>
  <c r="H66"/>
  <c r="G55"/>
  <c r="K54"/>
  <c r="J54"/>
  <c r="K53"/>
  <c r="K55"/>
  <c r="H53"/>
  <c r="G42"/>
  <c r="K41"/>
  <c r="J41"/>
  <c r="K40"/>
  <c r="K42"/>
  <c r="H40"/>
  <c r="G29"/>
  <c r="K28"/>
  <c r="J28"/>
  <c r="K27"/>
  <c r="K29"/>
  <c r="H27"/>
  <c r="G16"/>
  <c r="G188"/>
  <c r="K15"/>
  <c r="J15"/>
  <c r="K14"/>
  <c r="K16"/>
  <c r="H14"/>
  <c r="H186"/>
  <c r="K186"/>
  <c r="L516" i="4"/>
  <c r="M514"/>
  <c r="O514"/>
  <c r="M513"/>
  <c r="O513"/>
  <c r="M512"/>
  <c r="O512"/>
  <c r="M511"/>
  <c r="N515"/>
  <c r="M510"/>
  <c r="O510"/>
  <c r="M508"/>
  <c r="O508"/>
  <c r="M507"/>
  <c r="O507"/>
  <c r="M506"/>
  <c r="O506"/>
  <c r="M505"/>
  <c r="N509"/>
  <c r="M504"/>
  <c r="O504"/>
  <c r="M502"/>
  <c r="O502"/>
  <c r="M501"/>
  <c r="O501"/>
  <c r="M500"/>
  <c r="O500"/>
  <c r="M499"/>
  <c r="N503"/>
  <c r="M498"/>
  <c r="O498"/>
  <c r="M496"/>
  <c r="O496"/>
  <c r="M495"/>
  <c r="O495"/>
  <c r="M494"/>
  <c r="O494"/>
  <c r="M493"/>
  <c r="N497"/>
  <c r="M492"/>
  <c r="O492"/>
  <c r="M490"/>
  <c r="O490"/>
  <c r="M489"/>
  <c r="O489"/>
  <c r="M488"/>
  <c r="O488"/>
  <c r="M487"/>
  <c r="N491"/>
  <c r="M486"/>
  <c r="O486"/>
  <c r="M484"/>
  <c r="O484"/>
  <c r="M483"/>
  <c r="O483"/>
  <c r="M482"/>
  <c r="O482"/>
  <c r="M481"/>
  <c r="N485"/>
  <c r="M480"/>
  <c r="O480"/>
  <c r="M478"/>
  <c r="O478"/>
  <c r="M477"/>
  <c r="O477"/>
  <c r="M476"/>
  <c r="O476"/>
  <c r="M475"/>
  <c r="N479"/>
  <c r="M474"/>
  <c r="O474"/>
  <c r="M472"/>
  <c r="O472"/>
  <c r="M471"/>
  <c r="O471"/>
  <c r="M470"/>
  <c r="O470"/>
  <c r="M469"/>
  <c r="N473"/>
  <c r="M468"/>
  <c r="O468"/>
  <c r="M466"/>
  <c r="O466"/>
  <c r="M465"/>
  <c r="O465"/>
  <c r="M464"/>
  <c r="O464"/>
  <c r="M463"/>
  <c r="N467"/>
  <c r="M462"/>
  <c r="O462"/>
  <c r="M460"/>
  <c r="O460"/>
  <c r="M459"/>
  <c r="O459"/>
  <c r="M458"/>
  <c r="O458"/>
  <c r="M457"/>
  <c r="N461"/>
  <c r="M456"/>
  <c r="O456"/>
  <c r="M454"/>
  <c r="O454"/>
  <c r="M453"/>
  <c r="O453"/>
  <c r="M452"/>
  <c r="O452"/>
  <c r="M451"/>
  <c r="N455"/>
  <c r="M450"/>
  <c r="O450"/>
  <c r="M448"/>
  <c r="O448"/>
  <c r="M447"/>
  <c r="O447"/>
  <c r="M446"/>
  <c r="O446"/>
  <c r="M445"/>
  <c r="N449"/>
  <c r="M444"/>
  <c r="O444"/>
  <c r="M442"/>
  <c r="O442"/>
  <c r="M441"/>
  <c r="O441"/>
  <c r="M440"/>
  <c r="O440"/>
  <c r="M439"/>
  <c r="N443"/>
  <c r="M438"/>
  <c r="O438"/>
  <c r="M436"/>
  <c r="O436"/>
  <c r="M435"/>
  <c r="O435"/>
  <c r="M434"/>
  <c r="O434"/>
  <c r="M433"/>
  <c r="N437"/>
  <c r="M432"/>
  <c r="M516"/>
  <c r="M430"/>
  <c r="O430"/>
  <c r="M429"/>
  <c r="O429"/>
  <c r="M428"/>
  <c r="O428"/>
  <c r="M427"/>
  <c r="O427"/>
  <c r="M426"/>
  <c r="O426"/>
  <c r="O425"/>
  <c r="M425"/>
  <c r="M424"/>
  <c r="O424"/>
  <c r="O423"/>
  <c r="M423"/>
  <c r="M422"/>
  <c r="O422"/>
  <c r="O421"/>
  <c r="M421"/>
  <c r="M420"/>
  <c r="O420"/>
  <c r="O419"/>
  <c r="M419"/>
  <c r="M418"/>
  <c r="O418"/>
  <c r="O417"/>
  <c r="M417"/>
  <c r="L416"/>
  <c r="M414"/>
  <c r="O414"/>
  <c r="O413"/>
  <c r="M413"/>
  <c r="M412"/>
  <c r="O412"/>
  <c r="O411"/>
  <c r="M411"/>
  <c r="M410"/>
  <c r="N415"/>
  <c r="M408"/>
  <c r="O408"/>
  <c r="O407"/>
  <c r="M407"/>
  <c r="M406"/>
  <c r="O406"/>
  <c r="O405"/>
  <c r="M405"/>
  <c r="M404"/>
  <c r="N409"/>
  <c r="M402"/>
  <c r="O402"/>
  <c r="O401"/>
  <c r="M401"/>
  <c r="M400"/>
  <c r="O400"/>
  <c r="O399"/>
  <c r="M399"/>
  <c r="M398"/>
  <c r="N403"/>
  <c r="M396"/>
  <c r="O396"/>
  <c r="O395"/>
  <c r="M395"/>
  <c r="M394"/>
  <c r="O394"/>
  <c r="O393"/>
  <c r="M393"/>
  <c r="M392"/>
  <c r="N397"/>
  <c r="M390"/>
  <c r="O390"/>
  <c r="O389"/>
  <c r="M389"/>
  <c r="M388"/>
  <c r="O388"/>
  <c r="O387"/>
  <c r="M387"/>
  <c r="M386"/>
  <c r="N391"/>
  <c r="M384"/>
  <c r="O384"/>
  <c r="O383"/>
  <c r="M383"/>
  <c r="M382"/>
  <c r="O382"/>
  <c r="O381"/>
  <c r="M381"/>
  <c r="M380"/>
  <c r="N385"/>
  <c r="M378"/>
  <c r="O378"/>
  <c r="O377"/>
  <c r="M377"/>
  <c r="M376"/>
  <c r="O376"/>
  <c r="O375"/>
  <c r="M375"/>
  <c r="M374"/>
  <c r="N379"/>
  <c r="M372"/>
  <c r="O372"/>
  <c r="O371"/>
  <c r="M371"/>
  <c r="M370"/>
  <c r="O370"/>
  <c r="O369"/>
  <c r="M369"/>
  <c r="M368"/>
  <c r="N373"/>
  <c r="M366"/>
  <c r="O366"/>
  <c r="O365"/>
  <c r="M365"/>
  <c r="M364"/>
  <c r="O364"/>
  <c r="O363"/>
  <c r="M363"/>
  <c r="M362"/>
  <c r="N367"/>
  <c r="M360"/>
  <c r="O360"/>
  <c r="O359"/>
  <c r="M359"/>
  <c r="M358"/>
  <c r="O358"/>
  <c r="O357"/>
  <c r="M357"/>
  <c r="M356"/>
  <c r="N361"/>
  <c r="M354"/>
  <c r="O354"/>
  <c r="O353"/>
  <c r="M353"/>
  <c r="M352"/>
  <c r="O352"/>
  <c r="O351"/>
  <c r="M351"/>
  <c r="M350"/>
  <c r="N355"/>
  <c r="M348"/>
  <c r="O348"/>
  <c r="O347"/>
  <c r="M347"/>
  <c r="M346"/>
  <c r="O346"/>
  <c r="O345"/>
  <c r="M345"/>
  <c r="M344"/>
  <c r="N349"/>
  <c r="M342"/>
  <c r="O342"/>
  <c r="O341"/>
  <c r="M341"/>
  <c r="M340"/>
  <c r="O340"/>
  <c r="O339"/>
  <c r="M339"/>
  <c r="M338"/>
  <c r="N343"/>
  <c r="M336"/>
  <c r="O336"/>
  <c r="O335"/>
  <c r="M335"/>
  <c r="M334"/>
  <c r="O334"/>
  <c r="O333"/>
  <c r="M333"/>
  <c r="M332"/>
  <c r="N337"/>
  <c r="L331"/>
  <c r="M329"/>
  <c r="O329"/>
  <c r="O328"/>
  <c r="M328"/>
  <c r="M327"/>
  <c r="O327"/>
  <c r="O326"/>
  <c r="P330"/>
  <c r="M326"/>
  <c r="N330"/>
  <c r="O324"/>
  <c r="M324"/>
  <c r="M323"/>
  <c r="O323"/>
  <c r="O322"/>
  <c r="M322"/>
  <c r="M321"/>
  <c r="N325"/>
  <c r="M318"/>
  <c r="O318"/>
  <c r="O317"/>
  <c r="M317"/>
  <c r="M316"/>
  <c r="O316"/>
  <c r="O315"/>
  <c r="P319"/>
  <c r="M315"/>
  <c r="N319"/>
  <c r="O313"/>
  <c r="M313"/>
  <c r="M312"/>
  <c r="O312"/>
  <c r="M311"/>
  <c r="O311"/>
  <c r="M310"/>
  <c r="N314"/>
  <c r="M308"/>
  <c r="O308"/>
  <c r="M307"/>
  <c r="O307"/>
  <c r="M306"/>
  <c r="O306"/>
  <c r="M305"/>
  <c r="O305"/>
  <c r="M303"/>
  <c r="O303"/>
  <c r="M302"/>
  <c r="O302"/>
  <c r="M301"/>
  <c r="O301"/>
  <c r="M300"/>
  <c r="N304"/>
  <c r="M298"/>
  <c r="O298"/>
  <c r="M297"/>
  <c r="O297"/>
  <c r="M296"/>
  <c r="O296"/>
  <c r="M295"/>
  <c r="O295"/>
  <c r="M293"/>
  <c r="O293"/>
  <c r="M292"/>
  <c r="O292"/>
  <c r="M291"/>
  <c r="O291"/>
  <c r="M290"/>
  <c r="N294"/>
  <c r="M288"/>
  <c r="O288"/>
  <c r="M287"/>
  <c r="O287"/>
  <c r="M286"/>
  <c r="O286"/>
  <c r="M285"/>
  <c r="O285"/>
  <c r="M283"/>
  <c r="O283"/>
  <c r="M282"/>
  <c r="O282"/>
  <c r="M281"/>
  <c r="O281"/>
  <c r="M280"/>
  <c r="N284"/>
  <c r="M278"/>
  <c r="O278"/>
  <c r="M277"/>
  <c r="O277"/>
  <c r="M276"/>
  <c r="O276"/>
  <c r="M275"/>
  <c r="O275"/>
  <c r="M273"/>
  <c r="O273"/>
  <c r="M272"/>
  <c r="O272"/>
  <c r="M271"/>
  <c r="O271"/>
  <c r="M270"/>
  <c r="N274"/>
  <c r="M268"/>
  <c r="O268"/>
  <c r="M267"/>
  <c r="O267"/>
  <c r="M266"/>
  <c r="O266"/>
  <c r="M265"/>
  <c r="O265"/>
  <c r="M263"/>
  <c r="O263"/>
  <c r="M262"/>
  <c r="O262"/>
  <c r="M261"/>
  <c r="O261"/>
  <c r="M260"/>
  <c r="N264"/>
  <c r="L259"/>
  <c r="M257"/>
  <c r="O257"/>
  <c r="M256"/>
  <c r="O256"/>
  <c r="M255"/>
  <c r="O255"/>
  <c r="M254"/>
  <c r="O254"/>
  <c r="M253"/>
  <c r="O253"/>
  <c r="P258"/>
  <c r="M251"/>
  <c r="O251"/>
  <c r="M250"/>
  <c r="O250"/>
  <c r="M249"/>
  <c r="O249"/>
  <c r="M248"/>
  <c r="O248"/>
  <c r="M247"/>
  <c r="O247"/>
  <c r="M245"/>
  <c r="O245"/>
  <c r="M244"/>
  <c r="O244"/>
  <c r="M243"/>
  <c r="O243"/>
  <c r="M242"/>
  <c r="O242"/>
  <c r="M241"/>
  <c r="O241"/>
  <c r="M239"/>
  <c r="O239"/>
  <c r="M238"/>
  <c r="O238"/>
  <c r="M237"/>
  <c r="O237"/>
  <c r="M236"/>
  <c r="O236"/>
  <c r="M235"/>
  <c r="O235"/>
  <c r="M233"/>
  <c r="O233"/>
  <c r="M232"/>
  <c r="O232"/>
  <c r="M231"/>
  <c r="O231"/>
  <c r="M230"/>
  <c r="O230"/>
  <c r="M229"/>
  <c r="O229"/>
  <c r="P234"/>
  <c r="M227"/>
  <c r="O227"/>
  <c r="M226"/>
  <c r="O226"/>
  <c r="M225"/>
  <c r="O225"/>
  <c r="M224"/>
  <c r="O224"/>
  <c r="M223"/>
  <c r="O223"/>
  <c r="M221"/>
  <c r="O221"/>
  <c r="M220"/>
  <c r="O220"/>
  <c r="M219"/>
  <c r="O219"/>
  <c r="M218"/>
  <c r="O218"/>
  <c r="M217"/>
  <c r="O217"/>
  <c r="M215"/>
  <c r="O215"/>
  <c r="M214"/>
  <c r="O214"/>
  <c r="M213"/>
  <c r="O213"/>
  <c r="M212"/>
  <c r="O212"/>
  <c r="M211"/>
  <c r="O211"/>
  <c r="M209"/>
  <c r="O209"/>
  <c r="M208"/>
  <c r="O208"/>
  <c r="M207"/>
  <c r="O207"/>
  <c r="M206"/>
  <c r="O206"/>
  <c r="M205"/>
  <c r="O205"/>
  <c r="P210"/>
  <c r="M203"/>
  <c r="O203"/>
  <c r="M202"/>
  <c r="O202"/>
  <c r="M201"/>
  <c r="O201"/>
  <c r="M200"/>
  <c r="O200"/>
  <c r="M199"/>
  <c r="O199"/>
  <c r="M197"/>
  <c r="O197"/>
  <c r="M196"/>
  <c r="O196"/>
  <c r="M195"/>
  <c r="O195"/>
  <c r="M194"/>
  <c r="O194"/>
  <c r="M193"/>
  <c r="O193"/>
  <c r="M191"/>
  <c r="O191"/>
  <c r="M190"/>
  <c r="O190"/>
  <c r="M189"/>
  <c r="O189"/>
  <c r="M188"/>
  <c r="O188"/>
  <c r="M187"/>
  <c r="O187"/>
  <c r="M185"/>
  <c r="O185"/>
  <c r="M184"/>
  <c r="O184"/>
  <c r="M183"/>
  <c r="O183"/>
  <c r="M182"/>
  <c r="O182"/>
  <c r="M181"/>
  <c r="O181"/>
  <c r="P186"/>
  <c r="M179"/>
  <c r="O179"/>
  <c r="M178"/>
  <c r="O178"/>
  <c r="M177"/>
  <c r="O177"/>
  <c r="M176"/>
  <c r="O176"/>
  <c r="M175"/>
  <c r="M259"/>
  <c r="L174"/>
  <c r="M172"/>
  <c r="O172"/>
  <c r="O171"/>
  <c r="M171"/>
  <c r="M170"/>
  <c r="O170"/>
  <c r="O169"/>
  <c r="P173"/>
  <c r="M169"/>
  <c r="N173"/>
  <c r="O167"/>
  <c r="M167"/>
  <c r="M166"/>
  <c r="O166"/>
  <c r="M165"/>
  <c r="O165"/>
  <c r="M164"/>
  <c r="O164"/>
  <c r="M162"/>
  <c r="O162"/>
  <c r="M161"/>
  <c r="O161"/>
  <c r="M160"/>
  <c r="O160"/>
  <c r="M159"/>
  <c r="N163"/>
  <c r="M157"/>
  <c r="O157"/>
  <c r="M156"/>
  <c r="O156"/>
  <c r="M155"/>
  <c r="O155"/>
  <c r="M154"/>
  <c r="O154"/>
  <c r="M152"/>
  <c r="O152"/>
  <c r="M151"/>
  <c r="O151"/>
  <c r="M150"/>
  <c r="O150"/>
  <c r="M149"/>
  <c r="N153"/>
  <c r="M147"/>
  <c r="O147"/>
  <c r="M146"/>
  <c r="O146"/>
  <c r="M145"/>
  <c r="O145"/>
  <c r="M144"/>
  <c r="O144"/>
  <c r="M142"/>
  <c r="O142"/>
  <c r="M141"/>
  <c r="O141"/>
  <c r="M140"/>
  <c r="O140"/>
  <c r="M139"/>
  <c r="N143"/>
  <c r="M137"/>
  <c r="O137"/>
  <c r="M136"/>
  <c r="O136"/>
  <c r="M135"/>
  <c r="O135"/>
  <c r="M134"/>
  <c r="O134"/>
  <c r="M132"/>
  <c r="O132"/>
  <c r="M131"/>
  <c r="O131"/>
  <c r="M130"/>
  <c r="O130"/>
  <c r="M129"/>
  <c r="N133"/>
  <c r="M127"/>
  <c r="O127"/>
  <c r="M126"/>
  <c r="O126"/>
  <c r="M125"/>
  <c r="O125"/>
  <c r="M124"/>
  <c r="O124"/>
  <c r="M122"/>
  <c r="O122"/>
  <c r="M121"/>
  <c r="O121"/>
  <c r="M120"/>
  <c r="O120"/>
  <c r="M119"/>
  <c r="N123"/>
  <c r="M117"/>
  <c r="O117"/>
  <c r="M116"/>
  <c r="O116"/>
  <c r="M115"/>
  <c r="O115"/>
  <c r="M114"/>
  <c r="O114"/>
  <c r="M112"/>
  <c r="O112"/>
  <c r="M111"/>
  <c r="O111"/>
  <c r="M110"/>
  <c r="O110"/>
  <c r="M109"/>
  <c r="N113"/>
  <c r="M107"/>
  <c r="O107"/>
  <c r="M106"/>
  <c r="O106"/>
  <c r="M105"/>
  <c r="O105"/>
  <c r="M104"/>
  <c r="M174"/>
  <c r="M102"/>
  <c r="O102"/>
  <c r="M101"/>
  <c r="O101"/>
  <c r="M100"/>
  <c r="O100"/>
  <c r="M99"/>
  <c r="O99"/>
  <c r="M98"/>
  <c r="O98"/>
  <c r="M97"/>
  <c r="O97"/>
  <c r="M96"/>
  <c r="O96"/>
  <c r="M95"/>
  <c r="O95"/>
  <c r="M94"/>
  <c r="O94"/>
  <c r="M93"/>
  <c r="O93"/>
  <c r="M92"/>
  <c r="O92"/>
  <c r="M91"/>
  <c r="O91"/>
  <c r="M90"/>
  <c r="O90"/>
  <c r="M89"/>
  <c r="O89"/>
  <c r="L88"/>
  <c r="M86"/>
  <c r="O86"/>
  <c r="M85"/>
  <c r="O85"/>
  <c r="M84"/>
  <c r="O84"/>
  <c r="M83"/>
  <c r="O83"/>
  <c r="M82"/>
  <c r="N87"/>
  <c r="M80"/>
  <c r="O80"/>
  <c r="O79"/>
  <c r="M79"/>
  <c r="M78"/>
  <c r="O78"/>
  <c r="O77"/>
  <c r="M77"/>
  <c r="M76"/>
  <c r="N81"/>
  <c r="M74"/>
  <c r="O74"/>
  <c r="M73"/>
  <c r="O73"/>
  <c r="M72"/>
  <c r="O72"/>
  <c r="M71"/>
  <c r="O71"/>
  <c r="M70"/>
  <c r="N75"/>
  <c r="M68"/>
  <c r="O68"/>
  <c r="M67"/>
  <c r="O67"/>
  <c r="M66"/>
  <c r="O66"/>
  <c r="M65"/>
  <c r="O65"/>
  <c r="M64"/>
  <c r="N69"/>
  <c r="M62"/>
  <c r="O62"/>
  <c r="M61"/>
  <c r="O61"/>
  <c r="M60"/>
  <c r="O60"/>
  <c r="M59"/>
  <c r="O59"/>
  <c r="M58"/>
  <c r="N63"/>
  <c r="M56"/>
  <c r="O56"/>
  <c r="M55"/>
  <c r="O55"/>
  <c r="M54"/>
  <c r="O54"/>
  <c r="M53"/>
  <c r="O53"/>
  <c r="M52"/>
  <c r="N57"/>
  <c r="M50"/>
  <c r="O50"/>
  <c r="M49"/>
  <c r="O49"/>
  <c r="M48"/>
  <c r="O48"/>
  <c r="M47"/>
  <c r="O47"/>
  <c r="M46"/>
  <c r="N51"/>
  <c r="M44"/>
  <c r="O44"/>
  <c r="M43"/>
  <c r="O43"/>
  <c r="M42"/>
  <c r="O42"/>
  <c r="M41"/>
  <c r="O41"/>
  <c r="M40"/>
  <c r="N45"/>
  <c r="M38"/>
  <c r="O38"/>
  <c r="M37"/>
  <c r="O37"/>
  <c r="M36"/>
  <c r="O36"/>
  <c r="M35"/>
  <c r="O35"/>
  <c r="M34"/>
  <c r="N39"/>
  <c r="M32"/>
  <c r="O32"/>
  <c r="M31"/>
  <c r="O31"/>
  <c r="M30"/>
  <c r="O30"/>
  <c r="M29"/>
  <c r="O29"/>
  <c r="M28"/>
  <c r="N33"/>
  <c r="M26"/>
  <c r="O26"/>
  <c r="M25"/>
  <c r="O25"/>
  <c r="M24"/>
  <c r="O24"/>
  <c r="M23"/>
  <c r="O23"/>
  <c r="M22"/>
  <c r="N27"/>
  <c r="M20"/>
  <c r="O20"/>
  <c r="M19"/>
  <c r="O19"/>
  <c r="M18"/>
  <c r="O18"/>
  <c r="M17"/>
  <c r="O17"/>
  <c r="M16"/>
  <c r="N21"/>
  <c r="M14"/>
  <c r="O14"/>
  <c r="M13"/>
  <c r="O13"/>
  <c r="M12"/>
  <c r="O12"/>
  <c r="M11"/>
  <c r="O11"/>
  <c r="M10"/>
  <c r="N15"/>
  <c r="M8"/>
  <c r="O8"/>
  <c r="M7"/>
  <c r="O7"/>
  <c r="M6"/>
  <c r="O6"/>
  <c r="M5"/>
  <c r="O5"/>
  <c r="M4"/>
  <c r="N9"/>
  <c r="N88"/>
  <c r="DS25" i="3"/>
  <c r="EE25"/>
  <c r="DR25"/>
  <c r="DQ25"/>
  <c r="CW25"/>
  <c r="CX25"/>
  <c r="CY25"/>
  <c r="CE25"/>
  <c r="CQ25"/>
  <c r="CD25"/>
  <c r="CC25"/>
  <c r="BI25"/>
  <c r="BJ25"/>
  <c r="BK25"/>
  <c r="AQ25"/>
  <c r="BC25"/>
  <c r="AP25"/>
  <c r="AJ25"/>
  <c r="AF25"/>
  <c r="X25"/>
  <c r="W25"/>
  <c r="AK25"/>
  <c r="V25"/>
  <c r="U25"/>
  <c r="B25"/>
  <c r="C25"/>
  <c r="D25"/>
  <c r="AQ24"/>
  <c r="D24"/>
  <c r="DS23"/>
  <c r="EE23"/>
  <c r="DR23"/>
  <c r="DL23"/>
  <c r="DH23"/>
  <c r="CZ23"/>
  <c r="CY23"/>
  <c r="DM23"/>
  <c r="CX23"/>
  <c r="CO23"/>
  <c r="CN23"/>
  <c r="CK23"/>
  <c r="CL23"/>
  <c r="CG23"/>
  <c r="CS23"/>
  <c r="CF23"/>
  <c r="CP23"/>
  <c r="CE23"/>
  <c r="CQ23"/>
  <c r="CD23"/>
  <c r="BJ23"/>
  <c r="BK23"/>
  <c r="AQ23"/>
  <c r="BC23"/>
  <c r="AP23"/>
  <c r="AJ23"/>
  <c r="AF23"/>
  <c r="X23"/>
  <c r="W23"/>
  <c r="AK23"/>
  <c r="V23"/>
  <c r="Q23"/>
  <c r="M23"/>
  <c r="E23"/>
  <c r="D23"/>
  <c r="R23"/>
  <c r="C23"/>
  <c r="DW22"/>
  <c r="DX22"/>
  <c r="DS22"/>
  <c r="DR22"/>
  <c r="DL22"/>
  <c r="DH22"/>
  <c r="CZ22"/>
  <c r="CY22"/>
  <c r="DM22"/>
  <c r="CX22"/>
  <c r="CO22"/>
  <c r="CN22"/>
  <c r="CK22"/>
  <c r="CG22"/>
  <c r="CH22"/>
  <c r="CT22"/>
  <c r="CF22"/>
  <c r="CP22"/>
  <c r="CE22"/>
  <c r="CQ22"/>
  <c r="CD22"/>
  <c r="BJ22"/>
  <c r="BK22"/>
  <c r="BV22"/>
  <c r="AU22"/>
  <c r="AV22"/>
  <c r="AQ22"/>
  <c r="BC22"/>
  <c r="AP22"/>
  <c r="AJ22"/>
  <c r="AF22"/>
  <c r="X22"/>
  <c r="W22"/>
  <c r="AK22"/>
  <c r="V22"/>
  <c r="Q22"/>
  <c r="M22"/>
  <c r="E22"/>
  <c r="D22"/>
  <c r="R22"/>
  <c r="C22"/>
  <c r="EE21"/>
  <c r="DW21"/>
  <c r="DX21"/>
  <c r="DS21"/>
  <c r="DR21"/>
  <c r="DL21"/>
  <c r="DH21"/>
  <c r="CZ21"/>
  <c r="CY21"/>
  <c r="DM21"/>
  <c r="CX21"/>
  <c r="CO21"/>
  <c r="CN21"/>
  <c r="CK21"/>
  <c r="CG21"/>
  <c r="CH21"/>
  <c r="CT21"/>
  <c r="CF21"/>
  <c r="CP21"/>
  <c r="CE21"/>
  <c r="CQ21"/>
  <c r="CD21"/>
  <c r="BJ21"/>
  <c r="BK21"/>
  <c r="BZ21"/>
  <c r="AP21"/>
  <c r="AQ21"/>
  <c r="W21"/>
  <c r="AF21"/>
  <c r="V21"/>
  <c r="M21"/>
  <c r="E21"/>
  <c r="D21"/>
  <c r="P21"/>
  <c r="C21"/>
  <c r="DS20"/>
  <c r="EE20"/>
  <c r="DR20"/>
  <c r="DK20"/>
  <c r="CZ20"/>
  <c r="CY20"/>
  <c r="DL20"/>
  <c r="CX20"/>
  <c r="CR20"/>
  <c r="CQ20"/>
  <c r="CN20"/>
  <c r="CM20"/>
  <c r="CK20"/>
  <c r="CL20"/>
  <c r="CI20"/>
  <c r="CJ20"/>
  <c r="CG20"/>
  <c r="CH20"/>
  <c r="CT20"/>
  <c r="CF20"/>
  <c r="CP20"/>
  <c r="CE20"/>
  <c r="CO20"/>
  <c r="CD20"/>
  <c r="BJ20"/>
  <c r="BK20"/>
  <c r="BV20"/>
  <c r="AQ20"/>
  <c r="BC20"/>
  <c r="AP20"/>
  <c r="AI20"/>
  <c r="X20"/>
  <c r="W20"/>
  <c r="AJ20"/>
  <c r="V20"/>
  <c r="P20"/>
  <c r="E20"/>
  <c r="D20"/>
  <c r="Q20"/>
  <c r="C20"/>
  <c r="DS19"/>
  <c r="EE19"/>
  <c r="DR19"/>
  <c r="DK19"/>
  <c r="CZ19"/>
  <c r="CY19"/>
  <c r="DL19"/>
  <c r="CX19"/>
  <c r="CR19"/>
  <c r="CQ19"/>
  <c r="CN19"/>
  <c r="CM19"/>
  <c r="CK19"/>
  <c r="CL19"/>
  <c r="CI19"/>
  <c r="CJ19"/>
  <c r="CG19"/>
  <c r="CH19"/>
  <c r="CT19"/>
  <c r="CF19"/>
  <c r="CP19"/>
  <c r="CE19"/>
  <c r="CO19"/>
  <c r="CD19"/>
  <c r="BJ19"/>
  <c r="BK19"/>
  <c r="AQ19"/>
  <c r="AW19"/>
  <c r="AP19"/>
  <c r="AI19"/>
  <c r="X19"/>
  <c r="W19"/>
  <c r="AJ19"/>
  <c r="V19"/>
  <c r="P19"/>
  <c r="E19"/>
  <c r="D19"/>
  <c r="Q19"/>
  <c r="C19"/>
  <c r="ED18"/>
  <c r="DY18"/>
  <c r="DT18"/>
  <c r="DS18"/>
  <c r="EE18"/>
  <c r="DR18"/>
  <c r="DI18"/>
  <c r="CX18"/>
  <c r="CY18"/>
  <c r="DA18"/>
  <c r="DB18"/>
  <c r="CD18"/>
  <c r="CE18"/>
  <c r="BK18"/>
  <c r="BO18"/>
  <c r="BP18"/>
  <c r="BJ18"/>
  <c r="BD18"/>
  <c r="AZ18"/>
  <c r="AR18"/>
  <c r="AQ18"/>
  <c r="BC18"/>
  <c r="AP18"/>
  <c r="V18"/>
  <c r="W18"/>
  <c r="Y18"/>
  <c r="Z18"/>
  <c r="F18"/>
  <c r="G18"/>
  <c r="C18"/>
  <c r="D18"/>
  <c r="J18"/>
  <c r="DS17"/>
  <c r="EB17"/>
  <c r="DR17"/>
  <c r="DL17"/>
  <c r="DI17"/>
  <c r="DH17"/>
  <c r="DA17"/>
  <c r="DB17"/>
  <c r="CZ17"/>
  <c r="CX17"/>
  <c r="CY17"/>
  <c r="CK17"/>
  <c r="CM17"/>
  <c r="CD17"/>
  <c r="CE17"/>
  <c r="CO17"/>
  <c r="BJ17"/>
  <c r="BK17"/>
  <c r="BE17"/>
  <c r="AZ17"/>
  <c r="AU17"/>
  <c r="AV17"/>
  <c r="AQ17"/>
  <c r="BC17"/>
  <c r="AP17"/>
  <c r="AH17"/>
  <c r="AC17"/>
  <c r="AE17"/>
  <c r="X17"/>
  <c r="V17"/>
  <c r="W17"/>
  <c r="AJ17"/>
  <c r="O17"/>
  <c r="J17"/>
  <c r="K17"/>
  <c r="E17"/>
  <c r="C17"/>
  <c r="D17"/>
  <c r="Q17"/>
  <c r="DS16"/>
  <c r="EE16"/>
  <c r="DR16"/>
  <c r="DM16"/>
  <c r="DL16"/>
  <c r="DJ16"/>
  <c r="DH16"/>
  <c r="DF16"/>
  <c r="DE16"/>
  <c r="DG16"/>
  <c r="DA16"/>
  <c r="DB16"/>
  <c r="CZ16"/>
  <c r="CX16"/>
  <c r="CY16"/>
  <c r="CD16"/>
  <c r="CE16"/>
  <c r="BJ16"/>
  <c r="BK16"/>
  <c r="AQ16"/>
  <c r="BC16"/>
  <c r="AP16"/>
  <c r="AK16"/>
  <c r="AJ16"/>
  <c r="AH16"/>
  <c r="AF16"/>
  <c r="AD16"/>
  <c r="AC16"/>
  <c r="AE16"/>
  <c r="Y16"/>
  <c r="Z16"/>
  <c r="X16"/>
  <c r="V16"/>
  <c r="W16"/>
  <c r="R16"/>
  <c r="Q16"/>
  <c r="O16"/>
  <c r="M16"/>
  <c r="K16"/>
  <c r="J16"/>
  <c r="L16"/>
  <c r="F16"/>
  <c r="E16"/>
  <c r="C16"/>
  <c r="D16"/>
  <c r="EE15"/>
  <c r="DY15"/>
  <c r="DZ15"/>
  <c r="DT15"/>
  <c r="DS15"/>
  <c r="EF15"/>
  <c r="DR15"/>
  <c r="DM15"/>
  <c r="DH15"/>
  <c r="CX15"/>
  <c r="CY15"/>
  <c r="DJ15"/>
  <c r="CD15"/>
  <c r="CE15"/>
  <c r="BK15"/>
  <c r="BW15"/>
  <c r="BJ15"/>
  <c r="BC15"/>
  <c r="AW15"/>
  <c r="AX15"/>
  <c r="AR15"/>
  <c r="AQ15"/>
  <c r="BD15"/>
  <c r="AP15"/>
  <c r="AK15"/>
  <c r="AF15"/>
  <c r="V15"/>
  <c r="W15"/>
  <c r="AH15"/>
  <c r="R15"/>
  <c r="M15"/>
  <c r="C15"/>
  <c r="D15"/>
  <c r="O15"/>
  <c r="EG14"/>
  <c r="EF14"/>
  <c r="EE14"/>
  <c r="EB14"/>
  <c r="EA14"/>
  <c r="DY14"/>
  <c r="DZ14"/>
  <c r="DW14"/>
  <c r="DX14"/>
  <c r="DU14"/>
  <c r="DV14"/>
  <c r="DT14"/>
  <c r="DS14"/>
  <c r="DR14"/>
  <c r="CX14"/>
  <c r="CY14"/>
  <c r="DJ14"/>
  <c r="CE14"/>
  <c r="CQ14"/>
  <c r="CD14"/>
  <c r="BW14"/>
  <c r="BL14"/>
  <c r="BK14"/>
  <c r="BX14"/>
  <c r="BJ14"/>
  <c r="BE14"/>
  <c r="BD14"/>
  <c r="BC14"/>
  <c r="AZ14"/>
  <c r="AY14"/>
  <c r="AW14"/>
  <c r="AX14"/>
  <c r="AU14"/>
  <c r="AV14"/>
  <c r="AS14"/>
  <c r="AT14"/>
  <c r="AR14"/>
  <c r="AQ14"/>
  <c r="AP14"/>
  <c r="V14"/>
  <c r="W14"/>
  <c r="AH14"/>
  <c r="C14"/>
  <c r="D14"/>
  <c r="O14"/>
  <c r="EG13"/>
  <c r="EB13"/>
  <c r="DW13"/>
  <c r="DX13"/>
  <c r="DU13"/>
  <c r="DV13"/>
  <c r="DS13"/>
  <c r="EE13"/>
  <c r="DR13"/>
  <c r="DJ13"/>
  <c r="DE13"/>
  <c r="DG13"/>
  <c r="CZ13"/>
  <c r="CX13"/>
  <c r="CY13"/>
  <c r="DL13"/>
  <c r="CQ13"/>
  <c r="CG13"/>
  <c r="CS13"/>
  <c r="CE13"/>
  <c r="CO13"/>
  <c r="CD13"/>
  <c r="BJ13"/>
  <c r="BK13"/>
  <c r="BE13"/>
  <c r="BD13"/>
  <c r="AZ13"/>
  <c r="AU13"/>
  <c r="AV13"/>
  <c r="AS13"/>
  <c r="AT13"/>
  <c r="AQ13"/>
  <c r="BC13"/>
  <c r="AP13"/>
  <c r="AH13"/>
  <c r="AC13"/>
  <c r="AE13"/>
  <c r="X13"/>
  <c r="V13"/>
  <c r="W13"/>
  <c r="AJ13"/>
  <c r="O13"/>
  <c r="J13"/>
  <c r="L13"/>
  <c r="E13"/>
  <c r="C13"/>
  <c r="D13"/>
  <c r="Q13"/>
  <c r="DS12"/>
  <c r="EE12"/>
  <c r="DR12"/>
  <c r="DM12"/>
  <c r="DL12"/>
  <c r="DJ12"/>
  <c r="DH12"/>
  <c r="DF12"/>
  <c r="DE12"/>
  <c r="DG12"/>
  <c r="DA12"/>
  <c r="DB12"/>
  <c r="CZ12"/>
  <c r="CX12"/>
  <c r="CY12"/>
  <c r="CN12"/>
  <c r="CF12"/>
  <c r="CR12"/>
  <c r="CE12"/>
  <c r="CQ12"/>
  <c r="CD12"/>
  <c r="BJ12"/>
  <c r="BK12"/>
  <c r="AP12"/>
  <c r="AQ12"/>
  <c r="W12"/>
  <c r="AL12"/>
  <c r="V12"/>
  <c r="D12"/>
  <c r="O12"/>
  <c r="C12"/>
  <c r="DR11"/>
  <c r="DS11"/>
  <c r="CY11"/>
  <c r="DN11"/>
  <c r="CX11"/>
  <c r="CN11"/>
  <c r="CF11"/>
  <c r="CR11"/>
  <c r="CE11"/>
  <c r="CQ11"/>
  <c r="CD11"/>
  <c r="BJ11"/>
  <c r="BK11"/>
  <c r="AP11"/>
  <c r="AQ11"/>
  <c r="W11"/>
  <c r="AL11"/>
  <c r="V11"/>
  <c r="D11"/>
  <c r="O11"/>
  <c r="C11"/>
  <c r="DR10"/>
  <c r="DS10"/>
  <c r="CY10"/>
  <c r="DN10"/>
  <c r="CX10"/>
  <c r="CN10"/>
  <c r="CF10"/>
  <c r="CR10"/>
  <c r="CE10"/>
  <c r="CQ10"/>
  <c r="CD10"/>
  <c r="BJ10"/>
  <c r="BK10"/>
  <c r="AP10"/>
  <c r="AQ10"/>
  <c r="W10"/>
  <c r="AL10"/>
  <c r="V10"/>
  <c r="D10"/>
  <c r="O10"/>
  <c r="C10"/>
  <c r="EH6"/>
  <c r="DT25" i="2"/>
  <c r="DU25"/>
  <c r="DV25"/>
  <c r="DA25"/>
  <c r="DB25"/>
  <c r="CH25"/>
  <c r="CV25"/>
  <c r="CG25"/>
  <c r="CF25"/>
  <c r="BL25"/>
  <c r="BM25"/>
  <c r="BN25"/>
  <c r="AT25"/>
  <c r="BH25"/>
  <c r="AS25"/>
  <c r="AR25"/>
  <c r="Y25"/>
  <c r="Z25"/>
  <c r="C25"/>
  <c r="B25"/>
  <c r="D25"/>
  <c r="E25"/>
  <c r="F25"/>
  <c r="F24"/>
  <c r="DU23"/>
  <c r="DV23"/>
  <c r="DA23"/>
  <c r="DB23"/>
  <c r="CH23"/>
  <c r="CV23"/>
  <c r="CG23"/>
  <c r="CB23"/>
  <c r="CA23"/>
  <c r="BX23"/>
  <c r="BW23"/>
  <c r="BT23"/>
  <c r="BU23"/>
  <c r="BP23"/>
  <c r="BQ23"/>
  <c r="BO23"/>
  <c r="BN23"/>
  <c r="CC23"/>
  <c r="BM23"/>
  <c r="AS23"/>
  <c r="AT23"/>
  <c r="Y23"/>
  <c r="Z23"/>
  <c r="F23"/>
  <c r="T23"/>
  <c r="E23"/>
  <c r="D23"/>
  <c r="DV22"/>
  <c r="DU22"/>
  <c r="DP22"/>
  <c r="DO22"/>
  <c r="DL22"/>
  <c r="DK22"/>
  <c r="DH22"/>
  <c r="DI22"/>
  <c r="DD22"/>
  <c r="DE22"/>
  <c r="DC22"/>
  <c r="DB22"/>
  <c r="DQ22"/>
  <c r="DA22"/>
  <c r="CG22"/>
  <c r="CH22"/>
  <c r="CJ22"/>
  <c r="CK22"/>
  <c r="BY22"/>
  <c r="BM22"/>
  <c r="BN22"/>
  <c r="BF22"/>
  <c r="AX22"/>
  <c r="AY22"/>
  <c r="AT22"/>
  <c r="AS22"/>
  <c r="AN22"/>
  <c r="AM22"/>
  <c r="AJ22"/>
  <c r="AI22"/>
  <c r="AF22"/>
  <c r="AG22"/>
  <c r="AB22"/>
  <c r="AC22"/>
  <c r="AA22"/>
  <c r="Z22"/>
  <c r="AO22"/>
  <c r="Y22"/>
  <c r="P22"/>
  <c r="L22"/>
  <c r="H22"/>
  <c r="D22"/>
  <c r="E22"/>
  <c r="F22"/>
  <c r="EF21"/>
  <c r="EB21"/>
  <c r="DX21"/>
  <c r="DY21"/>
  <c r="DU21"/>
  <c r="DV21"/>
  <c r="DA21"/>
  <c r="DB21"/>
  <c r="CH21"/>
  <c r="CL21"/>
  <c r="CM21"/>
  <c r="CG21"/>
  <c r="CB21"/>
  <c r="CA21"/>
  <c r="BX21"/>
  <c r="BW21"/>
  <c r="BT21"/>
  <c r="BU21"/>
  <c r="BP21"/>
  <c r="BQ21"/>
  <c r="BO21"/>
  <c r="BN21"/>
  <c r="CC21"/>
  <c r="BM21"/>
  <c r="AZ21"/>
  <c r="AS21"/>
  <c r="AT21"/>
  <c r="AV21"/>
  <c r="AW21"/>
  <c r="AK21"/>
  <c r="Y21"/>
  <c r="Z21"/>
  <c r="D21"/>
  <c r="E21"/>
  <c r="F21"/>
  <c r="DV20"/>
  <c r="DZ20"/>
  <c r="EA20"/>
  <c r="DU20"/>
  <c r="DA20"/>
  <c r="DB20"/>
  <c r="DC20"/>
  <c r="CR20"/>
  <c r="CJ20"/>
  <c r="CK20"/>
  <c r="CG20"/>
  <c r="CH20"/>
  <c r="CN20"/>
  <c r="BM20"/>
  <c r="BN20"/>
  <c r="BY20"/>
  <c r="AT20"/>
  <c r="AX20"/>
  <c r="AY20"/>
  <c r="AS20"/>
  <c r="Y20"/>
  <c r="Z20"/>
  <c r="AA20"/>
  <c r="P20"/>
  <c r="H20"/>
  <c r="I20"/>
  <c r="D20"/>
  <c r="E20"/>
  <c r="F20"/>
  <c r="L20"/>
  <c r="EF19"/>
  <c r="DX19"/>
  <c r="DY19"/>
  <c r="DU19"/>
  <c r="DV19"/>
  <c r="EB19"/>
  <c r="DA19"/>
  <c r="DB19"/>
  <c r="DM19"/>
  <c r="CH19"/>
  <c r="CL19"/>
  <c r="CM19"/>
  <c r="CG19"/>
  <c r="CB19"/>
  <c r="CA19"/>
  <c r="BX19"/>
  <c r="BW19"/>
  <c r="BT19"/>
  <c r="BU19"/>
  <c r="BP19"/>
  <c r="BQ19"/>
  <c r="BO19"/>
  <c r="BN19"/>
  <c r="CC19"/>
  <c r="BM19"/>
  <c r="AS19"/>
  <c r="AT19"/>
  <c r="AV19"/>
  <c r="AW19"/>
  <c r="AK19"/>
  <c r="Y19"/>
  <c r="Z19"/>
  <c r="D19"/>
  <c r="E19"/>
  <c r="F19"/>
  <c r="EH18"/>
  <c r="DZ18"/>
  <c r="EA18"/>
  <c r="DV18"/>
  <c r="EE18"/>
  <c r="DU18"/>
  <c r="DA18"/>
  <c r="DB18"/>
  <c r="CH18"/>
  <c r="CT18"/>
  <c r="CG18"/>
  <c r="BM18"/>
  <c r="BN18"/>
  <c r="BH18"/>
  <c r="BD18"/>
  <c r="AZ18"/>
  <c r="BA18"/>
  <c r="AV18"/>
  <c r="AW18"/>
  <c r="AT18"/>
  <c r="BI18"/>
  <c r="AS18"/>
  <c r="Y18"/>
  <c r="Z18"/>
  <c r="D18"/>
  <c r="E18"/>
  <c r="F18"/>
  <c r="DV17"/>
  <c r="DZ17"/>
  <c r="EA17"/>
  <c r="DU17"/>
  <c r="DO17"/>
  <c r="DC17"/>
  <c r="DA17"/>
  <c r="DB17"/>
  <c r="CV17"/>
  <c r="CT17"/>
  <c r="CR17"/>
  <c r="CN17"/>
  <c r="CO17"/>
  <c r="CL17"/>
  <c r="CM17"/>
  <c r="CJ17"/>
  <c r="CK17"/>
  <c r="CH17"/>
  <c r="CG17"/>
  <c r="CA17"/>
  <c r="BW17"/>
  <c r="BO17"/>
  <c r="BM17"/>
  <c r="BN17"/>
  <c r="BY17"/>
  <c r="BH17"/>
  <c r="BD17"/>
  <c r="AZ17"/>
  <c r="BA17"/>
  <c r="AV17"/>
  <c r="AW17"/>
  <c r="AT17"/>
  <c r="BF17"/>
  <c r="AS17"/>
  <c r="AM17"/>
  <c r="AK17"/>
  <c r="AI17"/>
  <c r="AA17"/>
  <c r="Y17"/>
  <c r="Z17"/>
  <c r="D17"/>
  <c r="E17"/>
  <c r="F17"/>
  <c r="EJ16"/>
  <c r="EH16"/>
  <c r="EF16"/>
  <c r="EB16"/>
  <c r="EC16"/>
  <c r="DZ16"/>
  <c r="EA16"/>
  <c r="DX16"/>
  <c r="DY16"/>
  <c r="DV16"/>
  <c r="DU16"/>
  <c r="DO16"/>
  <c r="DK16"/>
  <c r="DC16"/>
  <c r="DA16"/>
  <c r="DB16"/>
  <c r="DM16"/>
  <c r="CV16"/>
  <c r="CR16"/>
  <c r="CN16"/>
  <c r="CO16"/>
  <c r="CJ16"/>
  <c r="CK16"/>
  <c r="CH16"/>
  <c r="CT16"/>
  <c r="CG16"/>
  <c r="CA16"/>
  <c r="BY16"/>
  <c r="BW16"/>
  <c r="BO16"/>
  <c r="BM16"/>
  <c r="BN16"/>
  <c r="BH16"/>
  <c r="BF16"/>
  <c r="BD16"/>
  <c r="AZ16"/>
  <c r="BA16"/>
  <c r="AX16"/>
  <c r="AY16"/>
  <c r="AV16"/>
  <c r="AW16"/>
  <c r="AT16"/>
  <c r="AS16"/>
  <c r="AM16"/>
  <c r="AI16"/>
  <c r="AA16"/>
  <c r="Y16"/>
  <c r="Z16"/>
  <c r="AK16"/>
  <c r="D16"/>
  <c r="E16"/>
  <c r="F16"/>
  <c r="EI15"/>
  <c r="DX15"/>
  <c r="DY15"/>
  <c r="DV15"/>
  <c r="EH15"/>
  <c r="DU15"/>
  <c r="DA15"/>
  <c r="DB15"/>
  <c r="DM15"/>
  <c r="CH15"/>
  <c r="CT15"/>
  <c r="CG15"/>
  <c r="BM15"/>
  <c r="BN15"/>
  <c r="BG15"/>
  <c r="AV15"/>
  <c r="AW15"/>
  <c r="AT15"/>
  <c r="BF15"/>
  <c r="AS15"/>
  <c r="Y15"/>
  <c r="Z15"/>
  <c r="AK15"/>
  <c r="D15"/>
  <c r="E15"/>
  <c r="F15"/>
  <c r="DV14"/>
  <c r="EH14"/>
  <c r="DU14"/>
  <c r="DA14"/>
  <c r="DB14"/>
  <c r="CU14"/>
  <c r="CJ14"/>
  <c r="CK14"/>
  <c r="CH14"/>
  <c r="CT14"/>
  <c r="CG14"/>
  <c r="BM14"/>
  <c r="BN14"/>
  <c r="BY14"/>
  <c r="AT14"/>
  <c r="BF14"/>
  <c r="AS14"/>
  <c r="Y14"/>
  <c r="Z14"/>
  <c r="S14"/>
  <c r="H14"/>
  <c r="I14"/>
  <c r="F14"/>
  <c r="Q14"/>
  <c r="D14"/>
  <c r="E14"/>
  <c r="EI13"/>
  <c r="DX13"/>
  <c r="DY13"/>
  <c r="DV13"/>
  <c r="EH13"/>
  <c r="DU13"/>
  <c r="DA13"/>
  <c r="DB13"/>
  <c r="DM13"/>
  <c r="CH13"/>
  <c r="CT13"/>
  <c r="CG13"/>
  <c r="BM13"/>
  <c r="BN13"/>
  <c r="BG13"/>
  <c r="AV13"/>
  <c r="AW13"/>
  <c r="AT13"/>
  <c r="BF13"/>
  <c r="AS13"/>
  <c r="Y13"/>
  <c r="Z13"/>
  <c r="AK13"/>
  <c r="D13"/>
  <c r="E13"/>
  <c r="F13"/>
  <c r="DV12"/>
  <c r="EH12"/>
  <c r="DU12"/>
  <c r="DA12"/>
  <c r="DB12"/>
  <c r="CU12"/>
  <c r="CJ12"/>
  <c r="CK12"/>
  <c r="CH12"/>
  <c r="CT12"/>
  <c r="CG12"/>
  <c r="BM12"/>
  <c r="BN12"/>
  <c r="BY12"/>
  <c r="AT12"/>
  <c r="BF12"/>
  <c r="AS12"/>
  <c r="Y12"/>
  <c r="Z12"/>
  <c r="S12"/>
  <c r="H12"/>
  <c r="I12"/>
  <c r="F12"/>
  <c r="Q12"/>
  <c r="D12"/>
  <c r="E12"/>
  <c r="EI11"/>
  <c r="DX11"/>
  <c r="DV11"/>
  <c r="EH11"/>
  <c r="DU11"/>
  <c r="DB11"/>
  <c r="DM11"/>
  <c r="DA11"/>
  <c r="CG11"/>
  <c r="CH11"/>
  <c r="CB11"/>
  <c r="BX11"/>
  <c r="BT11"/>
  <c r="BU11"/>
  <c r="BP11"/>
  <c r="BQ11"/>
  <c r="BN11"/>
  <c r="CC11"/>
  <c r="BM11"/>
  <c r="AS11"/>
  <c r="AT11"/>
  <c r="Z11"/>
  <c r="AL11"/>
  <c r="Y11"/>
  <c r="E11"/>
  <c r="F11"/>
  <c r="D11"/>
  <c r="DU10"/>
  <c r="DV10"/>
  <c r="DP10"/>
  <c r="DL10"/>
  <c r="DH10"/>
  <c r="DI10"/>
  <c r="DD10"/>
  <c r="DE10"/>
  <c r="DB10"/>
  <c r="DQ10"/>
  <c r="DA10"/>
  <c r="CG10"/>
  <c r="CH10"/>
  <c r="BN10"/>
  <c r="BZ10"/>
  <c r="BM10"/>
  <c r="AS10"/>
  <c r="AT10"/>
  <c r="AN10"/>
  <c r="AJ10"/>
  <c r="AF10"/>
  <c r="AG10"/>
  <c r="AB10"/>
  <c r="AC10"/>
  <c r="Z10"/>
  <c r="AO10"/>
  <c r="Y10"/>
  <c r="E10"/>
  <c r="F10"/>
  <c r="D10"/>
  <c r="EO24" i="1"/>
  <c r="D24"/>
  <c r="DY10"/>
  <c r="DY11"/>
  <c r="DY12"/>
  <c r="DY13"/>
  <c r="DY14"/>
  <c r="DY15"/>
  <c r="DY16"/>
  <c r="DY17"/>
  <c r="DY18"/>
  <c r="DY19"/>
  <c r="DY20"/>
  <c r="DY21"/>
  <c r="DY22"/>
  <c r="DY9"/>
  <c r="DB10"/>
  <c r="DB11"/>
  <c r="DB12"/>
  <c r="DB13"/>
  <c r="DB14"/>
  <c r="DB15"/>
  <c r="DB16"/>
  <c r="DB17"/>
  <c r="DB18"/>
  <c r="DB19"/>
  <c r="DB20"/>
  <c r="DB21"/>
  <c r="DB22"/>
  <c r="DB9"/>
  <c r="DA10"/>
  <c r="DA11"/>
  <c r="DA12"/>
  <c r="DA13"/>
  <c r="DA14"/>
  <c r="DA15"/>
  <c r="DA16"/>
  <c r="DA17"/>
  <c r="DA18"/>
  <c r="DA19"/>
  <c r="DA20"/>
  <c r="DA21"/>
  <c r="DA22"/>
  <c r="DA9"/>
  <c r="DH10"/>
  <c r="DH11"/>
  <c r="DH12"/>
  <c r="DH13"/>
  <c r="DH14"/>
  <c r="DH15"/>
  <c r="DH16"/>
  <c r="DH17"/>
  <c r="DH18"/>
  <c r="DH19"/>
  <c r="DH20"/>
  <c r="DH21"/>
  <c r="DH22"/>
  <c r="DH9"/>
  <c r="DE10"/>
  <c r="DE11"/>
  <c r="DE12"/>
  <c r="DE13"/>
  <c r="DE14"/>
  <c r="DE15"/>
  <c r="DE16"/>
  <c r="DE17"/>
  <c r="DE18"/>
  <c r="DE19"/>
  <c r="DE20"/>
  <c r="DE21"/>
  <c r="DE22"/>
  <c r="DE9"/>
  <c r="EC10"/>
  <c r="EC11"/>
  <c r="EC12"/>
  <c r="EC13"/>
  <c r="EC14"/>
  <c r="EC15"/>
  <c r="EC16"/>
  <c r="EC17"/>
  <c r="EC18"/>
  <c r="EC19"/>
  <c r="EC20"/>
  <c r="EC21"/>
  <c r="EC22"/>
  <c r="ED24"/>
  <c r="EC9"/>
  <c r="DN10"/>
  <c r="DN11"/>
  <c r="DN12"/>
  <c r="DN13"/>
  <c r="DN14"/>
  <c r="DN15"/>
  <c r="DN16"/>
  <c r="DN17"/>
  <c r="DN18"/>
  <c r="DN19"/>
  <c r="DN20"/>
  <c r="DN21"/>
  <c r="DN22"/>
  <c r="DN9"/>
  <c r="DJ10"/>
  <c r="DJ11"/>
  <c r="DJ12"/>
  <c r="DJ13"/>
  <c r="DJ14"/>
  <c r="DJ15"/>
  <c r="DJ16"/>
  <c r="DJ17"/>
  <c r="DJ18"/>
  <c r="DJ19"/>
  <c r="DJ20"/>
  <c r="DJ21"/>
  <c r="DJ22"/>
  <c r="DJ9"/>
  <c r="DT10"/>
  <c r="DT11"/>
  <c r="DT12"/>
  <c r="DT13"/>
  <c r="DT14"/>
  <c r="DT15"/>
  <c r="DT16"/>
  <c r="DT17"/>
  <c r="DT18"/>
  <c r="DT19"/>
  <c r="DT20"/>
  <c r="DT21"/>
  <c r="DT22"/>
  <c r="DT9"/>
  <c r="DW10"/>
  <c r="DW11"/>
  <c r="DW12"/>
  <c r="DW13"/>
  <c r="DW14"/>
  <c r="DW15"/>
  <c r="DW16"/>
  <c r="DW17"/>
  <c r="DW18"/>
  <c r="DW19"/>
  <c r="DW20"/>
  <c r="DW21"/>
  <c r="DW22"/>
  <c r="DW9"/>
  <c r="DZ24"/>
  <c r="CZ10"/>
  <c r="CZ11"/>
  <c r="CZ12"/>
  <c r="CZ13"/>
  <c r="CZ14"/>
  <c r="CZ15"/>
  <c r="CZ16"/>
  <c r="CZ17"/>
  <c r="CZ18"/>
  <c r="CZ19"/>
  <c r="CZ20"/>
  <c r="CZ21"/>
  <c r="CZ22"/>
  <c r="CZ9"/>
  <c r="CW10"/>
  <c r="CW11"/>
  <c r="CW12"/>
  <c r="CW13"/>
  <c r="CW14"/>
  <c r="CW15"/>
  <c r="CW16"/>
  <c r="CW17"/>
  <c r="CW18"/>
  <c r="CW19"/>
  <c r="CW20"/>
  <c r="CW21"/>
  <c r="CW22"/>
  <c r="CW9"/>
  <c r="BI24"/>
  <c r="BJ24"/>
  <c r="BK24"/>
  <c r="BJ22"/>
  <c r="BK22"/>
  <c r="BJ21"/>
  <c r="BK21"/>
  <c r="BJ20"/>
  <c r="BK20"/>
  <c r="BJ19"/>
  <c r="BK19"/>
  <c r="BJ18"/>
  <c r="BK18"/>
  <c r="BJ17"/>
  <c r="BK17"/>
  <c r="BJ16"/>
  <c r="BK16"/>
  <c r="BJ15"/>
  <c r="BK15"/>
  <c r="BJ14"/>
  <c r="BK14"/>
  <c r="BJ13"/>
  <c r="BK13"/>
  <c r="BJ12"/>
  <c r="BK12"/>
  <c r="BJ11"/>
  <c r="BK11"/>
  <c r="BJ10"/>
  <c r="BK10"/>
  <c r="BJ9"/>
  <c r="BK9"/>
  <c r="C9"/>
  <c r="D9"/>
  <c r="V9"/>
  <c r="W9"/>
  <c r="AP9"/>
  <c r="AQ9"/>
  <c r="CD9"/>
  <c r="CE9"/>
  <c r="C10"/>
  <c r="D10"/>
  <c r="V10"/>
  <c r="W10"/>
  <c r="AH10"/>
  <c r="AP10"/>
  <c r="AQ10"/>
  <c r="CD10"/>
  <c r="CE10"/>
  <c r="C11"/>
  <c r="D11"/>
  <c r="V11"/>
  <c r="W11"/>
  <c r="AP11"/>
  <c r="AQ11"/>
  <c r="CD11"/>
  <c r="CE11"/>
  <c r="DC11"/>
  <c r="C12"/>
  <c r="D12"/>
  <c r="V12"/>
  <c r="W12"/>
  <c r="AP12"/>
  <c r="AQ12"/>
  <c r="CD12"/>
  <c r="CE12"/>
  <c r="DC12"/>
  <c r="C13"/>
  <c r="D13"/>
  <c r="V13"/>
  <c r="W13"/>
  <c r="AP13"/>
  <c r="AQ13"/>
  <c r="CD13"/>
  <c r="CE13"/>
  <c r="C14"/>
  <c r="D14"/>
  <c r="V14"/>
  <c r="W14"/>
  <c r="AP14"/>
  <c r="AQ14"/>
  <c r="CD14"/>
  <c r="CE14"/>
  <c r="C15"/>
  <c r="D15"/>
  <c r="V15"/>
  <c r="W15"/>
  <c r="AP15"/>
  <c r="AQ15"/>
  <c r="CD15"/>
  <c r="CE15"/>
  <c r="C16"/>
  <c r="D16"/>
  <c r="V16"/>
  <c r="W16"/>
  <c r="AP16"/>
  <c r="AQ16"/>
  <c r="CD16"/>
  <c r="CE16"/>
  <c r="C17"/>
  <c r="D17"/>
  <c r="V17"/>
  <c r="W17"/>
  <c r="AP17"/>
  <c r="AQ17"/>
  <c r="CD17"/>
  <c r="CE17"/>
  <c r="C18"/>
  <c r="D18"/>
  <c r="V18"/>
  <c r="W18"/>
  <c r="AP18"/>
  <c r="AQ18"/>
  <c r="CD18"/>
  <c r="CE18"/>
  <c r="C19"/>
  <c r="D19"/>
  <c r="V19"/>
  <c r="W19"/>
  <c r="AP19"/>
  <c r="AQ19"/>
  <c r="CD19"/>
  <c r="CE19"/>
  <c r="C20"/>
  <c r="D20"/>
  <c r="V20"/>
  <c r="W20"/>
  <c r="AP20"/>
  <c r="AQ20"/>
  <c r="CD20"/>
  <c r="CE20"/>
  <c r="DC20"/>
  <c r="C21"/>
  <c r="D21"/>
  <c r="V21"/>
  <c r="W21"/>
  <c r="AP21"/>
  <c r="AQ21"/>
  <c r="CD21"/>
  <c r="CE21"/>
  <c r="C22"/>
  <c r="D22"/>
  <c r="V22"/>
  <c r="W22"/>
  <c r="AP22"/>
  <c r="AQ22"/>
  <c r="CD22"/>
  <c r="CE22"/>
  <c r="DU24"/>
  <c r="B24"/>
  <c r="C24"/>
  <c r="U24"/>
  <c r="V24"/>
  <c r="W24"/>
  <c r="AO24"/>
  <c r="AP24"/>
  <c r="AQ24"/>
  <c r="CD24"/>
  <c r="CE24"/>
  <c r="CX24"/>
  <c r="DA24"/>
  <c r="CY24"/>
  <c r="DB24"/>
  <c r="DG24"/>
  <c r="DH24"/>
  <c r="DK24"/>
  <c r="DL24"/>
  <c r="DP24"/>
  <c r="DV24"/>
  <c r="DW24"/>
  <c r="EA24"/>
  <c r="EE24"/>
  <c r="CX27"/>
  <c r="CY27"/>
  <c r="CZ27"/>
  <c r="DA27"/>
  <c r="DB27"/>
  <c r="DE27"/>
  <c r="DF27"/>
  <c r="DG27"/>
  <c r="DH27"/>
  <c r="DI27"/>
  <c r="DI26"/>
  <c r="DJ27"/>
  <c r="DK27"/>
  <c r="DL27"/>
  <c r="DP27"/>
  <c r="DT27"/>
  <c r="DU27"/>
  <c r="DV27"/>
  <c r="DV26"/>
  <c r="DW27"/>
  <c r="DX27"/>
  <c r="DX26"/>
  <c r="DY27"/>
  <c r="DZ27"/>
  <c r="DZ26"/>
  <c r="EA27"/>
  <c r="EA26"/>
  <c r="EC27"/>
  <c r="ED27"/>
  <c r="EE27"/>
  <c r="EE26"/>
  <c r="CY26"/>
  <c r="DC22"/>
  <c r="DC21"/>
  <c r="DC19"/>
  <c r="DC17"/>
  <c r="DC16"/>
  <c r="DC14"/>
  <c r="DC13"/>
  <c r="CX26"/>
  <c r="DC10"/>
  <c r="DU26"/>
  <c r="DC9"/>
  <c r="DC18"/>
  <c r="DC15"/>
  <c r="EC24"/>
  <c r="DJ24"/>
  <c r="DJ26"/>
  <c r="DG26"/>
  <c r="AI10"/>
  <c r="Y10"/>
  <c r="Z10"/>
  <c r="DP26"/>
  <c r="CW24"/>
  <c r="DF24"/>
  <c r="DT24"/>
  <c r="DT26"/>
  <c r="BB20"/>
  <c r="AU20"/>
  <c r="AV20"/>
  <c r="AW20"/>
  <c r="BF20"/>
  <c r="BD20"/>
  <c r="BE20"/>
  <c r="M20"/>
  <c r="Q20"/>
  <c r="BD18"/>
  <c r="AU18"/>
  <c r="AV18"/>
  <c r="BC18"/>
  <c r="AZ18"/>
  <c r="BA18"/>
  <c r="BE18"/>
  <c r="E18"/>
  <c r="I18"/>
  <c r="O18"/>
  <c r="G18"/>
  <c r="M18"/>
  <c r="Q18"/>
  <c r="BD15"/>
  <c r="AZ15"/>
  <c r="BB15"/>
  <c r="E15"/>
  <c r="I15"/>
  <c r="O15"/>
  <c r="L15"/>
  <c r="P15"/>
  <c r="G15"/>
  <c r="M15"/>
  <c r="Q15"/>
  <c r="N15"/>
  <c r="R15"/>
  <c r="BD13"/>
  <c r="AZ13"/>
  <c r="N13"/>
  <c r="R13"/>
  <c r="G13"/>
  <c r="M13"/>
  <c r="Q13"/>
  <c r="L13"/>
  <c r="P13"/>
  <c r="E13"/>
  <c r="I13"/>
  <c r="O13"/>
  <c r="CO12"/>
  <c r="CN12"/>
  <c r="CR12"/>
  <c r="CI12"/>
  <c r="CQ12"/>
  <c r="CP12"/>
  <c r="CT12"/>
  <c r="CG10"/>
  <c r="CK10"/>
  <c r="CQ10"/>
  <c r="CF10"/>
  <c r="CR9"/>
  <c r="CN9"/>
  <c r="Y9"/>
  <c r="Z9"/>
  <c r="AA9"/>
  <c r="AB9"/>
  <c r="AC9"/>
  <c r="AK9"/>
  <c r="AJ9"/>
  <c r="BL9"/>
  <c r="BU11"/>
  <c r="BY11"/>
  <c r="BT11"/>
  <c r="BX11"/>
  <c r="BW11"/>
  <c r="BL11"/>
  <c r="BV11"/>
  <c r="BL13"/>
  <c r="BU13"/>
  <c r="BT13"/>
  <c r="BL15"/>
  <c r="BU15"/>
  <c r="BY15"/>
  <c r="BT15"/>
  <c r="BW15"/>
  <c r="BT17"/>
  <c r="BX17"/>
  <c r="BL17"/>
  <c r="BU17"/>
  <c r="BY17"/>
  <c r="BY19"/>
  <c r="BV21"/>
  <c r="BU21"/>
  <c r="BY21"/>
  <c r="BT21"/>
  <c r="BX21"/>
  <c r="BW21"/>
  <c r="X24"/>
  <c r="AH24"/>
  <c r="AL24"/>
  <c r="AA24"/>
  <c r="AG24"/>
  <c r="AK24"/>
  <c r="AF24"/>
  <c r="AJ24"/>
  <c r="Y24"/>
  <c r="AC24"/>
  <c r="AI24"/>
  <c r="AJ22"/>
  <c r="AF22"/>
  <c r="AL22"/>
  <c r="AH22"/>
  <c r="AJ20"/>
  <c r="AF20"/>
  <c r="AL20"/>
  <c r="AH20"/>
  <c r="CR18"/>
  <c r="CG18"/>
  <c r="CH18"/>
  <c r="CI18"/>
  <c r="CJ18"/>
  <c r="CK18"/>
  <c r="CQ18"/>
  <c r="CN18"/>
  <c r="CO18"/>
  <c r="CS18"/>
  <c r="AK18"/>
  <c r="AC18"/>
  <c r="X18"/>
  <c r="AH18"/>
  <c r="AL18"/>
  <c r="AG18"/>
  <c r="AF18"/>
  <c r="AJ18"/>
  <c r="CN16"/>
  <c r="CR16"/>
  <c r="CG16"/>
  <c r="CI16"/>
  <c r="CK16"/>
  <c r="CQ16"/>
  <c r="CF16"/>
  <c r="CP16"/>
  <c r="CT16"/>
  <c r="CO16"/>
  <c r="CS16"/>
  <c r="CT15"/>
  <c r="CP15"/>
  <c r="CR15"/>
  <c r="CN15"/>
  <c r="AF15"/>
  <c r="AJ15"/>
  <c r="Y15"/>
  <c r="AC15"/>
  <c r="AI15"/>
  <c r="X15"/>
  <c r="AH15"/>
  <c r="AL15"/>
  <c r="AA15"/>
  <c r="AG15"/>
  <c r="AK15"/>
  <c r="CT13"/>
  <c r="CP13"/>
  <c r="Y13"/>
  <c r="Z13"/>
  <c r="AA13"/>
  <c r="AB13"/>
  <c r="AC13"/>
  <c r="AI13"/>
  <c r="X13"/>
  <c r="AH13"/>
  <c r="AL13"/>
  <c r="AG13"/>
  <c r="AK13"/>
  <c r="AF13"/>
  <c r="AJ13"/>
  <c r="N9"/>
  <c r="R9"/>
  <c r="G9"/>
  <c r="H9"/>
  <c r="M9"/>
  <c r="Q9"/>
  <c r="L9"/>
  <c r="P9"/>
  <c r="E9"/>
  <c r="I9"/>
  <c r="K9"/>
  <c r="O9"/>
  <c r="BV14"/>
  <c r="BX14"/>
  <c r="BT14"/>
  <c r="BX16"/>
  <c r="BT16"/>
  <c r="BV16"/>
  <c r="BY18"/>
  <c r="BL18"/>
  <c r="BV18"/>
  <c r="BU18"/>
  <c r="BT18"/>
  <c r="BX18"/>
  <c r="BV20"/>
  <c r="BT20"/>
  <c r="BX20"/>
  <c r="BX22"/>
  <c r="BT22"/>
  <c r="BV22"/>
  <c r="CZ24"/>
  <c r="CZ26"/>
  <c r="DK26"/>
  <c r="DF26"/>
  <c r="DE24"/>
  <c r="DE26"/>
  <c r="J9"/>
  <c r="AB15"/>
  <c r="Z15"/>
  <c r="CJ16"/>
  <c r="AE18"/>
  <c r="AD18"/>
  <c r="CL18"/>
  <c r="CM18"/>
  <c r="Z24"/>
  <c r="CM10"/>
  <c r="CL10"/>
  <c r="J13"/>
  <c r="K13"/>
  <c r="H13"/>
  <c r="EW15"/>
  <c r="F15"/>
  <c r="H18"/>
  <c r="K18"/>
  <c r="J18"/>
  <c r="F9"/>
  <c r="AE13"/>
  <c r="AD13"/>
  <c r="AD15"/>
  <c r="AE15"/>
  <c r="CM16"/>
  <c r="CL16"/>
  <c r="CH16"/>
  <c r="AD24"/>
  <c r="AE24"/>
  <c r="AB24"/>
  <c r="AE9"/>
  <c r="AD9"/>
  <c r="CH10"/>
  <c r="CJ12"/>
  <c r="F13"/>
  <c r="H15"/>
  <c r="EV15"/>
  <c r="K15"/>
  <c r="J15"/>
  <c r="F18"/>
  <c r="AY20"/>
  <c r="AX20"/>
  <c r="DN27"/>
  <c r="DO27"/>
  <c r="EX15"/>
  <c r="DO24"/>
  <c r="DN24"/>
  <c r="EC26"/>
  <c r="ED26"/>
  <c r="DL26"/>
  <c r="DC27"/>
  <c r="BX24"/>
  <c r="BL24"/>
  <c r="BU24"/>
  <c r="BT24"/>
  <c r="BW24"/>
  <c r="BV24"/>
  <c r="BY24"/>
  <c r="AR24"/>
  <c r="AS24"/>
  <c r="AT24"/>
  <c r="BC24"/>
  <c r="AZ24"/>
  <c r="AU24"/>
  <c r="AV24"/>
  <c r="BE24"/>
  <c r="BB24"/>
  <c r="AW24"/>
  <c r="BF24"/>
  <c r="BD24"/>
  <c r="BA24"/>
  <c r="DN26"/>
  <c r="DW26"/>
  <c r="AR20"/>
  <c r="AS20"/>
  <c r="AT20"/>
  <c r="BC20"/>
  <c r="AZ20"/>
  <c r="BA20"/>
  <c r="P20"/>
  <c r="N20"/>
  <c r="L20"/>
  <c r="E20"/>
  <c r="F20"/>
  <c r="R20"/>
  <c r="O20"/>
  <c r="G20"/>
  <c r="H20"/>
  <c r="I20"/>
  <c r="AZ19"/>
  <c r="AS19"/>
  <c r="AT19"/>
  <c r="AU19"/>
  <c r="AV19"/>
  <c r="BC19"/>
  <c r="AW19"/>
  <c r="BB19"/>
  <c r="BA19"/>
  <c r="BD19"/>
  <c r="BE19"/>
  <c r="AR19"/>
  <c r="BF19"/>
  <c r="Q19"/>
  <c r="N19"/>
  <c r="G19"/>
  <c r="H19"/>
  <c r="L19"/>
  <c r="E19"/>
  <c r="F19"/>
  <c r="I19"/>
  <c r="R19"/>
  <c r="M19"/>
  <c r="P19"/>
  <c r="O19"/>
  <c r="AR18"/>
  <c r="BB18"/>
  <c r="BF18"/>
  <c r="AS18"/>
  <c r="AT18"/>
  <c r="AW18"/>
  <c r="R18"/>
  <c r="P18"/>
  <c r="N18"/>
  <c r="L18"/>
  <c r="EV18"/>
  <c r="BB17"/>
  <c r="AW17"/>
  <c r="BE17"/>
  <c r="AZ17"/>
  <c r="AU17"/>
  <c r="AV17"/>
  <c r="BA17"/>
  <c r="AS17"/>
  <c r="AT17"/>
  <c r="AR17"/>
  <c r="BD17"/>
  <c r="BF17"/>
  <c r="BC17"/>
  <c r="I17"/>
  <c r="L17"/>
  <c r="G17"/>
  <c r="H17"/>
  <c r="Q17"/>
  <c r="R17"/>
  <c r="E17"/>
  <c r="F17"/>
  <c r="O17"/>
  <c r="P17"/>
  <c r="M17"/>
  <c r="N17"/>
  <c r="AR16"/>
  <c r="AS16"/>
  <c r="AT16"/>
  <c r="AW16"/>
  <c r="AZ16"/>
  <c r="AU16"/>
  <c r="AV16"/>
  <c r="BA16"/>
  <c r="BF16"/>
  <c r="BB16"/>
  <c r="BC16"/>
  <c r="BD16"/>
  <c r="BE16"/>
  <c r="O16"/>
  <c r="N16"/>
  <c r="Q16"/>
  <c r="G16"/>
  <c r="H16"/>
  <c r="E16"/>
  <c r="F16"/>
  <c r="R16"/>
  <c r="I16"/>
  <c r="L16"/>
  <c r="M16"/>
  <c r="P16"/>
  <c r="AR15"/>
  <c r="BE15"/>
  <c r="AU15"/>
  <c r="AV15"/>
  <c r="BC15"/>
  <c r="BF15"/>
  <c r="BA15"/>
  <c r="AS15"/>
  <c r="AT15"/>
  <c r="AW15"/>
  <c r="BE14"/>
  <c r="AS14"/>
  <c r="AT14"/>
  <c r="AW14"/>
  <c r="BF14"/>
  <c r="AU14"/>
  <c r="AV14"/>
  <c r="BA14"/>
  <c r="BB14"/>
  <c r="AZ14"/>
  <c r="AR14"/>
  <c r="BC14"/>
  <c r="BD14"/>
  <c r="M14"/>
  <c r="N14"/>
  <c r="E14"/>
  <c r="F14"/>
  <c r="O14"/>
  <c r="P14"/>
  <c r="G14"/>
  <c r="H14"/>
  <c r="Q14"/>
  <c r="L14"/>
  <c r="I14"/>
  <c r="R14"/>
  <c r="AS13"/>
  <c r="AT13"/>
  <c r="AW13"/>
  <c r="AR13"/>
  <c r="BE13"/>
  <c r="BB13"/>
  <c r="EW13"/>
  <c r="BF13"/>
  <c r="AU13"/>
  <c r="AV13"/>
  <c r="BC13"/>
  <c r="BA13"/>
  <c r="AZ11"/>
  <c r="BE11"/>
  <c r="BB11"/>
  <c r="BA11"/>
  <c r="AW11"/>
  <c r="BD11"/>
  <c r="AR11"/>
  <c r="AU11"/>
  <c r="AV11"/>
  <c r="BC11"/>
  <c r="BF11"/>
  <c r="AS11"/>
  <c r="AT11"/>
  <c r="R11"/>
  <c r="M11"/>
  <c r="L11"/>
  <c r="E11"/>
  <c r="I11"/>
  <c r="N11"/>
  <c r="G11"/>
  <c r="Q11"/>
  <c r="P11"/>
  <c r="O11"/>
  <c r="BA10"/>
  <c r="AZ10"/>
  <c r="AS10"/>
  <c r="BC10"/>
  <c r="BB10"/>
  <c r="BF10"/>
  <c r="AU10"/>
  <c r="BE10"/>
  <c r="BD10"/>
  <c r="AW10"/>
  <c r="AR10"/>
  <c r="I10"/>
  <c r="E10"/>
  <c r="R10"/>
  <c r="Q10"/>
  <c r="G10"/>
  <c r="N10"/>
  <c r="O10"/>
  <c r="O27"/>
  <c r="P10"/>
  <c r="M10"/>
  <c r="L10"/>
  <c r="BV10"/>
  <c r="BX10"/>
  <c r="BZ10"/>
  <c r="BL10"/>
  <c r="BQ10"/>
  <c r="BM10"/>
  <c r="BN10"/>
  <c r="BY10"/>
  <c r="BT10"/>
  <c r="BO10"/>
  <c r="BP10"/>
  <c r="BW10"/>
  <c r="BU10"/>
  <c r="DO26"/>
  <c r="AC10"/>
  <c r="CR20"/>
  <c r="CQ20"/>
  <c r="CP20"/>
  <c r="CI20"/>
  <c r="CJ20"/>
  <c r="CS20"/>
  <c r="CN20"/>
  <c r="CG20"/>
  <c r="CH20"/>
  <c r="CK20"/>
  <c r="CF20"/>
  <c r="CT20"/>
  <c r="CO20"/>
  <c r="AC20"/>
  <c r="AK20"/>
  <c r="AI20"/>
  <c r="Y20"/>
  <c r="Z20"/>
  <c r="AA20"/>
  <c r="AB20"/>
  <c r="AG20"/>
  <c r="X20"/>
  <c r="CR19"/>
  <c r="CG19"/>
  <c r="CH19"/>
  <c r="CQ19"/>
  <c r="CO19"/>
  <c r="CP19"/>
  <c r="CF19"/>
  <c r="CN19"/>
  <c r="CI19"/>
  <c r="CJ19"/>
  <c r="CT19"/>
  <c r="CK19"/>
  <c r="CS19"/>
  <c r="AJ19"/>
  <c r="AK19"/>
  <c r="X19"/>
  <c r="Y19"/>
  <c r="Z19"/>
  <c r="AC19"/>
  <c r="AL19"/>
  <c r="AG19"/>
  <c r="AH19"/>
  <c r="AF19"/>
  <c r="AA19"/>
  <c r="AB19"/>
  <c r="AI19"/>
  <c r="CT18"/>
  <c r="CF18"/>
  <c r="CP18"/>
  <c r="Y18"/>
  <c r="Z18"/>
  <c r="AI18"/>
  <c r="AA18"/>
  <c r="AB18"/>
  <c r="CN17"/>
  <c r="CI17"/>
  <c r="CJ17"/>
  <c r="CT17"/>
  <c r="CG17"/>
  <c r="CH17"/>
  <c r="CK17"/>
  <c r="CO17"/>
  <c r="CR17"/>
  <c r="CQ17"/>
  <c r="CS17"/>
  <c r="CP17"/>
  <c r="CF17"/>
  <c r="AJ17"/>
  <c r="AC17"/>
  <c r="X17"/>
  <c r="AL17"/>
  <c r="AK17"/>
  <c r="AF17"/>
  <c r="Y17"/>
  <c r="Z17"/>
  <c r="AI17"/>
  <c r="AH17"/>
  <c r="AA17"/>
  <c r="AB17"/>
  <c r="AG17"/>
  <c r="EW17"/>
  <c r="AJ16"/>
  <c r="AG16"/>
  <c r="AC16"/>
  <c r="AH16"/>
  <c r="AK16"/>
  <c r="AF16"/>
  <c r="EV16"/>
  <c r="Y16"/>
  <c r="Z16"/>
  <c r="AL16"/>
  <c r="X16"/>
  <c r="AA16"/>
  <c r="AB16"/>
  <c r="AI16"/>
  <c r="CO15"/>
  <c r="CG15"/>
  <c r="CH15"/>
  <c r="CK15"/>
  <c r="CQ15"/>
  <c r="CF15"/>
  <c r="CS15"/>
  <c r="CI15"/>
  <c r="CJ15"/>
  <c r="CF14"/>
  <c r="CT14"/>
  <c r="CS14"/>
  <c r="CR14"/>
  <c r="CQ14"/>
  <c r="CQ27"/>
  <c r="CP14"/>
  <c r="CI14"/>
  <c r="CJ14"/>
  <c r="CO14"/>
  <c r="CN14"/>
  <c r="CG14"/>
  <c r="CK14"/>
  <c r="X14"/>
  <c r="AL14"/>
  <c r="AC14"/>
  <c r="AJ14"/>
  <c r="AI14"/>
  <c r="AG14"/>
  <c r="AH14"/>
  <c r="AH27"/>
  <c r="AH26"/>
  <c r="AA14"/>
  <c r="AB14"/>
  <c r="AK14"/>
  <c r="AF14"/>
  <c r="Y14"/>
  <c r="CN13"/>
  <c r="EV13"/>
  <c r="CI13"/>
  <c r="CJ13"/>
  <c r="CQ13"/>
  <c r="CO13"/>
  <c r="CR13"/>
  <c r="CG13"/>
  <c r="CH13"/>
  <c r="CK13"/>
  <c r="CF13"/>
  <c r="CS13"/>
  <c r="CP11"/>
  <c r="CO11"/>
  <c r="CQ11"/>
  <c r="CN11"/>
  <c r="CK11"/>
  <c r="CT11"/>
  <c r="CF11"/>
  <c r="CG11"/>
  <c r="CH11"/>
  <c r="CR11"/>
  <c r="CI11"/>
  <c r="CJ11"/>
  <c r="CS11"/>
  <c r="AK11"/>
  <c r="AJ11"/>
  <c r="AI11"/>
  <c r="AH11"/>
  <c r="AA11"/>
  <c r="AB11"/>
  <c r="AG11"/>
  <c r="EW11"/>
  <c r="AF11"/>
  <c r="Y11"/>
  <c r="Z11"/>
  <c r="AC11"/>
  <c r="X11"/>
  <c r="AL11"/>
  <c r="CS10"/>
  <c r="CP10"/>
  <c r="CT10"/>
  <c r="CT27"/>
  <c r="CI10"/>
  <c r="CO10"/>
  <c r="CO27"/>
  <c r="CN10"/>
  <c r="CN27"/>
  <c r="CR10"/>
  <c r="CR27"/>
  <c r="AF10"/>
  <c r="AK10"/>
  <c r="AK27"/>
  <c r="AK26"/>
  <c r="AJ10"/>
  <c r="AJ27"/>
  <c r="AJ26"/>
  <c r="X10"/>
  <c r="AA10"/>
  <c r="AL10"/>
  <c r="AG10"/>
  <c r="AG27"/>
  <c r="AG26"/>
  <c r="CT9"/>
  <c r="CO9"/>
  <c r="CG9"/>
  <c r="CH9"/>
  <c r="CI9"/>
  <c r="CJ9"/>
  <c r="CK9"/>
  <c r="CP9"/>
  <c r="CF9"/>
  <c r="CS9"/>
  <c r="CQ9"/>
  <c r="BQ11"/>
  <c r="BO11"/>
  <c r="BP11"/>
  <c r="BM11"/>
  <c r="BN11"/>
  <c r="BZ11"/>
  <c r="EV17"/>
  <c r="DB26"/>
  <c r="DH26"/>
  <c r="DY24"/>
  <c r="DY26"/>
  <c r="CP24"/>
  <c r="CO24"/>
  <c r="CN24"/>
  <c r="CF24"/>
  <c r="CT24"/>
  <c r="CI24"/>
  <c r="CQ24"/>
  <c r="CQ26"/>
  <c r="CR24"/>
  <c r="CG24"/>
  <c r="CK24"/>
  <c r="CS24"/>
  <c r="N24"/>
  <c r="G24"/>
  <c r="Q24"/>
  <c r="P24"/>
  <c r="I24"/>
  <c r="R24"/>
  <c r="M24"/>
  <c r="L24"/>
  <c r="E24"/>
  <c r="O24"/>
  <c r="O26"/>
  <c r="AR22"/>
  <c r="AU22"/>
  <c r="AV22"/>
  <c r="AW22"/>
  <c r="BF22"/>
  <c r="BD22"/>
  <c r="BE22"/>
  <c r="BB22"/>
  <c r="AS22"/>
  <c r="AT22"/>
  <c r="BC22"/>
  <c r="AZ22"/>
  <c r="BA22"/>
  <c r="P22"/>
  <c r="N22"/>
  <c r="M22"/>
  <c r="Q22"/>
  <c r="L22"/>
  <c r="E22"/>
  <c r="R22"/>
  <c r="O22"/>
  <c r="I22"/>
  <c r="G22"/>
  <c r="BB21"/>
  <c r="AR21"/>
  <c r="AZ21"/>
  <c r="AU21"/>
  <c r="AV21"/>
  <c r="BC21"/>
  <c r="BE21"/>
  <c r="AS21"/>
  <c r="AT21"/>
  <c r="AW21"/>
  <c r="BD21"/>
  <c r="BF21"/>
  <c r="BA21"/>
  <c r="I21"/>
  <c r="L21"/>
  <c r="G21"/>
  <c r="Q21"/>
  <c r="R21"/>
  <c r="E21"/>
  <c r="O21"/>
  <c r="P21"/>
  <c r="M21"/>
  <c r="N21"/>
  <c r="BF12"/>
  <c r="BE12"/>
  <c r="BD12"/>
  <c r="BC12"/>
  <c r="BB12"/>
  <c r="BA12"/>
  <c r="AZ12"/>
  <c r="AS12"/>
  <c r="AT12"/>
  <c r="AU12"/>
  <c r="AV12"/>
  <c r="AW12"/>
  <c r="AR12"/>
  <c r="M12"/>
  <c r="E12"/>
  <c r="R12"/>
  <c r="O12"/>
  <c r="L12"/>
  <c r="Q12"/>
  <c r="I12"/>
  <c r="P12"/>
  <c r="G12"/>
  <c r="N12"/>
  <c r="AZ9"/>
  <c r="AW9"/>
  <c r="AU9"/>
  <c r="AS9"/>
  <c r="AR9"/>
  <c r="BF9"/>
  <c r="BB9"/>
  <c r="BD9"/>
  <c r="BC9"/>
  <c r="BE9"/>
  <c r="BA9"/>
  <c r="BT12"/>
  <c r="BO12"/>
  <c r="BP12"/>
  <c r="BL12"/>
  <c r="BQ12"/>
  <c r="BM12"/>
  <c r="BN12"/>
  <c r="BU12"/>
  <c r="BV12"/>
  <c r="BX12"/>
  <c r="BZ12"/>
  <c r="BW12"/>
  <c r="BY12"/>
  <c r="BZ14"/>
  <c r="BY14"/>
  <c r="BW14"/>
  <c r="BO14"/>
  <c r="BU14"/>
  <c r="BQ14"/>
  <c r="BM14"/>
  <c r="BL14"/>
  <c r="BO16"/>
  <c r="BL16"/>
  <c r="BY16"/>
  <c r="BZ16"/>
  <c r="EY16"/>
  <c r="BU16"/>
  <c r="EW16"/>
  <c r="BQ16"/>
  <c r="BM16"/>
  <c r="BW16"/>
  <c r="EX16"/>
  <c r="BZ18"/>
  <c r="EY18"/>
  <c r="BQ18"/>
  <c r="BM18"/>
  <c r="BO18"/>
  <c r="BW18"/>
  <c r="EX18"/>
  <c r="BU20"/>
  <c r="BZ20"/>
  <c r="EY20"/>
  <c r="BQ20"/>
  <c r="BM20"/>
  <c r="BW20"/>
  <c r="EX20"/>
  <c r="BY20"/>
  <c r="BO20"/>
  <c r="BL20"/>
  <c r="BO22"/>
  <c r="BP22"/>
  <c r="BU22"/>
  <c r="BQ22"/>
  <c r="BM22"/>
  <c r="BN22"/>
  <c r="BL22"/>
  <c r="BZ22"/>
  <c r="BY22"/>
  <c r="BW22"/>
  <c r="DC24"/>
  <c r="DC26"/>
  <c r="DA26"/>
  <c r="CP22"/>
  <c r="CI22"/>
  <c r="CJ22"/>
  <c r="CO22"/>
  <c r="CN22"/>
  <c r="CG22"/>
  <c r="CH22"/>
  <c r="CK22"/>
  <c r="CF22"/>
  <c r="CT22"/>
  <c r="CS22"/>
  <c r="CR22"/>
  <c r="CQ22"/>
  <c r="AC22"/>
  <c r="X22"/>
  <c r="AK22"/>
  <c r="Y22"/>
  <c r="Z22"/>
  <c r="AA22"/>
  <c r="AB22"/>
  <c r="AI22"/>
  <c r="AG22"/>
  <c r="CR21"/>
  <c r="CQ21"/>
  <c r="CT21"/>
  <c r="CG21"/>
  <c r="CH21"/>
  <c r="CI21"/>
  <c r="CJ21"/>
  <c r="CK21"/>
  <c r="CS21"/>
  <c r="CN21"/>
  <c r="CO21"/>
  <c r="CP21"/>
  <c r="CF21"/>
  <c r="AJ21"/>
  <c r="AI21"/>
  <c r="AH21"/>
  <c r="AA21"/>
  <c r="AB21"/>
  <c r="AG21"/>
  <c r="AF21"/>
  <c r="Y21"/>
  <c r="Z21"/>
  <c r="AC21"/>
  <c r="X21"/>
  <c r="AL21"/>
  <c r="AK21"/>
  <c r="CS12"/>
  <c r="CG12"/>
  <c r="CH12"/>
  <c r="CK12"/>
  <c r="CF12"/>
  <c r="AH12"/>
  <c r="AK12"/>
  <c r="AJ12"/>
  <c r="AG12"/>
  <c r="AL12"/>
  <c r="X12"/>
  <c r="AA12"/>
  <c r="AB12"/>
  <c r="AI12"/>
  <c r="AF12"/>
  <c r="Y12"/>
  <c r="Z12"/>
  <c r="AC12"/>
  <c r="AI9"/>
  <c r="AH9"/>
  <c r="AG9"/>
  <c r="AF9"/>
  <c r="X9"/>
  <c r="AL9"/>
  <c r="BU9"/>
  <c r="BT9"/>
  <c r="BZ9"/>
  <c r="BQ9"/>
  <c r="BW9"/>
  <c r="BV9"/>
  <c r="BY9"/>
  <c r="BX9"/>
  <c r="BO9"/>
  <c r="BP9"/>
  <c r="BM9"/>
  <c r="BN9"/>
  <c r="BM13"/>
  <c r="BZ13"/>
  <c r="EY13"/>
  <c r="BW13"/>
  <c r="EX13"/>
  <c r="BV13"/>
  <c r="BY13"/>
  <c r="BX13"/>
  <c r="BQ13"/>
  <c r="BO13"/>
  <c r="BM15"/>
  <c r="BZ15"/>
  <c r="EY15"/>
  <c r="BV15"/>
  <c r="BV27"/>
  <c r="BV26"/>
  <c r="BX15"/>
  <c r="BX27"/>
  <c r="BX26"/>
  <c r="BQ15"/>
  <c r="BO15"/>
  <c r="BM17"/>
  <c r="BZ17"/>
  <c r="EY17"/>
  <c r="BW17"/>
  <c r="EX17"/>
  <c r="BV17"/>
  <c r="BQ17"/>
  <c r="BO17"/>
  <c r="BM19"/>
  <c r="BL19"/>
  <c r="BO19"/>
  <c r="BV19"/>
  <c r="BW19"/>
  <c r="EX19"/>
  <c r="BT19"/>
  <c r="EV19"/>
  <c r="BU19"/>
  <c r="EW19"/>
  <c r="BX19"/>
  <c r="BQ19"/>
  <c r="BZ19"/>
  <c r="EY19"/>
  <c r="BM21"/>
  <c r="BN21"/>
  <c r="BZ21"/>
  <c r="BL21"/>
  <c r="BQ21"/>
  <c r="BO21"/>
  <c r="BP21"/>
  <c r="BQ24"/>
  <c r="BZ24"/>
  <c r="BM24"/>
  <c r="BO24"/>
  <c r="BT27"/>
  <c r="BT26"/>
  <c r="EW20"/>
  <c r="AI27"/>
  <c r="AI26"/>
  <c r="Q27"/>
  <c r="BA27"/>
  <c r="BA26"/>
  <c r="Q26"/>
  <c r="CT26"/>
  <c r="AF27"/>
  <c r="AF26"/>
  <c r="EY9"/>
  <c r="CP27"/>
  <c r="M27"/>
  <c r="M26"/>
  <c r="BE27"/>
  <c r="BE26"/>
  <c r="BF27"/>
  <c r="BF26"/>
  <c r="AY24"/>
  <c r="AX24"/>
  <c r="BD27"/>
  <c r="BD26"/>
  <c r="BB27"/>
  <c r="BB26"/>
  <c r="CL9"/>
  <c r="CM9"/>
  <c r="CL11"/>
  <c r="CM11"/>
  <c r="Z14"/>
  <c r="Z27"/>
  <c r="Z26"/>
  <c r="Y27"/>
  <c r="Y26"/>
  <c r="AD14"/>
  <c r="AE14"/>
  <c r="CH14"/>
  <c r="CH27"/>
  <c r="CG27"/>
  <c r="CL15"/>
  <c r="CM15"/>
  <c r="AE19"/>
  <c r="AD19"/>
  <c r="CM19"/>
  <c r="CL19"/>
  <c r="AD20"/>
  <c r="AE20"/>
  <c r="CL20"/>
  <c r="CM20"/>
  <c r="AE10"/>
  <c r="AC27"/>
  <c r="AC26"/>
  <c r="AD10"/>
  <c r="BR10"/>
  <c r="BS10"/>
  <c r="H10"/>
  <c r="EQ10"/>
  <c r="G27"/>
  <c r="EY10"/>
  <c r="R27"/>
  <c r="J10"/>
  <c r="I27"/>
  <c r="K10"/>
  <c r="ES10"/>
  <c r="AY10"/>
  <c r="AX10"/>
  <c r="AW27"/>
  <c r="AW26"/>
  <c r="F11"/>
  <c r="EP11"/>
  <c r="EO11"/>
  <c r="AX11"/>
  <c r="AY11"/>
  <c r="AY13"/>
  <c r="AX13"/>
  <c r="AX14"/>
  <c r="AY14"/>
  <c r="K16"/>
  <c r="J16"/>
  <c r="J19"/>
  <c r="K19"/>
  <c r="AX19"/>
  <c r="AY19"/>
  <c r="EX9"/>
  <c r="CN26"/>
  <c r="CP26"/>
  <c r="AL27"/>
  <c r="AL26"/>
  <c r="CS27"/>
  <c r="CS26"/>
  <c r="BC27"/>
  <c r="BC26"/>
  <c r="AZ27"/>
  <c r="AZ26"/>
  <c r="EV14"/>
  <c r="EW18"/>
  <c r="EV20"/>
  <c r="BR11"/>
  <c r="BS11"/>
  <c r="AB10"/>
  <c r="AB27"/>
  <c r="AB26"/>
  <c r="AA27"/>
  <c r="AA26"/>
  <c r="CJ10"/>
  <c r="CJ27"/>
  <c r="CI27"/>
  <c r="AD11"/>
  <c r="AE11"/>
  <c r="CL13"/>
  <c r="CM13"/>
  <c r="CL14"/>
  <c r="CL27"/>
  <c r="CM14"/>
  <c r="CK27"/>
  <c r="AD16"/>
  <c r="AE16"/>
  <c r="AD17"/>
  <c r="AE17"/>
  <c r="CL17"/>
  <c r="CM17"/>
  <c r="L27"/>
  <c r="EV10"/>
  <c r="EX10"/>
  <c r="P27"/>
  <c r="EW10"/>
  <c r="N27"/>
  <c r="F10"/>
  <c r="E27"/>
  <c r="EO10"/>
  <c r="AV10"/>
  <c r="AV27"/>
  <c r="AV26"/>
  <c r="AU27"/>
  <c r="AU26"/>
  <c r="AS27"/>
  <c r="AS26"/>
  <c r="AT10"/>
  <c r="AT27"/>
  <c r="AT26"/>
  <c r="EQ11"/>
  <c r="H11"/>
  <c r="ER11"/>
  <c r="ES11"/>
  <c r="K11"/>
  <c r="EU11"/>
  <c r="J11"/>
  <c r="ET11"/>
  <c r="K14"/>
  <c r="J14"/>
  <c r="AY15"/>
  <c r="AX15"/>
  <c r="AY16"/>
  <c r="AX16"/>
  <c r="J17"/>
  <c r="K17"/>
  <c r="AY17"/>
  <c r="AX17"/>
  <c r="AX18"/>
  <c r="AY18"/>
  <c r="K20"/>
  <c r="J20"/>
  <c r="EV9"/>
  <c r="CR26"/>
  <c r="CO26"/>
  <c r="EX11"/>
  <c r="EV11"/>
  <c r="EY11"/>
  <c r="BN24"/>
  <c r="BR21"/>
  <c r="BS21"/>
  <c r="BP17"/>
  <c r="ER17"/>
  <c r="EQ17"/>
  <c r="BP15"/>
  <c r="ER15"/>
  <c r="EQ15"/>
  <c r="BP13"/>
  <c r="ER13"/>
  <c r="EQ13"/>
  <c r="BR9"/>
  <c r="BS9"/>
  <c r="CL12"/>
  <c r="CM12"/>
  <c r="BN20"/>
  <c r="EP20"/>
  <c r="EO20"/>
  <c r="BN18"/>
  <c r="EP18"/>
  <c r="EO18"/>
  <c r="BN16"/>
  <c r="EP16"/>
  <c r="EO16"/>
  <c r="BP16"/>
  <c r="ER16"/>
  <c r="EQ16"/>
  <c r="BN14"/>
  <c r="BM27"/>
  <c r="BM26"/>
  <c r="EO14"/>
  <c r="BU27"/>
  <c r="BU26"/>
  <c r="EW14"/>
  <c r="EW27"/>
  <c r="BW27"/>
  <c r="BW26"/>
  <c r="EX14"/>
  <c r="EX27"/>
  <c r="BZ27"/>
  <c r="EY14"/>
  <c r="EY27"/>
  <c r="BR12"/>
  <c r="BS12"/>
  <c r="AV9"/>
  <c r="ER9"/>
  <c r="EQ9"/>
  <c r="H12"/>
  <c r="ER12"/>
  <c r="EQ12"/>
  <c r="J12"/>
  <c r="K12"/>
  <c r="ES12"/>
  <c r="AX12"/>
  <c r="AY12"/>
  <c r="F21"/>
  <c r="EP21"/>
  <c r="EO21"/>
  <c r="J22"/>
  <c r="ES22"/>
  <c r="K22"/>
  <c r="EV24"/>
  <c r="L26"/>
  <c r="EY24"/>
  <c r="R26"/>
  <c r="EX24"/>
  <c r="P26"/>
  <c r="G26"/>
  <c r="EQ24"/>
  <c r="H24"/>
  <c r="CH24"/>
  <c r="CH26"/>
  <c r="CG26"/>
  <c r="EV12"/>
  <c r="EY12"/>
  <c r="EW21"/>
  <c r="EX21"/>
  <c r="EV21"/>
  <c r="EY22"/>
  <c r="EV22"/>
  <c r="EX22"/>
  <c r="BS24"/>
  <c r="BR24"/>
  <c r="AE12"/>
  <c r="AD12"/>
  <c r="AD21"/>
  <c r="AE21"/>
  <c r="BP24"/>
  <c r="BS19"/>
  <c r="EU19"/>
  <c r="BR19"/>
  <c r="ET19"/>
  <c r="ES19"/>
  <c r="BP19"/>
  <c r="ER19"/>
  <c r="EQ19"/>
  <c r="BN19"/>
  <c r="EP19"/>
  <c r="EO19"/>
  <c r="BR17"/>
  <c r="ET17"/>
  <c r="BS17"/>
  <c r="EU17"/>
  <c r="ES17"/>
  <c r="BN17"/>
  <c r="EP17"/>
  <c r="EO17"/>
  <c r="BS15"/>
  <c r="EU15"/>
  <c r="BR15"/>
  <c r="ET15"/>
  <c r="ES15"/>
  <c r="BN15"/>
  <c r="EP15"/>
  <c r="EO15"/>
  <c r="BS13"/>
  <c r="EU13"/>
  <c r="BR13"/>
  <c r="ET13"/>
  <c r="ES13"/>
  <c r="BN13"/>
  <c r="EP13"/>
  <c r="EO13"/>
  <c r="CL21"/>
  <c r="CM21"/>
  <c r="AD22"/>
  <c r="AE22"/>
  <c r="CL22"/>
  <c r="CM22"/>
  <c r="BR22"/>
  <c r="BS22"/>
  <c r="BP20"/>
  <c r="ER20"/>
  <c r="EQ20"/>
  <c r="BS20"/>
  <c r="EU20"/>
  <c r="BR20"/>
  <c r="ET20"/>
  <c r="ES20"/>
  <c r="BP18"/>
  <c r="ER18"/>
  <c r="EQ18"/>
  <c r="BS18"/>
  <c r="EU18"/>
  <c r="BR18"/>
  <c r="ET18"/>
  <c r="ES18"/>
  <c r="BR16"/>
  <c r="ET16"/>
  <c r="BS16"/>
  <c r="EU16"/>
  <c r="ES16"/>
  <c r="BR14"/>
  <c r="BQ27"/>
  <c r="BQ26"/>
  <c r="BS14"/>
  <c r="ES14"/>
  <c r="ES27"/>
  <c r="BP14"/>
  <c r="BO27"/>
  <c r="BO26"/>
  <c r="EQ14"/>
  <c r="EQ27"/>
  <c r="AT9"/>
  <c r="EP9"/>
  <c r="EO9"/>
  <c r="AX9"/>
  <c r="ET9"/>
  <c r="AY9"/>
  <c r="EU9"/>
  <c r="ES9"/>
  <c r="F12"/>
  <c r="EP12"/>
  <c r="EO12"/>
  <c r="EQ21"/>
  <c r="H21"/>
  <c r="ER21"/>
  <c r="J21"/>
  <c r="K21"/>
  <c r="ES21"/>
  <c r="AX21"/>
  <c r="AY21"/>
  <c r="H22"/>
  <c r="ER22"/>
  <c r="EQ22"/>
  <c r="F22"/>
  <c r="EP22"/>
  <c r="EO22"/>
  <c r="AY22"/>
  <c r="AX22"/>
  <c r="E26"/>
  <c r="F24"/>
  <c r="K24"/>
  <c r="J24"/>
  <c r="ES24"/>
  <c r="I26"/>
  <c r="N26"/>
  <c r="EW24"/>
  <c r="EW26"/>
  <c r="CM24"/>
  <c r="CL24"/>
  <c r="CL26"/>
  <c r="CK26"/>
  <c r="CJ24"/>
  <c r="CJ26"/>
  <c r="CI26"/>
  <c r="BZ26"/>
  <c r="EW9"/>
  <c r="BY27"/>
  <c r="BY26"/>
  <c r="EW12"/>
  <c r="EX12"/>
  <c r="EY21"/>
  <c r="EW22"/>
  <c r="CM27"/>
  <c r="CM26"/>
  <c r="EU21"/>
  <c r="EX26"/>
  <c r="EY26"/>
  <c r="EV27"/>
  <c r="H27"/>
  <c r="ER10"/>
  <c r="AX27"/>
  <c r="AX26"/>
  <c r="F27"/>
  <c r="F26"/>
  <c r="EP10"/>
  <c r="EU10"/>
  <c r="K27"/>
  <c r="K26"/>
  <c r="J27"/>
  <c r="J26"/>
  <c r="ET10"/>
  <c r="EV26"/>
  <c r="ET12"/>
  <c r="AY27"/>
  <c r="AY26"/>
  <c r="AD27"/>
  <c r="AD26"/>
  <c r="AE27"/>
  <c r="AE26"/>
  <c r="ET24"/>
  <c r="EP24"/>
  <c r="EU24"/>
  <c r="BP27"/>
  <c r="ER14"/>
  <c r="EU14"/>
  <c r="BS27"/>
  <c r="BR27"/>
  <c r="BR26"/>
  <c r="ET14"/>
  <c r="ET27"/>
  <c r="EP14"/>
  <c r="BN27"/>
  <c r="ES26"/>
  <c r="ET21"/>
  <c r="EQ26"/>
  <c r="EU22"/>
  <c r="ET22"/>
  <c r="EU12"/>
  <c r="EO27"/>
  <c r="EO26"/>
  <c r="BN26"/>
  <c r="ER24"/>
  <c r="H26"/>
  <c r="BP26"/>
  <c r="BS26"/>
  <c r="ER27"/>
  <c r="EP27"/>
  <c r="EU27"/>
  <c r="EU26"/>
  <c r="ET26"/>
  <c r="ER26"/>
  <c r="EP26"/>
  <c r="P198" i="4"/>
  <c r="P222"/>
  <c r="P246"/>
  <c r="P269"/>
  <c r="P279"/>
  <c r="P289"/>
  <c r="P299"/>
  <c r="P309"/>
  <c r="N416"/>
  <c r="P449"/>
  <c r="P473"/>
  <c r="P192"/>
  <c r="P216"/>
  <c r="P240"/>
  <c r="N516"/>
  <c r="P118"/>
  <c r="P128"/>
  <c r="P138"/>
  <c r="P148"/>
  <c r="P158"/>
  <c r="P168"/>
  <c r="P204"/>
  <c r="P228"/>
  <c r="P252"/>
  <c r="O4"/>
  <c r="O10"/>
  <c r="P15"/>
  <c r="O16"/>
  <c r="P21"/>
  <c r="O22"/>
  <c r="P27"/>
  <c r="O28"/>
  <c r="P33"/>
  <c r="O34"/>
  <c r="P39"/>
  <c r="O40"/>
  <c r="P45"/>
  <c r="O46"/>
  <c r="P51"/>
  <c r="O52"/>
  <c r="P57"/>
  <c r="O58"/>
  <c r="P63"/>
  <c r="O64"/>
  <c r="P69"/>
  <c r="O70"/>
  <c r="P75"/>
  <c r="O76"/>
  <c r="P81"/>
  <c r="O82"/>
  <c r="P87"/>
  <c r="M88"/>
  <c r="N108"/>
  <c r="N118"/>
  <c r="N128"/>
  <c r="N138"/>
  <c r="N148"/>
  <c r="N158"/>
  <c r="N168"/>
  <c r="N269"/>
  <c r="N331"/>
  <c r="N279"/>
  <c r="N289"/>
  <c r="N299"/>
  <c r="N309"/>
  <c r="O332"/>
  <c r="O338"/>
  <c r="P343"/>
  <c r="O344"/>
  <c r="P349"/>
  <c r="O350"/>
  <c r="P355"/>
  <c r="O356"/>
  <c r="P361"/>
  <c r="O362"/>
  <c r="P367"/>
  <c r="O368"/>
  <c r="P373"/>
  <c r="O374"/>
  <c r="P379"/>
  <c r="O380"/>
  <c r="P385"/>
  <c r="O386"/>
  <c r="P391"/>
  <c r="O392"/>
  <c r="P397"/>
  <c r="O398"/>
  <c r="P403"/>
  <c r="O404"/>
  <c r="P409"/>
  <c r="O410"/>
  <c r="P415"/>
  <c r="M416"/>
  <c r="O109"/>
  <c r="P113"/>
  <c r="O119"/>
  <c r="P123"/>
  <c r="O129"/>
  <c r="P133"/>
  <c r="O139"/>
  <c r="P143"/>
  <c r="O149"/>
  <c r="P153"/>
  <c r="O159"/>
  <c r="P163"/>
  <c r="N180"/>
  <c r="N186"/>
  <c r="N192"/>
  <c r="N198"/>
  <c r="N204"/>
  <c r="N210"/>
  <c r="N216"/>
  <c r="N222"/>
  <c r="N228"/>
  <c r="N234"/>
  <c r="N240"/>
  <c r="N246"/>
  <c r="N252"/>
  <c r="N258"/>
  <c r="O260"/>
  <c r="O270"/>
  <c r="P274"/>
  <c r="O280"/>
  <c r="P284"/>
  <c r="O290"/>
  <c r="P294"/>
  <c r="O300"/>
  <c r="P304"/>
  <c r="O310"/>
  <c r="P314"/>
  <c r="O321"/>
  <c r="P325"/>
  <c r="M331"/>
  <c r="O433"/>
  <c r="O439"/>
  <c r="P443"/>
  <c r="O445"/>
  <c r="O451"/>
  <c r="P455"/>
  <c r="O457"/>
  <c r="P461"/>
  <c r="O463"/>
  <c r="P467"/>
  <c r="O469"/>
  <c r="O475"/>
  <c r="P479"/>
  <c r="O481"/>
  <c r="P485"/>
  <c r="O487"/>
  <c r="P491"/>
  <c r="O493"/>
  <c r="P497"/>
  <c r="O499"/>
  <c r="P503"/>
  <c r="O505"/>
  <c r="P509"/>
  <c r="O511"/>
  <c r="P515"/>
  <c r="O175"/>
  <c r="O104"/>
  <c r="O432"/>
  <c r="BX10" i="3"/>
  <c r="BT10"/>
  <c r="BL10"/>
  <c r="BY10"/>
  <c r="BU10"/>
  <c r="BQ10"/>
  <c r="BM10"/>
  <c r="BN10"/>
  <c r="BZ10"/>
  <c r="BV10"/>
  <c r="BW10"/>
  <c r="BO10"/>
  <c r="BP10"/>
  <c r="BE11"/>
  <c r="BA11"/>
  <c r="AW11"/>
  <c r="AS11"/>
  <c r="BF11"/>
  <c r="BB11"/>
  <c r="BC11"/>
  <c r="BC28"/>
  <c r="AU11"/>
  <c r="BD11"/>
  <c r="AZ11"/>
  <c r="AR11"/>
  <c r="EG11"/>
  <c r="EC11"/>
  <c r="DY11"/>
  <c r="DU11"/>
  <c r="EH11"/>
  <c r="ED11"/>
  <c r="EE11"/>
  <c r="DW11"/>
  <c r="EF11"/>
  <c r="EB11"/>
  <c r="DT11"/>
  <c r="CN15"/>
  <c r="CF15"/>
  <c r="CO15"/>
  <c r="CI15"/>
  <c r="CJ15"/>
  <c r="CK15"/>
  <c r="CQ15"/>
  <c r="CQ28"/>
  <c r="CQ27"/>
  <c r="CG15"/>
  <c r="BE10"/>
  <c r="BA10"/>
  <c r="AW10"/>
  <c r="AS10"/>
  <c r="AT10"/>
  <c r="BF10"/>
  <c r="BB10"/>
  <c r="BC10"/>
  <c r="AU10"/>
  <c r="AV10"/>
  <c r="BD10"/>
  <c r="AZ10"/>
  <c r="AR10"/>
  <c r="EG10"/>
  <c r="EC10"/>
  <c r="DY10"/>
  <c r="DU10"/>
  <c r="DV10"/>
  <c r="EH10"/>
  <c r="ED10"/>
  <c r="EE10"/>
  <c r="DW10"/>
  <c r="DX10"/>
  <c r="EF10"/>
  <c r="EB10"/>
  <c r="DT10"/>
  <c r="BX17"/>
  <c r="BY17"/>
  <c r="BU17"/>
  <c r="BQ17"/>
  <c r="BM17"/>
  <c r="BN17"/>
  <c r="BW17"/>
  <c r="BL17"/>
  <c r="BZ17"/>
  <c r="BT17"/>
  <c r="BO17"/>
  <c r="BP17"/>
  <c r="BV17"/>
  <c r="BX12"/>
  <c r="BT12"/>
  <c r="BL12"/>
  <c r="BY12"/>
  <c r="BU12"/>
  <c r="BQ12"/>
  <c r="BM12"/>
  <c r="BN12"/>
  <c r="BZ12"/>
  <c r="BV12"/>
  <c r="BW12"/>
  <c r="BO12"/>
  <c r="BP12"/>
  <c r="CN16"/>
  <c r="CF16"/>
  <c r="CQ16"/>
  <c r="CG16"/>
  <c r="CO16"/>
  <c r="CI16"/>
  <c r="CJ16"/>
  <c r="CK16"/>
  <c r="K18"/>
  <c r="L18"/>
  <c r="O28"/>
  <c r="BX11"/>
  <c r="BT11"/>
  <c r="BL11"/>
  <c r="BY11"/>
  <c r="BU11"/>
  <c r="BQ11"/>
  <c r="BM11"/>
  <c r="BZ11"/>
  <c r="BZ28"/>
  <c r="BV11"/>
  <c r="BW11"/>
  <c r="BO11"/>
  <c r="BE12"/>
  <c r="BA12"/>
  <c r="ES12"/>
  <c r="AW12"/>
  <c r="AS12"/>
  <c r="AT12"/>
  <c r="BF12"/>
  <c r="BB12"/>
  <c r="BC12"/>
  <c r="AU12"/>
  <c r="AV12"/>
  <c r="BD12"/>
  <c r="AZ12"/>
  <c r="AR12"/>
  <c r="BY13"/>
  <c r="BU13"/>
  <c r="BQ13"/>
  <c r="BM13"/>
  <c r="BN13"/>
  <c r="BW13"/>
  <c r="BL13"/>
  <c r="BX13"/>
  <c r="BZ13"/>
  <c r="BT13"/>
  <c r="BO13"/>
  <c r="BP13"/>
  <c r="BV13"/>
  <c r="BY16"/>
  <c r="BU16"/>
  <c r="BQ16"/>
  <c r="BM16"/>
  <c r="BN16"/>
  <c r="BX16"/>
  <c r="BZ16"/>
  <c r="BT16"/>
  <c r="BO16"/>
  <c r="BP16"/>
  <c r="BV16"/>
  <c r="BW16"/>
  <c r="BL16"/>
  <c r="AX19"/>
  <c r="AY19"/>
  <c r="DK12"/>
  <c r="DC12"/>
  <c r="DD12"/>
  <c r="BF14"/>
  <c r="BB14"/>
  <c r="EH14"/>
  <c r="ED14"/>
  <c r="P16"/>
  <c r="H16"/>
  <c r="AI16"/>
  <c r="AA16"/>
  <c r="AB16"/>
  <c r="DK16"/>
  <c r="DC16"/>
  <c r="DD16"/>
  <c r="DN17"/>
  <c r="DJ17"/>
  <c r="DK17"/>
  <c r="DC17"/>
  <c r="DD17"/>
  <c r="BD21"/>
  <c r="AZ21"/>
  <c r="AR21"/>
  <c r="BE21"/>
  <c r="BA21"/>
  <c r="AW21"/>
  <c r="AS21"/>
  <c r="AT21"/>
  <c r="BC21"/>
  <c r="AU21"/>
  <c r="AV21"/>
  <c r="BF21"/>
  <c r="BB21"/>
  <c r="F10"/>
  <c r="J10"/>
  <c r="N10"/>
  <c r="R10"/>
  <c r="Y10"/>
  <c r="Z10"/>
  <c r="AC10"/>
  <c r="AG10"/>
  <c r="AK10"/>
  <c r="CP10"/>
  <c r="DA10"/>
  <c r="DB10"/>
  <c r="DE10"/>
  <c r="DI10"/>
  <c r="DM10"/>
  <c r="F11"/>
  <c r="J11"/>
  <c r="N11"/>
  <c r="R11"/>
  <c r="Y11"/>
  <c r="AC11"/>
  <c r="AG11"/>
  <c r="AK11"/>
  <c r="AK28"/>
  <c r="CP11"/>
  <c r="DA11"/>
  <c r="DE11"/>
  <c r="DI11"/>
  <c r="DM11"/>
  <c r="F12"/>
  <c r="J12"/>
  <c r="N12"/>
  <c r="R12"/>
  <c r="Y12"/>
  <c r="Z12"/>
  <c r="AC12"/>
  <c r="AG12"/>
  <c r="AK12"/>
  <c r="CP12"/>
  <c r="DI12"/>
  <c r="DN12"/>
  <c r="DU12"/>
  <c r="DV12"/>
  <c r="EF12"/>
  <c r="M13"/>
  <c r="R13"/>
  <c r="AF13"/>
  <c r="AK13"/>
  <c r="AR13"/>
  <c r="AW13"/>
  <c r="CI13"/>
  <c r="CJ13"/>
  <c r="DH13"/>
  <c r="DM13"/>
  <c r="EV13"/>
  <c r="DT13"/>
  <c r="DY13"/>
  <c r="F14"/>
  <c r="Q14"/>
  <c r="Y14"/>
  <c r="Z14"/>
  <c r="AJ14"/>
  <c r="BA14"/>
  <c r="BO14"/>
  <c r="BP14"/>
  <c r="BT14"/>
  <c r="BZ14"/>
  <c r="DA14"/>
  <c r="DB14"/>
  <c r="DL14"/>
  <c r="EC14"/>
  <c r="E15"/>
  <c r="J15"/>
  <c r="X15"/>
  <c r="AC15"/>
  <c r="AU15"/>
  <c r="AV15"/>
  <c r="AZ15"/>
  <c r="BE15"/>
  <c r="BX15"/>
  <c r="CZ15"/>
  <c r="DE15"/>
  <c r="DW15"/>
  <c r="DX15"/>
  <c r="EB15"/>
  <c r="EG15"/>
  <c r="N16"/>
  <c r="AG16"/>
  <c r="AL16"/>
  <c r="AS16"/>
  <c r="AT16"/>
  <c r="BD16"/>
  <c r="DI16"/>
  <c r="DN16"/>
  <c r="DU16"/>
  <c r="DV16"/>
  <c r="EF16"/>
  <c r="M17"/>
  <c r="R17"/>
  <c r="AF17"/>
  <c r="AK17"/>
  <c r="AR17"/>
  <c r="AW17"/>
  <c r="CG17"/>
  <c r="DE17"/>
  <c r="DM17"/>
  <c r="DW17"/>
  <c r="DX17"/>
  <c r="EF17"/>
  <c r="N18"/>
  <c r="AC18"/>
  <c r="EN18"/>
  <c r="BF13"/>
  <c r="BB13"/>
  <c r="EH13"/>
  <c r="ED13"/>
  <c r="P15"/>
  <c r="H15"/>
  <c r="AI15"/>
  <c r="AA15"/>
  <c r="AB15"/>
  <c r="DK15"/>
  <c r="DC15"/>
  <c r="DD15"/>
  <c r="BF17"/>
  <c r="BB17"/>
  <c r="CQ17"/>
  <c r="CI17"/>
  <c r="CJ17"/>
  <c r="CN17"/>
  <c r="CF17"/>
  <c r="DL18"/>
  <c r="DH18"/>
  <c r="CZ18"/>
  <c r="DN18"/>
  <c r="DJ18"/>
  <c r="DK18"/>
  <c r="DC18"/>
  <c r="DD18"/>
  <c r="DZ18"/>
  <c r="EA18"/>
  <c r="BD19"/>
  <c r="AZ19"/>
  <c r="AR19"/>
  <c r="BF19"/>
  <c r="BA19"/>
  <c r="AU19"/>
  <c r="AV19"/>
  <c r="BC19"/>
  <c r="EU19"/>
  <c r="AS19"/>
  <c r="AT19"/>
  <c r="BE19"/>
  <c r="E10"/>
  <c r="M10"/>
  <c r="EQ10"/>
  <c r="Q10"/>
  <c r="X10"/>
  <c r="AF10"/>
  <c r="AJ10"/>
  <c r="CG10"/>
  <c r="CK10"/>
  <c r="CO10"/>
  <c r="CZ10"/>
  <c r="DH10"/>
  <c r="DL10"/>
  <c r="E11"/>
  <c r="M11"/>
  <c r="Q11"/>
  <c r="X11"/>
  <c r="AF11"/>
  <c r="AF28"/>
  <c r="AJ11"/>
  <c r="AJ28"/>
  <c r="AJ27"/>
  <c r="CG11"/>
  <c r="CK11"/>
  <c r="CO11"/>
  <c r="CO28"/>
  <c r="CZ11"/>
  <c r="DH11"/>
  <c r="DH28"/>
  <c r="DL11"/>
  <c r="E12"/>
  <c r="M12"/>
  <c r="Q12"/>
  <c r="X12"/>
  <c r="AF12"/>
  <c r="AJ12"/>
  <c r="CG12"/>
  <c r="CK12"/>
  <c r="CO12"/>
  <c r="DT12"/>
  <c r="DY12"/>
  <c r="F13"/>
  <c r="K13"/>
  <c r="Y13"/>
  <c r="Z13"/>
  <c r="AD13"/>
  <c r="BA13"/>
  <c r="CH13"/>
  <c r="CT13"/>
  <c r="DA13"/>
  <c r="DB13"/>
  <c r="DF13"/>
  <c r="EC13"/>
  <c r="E14"/>
  <c r="J14"/>
  <c r="X14"/>
  <c r="AC14"/>
  <c r="CG14"/>
  <c r="CZ14"/>
  <c r="DE14"/>
  <c r="N15"/>
  <c r="AG15"/>
  <c r="AL15"/>
  <c r="AS15"/>
  <c r="AT15"/>
  <c r="AY15"/>
  <c r="BL15"/>
  <c r="DI15"/>
  <c r="DN15"/>
  <c r="DN28"/>
  <c r="DU15"/>
  <c r="DV15"/>
  <c r="EA15"/>
  <c r="G16"/>
  <c r="AR16"/>
  <c r="AW16"/>
  <c r="DT16"/>
  <c r="DY16"/>
  <c r="F17"/>
  <c r="Y17"/>
  <c r="Z17"/>
  <c r="AD17"/>
  <c r="BA17"/>
  <c r="CL17"/>
  <c r="DT17"/>
  <c r="DM18"/>
  <c r="EH12"/>
  <c r="ED12"/>
  <c r="P14"/>
  <c r="ET14"/>
  <c r="H14"/>
  <c r="AI14"/>
  <c r="AA14"/>
  <c r="AB14"/>
  <c r="CN14"/>
  <c r="CF14"/>
  <c r="DK14"/>
  <c r="DC14"/>
  <c r="DD14"/>
  <c r="BY15"/>
  <c r="BU15"/>
  <c r="BQ15"/>
  <c r="BM15"/>
  <c r="BN15"/>
  <c r="BF16"/>
  <c r="BB16"/>
  <c r="EH16"/>
  <c r="ED16"/>
  <c r="EN17"/>
  <c r="L17"/>
  <c r="EE17"/>
  <c r="EG17"/>
  <c r="EC17"/>
  <c r="DY17"/>
  <c r="DU17"/>
  <c r="DV17"/>
  <c r="EH17"/>
  <c r="ED17"/>
  <c r="AJ18"/>
  <c r="AF18"/>
  <c r="X18"/>
  <c r="AL18"/>
  <c r="AH18"/>
  <c r="AI18"/>
  <c r="AA18"/>
  <c r="AB18"/>
  <c r="BZ18"/>
  <c r="BV18"/>
  <c r="BX18"/>
  <c r="BT18"/>
  <c r="BL18"/>
  <c r="BY18"/>
  <c r="BU18"/>
  <c r="BQ18"/>
  <c r="BM18"/>
  <c r="BN18"/>
  <c r="CO18"/>
  <c r="CK18"/>
  <c r="CG18"/>
  <c r="CQ18"/>
  <c r="CI18"/>
  <c r="CJ18"/>
  <c r="CN18"/>
  <c r="CF18"/>
  <c r="BW19"/>
  <c r="ET19"/>
  <c r="BO19"/>
  <c r="BP19"/>
  <c r="BY19"/>
  <c r="BT19"/>
  <c r="BZ19"/>
  <c r="BU19"/>
  <c r="BV19"/>
  <c r="BQ19"/>
  <c r="BL19"/>
  <c r="BX19"/>
  <c r="BM19"/>
  <c r="BN19"/>
  <c r="H10"/>
  <c r="P10"/>
  <c r="ET10"/>
  <c r="AA10"/>
  <c r="AB10"/>
  <c r="AI10"/>
  <c r="DC10"/>
  <c r="DD10"/>
  <c r="DK10"/>
  <c r="H11"/>
  <c r="P11"/>
  <c r="AA11"/>
  <c r="AI11"/>
  <c r="AI28"/>
  <c r="CN28"/>
  <c r="DC11"/>
  <c r="DK11"/>
  <c r="DK28"/>
  <c r="H12"/>
  <c r="P12"/>
  <c r="ET12"/>
  <c r="AA12"/>
  <c r="AB12"/>
  <c r="AI12"/>
  <c r="EC12"/>
  <c r="EN13"/>
  <c r="N14"/>
  <c r="AG14"/>
  <c r="AL14"/>
  <c r="CK14"/>
  <c r="DI14"/>
  <c r="DN14"/>
  <c r="EQ15"/>
  <c r="BV15"/>
  <c r="BA16"/>
  <c r="EC16"/>
  <c r="AK18"/>
  <c r="P13"/>
  <c r="ET13"/>
  <c r="H13"/>
  <c r="AI13"/>
  <c r="AA13"/>
  <c r="AB13"/>
  <c r="CN13"/>
  <c r="CF13"/>
  <c r="DK13"/>
  <c r="DC13"/>
  <c r="DD13"/>
  <c r="BY14"/>
  <c r="BU14"/>
  <c r="BQ14"/>
  <c r="BM14"/>
  <c r="BN14"/>
  <c r="BF15"/>
  <c r="BB15"/>
  <c r="EH15"/>
  <c r="ED15"/>
  <c r="P17"/>
  <c r="ET17"/>
  <c r="H17"/>
  <c r="AI17"/>
  <c r="AA17"/>
  <c r="AB17"/>
  <c r="Q18"/>
  <c r="M18"/>
  <c r="E18"/>
  <c r="O18"/>
  <c r="P18"/>
  <c r="H18"/>
  <c r="AH10"/>
  <c r="ES10"/>
  <c r="CI10"/>
  <c r="CJ10"/>
  <c r="DJ10"/>
  <c r="AH11"/>
  <c r="AH28"/>
  <c r="CI11"/>
  <c r="DJ11"/>
  <c r="DJ28"/>
  <c r="AH12"/>
  <c r="CI12"/>
  <c r="CJ12"/>
  <c r="DW12"/>
  <c r="DX12"/>
  <c r="EB12"/>
  <c r="EG12"/>
  <c r="N13"/>
  <c r="AG13"/>
  <c r="AL13"/>
  <c r="CK13"/>
  <c r="DI13"/>
  <c r="DN13"/>
  <c r="EF13"/>
  <c r="M14"/>
  <c r="R14"/>
  <c r="AF14"/>
  <c r="AK14"/>
  <c r="BV14"/>
  <c r="CI14"/>
  <c r="CJ14"/>
  <c r="CO14"/>
  <c r="DH14"/>
  <c r="DM14"/>
  <c r="F15"/>
  <c r="Q15"/>
  <c r="Y15"/>
  <c r="Z15"/>
  <c r="AJ15"/>
  <c r="BA15"/>
  <c r="BO15"/>
  <c r="BP15"/>
  <c r="BT15"/>
  <c r="BZ15"/>
  <c r="DA15"/>
  <c r="DB15"/>
  <c r="DL15"/>
  <c r="EC15"/>
  <c r="AU16"/>
  <c r="AV16"/>
  <c r="AZ16"/>
  <c r="EQ16"/>
  <c r="BE16"/>
  <c r="DW16"/>
  <c r="DX16"/>
  <c r="EB16"/>
  <c r="EG16"/>
  <c r="EN16"/>
  <c r="N17"/>
  <c r="ER17"/>
  <c r="AG17"/>
  <c r="AL17"/>
  <c r="AS17"/>
  <c r="AT17"/>
  <c r="BD17"/>
  <c r="R18"/>
  <c r="AG18"/>
  <c r="BW18"/>
  <c r="DE18"/>
  <c r="BB19"/>
  <c r="EF21"/>
  <c r="EB21"/>
  <c r="DT21"/>
  <c r="EG21"/>
  <c r="EC21"/>
  <c r="DY21"/>
  <c r="DU21"/>
  <c r="DV21"/>
  <c r="EH21"/>
  <c r="ED21"/>
  <c r="R25"/>
  <c r="N25"/>
  <c r="J25"/>
  <c r="F25"/>
  <c r="O25"/>
  <c r="P25"/>
  <c r="H25"/>
  <c r="Q25"/>
  <c r="M25"/>
  <c r="E25"/>
  <c r="BB18"/>
  <c r="BF18"/>
  <c r="EG18"/>
  <c r="H19"/>
  <c r="M19"/>
  <c r="AA19"/>
  <c r="AB19"/>
  <c r="AF19"/>
  <c r="AL19"/>
  <c r="DC19"/>
  <c r="DD19"/>
  <c r="DH19"/>
  <c r="DN19"/>
  <c r="EG19"/>
  <c r="H20"/>
  <c r="M20"/>
  <c r="AA20"/>
  <c r="AB20"/>
  <c r="AF20"/>
  <c r="AL20"/>
  <c r="BE20"/>
  <c r="BM20"/>
  <c r="BN20"/>
  <c r="BX20"/>
  <c r="DC20"/>
  <c r="DD20"/>
  <c r="DH20"/>
  <c r="DN20"/>
  <c r="EG20"/>
  <c r="Q21"/>
  <c r="AA21"/>
  <c r="AB21"/>
  <c r="AI21"/>
  <c r="ET21"/>
  <c r="BM21"/>
  <c r="BN21"/>
  <c r="CS21"/>
  <c r="EQ22"/>
  <c r="BC27"/>
  <c r="BW21"/>
  <c r="BO21"/>
  <c r="BP21"/>
  <c r="BX21"/>
  <c r="BT21"/>
  <c r="BL21"/>
  <c r="BY21"/>
  <c r="BU21"/>
  <c r="BQ21"/>
  <c r="BZ23"/>
  <c r="BV23"/>
  <c r="BW23"/>
  <c r="BO23"/>
  <c r="BP23"/>
  <c r="BX23"/>
  <c r="BT23"/>
  <c r="BL23"/>
  <c r="BY23"/>
  <c r="BU23"/>
  <c r="BQ23"/>
  <c r="BM23"/>
  <c r="BN23"/>
  <c r="AS18"/>
  <c r="AT18"/>
  <c r="AW18"/>
  <c r="BA18"/>
  <c r="BE18"/>
  <c r="DU18"/>
  <c r="DV18"/>
  <c r="CS19"/>
  <c r="DU19"/>
  <c r="DV19"/>
  <c r="AS20"/>
  <c r="AT20"/>
  <c r="BL20"/>
  <c r="BQ20"/>
  <c r="CS20"/>
  <c r="DU20"/>
  <c r="DV20"/>
  <c r="H21"/>
  <c r="X21"/>
  <c r="BV21"/>
  <c r="AK27"/>
  <c r="EF19"/>
  <c r="EB19"/>
  <c r="DT19"/>
  <c r="BD20"/>
  <c r="ET20"/>
  <c r="AZ20"/>
  <c r="AR20"/>
  <c r="BW20"/>
  <c r="BO20"/>
  <c r="BP20"/>
  <c r="EF20"/>
  <c r="EU20"/>
  <c r="EB20"/>
  <c r="DT20"/>
  <c r="AK21"/>
  <c r="AG21"/>
  <c r="AC21"/>
  <c r="Y21"/>
  <c r="Z21"/>
  <c r="AL21"/>
  <c r="AH21"/>
  <c r="CL22"/>
  <c r="CM22"/>
  <c r="DY19"/>
  <c r="ED19"/>
  <c r="AW20"/>
  <c r="BB20"/>
  <c r="BU20"/>
  <c r="BZ20"/>
  <c r="DY20"/>
  <c r="ED20"/>
  <c r="EQ21"/>
  <c r="EF18"/>
  <c r="EB18"/>
  <c r="R19"/>
  <c r="N19"/>
  <c r="J19"/>
  <c r="F19"/>
  <c r="AK19"/>
  <c r="EV19"/>
  <c r="AG19"/>
  <c r="AC19"/>
  <c r="Y19"/>
  <c r="Z19"/>
  <c r="DM19"/>
  <c r="DI19"/>
  <c r="DE19"/>
  <c r="DA19"/>
  <c r="DB19"/>
  <c r="R20"/>
  <c r="N20"/>
  <c r="J20"/>
  <c r="F20"/>
  <c r="AK20"/>
  <c r="EV20"/>
  <c r="AG20"/>
  <c r="AC20"/>
  <c r="Y20"/>
  <c r="Z20"/>
  <c r="DM20"/>
  <c r="DI20"/>
  <c r="DE20"/>
  <c r="DA20"/>
  <c r="DB20"/>
  <c r="R21"/>
  <c r="N21"/>
  <c r="J21"/>
  <c r="F21"/>
  <c r="O21"/>
  <c r="CL21"/>
  <c r="CM21"/>
  <c r="BD22"/>
  <c r="AZ22"/>
  <c r="AR22"/>
  <c r="BE22"/>
  <c r="BA22"/>
  <c r="AW22"/>
  <c r="AS22"/>
  <c r="AT22"/>
  <c r="BF22"/>
  <c r="BB22"/>
  <c r="BW22"/>
  <c r="BO22"/>
  <c r="BP22"/>
  <c r="BX22"/>
  <c r="EU22"/>
  <c r="BT22"/>
  <c r="BL22"/>
  <c r="BY22"/>
  <c r="EV22"/>
  <c r="BU22"/>
  <c r="BQ22"/>
  <c r="BM22"/>
  <c r="BN22"/>
  <c r="EE22"/>
  <c r="EF22"/>
  <c r="EB22"/>
  <c r="DT22"/>
  <c r="EG22"/>
  <c r="EC22"/>
  <c r="DY22"/>
  <c r="DU22"/>
  <c r="DV22"/>
  <c r="EH22"/>
  <c r="ED22"/>
  <c r="BY25"/>
  <c r="BU25"/>
  <c r="BQ25"/>
  <c r="BM25"/>
  <c r="BZ25"/>
  <c r="BZ27"/>
  <c r="BV25"/>
  <c r="BW25"/>
  <c r="BO25"/>
  <c r="BX25"/>
  <c r="BT25"/>
  <c r="BL25"/>
  <c r="DM25"/>
  <c r="DI25"/>
  <c r="DE25"/>
  <c r="DA25"/>
  <c r="DN25"/>
  <c r="DJ25"/>
  <c r="DK25"/>
  <c r="DK27"/>
  <c r="DC25"/>
  <c r="DL25"/>
  <c r="DH25"/>
  <c r="CZ25"/>
  <c r="AU18"/>
  <c r="AV18"/>
  <c r="DW18"/>
  <c r="DX18"/>
  <c r="EC18"/>
  <c r="EH18"/>
  <c r="O19"/>
  <c r="ES19"/>
  <c r="AH19"/>
  <c r="DJ19"/>
  <c r="DW19"/>
  <c r="DX19"/>
  <c r="EC19"/>
  <c r="EH19"/>
  <c r="O20"/>
  <c r="AH20"/>
  <c r="AU20"/>
  <c r="AV20"/>
  <c r="BA20"/>
  <c r="BF20"/>
  <c r="BT20"/>
  <c r="BY20"/>
  <c r="DJ20"/>
  <c r="DW20"/>
  <c r="DX20"/>
  <c r="EC20"/>
  <c r="EH20"/>
  <c r="AJ21"/>
  <c r="BZ22"/>
  <c r="CS22"/>
  <c r="AF27"/>
  <c r="CR21"/>
  <c r="DC21"/>
  <c r="DD21"/>
  <c r="DK21"/>
  <c r="H22"/>
  <c r="P22"/>
  <c r="AA22"/>
  <c r="AB22"/>
  <c r="AI22"/>
  <c r="CR22"/>
  <c r="DC22"/>
  <c r="DD22"/>
  <c r="DK22"/>
  <c r="H23"/>
  <c r="P23"/>
  <c r="AA23"/>
  <c r="AB23"/>
  <c r="AI23"/>
  <c r="BB23"/>
  <c r="BF23"/>
  <c r="CR23"/>
  <c r="DC23"/>
  <c r="DD23"/>
  <c r="DK23"/>
  <c r="EU23"/>
  <c r="ED23"/>
  <c r="EH23"/>
  <c r="AA25"/>
  <c r="AI25"/>
  <c r="AI27"/>
  <c r="BB25"/>
  <c r="BF25"/>
  <c r="ED25"/>
  <c r="EH25"/>
  <c r="CI21"/>
  <c r="CJ21"/>
  <c r="DJ21"/>
  <c r="DN21"/>
  <c r="O22"/>
  <c r="ES22"/>
  <c r="AH22"/>
  <c r="AL22"/>
  <c r="EW22"/>
  <c r="CI22"/>
  <c r="CJ22"/>
  <c r="DJ22"/>
  <c r="DN22"/>
  <c r="O23"/>
  <c r="AH23"/>
  <c r="AL23"/>
  <c r="EW23"/>
  <c r="AS23"/>
  <c r="AT23"/>
  <c r="AW23"/>
  <c r="BA23"/>
  <c r="BE23"/>
  <c r="EV23"/>
  <c r="CI23"/>
  <c r="CJ23"/>
  <c r="CM23"/>
  <c r="DJ23"/>
  <c r="DN23"/>
  <c r="DU23"/>
  <c r="DV23"/>
  <c r="DY23"/>
  <c r="EC23"/>
  <c r="EG23"/>
  <c r="AH25"/>
  <c r="AL25"/>
  <c r="AS25"/>
  <c r="AW25"/>
  <c r="BA25"/>
  <c r="BE25"/>
  <c r="CG25"/>
  <c r="CK25"/>
  <c r="CO25"/>
  <c r="DU25"/>
  <c r="DY25"/>
  <c r="EC25"/>
  <c r="EG25"/>
  <c r="DA21"/>
  <c r="DB21"/>
  <c r="DE21"/>
  <c r="DI21"/>
  <c r="F22"/>
  <c r="J22"/>
  <c r="N22"/>
  <c r="ER22"/>
  <c r="Y22"/>
  <c r="Z22"/>
  <c r="AC22"/>
  <c r="AG22"/>
  <c r="DA22"/>
  <c r="DB22"/>
  <c r="DE22"/>
  <c r="DI22"/>
  <c r="F23"/>
  <c r="J23"/>
  <c r="N23"/>
  <c r="Y23"/>
  <c r="Z23"/>
  <c r="AC23"/>
  <c r="AG23"/>
  <c r="AR23"/>
  <c r="AZ23"/>
  <c r="BD23"/>
  <c r="CH23"/>
  <c r="CT23"/>
  <c r="DA23"/>
  <c r="DB23"/>
  <c r="DE23"/>
  <c r="DI23"/>
  <c r="DT23"/>
  <c r="EB23"/>
  <c r="EQ23"/>
  <c r="EF23"/>
  <c r="Y25"/>
  <c r="AC25"/>
  <c r="AG25"/>
  <c r="AR25"/>
  <c r="AZ25"/>
  <c r="BD25"/>
  <c r="CF25"/>
  <c r="CN25"/>
  <c r="DT25"/>
  <c r="EB25"/>
  <c r="EF25"/>
  <c r="AU23"/>
  <c r="AV23"/>
  <c r="DW23"/>
  <c r="DX23"/>
  <c r="AU25"/>
  <c r="CI25"/>
  <c r="DW25"/>
  <c r="EI10" i="2"/>
  <c r="EE10"/>
  <c r="DW10"/>
  <c r="EJ10"/>
  <c r="EF10"/>
  <c r="EB10"/>
  <c r="DX10"/>
  <c r="DY10"/>
  <c r="EK10"/>
  <c r="EG10"/>
  <c r="EH10"/>
  <c r="DZ10"/>
  <c r="CU11"/>
  <c r="CQ11"/>
  <c r="CQ28"/>
  <c r="CI11"/>
  <c r="CV11"/>
  <c r="CV28"/>
  <c r="CR11"/>
  <c r="CR28"/>
  <c r="CN11"/>
  <c r="CJ11"/>
  <c r="CW11"/>
  <c r="CS11"/>
  <c r="CT11"/>
  <c r="CT28"/>
  <c r="CL11"/>
  <c r="CB13"/>
  <c r="BX13"/>
  <c r="BT13"/>
  <c r="BP13"/>
  <c r="BQ13"/>
  <c r="BZ13"/>
  <c r="BO13"/>
  <c r="CA13"/>
  <c r="CC13"/>
  <c r="BW13"/>
  <c r="BR13"/>
  <c r="BS13"/>
  <c r="BY13"/>
  <c r="AN14"/>
  <c r="AJ14"/>
  <c r="AF14"/>
  <c r="AB14"/>
  <c r="AC14"/>
  <c r="AL14"/>
  <c r="AA14"/>
  <c r="AM14"/>
  <c r="AO14"/>
  <c r="AI14"/>
  <c r="AD14"/>
  <c r="AE14"/>
  <c r="AK14"/>
  <c r="DP14"/>
  <c r="DL14"/>
  <c r="DH14"/>
  <c r="DD14"/>
  <c r="DE14"/>
  <c r="DN14"/>
  <c r="DC14"/>
  <c r="DO14"/>
  <c r="DQ14"/>
  <c r="DK14"/>
  <c r="DF14"/>
  <c r="DG14"/>
  <c r="DM14"/>
  <c r="Q10"/>
  <c r="R10"/>
  <c r="J10"/>
  <c r="S10"/>
  <c r="O10"/>
  <c r="G10"/>
  <c r="U10"/>
  <c r="EZ10"/>
  <c r="T10"/>
  <c r="P10"/>
  <c r="L10"/>
  <c r="H10"/>
  <c r="AN12"/>
  <c r="AJ12"/>
  <c r="EV12"/>
  <c r="AF12"/>
  <c r="AB12"/>
  <c r="AC12"/>
  <c r="AL12"/>
  <c r="AA12"/>
  <c r="AM12"/>
  <c r="AO12"/>
  <c r="AI12"/>
  <c r="AD12"/>
  <c r="AE12"/>
  <c r="AK12"/>
  <c r="DP12"/>
  <c r="DL12"/>
  <c r="DH12"/>
  <c r="DD12"/>
  <c r="DE12"/>
  <c r="DN12"/>
  <c r="DC12"/>
  <c r="DO12"/>
  <c r="DQ12"/>
  <c r="DK12"/>
  <c r="DF12"/>
  <c r="DG12"/>
  <c r="DM12"/>
  <c r="S15"/>
  <c r="O15"/>
  <c r="G15"/>
  <c r="U15"/>
  <c r="Q15"/>
  <c r="L15"/>
  <c r="R15"/>
  <c r="EW15"/>
  <c r="H15"/>
  <c r="T15"/>
  <c r="P15"/>
  <c r="J15"/>
  <c r="BG10"/>
  <c r="BC10"/>
  <c r="AU10"/>
  <c r="BH10"/>
  <c r="BD10"/>
  <c r="AZ10"/>
  <c r="AV10"/>
  <c r="AW10"/>
  <c r="BI10"/>
  <c r="BE10"/>
  <c r="BF10"/>
  <c r="AX10"/>
  <c r="S11"/>
  <c r="O11"/>
  <c r="G11"/>
  <c r="U11"/>
  <c r="T11"/>
  <c r="P11"/>
  <c r="L11"/>
  <c r="H11"/>
  <c r="Q11"/>
  <c r="R11"/>
  <c r="J11"/>
  <c r="S13"/>
  <c r="O13"/>
  <c r="G13"/>
  <c r="U13"/>
  <c r="Q13"/>
  <c r="L13"/>
  <c r="R13"/>
  <c r="EW13"/>
  <c r="H13"/>
  <c r="T13"/>
  <c r="P13"/>
  <c r="J13"/>
  <c r="CW10"/>
  <c r="CS10"/>
  <c r="CT10"/>
  <c r="CL10"/>
  <c r="CU10"/>
  <c r="CQ10"/>
  <c r="CI10"/>
  <c r="CV10"/>
  <c r="CR10"/>
  <c r="CN10"/>
  <c r="CJ10"/>
  <c r="CK10"/>
  <c r="BI11"/>
  <c r="BI28"/>
  <c r="BE11"/>
  <c r="BF11"/>
  <c r="BF28"/>
  <c r="AX11"/>
  <c r="BG11"/>
  <c r="BG28"/>
  <c r="BC11"/>
  <c r="AU11"/>
  <c r="BH11"/>
  <c r="BD11"/>
  <c r="AZ11"/>
  <c r="AV11"/>
  <c r="CB15"/>
  <c r="BX15"/>
  <c r="BX28"/>
  <c r="BT15"/>
  <c r="BP15"/>
  <c r="BQ15"/>
  <c r="BQ28"/>
  <c r="BZ15"/>
  <c r="BO15"/>
  <c r="CA15"/>
  <c r="CC15"/>
  <c r="BW15"/>
  <c r="BR15"/>
  <c r="BS15"/>
  <c r="BY15"/>
  <c r="S16"/>
  <c r="O16"/>
  <c r="G16"/>
  <c r="U16"/>
  <c r="Q16"/>
  <c r="T16"/>
  <c r="L16"/>
  <c r="P16"/>
  <c r="EU16"/>
  <c r="H16"/>
  <c r="R16"/>
  <c r="J16"/>
  <c r="Q17"/>
  <c r="S17"/>
  <c r="O17"/>
  <c r="G17"/>
  <c r="U17"/>
  <c r="P17"/>
  <c r="EU17"/>
  <c r="H17"/>
  <c r="R17"/>
  <c r="J17"/>
  <c r="T17"/>
  <c r="L17"/>
  <c r="DM28"/>
  <c r="BI16"/>
  <c r="BE16"/>
  <c r="BG16"/>
  <c r="BC16"/>
  <c r="AU16"/>
  <c r="CB16"/>
  <c r="BX16"/>
  <c r="BT16"/>
  <c r="BP16"/>
  <c r="BQ16"/>
  <c r="BZ16"/>
  <c r="BR16"/>
  <c r="BS16"/>
  <c r="EK16"/>
  <c r="EG16"/>
  <c r="EI16"/>
  <c r="EE16"/>
  <c r="DW16"/>
  <c r="AN17"/>
  <c r="AJ17"/>
  <c r="AF17"/>
  <c r="AB17"/>
  <c r="AC17"/>
  <c r="AL17"/>
  <c r="AD17"/>
  <c r="AE17"/>
  <c r="CW17"/>
  <c r="CS17"/>
  <c r="CU17"/>
  <c r="CQ17"/>
  <c r="CI17"/>
  <c r="DP17"/>
  <c r="DL17"/>
  <c r="DH17"/>
  <c r="DD17"/>
  <c r="DE17"/>
  <c r="DQ17"/>
  <c r="DM17"/>
  <c r="DN17"/>
  <c r="DF17"/>
  <c r="DG17"/>
  <c r="CP20"/>
  <c r="CO20"/>
  <c r="AA10"/>
  <c r="AI10"/>
  <c r="AM10"/>
  <c r="BY10"/>
  <c r="CC10"/>
  <c r="DC10"/>
  <c r="DK10"/>
  <c r="DO10"/>
  <c r="AK11"/>
  <c r="AK28"/>
  <c r="AO11"/>
  <c r="BO11"/>
  <c r="BW11"/>
  <c r="CA11"/>
  <c r="CA28"/>
  <c r="DK11"/>
  <c r="DP11"/>
  <c r="DW11"/>
  <c r="EB11"/>
  <c r="G12"/>
  <c r="U12"/>
  <c r="L12"/>
  <c r="R12"/>
  <c r="AX12"/>
  <c r="AY12"/>
  <c r="BD12"/>
  <c r="BI12"/>
  <c r="BW12"/>
  <c r="CB12"/>
  <c r="CI12"/>
  <c r="CN12"/>
  <c r="DZ12"/>
  <c r="EA12"/>
  <c r="EF12"/>
  <c r="EK12"/>
  <c r="AI13"/>
  <c r="AN13"/>
  <c r="AU13"/>
  <c r="AZ13"/>
  <c r="CL13"/>
  <c r="CM13"/>
  <c r="CR13"/>
  <c r="CW13"/>
  <c r="DK13"/>
  <c r="DP13"/>
  <c r="DW13"/>
  <c r="EB13"/>
  <c r="G14"/>
  <c r="U14"/>
  <c r="L14"/>
  <c r="R14"/>
  <c r="AX14"/>
  <c r="AY14"/>
  <c r="BD14"/>
  <c r="BI14"/>
  <c r="BW14"/>
  <c r="CB14"/>
  <c r="CI14"/>
  <c r="CN14"/>
  <c r="DZ14"/>
  <c r="EA14"/>
  <c r="EF14"/>
  <c r="EK14"/>
  <c r="AI15"/>
  <c r="AN15"/>
  <c r="AU15"/>
  <c r="AZ15"/>
  <c r="CL15"/>
  <c r="CM15"/>
  <c r="CR15"/>
  <c r="CW15"/>
  <c r="DK15"/>
  <c r="DP15"/>
  <c r="DW15"/>
  <c r="EB15"/>
  <c r="BB16"/>
  <c r="CC16"/>
  <c r="CC28"/>
  <c r="CL16"/>
  <c r="CM16"/>
  <c r="ED16"/>
  <c r="AO17"/>
  <c r="AX17"/>
  <c r="AY17"/>
  <c r="CP17"/>
  <c r="DK17"/>
  <c r="EK11"/>
  <c r="EG11"/>
  <c r="CW12"/>
  <c r="CS12"/>
  <c r="BI13"/>
  <c r="BE13"/>
  <c r="EK13"/>
  <c r="EG13"/>
  <c r="CW14"/>
  <c r="CS14"/>
  <c r="BI15"/>
  <c r="BE15"/>
  <c r="EK15"/>
  <c r="EG15"/>
  <c r="EI17"/>
  <c r="EE17"/>
  <c r="DW17"/>
  <c r="EJ17"/>
  <c r="EF17"/>
  <c r="EB17"/>
  <c r="DX17"/>
  <c r="DY17"/>
  <c r="EK17"/>
  <c r="EG17"/>
  <c r="AO18"/>
  <c r="AK18"/>
  <c r="AL18"/>
  <c r="AD18"/>
  <c r="AE18"/>
  <c r="AM18"/>
  <c r="AI18"/>
  <c r="AA18"/>
  <c r="AN18"/>
  <c r="AJ18"/>
  <c r="AF18"/>
  <c r="AB18"/>
  <c r="AC18"/>
  <c r="AD10"/>
  <c r="AH10"/>
  <c r="AL10"/>
  <c r="BP10"/>
  <c r="BQ10"/>
  <c r="BT10"/>
  <c r="BX10"/>
  <c r="CB10"/>
  <c r="DF10"/>
  <c r="DJ10"/>
  <c r="DN10"/>
  <c r="AB11"/>
  <c r="AF11"/>
  <c r="AJ11"/>
  <c r="AN11"/>
  <c r="BR11"/>
  <c r="BV11"/>
  <c r="BZ11"/>
  <c r="DD11"/>
  <c r="DO11"/>
  <c r="EF11"/>
  <c r="P12"/>
  <c r="BH12"/>
  <c r="BP12"/>
  <c r="BQ12"/>
  <c r="CA12"/>
  <c r="CR12"/>
  <c r="EJ12"/>
  <c r="AB13"/>
  <c r="AC13"/>
  <c r="AM13"/>
  <c r="BD13"/>
  <c r="CV13"/>
  <c r="DD13"/>
  <c r="DE13"/>
  <c r="DO13"/>
  <c r="EF13"/>
  <c r="P14"/>
  <c r="BH14"/>
  <c r="BP14"/>
  <c r="BQ14"/>
  <c r="CA14"/>
  <c r="CR14"/>
  <c r="EJ14"/>
  <c r="AB15"/>
  <c r="AC15"/>
  <c r="AM15"/>
  <c r="BD15"/>
  <c r="CV15"/>
  <c r="DD15"/>
  <c r="DE15"/>
  <c r="DO15"/>
  <c r="EF15"/>
  <c r="AL16"/>
  <c r="AD16"/>
  <c r="AE16"/>
  <c r="AN16"/>
  <c r="AJ16"/>
  <c r="AF16"/>
  <c r="AB16"/>
  <c r="AC16"/>
  <c r="CU16"/>
  <c r="CQ16"/>
  <c r="CI16"/>
  <c r="CW16"/>
  <c r="CS16"/>
  <c r="DN16"/>
  <c r="DF16"/>
  <c r="DG16"/>
  <c r="DP16"/>
  <c r="DL16"/>
  <c r="DH16"/>
  <c r="DD16"/>
  <c r="DE16"/>
  <c r="BG17"/>
  <c r="BC17"/>
  <c r="AU17"/>
  <c r="BI17"/>
  <c r="BE17"/>
  <c r="BZ17"/>
  <c r="BR17"/>
  <c r="BS17"/>
  <c r="CB17"/>
  <c r="BX17"/>
  <c r="BT17"/>
  <c r="BP17"/>
  <c r="BQ17"/>
  <c r="R18"/>
  <c r="J18"/>
  <c r="S18"/>
  <c r="O18"/>
  <c r="G18"/>
  <c r="U18"/>
  <c r="T18"/>
  <c r="P18"/>
  <c r="L18"/>
  <c r="H18"/>
  <c r="Q18"/>
  <c r="CA18"/>
  <c r="BW18"/>
  <c r="BO18"/>
  <c r="CB18"/>
  <c r="BX18"/>
  <c r="BT18"/>
  <c r="BP18"/>
  <c r="BQ18"/>
  <c r="CC18"/>
  <c r="BY18"/>
  <c r="BZ18"/>
  <c r="BR18"/>
  <c r="BS18"/>
  <c r="T19"/>
  <c r="P19"/>
  <c r="EU19"/>
  <c r="L19"/>
  <c r="H19"/>
  <c r="Q19"/>
  <c r="S19"/>
  <c r="O19"/>
  <c r="G19"/>
  <c r="U19"/>
  <c r="J19"/>
  <c r="R19"/>
  <c r="ED19"/>
  <c r="EC19"/>
  <c r="T21"/>
  <c r="P21"/>
  <c r="L21"/>
  <c r="H21"/>
  <c r="Q21"/>
  <c r="S21"/>
  <c r="O21"/>
  <c r="G21"/>
  <c r="U21"/>
  <c r="R21"/>
  <c r="J21"/>
  <c r="AK10"/>
  <c r="BO10"/>
  <c r="BW10"/>
  <c r="CA10"/>
  <c r="DM10"/>
  <c r="AA11"/>
  <c r="AI11"/>
  <c r="AM11"/>
  <c r="AM28"/>
  <c r="BY11"/>
  <c r="BY28"/>
  <c r="DC11"/>
  <c r="DH11"/>
  <c r="DZ11"/>
  <c r="EE11"/>
  <c r="EJ11"/>
  <c r="J12"/>
  <c r="O12"/>
  <c r="T12"/>
  <c r="AV12"/>
  <c r="AW12"/>
  <c r="BO12"/>
  <c r="BT12"/>
  <c r="CL12"/>
  <c r="CM12"/>
  <c r="CQ12"/>
  <c r="CV12"/>
  <c r="DX12"/>
  <c r="DY12"/>
  <c r="AA13"/>
  <c r="AF13"/>
  <c r="AX13"/>
  <c r="AY13"/>
  <c r="BC13"/>
  <c r="BH13"/>
  <c r="CJ13"/>
  <c r="CK13"/>
  <c r="DC13"/>
  <c r="DH13"/>
  <c r="DZ13"/>
  <c r="EA13"/>
  <c r="EE13"/>
  <c r="EJ13"/>
  <c r="J14"/>
  <c r="O14"/>
  <c r="T14"/>
  <c r="AV14"/>
  <c r="AW14"/>
  <c r="BO14"/>
  <c r="BT14"/>
  <c r="CL14"/>
  <c r="CM14"/>
  <c r="CQ14"/>
  <c r="CV14"/>
  <c r="DX14"/>
  <c r="DY14"/>
  <c r="AA15"/>
  <c r="AF15"/>
  <c r="AX15"/>
  <c r="AY15"/>
  <c r="BC15"/>
  <c r="BH15"/>
  <c r="CJ15"/>
  <c r="CK15"/>
  <c r="DC15"/>
  <c r="DH15"/>
  <c r="DZ15"/>
  <c r="EA15"/>
  <c r="EE15"/>
  <c r="EJ15"/>
  <c r="AO16"/>
  <c r="CP16"/>
  <c r="DQ16"/>
  <c r="BB17"/>
  <c r="CC17"/>
  <c r="EH17"/>
  <c r="EH28"/>
  <c r="DN11"/>
  <c r="DF11"/>
  <c r="DY11"/>
  <c r="DY28"/>
  <c r="BG12"/>
  <c r="EX12"/>
  <c r="BC12"/>
  <c r="AU12"/>
  <c r="BZ12"/>
  <c r="BR12"/>
  <c r="BS12"/>
  <c r="EI12"/>
  <c r="EE12"/>
  <c r="DW12"/>
  <c r="AL13"/>
  <c r="AD13"/>
  <c r="AE13"/>
  <c r="CU13"/>
  <c r="CQ13"/>
  <c r="CI13"/>
  <c r="DN13"/>
  <c r="DF13"/>
  <c r="DG13"/>
  <c r="BG14"/>
  <c r="EX14"/>
  <c r="BC14"/>
  <c r="AU14"/>
  <c r="BZ14"/>
  <c r="BR14"/>
  <c r="BS14"/>
  <c r="EI14"/>
  <c r="EE14"/>
  <c r="DW14"/>
  <c r="AL15"/>
  <c r="AL28"/>
  <c r="AD15"/>
  <c r="AE15"/>
  <c r="CU15"/>
  <c r="CQ15"/>
  <c r="CI15"/>
  <c r="DN15"/>
  <c r="DF15"/>
  <c r="DG15"/>
  <c r="DQ18"/>
  <c r="DM18"/>
  <c r="DN18"/>
  <c r="DF18"/>
  <c r="DG18"/>
  <c r="DO18"/>
  <c r="DK18"/>
  <c r="DC18"/>
  <c r="DP18"/>
  <c r="DL18"/>
  <c r="DH18"/>
  <c r="DD18"/>
  <c r="DE18"/>
  <c r="N20"/>
  <c r="M20"/>
  <c r="BR10"/>
  <c r="AD11"/>
  <c r="CB28"/>
  <c r="DL11"/>
  <c r="DQ11"/>
  <c r="EI28"/>
  <c r="EN12"/>
  <c r="AZ12"/>
  <c r="BE12"/>
  <c r="BX12"/>
  <c r="CC12"/>
  <c r="EB12"/>
  <c r="EG12"/>
  <c r="AJ13"/>
  <c r="AO13"/>
  <c r="CN13"/>
  <c r="CS13"/>
  <c r="DL13"/>
  <c r="DQ13"/>
  <c r="EN14"/>
  <c r="AZ14"/>
  <c r="BE14"/>
  <c r="EV14"/>
  <c r="BX14"/>
  <c r="CC14"/>
  <c r="EB14"/>
  <c r="EG14"/>
  <c r="AJ15"/>
  <c r="AO15"/>
  <c r="CN15"/>
  <c r="CS15"/>
  <c r="DL15"/>
  <c r="DQ15"/>
  <c r="AM19"/>
  <c r="AI19"/>
  <c r="AA19"/>
  <c r="AN19"/>
  <c r="AJ19"/>
  <c r="AF19"/>
  <c r="AB19"/>
  <c r="AC19"/>
  <c r="AL19"/>
  <c r="AD19"/>
  <c r="AE19"/>
  <c r="EH21"/>
  <c r="DZ21"/>
  <c r="EA21"/>
  <c r="EI21"/>
  <c r="EE21"/>
  <c r="DW21"/>
  <c r="EK21"/>
  <c r="EG21"/>
  <c r="R22"/>
  <c r="EW22"/>
  <c r="J22"/>
  <c r="S22"/>
  <c r="O22"/>
  <c r="G22"/>
  <c r="U22"/>
  <c r="Q22"/>
  <c r="BH22"/>
  <c r="BD22"/>
  <c r="AZ22"/>
  <c r="AV22"/>
  <c r="AW22"/>
  <c r="BI22"/>
  <c r="BE22"/>
  <c r="BG22"/>
  <c r="BC22"/>
  <c r="AU22"/>
  <c r="CA22"/>
  <c r="BW22"/>
  <c r="BO22"/>
  <c r="CB22"/>
  <c r="BX22"/>
  <c r="BT22"/>
  <c r="BP22"/>
  <c r="BQ22"/>
  <c r="BZ22"/>
  <c r="BR22"/>
  <c r="BS22"/>
  <c r="EK25"/>
  <c r="EG25"/>
  <c r="EH25"/>
  <c r="DZ25"/>
  <c r="EI25"/>
  <c r="EI27"/>
  <c r="EE25"/>
  <c r="DW25"/>
  <c r="EJ25"/>
  <c r="EF25"/>
  <c r="EB25"/>
  <c r="DX25"/>
  <c r="AU18"/>
  <c r="BC18"/>
  <c r="BG18"/>
  <c r="CS18"/>
  <c r="CW18"/>
  <c r="DW18"/>
  <c r="AO19"/>
  <c r="BD19"/>
  <c r="CT19"/>
  <c r="BF20"/>
  <c r="EH20"/>
  <c r="EJ21"/>
  <c r="T22"/>
  <c r="CC22"/>
  <c r="CR22"/>
  <c r="EJ18"/>
  <c r="EF18"/>
  <c r="EB18"/>
  <c r="DX18"/>
  <c r="DY18"/>
  <c r="EK18"/>
  <c r="EG18"/>
  <c r="AO20"/>
  <c r="AK20"/>
  <c r="EU20"/>
  <c r="AL20"/>
  <c r="AD20"/>
  <c r="AE20"/>
  <c r="AN20"/>
  <c r="AJ20"/>
  <c r="AF20"/>
  <c r="EQ20"/>
  <c r="AB20"/>
  <c r="AC20"/>
  <c r="EN20"/>
  <c r="DQ20"/>
  <c r="DM20"/>
  <c r="DN20"/>
  <c r="DF20"/>
  <c r="DG20"/>
  <c r="DP20"/>
  <c r="DL20"/>
  <c r="DH20"/>
  <c r="DD20"/>
  <c r="DE20"/>
  <c r="BF21"/>
  <c r="AX21"/>
  <c r="AY21"/>
  <c r="BG21"/>
  <c r="BC21"/>
  <c r="AU21"/>
  <c r="BI21"/>
  <c r="BE21"/>
  <c r="CV21"/>
  <c r="CR21"/>
  <c r="CN21"/>
  <c r="CJ21"/>
  <c r="CK21"/>
  <c r="CW21"/>
  <c r="CS21"/>
  <c r="CU21"/>
  <c r="CQ21"/>
  <c r="CI21"/>
  <c r="DO21"/>
  <c r="DK21"/>
  <c r="DC21"/>
  <c r="DP21"/>
  <c r="DL21"/>
  <c r="DH21"/>
  <c r="DD21"/>
  <c r="DE21"/>
  <c r="DN21"/>
  <c r="DF21"/>
  <c r="DG21"/>
  <c r="EH23"/>
  <c r="DZ23"/>
  <c r="EA23"/>
  <c r="EI23"/>
  <c r="EE23"/>
  <c r="DW23"/>
  <c r="EJ23"/>
  <c r="EF23"/>
  <c r="EB23"/>
  <c r="DX23"/>
  <c r="DY23"/>
  <c r="EK23"/>
  <c r="EG23"/>
  <c r="AL25"/>
  <c r="AD25"/>
  <c r="AM25"/>
  <c r="AI25"/>
  <c r="AA25"/>
  <c r="AN25"/>
  <c r="AJ25"/>
  <c r="AF25"/>
  <c r="AB25"/>
  <c r="AO25"/>
  <c r="AK25"/>
  <c r="AK27"/>
  <c r="BZ25"/>
  <c r="BR25"/>
  <c r="CA25"/>
  <c r="CA27"/>
  <c r="BW25"/>
  <c r="BO25"/>
  <c r="CB25"/>
  <c r="BX25"/>
  <c r="BT25"/>
  <c r="BP25"/>
  <c r="CC25"/>
  <c r="BY25"/>
  <c r="BY27"/>
  <c r="DO25"/>
  <c r="DK25"/>
  <c r="DC25"/>
  <c r="DP25"/>
  <c r="DL25"/>
  <c r="DH25"/>
  <c r="DD25"/>
  <c r="DQ25"/>
  <c r="DM25"/>
  <c r="DM27"/>
  <c r="DN25"/>
  <c r="DF25"/>
  <c r="AX18"/>
  <c r="AY18"/>
  <c r="BB18"/>
  <c r="BF18"/>
  <c r="CJ18"/>
  <c r="CK18"/>
  <c r="CN18"/>
  <c r="CR18"/>
  <c r="CV18"/>
  <c r="AZ19"/>
  <c r="AM20"/>
  <c r="DO20"/>
  <c r="BH21"/>
  <c r="DQ21"/>
  <c r="CN22"/>
  <c r="EH19"/>
  <c r="DZ19"/>
  <c r="EA19"/>
  <c r="EI19"/>
  <c r="EE19"/>
  <c r="DW19"/>
  <c r="EK19"/>
  <c r="EG19"/>
  <c r="R20"/>
  <c r="EW20"/>
  <c r="J20"/>
  <c r="S20"/>
  <c r="O20"/>
  <c r="G20"/>
  <c r="U20"/>
  <c r="Q20"/>
  <c r="CT20"/>
  <c r="CL20"/>
  <c r="CM20"/>
  <c r="CU20"/>
  <c r="CQ20"/>
  <c r="CI20"/>
  <c r="CW20"/>
  <c r="CS20"/>
  <c r="AM21"/>
  <c r="AI21"/>
  <c r="AA21"/>
  <c r="AN21"/>
  <c r="AJ21"/>
  <c r="AF21"/>
  <c r="AB21"/>
  <c r="AC21"/>
  <c r="AL21"/>
  <c r="AD21"/>
  <c r="AE21"/>
  <c r="ED21"/>
  <c r="EC21"/>
  <c r="N22"/>
  <c r="M22"/>
  <c r="BF23"/>
  <c r="AX23"/>
  <c r="AY23"/>
  <c r="BG23"/>
  <c r="BC23"/>
  <c r="AU23"/>
  <c r="BH23"/>
  <c r="BD23"/>
  <c r="AZ23"/>
  <c r="AV23"/>
  <c r="AW23"/>
  <c r="BI23"/>
  <c r="BE23"/>
  <c r="DO23"/>
  <c r="DK23"/>
  <c r="DC23"/>
  <c r="DP23"/>
  <c r="DL23"/>
  <c r="DH23"/>
  <c r="DD23"/>
  <c r="DE23"/>
  <c r="DQ23"/>
  <c r="DM23"/>
  <c r="DN23"/>
  <c r="DF23"/>
  <c r="DG23"/>
  <c r="BE18"/>
  <c r="CI18"/>
  <c r="CQ18"/>
  <c r="CU18"/>
  <c r="EI18"/>
  <c r="EJ19"/>
  <c r="T20"/>
  <c r="AI20"/>
  <c r="CV20"/>
  <c r="DK20"/>
  <c r="AO21"/>
  <c r="BD21"/>
  <c r="CT21"/>
  <c r="DM21"/>
  <c r="CV27"/>
  <c r="BF19"/>
  <c r="AX19"/>
  <c r="AY19"/>
  <c r="BG19"/>
  <c r="BC19"/>
  <c r="AU19"/>
  <c r="BI19"/>
  <c r="BE19"/>
  <c r="CV19"/>
  <c r="CR19"/>
  <c r="CN19"/>
  <c r="CJ19"/>
  <c r="CK19"/>
  <c r="CW19"/>
  <c r="CS19"/>
  <c r="CU19"/>
  <c r="CQ19"/>
  <c r="CI19"/>
  <c r="DO19"/>
  <c r="DK19"/>
  <c r="DC19"/>
  <c r="DP19"/>
  <c r="DL19"/>
  <c r="DH19"/>
  <c r="DD19"/>
  <c r="DE19"/>
  <c r="DN19"/>
  <c r="DF19"/>
  <c r="DG19"/>
  <c r="BH20"/>
  <c r="BD20"/>
  <c r="AZ20"/>
  <c r="AV20"/>
  <c r="AW20"/>
  <c r="BI20"/>
  <c r="BE20"/>
  <c r="BG20"/>
  <c r="BC20"/>
  <c r="AU20"/>
  <c r="CA20"/>
  <c r="BW20"/>
  <c r="BO20"/>
  <c r="CB20"/>
  <c r="BX20"/>
  <c r="BT20"/>
  <c r="BP20"/>
  <c r="BQ20"/>
  <c r="BZ20"/>
  <c r="BR20"/>
  <c r="BS20"/>
  <c r="EJ20"/>
  <c r="EF20"/>
  <c r="EB20"/>
  <c r="DX20"/>
  <c r="DY20"/>
  <c r="EK20"/>
  <c r="EG20"/>
  <c r="EI20"/>
  <c r="EE20"/>
  <c r="DW20"/>
  <c r="BB21"/>
  <c r="BA21"/>
  <c r="I22"/>
  <c r="EN22"/>
  <c r="CT22"/>
  <c r="CL22"/>
  <c r="CM22"/>
  <c r="CU22"/>
  <c r="CQ22"/>
  <c r="CI22"/>
  <c r="CW22"/>
  <c r="CS22"/>
  <c r="EJ22"/>
  <c r="EF22"/>
  <c r="EB22"/>
  <c r="DX22"/>
  <c r="DY22"/>
  <c r="EK22"/>
  <c r="EG22"/>
  <c r="EH22"/>
  <c r="DZ22"/>
  <c r="EA22"/>
  <c r="EI22"/>
  <c r="EE22"/>
  <c r="DW22"/>
  <c r="AM23"/>
  <c r="AI23"/>
  <c r="AA23"/>
  <c r="AN23"/>
  <c r="EY23"/>
  <c r="AJ23"/>
  <c r="AF23"/>
  <c r="AB23"/>
  <c r="AC23"/>
  <c r="AO23"/>
  <c r="AK23"/>
  <c r="AL23"/>
  <c r="AD23"/>
  <c r="AE23"/>
  <c r="S25"/>
  <c r="O25"/>
  <c r="G25"/>
  <c r="U25"/>
  <c r="T25"/>
  <c r="P25"/>
  <c r="L25"/>
  <c r="H25"/>
  <c r="Q25"/>
  <c r="R25"/>
  <c r="J25"/>
  <c r="CL18"/>
  <c r="CM18"/>
  <c r="BH19"/>
  <c r="DQ19"/>
  <c r="CC20"/>
  <c r="EM20"/>
  <c r="CV22"/>
  <c r="G23"/>
  <c r="U23"/>
  <c r="O23"/>
  <c r="S23"/>
  <c r="EX23"/>
  <c r="CI23"/>
  <c r="CQ23"/>
  <c r="CU23"/>
  <c r="AU25"/>
  <c r="BC25"/>
  <c r="BG25"/>
  <c r="BG27"/>
  <c r="CI25"/>
  <c r="CQ25"/>
  <c r="CQ27"/>
  <c r="CU25"/>
  <c r="J23"/>
  <c r="R23"/>
  <c r="EW23"/>
  <c r="CL23"/>
  <c r="CM23"/>
  <c r="CT23"/>
  <c r="AX25"/>
  <c r="BF25"/>
  <c r="BF27"/>
  <c r="CL25"/>
  <c r="CT25"/>
  <c r="BR19"/>
  <c r="BS19"/>
  <c r="BV19"/>
  <c r="BZ19"/>
  <c r="BR21"/>
  <c r="BS21"/>
  <c r="BV21"/>
  <c r="BZ21"/>
  <c r="AD22"/>
  <c r="AE22"/>
  <c r="AH22"/>
  <c r="AL22"/>
  <c r="DF22"/>
  <c r="DG22"/>
  <c r="DJ22"/>
  <c r="DN22"/>
  <c r="Q23"/>
  <c r="BR23"/>
  <c r="BS23"/>
  <c r="BV23"/>
  <c r="BZ23"/>
  <c r="CS23"/>
  <c r="CW23"/>
  <c r="BE25"/>
  <c r="BI25"/>
  <c r="CS25"/>
  <c r="CW25"/>
  <c r="BY19"/>
  <c r="BY21"/>
  <c r="AK22"/>
  <c r="EU22"/>
  <c r="DM22"/>
  <c r="H23"/>
  <c r="L23"/>
  <c r="P23"/>
  <c r="BY23"/>
  <c r="CJ23"/>
  <c r="CK23"/>
  <c r="CN23"/>
  <c r="CR23"/>
  <c r="AV25"/>
  <c r="AZ25"/>
  <c r="BD25"/>
  <c r="CJ25"/>
  <c r="CN25"/>
  <c r="CR25"/>
  <c r="CR27"/>
  <c r="O259" i="4"/>
  <c r="P180"/>
  <c r="P259"/>
  <c r="O88"/>
  <c r="P9"/>
  <c r="P88"/>
  <c r="N259"/>
  <c r="P108"/>
  <c r="P174"/>
  <c r="O174"/>
  <c r="O516"/>
  <c r="P437"/>
  <c r="P516"/>
  <c r="O331"/>
  <c r="P264"/>
  <c r="P331"/>
  <c r="O416"/>
  <c r="P337"/>
  <c r="P416"/>
  <c r="N174"/>
  <c r="AD25" i="3"/>
  <c r="AE25"/>
  <c r="DC27"/>
  <c r="DD25"/>
  <c r="CJ25"/>
  <c r="CR25"/>
  <c r="CP25"/>
  <c r="AY25"/>
  <c r="AX25"/>
  <c r="BP25"/>
  <c r="BN25"/>
  <c r="BM27"/>
  <c r="BS20"/>
  <c r="BR20"/>
  <c r="AY18"/>
  <c r="AX18"/>
  <c r="DX25"/>
  <c r="DF23"/>
  <c r="DG23"/>
  <c r="AD22"/>
  <c r="AE22"/>
  <c r="EJ22"/>
  <c r="G22"/>
  <c r="EK22"/>
  <c r="EA22"/>
  <c r="DZ22"/>
  <c r="BS22"/>
  <c r="BR22"/>
  <c r="DZ20"/>
  <c r="EA20"/>
  <c r="AX20"/>
  <c r="AY20"/>
  <c r="AD21"/>
  <c r="AE21"/>
  <c r="BR23"/>
  <c r="BS23"/>
  <c r="I19"/>
  <c r="EM19"/>
  <c r="EL19"/>
  <c r="ET25"/>
  <c r="ER25"/>
  <c r="CL13"/>
  <c r="CM13"/>
  <c r="BR14"/>
  <c r="BS14"/>
  <c r="DC28"/>
  <c r="DD11"/>
  <c r="DD28"/>
  <c r="P28"/>
  <c r="P27"/>
  <c r="ET11"/>
  <c r="CM18"/>
  <c r="CL18"/>
  <c r="BR15"/>
  <c r="BS15"/>
  <c r="EJ17"/>
  <c r="G17"/>
  <c r="AE14"/>
  <c r="AD14"/>
  <c r="EJ13"/>
  <c r="G13"/>
  <c r="EK13"/>
  <c r="CM12"/>
  <c r="CL12"/>
  <c r="CK28"/>
  <c r="CM11"/>
  <c r="CL11"/>
  <c r="CM10"/>
  <c r="CL10"/>
  <c r="EL15"/>
  <c r="I15"/>
  <c r="EM15"/>
  <c r="DF17"/>
  <c r="DG17"/>
  <c r="DG15"/>
  <c r="DF15"/>
  <c r="L15"/>
  <c r="K15"/>
  <c r="EN15"/>
  <c r="G14"/>
  <c r="EJ14"/>
  <c r="G12"/>
  <c r="EJ12"/>
  <c r="DA28"/>
  <c r="DB11"/>
  <c r="DB28"/>
  <c r="AC28"/>
  <c r="AC27"/>
  <c r="AD11"/>
  <c r="AE11"/>
  <c r="J28"/>
  <c r="K11"/>
  <c r="L11"/>
  <c r="EN11"/>
  <c r="DF10"/>
  <c r="DG10"/>
  <c r="AX21"/>
  <c r="AY21"/>
  <c r="EL16"/>
  <c r="I16"/>
  <c r="EM16"/>
  <c r="BO28"/>
  <c r="BO27"/>
  <c r="BP11"/>
  <c r="BP28"/>
  <c r="BM28"/>
  <c r="BN11"/>
  <c r="BN28"/>
  <c r="CR16"/>
  <c r="EU16"/>
  <c r="CP16"/>
  <c r="ES16"/>
  <c r="BR17"/>
  <c r="BS17"/>
  <c r="DZ10"/>
  <c r="EA10"/>
  <c r="DY28"/>
  <c r="DZ11"/>
  <c r="EA11"/>
  <c r="ER23"/>
  <c r="DN27"/>
  <c r="EW21"/>
  <c r="CN27"/>
  <c r="CO27"/>
  <c r="AH27"/>
  <c r="ET22"/>
  <c r="ES20"/>
  <c r="DH27"/>
  <c r="DJ27"/>
  <c r="ER21"/>
  <c r="ER20"/>
  <c r="ER19"/>
  <c r="EJ18"/>
  <c r="EW18"/>
  <c r="EQ14"/>
  <c r="ER14"/>
  <c r="ER15"/>
  <c r="DL28"/>
  <c r="DL27"/>
  <c r="ER18"/>
  <c r="ER16"/>
  <c r="ER10"/>
  <c r="EJ16"/>
  <c r="AL28"/>
  <c r="EE28"/>
  <c r="EE27"/>
  <c r="AZ28"/>
  <c r="BB28"/>
  <c r="BB27"/>
  <c r="BA28"/>
  <c r="BA27"/>
  <c r="Z25"/>
  <c r="AD23"/>
  <c r="AE23"/>
  <c r="EJ23"/>
  <c r="G23"/>
  <c r="EK23"/>
  <c r="EN22"/>
  <c r="K22"/>
  <c r="L22"/>
  <c r="DV25"/>
  <c r="DV27"/>
  <c r="EA23"/>
  <c r="DZ23"/>
  <c r="AY23"/>
  <c r="AX23"/>
  <c r="DF25"/>
  <c r="DF27"/>
  <c r="DG25"/>
  <c r="AX22"/>
  <c r="AY22"/>
  <c r="K21"/>
  <c r="EN21"/>
  <c r="L21"/>
  <c r="DF20"/>
  <c r="DG20"/>
  <c r="AD20"/>
  <c r="AE20"/>
  <c r="EN20"/>
  <c r="K20"/>
  <c r="L20"/>
  <c r="DF19"/>
  <c r="DG19"/>
  <c r="AE19"/>
  <c r="AD19"/>
  <c r="EN19"/>
  <c r="L19"/>
  <c r="K19"/>
  <c r="EU21"/>
  <c r="EV21"/>
  <c r="I20"/>
  <c r="EM20"/>
  <c r="EL20"/>
  <c r="EL25"/>
  <c r="I25"/>
  <c r="EN25"/>
  <c r="K25"/>
  <c r="J27"/>
  <c r="L25"/>
  <c r="EJ15"/>
  <c r="G15"/>
  <c r="AA28"/>
  <c r="AA27"/>
  <c r="AB11"/>
  <c r="AB28"/>
  <c r="EL10"/>
  <c r="I10"/>
  <c r="EM10"/>
  <c r="BS19"/>
  <c r="BR19"/>
  <c r="CR18"/>
  <c r="CP18"/>
  <c r="CS18"/>
  <c r="CH18"/>
  <c r="CT18"/>
  <c r="BR18"/>
  <c r="BS18"/>
  <c r="AX16"/>
  <c r="AY16"/>
  <c r="CS14"/>
  <c r="EV14"/>
  <c r="CH14"/>
  <c r="CT14"/>
  <c r="AD18"/>
  <c r="EO18"/>
  <c r="AE18"/>
  <c r="AD12"/>
  <c r="AE12"/>
  <c r="EN12"/>
  <c r="K12"/>
  <c r="L12"/>
  <c r="DE28"/>
  <c r="DE27"/>
  <c r="DF11"/>
  <c r="DF28"/>
  <c r="DG11"/>
  <c r="N28"/>
  <c r="N27"/>
  <c r="ER11"/>
  <c r="ER28"/>
  <c r="BS16"/>
  <c r="BR16"/>
  <c r="CL16"/>
  <c r="CM16"/>
  <c r="AX10"/>
  <c r="AY10"/>
  <c r="CM15"/>
  <c r="CL15"/>
  <c r="DW28"/>
  <c r="DW27"/>
  <c r="DX11"/>
  <c r="DX28"/>
  <c r="DU28"/>
  <c r="DU27"/>
  <c r="DV11"/>
  <c r="DV28"/>
  <c r="AW28"/>
  <c r="AW27"/>
  <c r="AX11"/>
  <c r="AY11"/>
  <c r="AY28"/>
  <c r="BR10"/>
  <c r="BS10"/>
  <c r="AZ27"/>
  <c r="BE27"/>
  <c r="AL27"/>
  <c r="ES23"/>
  <c r="BV27"/>
  <c r="EQ19"/>
  <c r="EW14"/>
  <c r="ER13"/>
  <c r="ES18"/>
  <c r="EQ17"/>
  <c r="EQ13"/>
  <c r="AG28"/>
  <c r="BY28"/>
  <c r="BY27"/>
  <c r="ES11"/>
  <c r="AV25"/>
  <c r="EN23"/>
  <c r="K23"/>
  <c r="L23"/>
  <c r="DF21"/>
  <c r="DG21"/>
  <c r="EA25"/>
  <c r="DY27"/>
  <c r="DZ25"/>
  <c r="CS25"/>
  <c r="CH25"/>
  <c r="AS27"/>
  <c r="AT25"/>
  <c r="AT27"/>
  <c r="AB25"/>
  <c r="AB27"/>
  <c r="I23"/>
  <c r="EM23"/>
  <c r="EL23"/>
  <c r="DB25"/>
  <c r="DB27"/>
  <c r="DA27"/>
  <c r="BR25"/>
  <c r="BR27"/>
  <c r="BS25"/>
  <c r="G21"/>
  <c r="EK21"/>
  <c r="EJ21"/>
  <c r="EJ20"/>
  <c r="G20"/>
  <c r="EK20"/>
  <c r="EJ19"/>
  <c r="G19"/>
  <c r="EK19"/>
  <c r="DZ19"/>
  <c r="EA19"/>
  <c r="EL21"/>
  <c r="I21"/>
  <c r="EM21"/>
  <c r="BS21"/>
  <c r="BR21"/>
  <c r="Q27"/>
  <c r="EU25"/>
  <c r="EJ25"/>
  <c r="G25"/>
  <c r="EU15"/>
  <c r="CI28"/>
  <c r="CI27"/>
  <c r="CJ11"/>
  <c r="CJ28"/>
  <c r="EV18"/>
  <c r="EU18"/>
  <c r="I12"/>
  <c r="EM12"/>
  <c r="EL12"/>
  <c r="L14"/>
  <c r="EN14"/>
  <c r="K14"/>
  <c r="M28"/>
  <c r="M27"/>
  <c r="EQ11"/>
  <c r="CR17"/>
  <c r="EU17"/>
  <c r="CP17"/>
  <c r="ES17"/>
  <c r="AX17"/>
  <c r="EO17"/>
  <c r="AY17"/>
  <c r="AE15"/>
  <c r="AD15"/>
  <c r="AX13"/>
  <c r="EO13"/>
  <c r="AY13"/>
  <c r="R28"/>
  <c r="G10"/>
  <c r="EK10"/>
  <c r="EJ10"/>
  <c r="BR13"/>
  <c r="BS13"/>
  <c r="CS16"/>
  <c r="EV16"/>
  <c r="CH16"/>
  <c r="CT16"/>
  <c r="EW16"/>
  <c r="CR15"/>
  <c r="CR28"/>
  <c r="CP15"/>
  <c r="ES15"/>
  <c r="AU28"/>
  <c r="AU27"/>
  <c r="AV11"/>
  <c r="AV28"/>
  <c r="AS28"/>
  <c r="AT11"/>
  <c r="AT28"/>
  <c r="ED27"/>
  <c r="EQ20"/>
  <c r="ET18"/>
  <c r="EK16"/>
  <c r="EQ12"/>
  <c r="EW13"/>
  <c r="ER12"/>
  <c r="DI28"/>
  <c r="DI27"/>
  <c r="BV28"/>
  <c r="BU28"/>
  <c r="BU27"/>
  <c r="BX28"/>
  <c r="BX27"/>
  <c r="EF28"/>
  <c r="EH28"/>
  <c r="EH27"/>
  <c r="EG28"/>
  <c r="EG27"/>
  <c r="DF22"/>
  <c r="DG22"/>
  <c r="CM25"/>
  <c r="CK27"/>
  <c r="CL25"/>
  <c r="EL22"/>
  <c r="I22"/>
  <c r="EM22"/>
  <c r="EQ25"/>
  <c r="ES25"/>
  <c r="O27"/>
  <c r="R27"/>
  <c r="DZ21"/>
  <c r="EA21"/>
  <c r="DF18"/>
  <c r="DG18"/>
  <c r="EP18"/>
  <c r="I18"/>
  <c r="EM18"/>
  <c r="EL18"/>
  <c r="EL17"/>
  <c r="I17"/>
  <c r="EM17"/>
  <c r="CR13"/>
  <c r="EU13"/>
  <c r="CP13"/>
  <c r="ES13"/>
  <c r="EL13"/>
  <c r="I13"/>
  <c r="EM13"/>
  <c r="CL14"/>
  <c r="CM14"/>
  <c r="H28"/>
  <c r="H27"/>
  <c r="EL11"/>
  <c r="I11"/>
  <c r="DZ17"/>
  <c r="EA17"/>
  <c r="EP17"/>
  <c r="CR14"/>
  <c r="EU14"/>
  <c r="CP14"/>
  <c r="ES14"/>
  <c r="EL14"/>
  <c r="I14"/>
  <c r="EM14"/>
  <c r="DZ16"/>
  <c r="EA16"/>
  <c r="DG14"/>
  <c r="DF14"/>
  <c r="DZ12"/>
  <c r="EA12"/>
  <c r="CS12"/>
  <c r="EV12"/>
  <c r="CH12"/>
  <c r="CT12"/>
  <c r="EU12"/>
  <c r="CG28"/>
  <c r="CG27"/>
  <c r="CS11"/>
  <c r="CH11"/>
  <c r="Q28"/>
  <c r="EU11"/>
  <c r="EV11"/>
  <c r="CS10"/>
  <c r="CH10"/>
  <c r="CT10"/>
  <c r="EW10"/>
  <c r="EU10"/>
  <c r="EV10"/>
  <c r="CH17"/>
  <c r="CT17"/>
  <c r="EW17"/>
  <c r="CS17"/>
  <c r="EV17"/>
  <c r="DZ13"/>
  <c r="EA13"/>
  <c r="Y28"/>
  <c r="Y27"/>
  <c r="Z11"/>
  <c r="Z28"/>
  <c r="F28"/>
  <c r="F27"/>
  <c r="G11"/>
  <c r="EJ11"/>
  <c r="EJ28"/>
  <c r="AD10"/>
  <c r="AE10"/>
  <c r="K10"/>
  <c r="EO10"/>
  <c r="L10"/>
  <c r="EN10"/>
  <c r="AX12"/>
  <c r="AY12"/>
  <c r="BQ28"/>
  <c r="BQ27"/>
  <c r="BR11"/>
  <c r="BR28"/>
  <c r="BS11"/>
  <c r="BS28"/>
  <c r="BR12"/>
  <c r="BS12"/>
  <c r="CS15"/>
  <c r="EV15"/>
  <c r="CH15"/>
  <c r="CT15"/>
  <c r="EW15"/>
  <c r="EF27"/>
  <c r="AG27"/>
  <c r="ET23"/>
  <c r="ES21"/>
  <c r="EW20"/>
  <c r="EW19"/>
  <c r="EQ18"/>
  <c r="ET15"/>
  <c r="EW12"/>
  <c r="DM28"/>
  <c r="DM27"/>
  <c r="CP28"/>
  <c r="ET16"/>
  <c r="BW28"/>
  <c r="BW27"/>
  <c r="BT28"/>
  <c r="BT27"/>
  <c r="EB28"/>
  <c r="EB27"/>
  <c r="ED28"/>
  <c r="EC28"/>
  <c r="EC27"/>
  <c r="BD28"/>
  <c r="BD27"/>
  <c r="BF28"/>
  <c r="BF27"/>
  <c r="BE28"/>
  <c r="BA25" i="2"/>
  <c r="BB25"/>
  <c r="EM25"/>
  <c r="I25"/>
  <c r="BA20"/>
  <c r="BB20"/>
  <c r="DI25"/>
  <c r="DJ25"/>
  <c r="BV22"/>
  <c r="BU22"/>
  <c r="BA22"/>
  <c r="BB22"/>
  <c r="CO15"/>
  <c r="CP15"/>
  <c r="AD28"/>
  <c r="AE11"/>
  <c r="AE28"/>
  <c r="DF28"/>
  <c r="DF27"/>
  <c r="DG11"/>
  <c r="DG28"/>
  <c r="EO14"/>
  <c r="K14"/>
  <c r="EP14"/>
  <c r="DJ13"/>
  <c r="DI13"/>
  <c r="BV12"/>
  <c r="BU12"/>
  <c r="DZ28"/>
  <c r="EA11"/>
  <c r="EA28"/>
  <c r="K21"/>
  <c r="EP21"/>
  <c r="EO21"/>
  <c r="BV17"/>
  <c r="BU17"/>
  <c r="AF28"/>
  <c r="AH11"/>
  <c r="AG11"/>
  <c r="DF26"/>
  <c r="DG26"/>
  <c r="DG10"/>
  <c r="CO14"/>
  <c r="CP14"/>
  <c r="M14"/>
  <c r="N14"/>
  <c r="EQ14"/>
  <c r="CO12"/>
  <c r="CP12"/>
  <c r="M12"/>
  <c r="N12"/>
  <c r="EQ12"/>
  <c r="BV16"/>
  <c r="BU16"/>
  <c r="CL26"/>
  <c r="CM26"/>
  <c r="CM10"/>
  <c r="K13"/>
  <c r="EP13"/>
  <c r="EO13"/>
  <c r="Q28"/>
  <c r="EV11"/>
  <c r="T28"/>
  <c r="EY11"/>
  <c r="AX26"/>
  <c r="AY26"/>
  <c r="AY10"/>
  <c r="K15"/>
  <c r="EP15"/>
  <c r="EO15"/>
  <c r="I10"/>
  <c r="EN10"/>
  <c r="EM10"/>
  <c r="BU13"/>
  <c r="BV13"/>
  <c r="CN28"/>
  <c r="CO11"/>
  <c r="CO28"/>
  <c r="CP11"/>
  <c r="CP28"/>
  <c r="CO23"/>
  <c r="CP23"/>
  <c r="EQ23"/>
  <c r="M23"/>
  <c r="N23"/>
  <c r="Q27"/>
  <c r="EV25"/>
  <c r="T27"/>
  <c r="EY25"/>
  <c r="EO20"/>
  <c r="K20"/>
  <c r="EP20"/>
  <c r="BB19"/>
  <c r="BA19"/>
  <c r="DG25"/>
  <c r="DG27"/>
  <c r="DE25"/>
  <c r="BS25"/>
  <c r="AC25"/>
  <c r="ED23"/>
  <c r="EC23"/>
  <c r="EC18"/>
  <c r="ED18"/>
  <c r="EC25"/>
  <c r="ED25"/>
  <c r="EO22"/>
  <c r="K22"/>
  <c r="EP22"/>
  <c r="AH19"/>
  <c r="AG19"/>
  <c r="EC12"/>
  <c r="ED12"/>
  <c r="BA12"/>
  <c r="BB12"/>
  <c r="DJ15"/>
  <c r="DI15"/>
  <c r="BV14"/>
  <c r="BU14"/>
  <c r="EQ21"/>
  <c r="M21"/>
  <c r="N21"/>
  <c r="EQ19"/>
  <c r="M19"/>
  <c r="N19"/>
  <c r="BU18"/>
  <c r="BV18"/>
  <c r="N18"/>
  <c r="EQ18"/>
  <c r="M18"/>
  <c r="DJ16"/>
  <c r="DI16"/>
  <c r="BV10"/>
  <c r="BU10"/>
  <c r="AD26"/>
  <c r="AE26"/>
  <c r="AE10"/>
  <c r="M17"/>
  <c r="EQ17"/>
  <c r="N17"/>
  <c r="I17"/>
  <c r="EN17"/>
  <c r="EM17"/>
  <c r="I16"/>
  <c r="EN16"/>
  <c r="EM16"/>
  <c r="BU15"/>
  <c r="BU28"/>
  <c r="BV15"/>
  <c r="AZ28"/>
  <c r="AZ27"/>
  <c r="BA11"/>
  <c r="BB11"/>
  <c r="EM13"/>
  <c r="I13"/>
  <c r="EN13"/>
  <c r="R28"/>
  <c r="EW11"/>
  <c r="P28"/>
  <c r="EU11"/>
  <c r="S28"/>
  <c r="EX11"/>
  <c r="EM15"/>
  <c r="I15"/>
  <c r="EN15"/>
  <c r="EO10"/>
  <c r="K10"/>
  <c r="CL28"/>
  <c r="CM11"/>
  <c r="CM28"/>
  <c r="CJ28"/>
  <c r="CK11"/>
  <c r="CK28"/>
  <c r="EC10"/>
  <c r="ED10"/>
  <c r="EZ22"/>
  <c r="ET12"/>
  <c r="EX21"/>
  <c r="EU21"/>
  <c r="EW19"/>
  <c r="EX19"/>
  <c r="EU18"/>
  <c r="EX18"/>
  <c r="EU14"/>
  <c r="EF28"/>
  <c r="BV28"/>
  <c r="EG28"/>
  <c r="DP28"/>
  <c r="DP27"/>
  <c r="EY17"/>
  <c r="EV17"/>
  <c r="EZ16"/>
  <c r="BD28"/>
  <c r="ET13"/>
  <c r="ET15"/>
  <c r="EW10"/>
  <c r="BD27"/>
  <c r="BI27"/>
  <c r="CT27"/>
  <c r="BC27"/>
  <c r="EQ22"/>
  <c r="EV20"/>
  <c r="CC27"/>
  <c r="CB27"/>
  <c r="AL27"/>
  <c r="EG27"/>
  <c r="EV22"/>
  <c r="EM14"/>
  <c r="DL28"/>
  <c r="BP28"/>
  <c r="DX28"/>
  <c r="ET14"/>
  <c r="EY12"/>
  <c r="EE28"/>
  <c r="EE27"/>
  <c r="ET21"/>
  <c r="ET19"/>
  <c r="ET18"/>
  <c r="BZ28"/>
  <c r="BZ27"/>
  <c r="AJ28"/>
  <c r="EW14"/>
  <c r="EW12"/>
  <c r="BW28"/>
  <c r="BW27"/>
  <c r="EX17"/>
  <c r="EV16"/>
  <c r="BC28"/>
  <c r="BE28"/>
  <c r="BE27"/>
  <c r="EZ13"/>
  <c r="EZ15"/>
  <c r="EY10"/>
  <c r="EM23"/>
  <c r="I23"/>
  <c r="EN23"/>
  <c r="EZ25"/>
  <c r="AG23"/>
  <c r="AH23"/>
  <c r="CP22"/>
  <c r="CO22"/>
  <c r="BP27"/>
  <c r="BQ25"/>
  <c r="BQ27"/>
  <c r="CJ27"/>
  <c r="CK25"/>
  <c r="CK27"/>
  <c r="AX27"/>
  <c r="AY25"/>
  <c r="EO23"/>
  <c r="K23"/>
  <c r="EP23"/>
  <c r="R27"/>
  <c r="EW25"/>
  <c r="P27"/>
  <c r="EU25"/>
  <c r="EX25"/>
  <c r="S27"/>
  <c r="EC22"/>
  <c r="ED22"/>
  <c r="EC20"/>
  <c r="ED20"/>
  <c r="DJ19"/>
  <c r="DI19"/>
  <c r="CO19"/>
  <c r="CP19"/>
  <c r="BB23"/>
  <c r="BA23"/>
  <c r="AH21"/>
  <c r="AG21"/>
  <c r="CP18"/>
  <c r="CO18"/>
  <c r="AD27"/>
  <c r="AE25"/>
  <c r="AE27"/>
  <c r="DJ21"/>
  <c r="DI21"/>
  <c r="CO21"/>
  <c r="CP21"/>
  <c r="DX27"/>
  <c r="DY25"/>
  <c r="DY27"/>
  <c r="CO13"/>
  <c r="CP13"/>
  <c r="DI18"/>
  <c r="DJ18"/>
  <c r="AH13"/>
  <c r="AG13"/>
  <c r="EM21"/>
  <c r="I21"/>
  <c r="EN21"/>
  <c r="EM19"/>
  <c r="I19"/>
  <c r="EN19"/>
  <c r="EM18"/>
  <c r="I18"/>
  <c r="EN18"/>
  <c r="AH16"/>
  <c r="AG16"/>
  <c r="DD28"/>
  <c r="DD27"/>
  <c r="DE11"/>
  <c r="DE28"/>
  <c r="EC17"/>
  <c r="ED17"/>
  <c r="EC15"/>
  <c r="ED15"/>
  <c r="EC13"/>
  <c r="ED13"/>
  <c r="EB28"/>
  <c r="EB27"/>
  <c r="EC11"/>
  <c r="ED11"/>
  <c r="ED28"/>
  <c r="DI17"/>
  <c r="DJ17"/>
  <c r="AV28"/>
  <c r="AW11"/>
  <c r="AW28"/>
  <c r="CO10"/>
  <c r="CP10"/>
  <c r="J28"/>
  <c r="EO11"/>
  <c r="EO28"/>
  <c r="K11"/>
  <c r="L28"/>
  <c r="EQ11"/>
  <c r="M11"/>
  <c r="N11"/>
  <c r="O28"/>
  <c r="O27"/>
  <c r="ET11"/>
  <c r="DI12"/>
  <c r="DJ12"/>
  <c r="DI14"/>
  <c r="DJ14"/>
  <c r="DZ26"/>
  <c r="EA26"/>
  <c r="EA10"/>
  <c r="ES22"/>
  <c r="AI27"/>
  <c r="EF27"/>
  <c r="EU23"/>
  <c r="EV23"/>
  <c r="EZ23"/>
  <c r="ER22"/>
  <c r="EX20"/>
  <c r="DQ27"/>
  <c r="BX27"/>
  <c r="EH27"/>
  <c r="EX22"/>
  <c r="DQ28"/>
  <c r="BT28"/>
  <c r="BT27"/>
  <c r="EY14"/>
  <c r="EJ28"/>
  <c r="EJ27"/>
  <c r="EZ21"/>
  <c r="EZ19"/>
  <c r="EZ18"/>
  <c r="EW18"/>
  <c r="EU12"/>
  <c r="AN28"/>
  <c r="AN27"/>
  <c r="EW17"/>
  <c r="ET17"/>
  <c r="EW16"/>
  <c r="EY16"/>
  <c r="EX16"/>
  <c r="EY13"/>
  <c r="EV13"/>
  <c r="EY15"/>
  <c r="EV15"/>
  <c r="EU10"/>
  <c r="EX10"/>
  <c r="CW28"/>
  <c r="CL27"/>
  <c r="CM25"/>
  <c r="CM27"/>
  <c r="BV20"/>
  <c r="BU20"/>
  <c r="ER20"/>
  <c r="AH25"/>
  <c r="AF27"/>
  <c r="AG25"/>
  <c r="CN27"/>
  <c r="CO25"/>
  <c r="CO27"/>
  <c r="CP25"/>
  <c r="CP27"/>
  <c r="AV27"/>
  <c r="AW25"/>
  <c r="AW27"/>
  <c r="K25"/>
  <c r="J27"/>
  <c r="EO25"/>
  <c r="L27"/>
  <c r="EQ25"/>
  <c r="M25"/>
  <c r="N25"/>
  <c r="ET25"/>
  <c r="DI23"/>
  <c r="DJ23"/>
  <c r="BV25"/>
  <c r="BV27"/>
  <c r="BU25"/>
  <c r="BU27"/>
  <c r="DI20"/>
  <c r="DJ20"/>
  <c r="AG20"/>
  <c r="AH20"/>
  <c r="ES20"/>
  <c r="DZ27"/>
  <c r="EA25"/>
  <c r="EA27"/>
  <c r="EC14"/>
  <c r="ED14"/>
  <c r="BA14"/>
  <c r="BB14"/>
  <c r="BR26"/>
  <c r="BS26"/>
  <c r="BS10"/>
  <c r="AH15"/>
  <c r="AG15"/>
  <c r="EO12"/>
  <c r="K12"/>
  <c r="EP12"/>
  <c r="DH28"/>
  <c r="DH27"/>
  <c r="DJ11"/>
  <c r="DJ28"/>
  <c r="DI11"/>
  <c r="DI28"/>
  <c r="K19"/>
  <c r="EP19"/>
  <c r="EO19"/>
  <c r="EO18"/>
  <c r="K18"/>
  <c r="EP18"/>
  <c r="BR28"/>
  <c r="BR27"/>
  <c r="BS11"/>
  <c r="BS28"/>
  <c r="AB28"/>
  <c r="AB27"/>
  <c r="AC11"/>
  <c r="AC28"/>
  <c r="AG18"/>
  <c r="AH18"/>
  <c r="BA15"/>
  <c r="BB15"/>
  <c r="BA13"/>
  <c r="BB13"/>
  <c r="AH17"/>
  <c r="AG17"/>
  <c r="EO17"/>
  <c r="K17"/>
  <c r="EP17"/>
  <c r="K16"/>
  <c r="EP16"/>
  <c r="EO16"/>
  <c r="M16"/>
  <c r="ER16"/>
  <c r="EQ16"/>
  <c r="N16"/>
  <c r="ES16"/>
  <c r="AX28"/>
  <c r="AY11"/>
  <c r="AY28"/>
  <c r="EQ13"/>
  <c r="M13"/>
  <c r="ER13"/>
  <c r="N13"/>
  <c r="H28"/>
  <c r="H27"/>
  <c r="EM11"/>
  <c r="EM28"/>
  <c r="I11"/>
  <c r="U28"/>
  <c r="U27"/>
  <c r="EZ11"/>
  <c r="BA10"/>
  <c r="BB10"/>
  <c r="EQ15"/>
  <c r="M15"/>
  <c r="N15"/>
  <c r="ES15"/>
  <c r="AG12"/>
  <c r="AH12"/>
  <c r="M10"/>
  <c r="ER10"/>
  <c r="N10"/>
  <c r="EQ10"/>
  <c r="AG14"/>
  <c r="AH14"/>
  <c r="EZ20"/>
  <c r="DK27"/>
  <c r="CW27"/>
  <c r="ET23"/>
  <c r="EM22"/>
  <c r="EY20"/>
  <c r="ET20"/>
  <c r="DL27"/>
  <c r="DO27"/>
  <c r="AJ27"/>
  <c r="AM27"/>
  <c r="EY22"/>
  <c r="ET22"/>
  <c r="EM12"/>
  <c r="DN28"/>
  <c r="DN27"/>
  <c r="AI28"/>
  <c r="EW21"/>
  <c r="EV21"/>
  <c r="EY21"/>
  <c r="EV19"/>
  <c r="EY19"/>
  <c r="EV18"/>
  <c r="EY18"/>
  <c r="DO28"/>
  <c r="EK28"/>
  <c r="EK27"/>
  <c r="EZ14"/>
  <c r="EZ12"/>
  <c r="DK28"/>
  <c r="AO28"/>
  <c r="AO27"/>
  <c r="EZ17"/>
  <c r="ET16"/>
  <c r="BH28"/>
  <c r="BH27"/>
  <c r="EU13"/>
  <c r="EX13"/>
  <c r="EU15"/>
  <c r="EX15"/>
  <c r="ET10"/>
  <c r="EV10"/>
  <c r="CS28"/>
  <c r="CS27"/>
  <c r="CU28"/>
  <c r="CU27"/>
  <c r="CH28" i="3"/>
  <c r="CT11"/>
  <c r="EP10"/>
  <c r="EL28"/>
  <c r="CL27"/>
  <c r="EJ27"/>
  <c r="EO23"/>
  <c r="EN27"/>
  <c r="EO19"/>
  <c r="EO20"/>
  <c r="EO21"/>
  <c r="EP22"/>
  <c r="Z27"/>
  <c r="EP15"/>
  <c r="ET28"/>
  <c r="ET27"/>
  <c r="BP27"/>
  <c r="AY27"/>
  <c r="CJ27"/>
  <c r="I28"/>
  <c r="I27"/>
  <c r="EM11"/>
  <c r="EM28"/>
  <c r="EK25"/>
  <c r="G27"/>
  <c r="CH27"/>
  <c r="CT25"/>
  <c r="EO25"/>
  <c r="K27"/>
  <c r="K28"/>
  <c r="EO11"/>
  <c r="EO14"/>
  <c r="EV25"/>
  <c r="EP23"/>
  <c r="AV27"/>
  <c r="AX28"/>
  <c r="DG28"/>
  <c r="DG27"/>
  <c r="EO12"/>
  <c r="EK15"/>
  <c r="EP20"/>
  <c r="DZ28"/>
  <c r="DZ27"/>
  <c r="EK12"/>
  <c r="EO15"/>
  <c r="BN27"/>
  <c r="L28"/>
  <c r="EP11"/>
  <c r="EU28"/>
  <c r="EU27"/>
  <c r="EP12"/>
  <c r="EO16"/>
  <c r="EL27"/>
  <c r="EP21"/>
  <c r="EA28"/>
  <c r="EA27"/>
  <c r="AD28"/>
  <c r="AD27"/>
  <c r="CM28"/>
  <c r="CM27"/>
  <c r="EK17"/>
  <c r="AX27"/>
  <c r="CR27"/>
  <c r="G28"/>
  <c r="EK11"/>
  <c r="L27"/>
  <c r="EP25"/>
  <c r="EM25"/>
  <c r="EV28"/>
  <c r="CS28"/>
  <c r="CS27"/>
  <c r="EP13"/>
  <c r="EQ28"/>
  <c r="EQ27"/>
  <c r="EP14"/>
  <c r="BS27"/>
  <c r="ES28"/>
  <c r="ES27"/>
  <c r="EP16"/>
  <c r="EP19"/>
  <c r="EO22"/>
  <c r="EN28"/>
  <c r="AE28"/>
  <c r="AE27"/>
  <c r="EK14"/>
  <c r="CL28"/>
  <c r="ER27"/>
  <c r="DX27"/>
  <c r="CP27"/>
  <c r="DD27"/>
  <c r="EK18"/>
  <c r="EP25" i="2"/>
  <c r="K27"/>
  <c r="N28"/>
  <c r="N27"/>
  <c r="ES11"/>
  <c r="K28"/>
  <c r="EP11"/>
  <c r="EP28"/>
  <c r="ES13"/>
  <c r="EW27"/>
  <c r="AY27"/>
  <c r="EO26"/>
  <c r="BA28"/>
  <c r="ES17"/>
  <c r="ED27"/>
  <c r="ER23"/>
  <c r="ER14"/>
  <c r="EM27"/>
  <c r="ER25"/>
  <c r="EN25"/>
  <c r="ER15"/>
  <c r="EZ28"/>
  <c r="EZ27"/>
  <c r="EP10"/>
  <c r="EX28"/>
  <c r="EW28"/>
  <c r="BB28"/>
  <c r="ES18"/>
  <c r="ER19"/>
  <c r="AC27"/>
  <c r="DE27"/>
  <c r="ES23"/>
  <c r="EY28"/>
  <c r="EY27"/>
  <c r="ER12"/>
  <c r="ES14"/>
  <c r="DI27"/>
  <c r="BA27"/>
  <c r="ES25"/>
  <c r="ES10"/>
  <c r="EO27"/>
  <c r="ET28"/>
  <c r="EQ28"/>
  <c r="EQ27"/>
  <c r="EC28"/>
  <c r="ER17"/>
  <c r="ES19"/>
  <c r="ER21"/>
  <c r="ES12"/>
  <c r="AH28"/>
  <c r="AH27"/>
  <c r="DJ27"/>
  <c r="BB27"/>
  <c r="I28"/>
  <c r="I27"/>
  <c r="EN11"/>
  <c r="EN28"/>
  <c r="M28"/>
  <c r="M27"/>
  <c r="ER11"/>
  <c r="ET27"/>
  <c r="EX27"/>
  <c r="EU28"/>
  <c r="EU27"/>
  <c r="ER18"/>
  <c r="ES21"/>
  <c r="EC27"/>
  <c r="BS27"/>
  <c r="EV27"/>
  <c r="EV28"/>
  <c r="AG28"/>
  <c r="AG27"/>
  <c r="CT28" i="3"/>
  <c r="EW11"/>
  <c r="EW28"/>
  <c r="CT27"/>
  <c r="EW25"/>
  <c r="EV27"/>
  <c r="EO28"/>
  <c r="EM27"/>
  <c r="EK28"/>
  <c r="EP28"/>
  <c r="EP27"/>
  <c r="EO27"/>
  <c r="EK27"/>
  <c r="EN27" i="2"/>
  <c r="ER28"/>
  <c r="ER27"/>
  <c r="ES28"/>
  <c r="ES27"/>
  <c r="EP27"/>
  <c r="EW27" i="3"/>
  <c r="K188" i="5"/>
</calcChain>
</file>

<file path=xl/sharedStrings.xml><?xml version="1.0" encoding="utf-8"?>
<sst xmlns="http://schemas.openxmlformats.org/spreadsheetml/2006/main" count="11077" uniqueCount="549">
  <si>
    <t>SCC :</t>
  </si>
  <si>
    <t>VOC</t>
  </si>
  <si>
    <t>PM10</t>
  </si>
  <si>
    <t>PM2.5</t>
  </si>
  <si>
    <t>ANNUAL</t>
  </si>
  <si>
    <t>VOC TPY</t>
  </si>
  <si>
    <t>NOX TPY</t>
  </si>
  <si>
    <t>NOX PO</t>
  </si>
  <si>
    <t>CO TPY</t>
  </si>
  <si>
    <t>CO PO</t>
  </si>
  <si>
    <t>CO PC</t>
  </si>
  <si>
    <t xml:space="preserve"> ---------------------</t>
  </si>
  <si>
    <t>COUNTY</t>
  </si>
  <si>
    <t>EM.EF</t>
  </si>
  <si>
    <t>TPSD</t>
  </si>
  <si>
    <t>EM.FAC</t>
  </si>
  <si>
    <t>TPWD</t>
  </si>
  <si>
    <t>SO2 TPY</t>
  </si>
  <si>
    <t>FILT</t>
  </si>
  <si>
    <t>COUNTIES</t>
  </si>
  <si>
    <t>UNITS</t>
  </si>
  <si>
    <t>%</t>
  </si>
  <si>
    <t>ACTIVITY</t>
  </si>
  <si>
    <t>10LB/TON</t>
  </si>
  <si>
    <t>*.0</t>
  </si>
  <si>
    <t xml:space="preserve"> * 0</t>
  </si>
  <si>
    <t xml:space="preserve"> /182</t>
  </si>
  <si>
    <t>========</t>
  </si>
  <si>
    <t>=========</t>
  </si>
  <si>
    <t>====</t>
  </si>
  <si>
    <t>=======</t>
  </si>
  <si>
    <t xml:space="preserve">    ========</t>
  </si>
  <si>
    <t xml:space="preserve"> =====</t>
  </si>
  <si>
    <t xml:space="preserve">    =========</t>
  </si>
  <si>
    <t xml:space="preserve"> =======</t>
  </si>
  <si>
    <t xml:space="preserve"> ======</t>
  </si>
  <si>
    <t>BARNSTABLE</t>
  </si>
  <si>
    <t>BERKSHIRE</t>
  </si>
  <si>
    <t>BRISTOL</t>
  </si>
  <si>
    <t>DUKES</t>
  </si>
  <si>
    <t>ESSEX</t>
  </si>
  <si>
    <t>FRANKLIN</t>
  </si>
  <si>
    <t>HAMPDEN</t>
  </si>
  <si>
    <t>HAMPSHIRE</t>
  </si>
  <si>
    <t>MIDDLESEX</t>
  </si>
  <si>
    <t>NANTUCKET</t>
  </si>
  <si>
    <t>NORFOLK</t>
  </si>
  <si>
    <t>PLYMOUTH</t>
  </si>
  <si>
    <t>SUFFOLK</t>
  </si>
  <si>
    <t>WORCESTER</t>
  </si>
  <si>
    <t>STATE</t>
  </si>
  <si>
    <t>3.1-2</t>
  </si>
  <si>
    <t>W.MA</t>
  </si>
  <si>
    <t>2,000 TONS  (NO SSEIS FUEL USE)</t>
  </si>
  <si>
    <t>OCCUPIED</t>
  </si>
  <si>
    <t>HOUSING</t>
  </si>
  <si>
    <t xml:space="preserve">Emission factors from PECHAN/EPA-ERTAC </t>
  </si>
  <si>
    <t>http://projects.pechan.com/EPA/Non-Point_Emission_Estimates/index.html#ResidentialHeating</t>
  </si>
  <si>
    <t>ERTAC EM FACTORS</t>
  </si>
  <si>
    <t>9.1 LB/TON</t>
  </si>
  <si>
    <t>275 LB/TON</t>
  </si>
  <si>
    <t>31 LB/TON</t>
  </si>
  <si>
    <t>6.24LB/TON</t>
  </si>
  <si>
    <t>PRI</t>
  </si>
  <si>
    <t>6.28LB/TON</t>
  </si>
  <si>
    <t>3.84LB/TON</t>
  </si>
  <si>
    <t>3.88LB/TON</t>
  </si>
  <si>
    <t>E.MA</t>
  </si>
  <si>
    <t>PM-CON</t>
  </si>
  <si>
    <t>0.04LB/TON</t>
  </si>
  <si>
    <t>NH3</t>
  </si>
  <si>
    <t>2 LB/TON</t>
  </si>
  <si>
    <t xml:space="preserve"> 21-04-002-000</t>
  </si>
  <si>
    <t>Adj for: SO2 sulfur from 1.0% to 0.3%</t>
  </si>
  <si>
    <t xml:space="preserve"> 21-04-004-000</t>
  </si>
  <si>
    <t>ERTAC: PM-FIL + PM-CON = PM-PRI</t>
  </si>
  <si>
    <t>SO2</t>
  </si>
  <si>
    <t>SUMMER</t>
  </si>
  <si>
    <t>EF 142LB</t>
  </si>
  <si>
    <t>PM10-PRI</t>
  </si>
  <si>
    <t>PM10-FIL</t>
  </si>
  <si>
    <t>PM25-PRI</t>
  </si>
  <si>
    <t>PM25-FIL</t>
  </si>
  <si>
    <t xml:space="preserve">VOC </t>
  </si>
  <si>
    <t>NOX</t>
  </si>
  <si>
    <t xml:space="preserve">CO </t>
  </si>
  <si>
    <t>* 0.3 sulf</t>
  </si>
  <si>
    <t>2.38 LB</t>
  </si>
  <si>
    <t>1.08 LB</t>
  </si>
  <si>
    <t>2.13 LB</t>
  </si>
  <si>
    <t>0.83 LB</t>
  </si>
  <si>
    <t>1.3 LB</t>
  </si>
  <si>
    <t>1.0 LB</t>
  </si>
  <si>
    <t>0.713 LB</t>
  </si>
  <si>
    <t xml:space="preserve"> =42.6 lb/k.gal</t>
  </si>
  <si>
    <t xml:space="preserve"> /k.gall</t>
  </si>
  <si>
    <t>E3 GAL</t>
  </si>
  <si>
    <t>PER DAY</t>
  </si>
  <si>
    <t>T.GAL</t>
  </si>
  <si>
    <t xml:space="preserve"> * 0.09</t>
  </si>
  <si>
    <t>18 LB/TGAL</t>
  </si>
  <si>
    <t>5 LB/TGAL</t>
  </si>
  <si>
    <t>TPY</t>
  </si>
  <si>
    <t>No residential residual oil in EIA - SSEIS 232 E3Gal residual counted as distillate.</t>
  </si>
  <si>
    <t>3.1-3</t>
  </si>
  <si>
    <t>ERTAC &amp; AP-42 T.1.3-1 to 1.3-3</t>
  </si>
  <si>
    <t xml:space="preserve"> 21-04-006-000</t>
  </si>
  <si>
    <t>CENSUS</t>
  </si>
  <si>
    <t>20 LB</t>
  </si>
  <si>
    <t>PECHAN/EPA</t>
  </si>
  <si>
    <t>0.2 + .32</t>
  </si>
  <si>
    <t>0.11 + .32</t>
  </si>
  <si>
    <t xml:space="preserve">OCCUPIED </t>
  </si>
  <si>
    <t>SUM DY</t>
  </si>
  <si>
    <t>5.5lb</t>
  </si>
  <si>
    <t>EF 94 LB</t>
  </si>
  <si>
    <t>EF 40 LB</t>
  </si>
  <si>
    <t>EF 0.6 LB</t>
  </si>
  <si>
    <t>EF 0.2 LB</t>
  </si>
  <si>
    <t>EF 0.52 LB</t>
  </si>
  <si>
    <t>0.11 LB</t>
  </si>
  <si>
    <t>EF 0.43 LB</t>
  </si>
  <si>
    <t xml:space="preserve"> * 0.09/92</t>
  </si>
  <si>
    <t>MCUFT</t>
  </si>
  <si>
    <t>3.1-4</t>
  </si>
  <si>
    <t xml:space="preserve"> 21-04-011-000</t>
  </si>
  <si>
    <t>AP-42 T.1.3-1 to 1.3-3  ERTAC EM FACTORS</t>
  </si>
  <si>
    <t>PM10 PRI</t>
  </si>
  <si>
    <t>PM10 FIL</t>
  </si>
  <si>
    <t>PM2.5PRI</t>
  </si>
  <si>
    <t>PM2.5FIL</t>
  </si>
  <si>
    <t>DAY</t>
  </si>
  <si>
    <t xml:space="preserve">NOX </t>
  </si>
  <si>
    <t>CO</t>
  </si>
  <si>
    <t>142LB</t>
  </si>
  <si>
    <t>2.34 LB</t>
  </si>
  <si>
    <t>1.044 LB</t>
  </si>
  <si>
    <t>2.10 LB</t>
  </si>
  <si>
    <t>0.8 LB</t>
  </si>
  <si>
    <t>*.03 SULF</t>
  </si>
  <si>
    <t>K.GAL</t>
  </si>
  <si>
    <t>42.6 LB/KGAL</t>
  </si>
  <si>
    <t>3.1-5</t>
  </si>
  <si>
    <t xml:space="preserve"> 21-04-007-000</t>
  </si>
  <si>
    <t>ERTAC &amp;</t>
  </si>
  <si>
    <t>AP-42 T.1.3-1 to 1.3-3</t>
  </si>
  <si>
    <t xml:space="preserve">OWNER </t>
  </si>
  <si>
    <t>OSD</t>
  </si>
  <si>
    <t>.02 + .03</t>
  </si>
  <si>
    <t>.01 + .03</t>
  </si>
  <si>
    <t>0.02 LB</t>
  </si>
  <si>
    <t>0.05 LB</t>
  </si>
  <si>
    <t>0.01LB</t>
  </si>
  <si>
    <t>0.04 LB</t>
  </si>
  <si>
    <t xml:space="preserve">HOUSING </t>
  </si>
  <si>
    <t>0.52LB</t>
  </si>
  <si>
    <t>0.06 LB</t>
  </si>
  <si>
    <t>0.03 LB</t>
  </si>
  <si>
    <t>INITS</t>
  </si>
  <si>
    <t xml:space="preserve"> * 0.09/92DYS</t>
  </si>
  <si>
    <t>13.4 LB/TGAL</t>
  </si>
  <si>
    <t>3.8 LB/TGAL</t>
  </si>
  <si>
    <t>3.1-6</t>
  </si>
  <si>
    <t>FROM ERTAC/PECHAN WOODBURNING TOOL</t>
  </si>
  <si>
    <t>NOx</t>
  </si>
  <si>
    <t>SUMM</t>
  </si>
  <si>
    <t>WINT</t>
  </si>
  <si>
    <t xml:space="preserve"> /92 DAYS</t>
  </si>
  <si>
    <t xml:space="preserve"> /90 DAYS</t>
  </si>
  <si>
    <t>TOTAL</t>
  </si>
  <si>
    <t>ALL EMISS</t>
  </si>
  <si>
    <t>INDOOR</t>
  </si>
  <si>
    <t>OUTD</t>
  </si>
  <si>
    <t>OUTD-.25</t>
  </si>
  <si>
    <t xml:space="preserve">  ======</t>
  </si>
  <si>
    <t>PM25 PRI</t>
  </si>
  <si>
    <t xml:space="preserve"> UNITS</t>
  </si>
  <si>
    <t>3.1-7</t>
  </si>
  <si>
    <t>3.1-8</t>
  </si>
  <si>
    <t>ks/inv2011/Area/Section 3.4-2 Fuel-Combo-Residential Dec 4 2012</t>
  </si>
  <si>
    <t xml:space="preserve">   APPENDIX TABLE 3.1-2   RESIDENTIAL BITUMINOUS  COAL EMISSIONS 2011</t>
  </si>
  <si>
    <t xml:space="preserve">   APPENDIX TABLE 3.1-3   RESIDENTIAL DISTILLATE OIL EMISSIONS 2011</t>
  </si>
  <si>
    <t xml:space="preserve">   APPENDIX TABLE 3.1-4   RESIDENTIAL NATURAL GAS EMISSIONS 2011</t>
  </si>
  <si>
    <t xml:space="preserve">Emission factors from EPA-ERTAC </t>
  </si>
  <si>
    <t xml:space="preserve">EIA 15,021 E3 BARRELS * 42 GAL = 630,882 KGAL     SSEIS = 1,194.34 K GAL  AREA NET = 629,687.66 KGAL </t>
  </si>
  <si>
    <t xml:space="preserve">   APPENDIX TABLE 3.1-5   RESIDENTIAL KEROSENE EMISSIONS 2011</t>
  </si>
  <si>
    <t xml:space="preserve">EIA 100 K BARRELS * 42 GALLS = 4,200 K gall - SSEIS - NO FUEL USE IN 2011                 </t>
  </si>
  <si>
    <t>0.68 LB</t>
  </si>
  <si>
    <t>17.4LB/TGAL</t>
  </si>
  <si>
    <t>0.964LB</t>
  </si>
  <si>
    <t>4.82 LB/</t>
  </si>
  <si>
    <t xml:space="preserve">EIA = 1,687 K BARRELS * 42 = 70,854  K gall - SSEIS = 0                  </t>
  </si>
  <si>
    <t>EIA 126,000 M.CUFT - SSEIS 556.8 M.CU FT     NET AREA = 125,443.2  M.CU FT</t>
  </si>
  <si>
    <t xml:space="preserve">   APPENDIX TABLE 3.1-6   RESIDENTIAL LIQUID PETROLEUM GAS EMISSIONS 2011</t>
  </si>
  <si>
    <t xml:space="preserve">   APPENDIX TABLE 3.1-7   RESIDENTIAL WOODBURNING EMISSIONS 2011</t>
  </si>
  <si>
    <t>OUTDOOR</t>
  </si>
  <si>
    <t>WINT-OUTD</t>
  </si>
  <si>
    <t>OUT 0.125</t>
  </si>
  <si>
    <t>ks/inv2011/Area/Section 3.4-2 Fuel-Combo-Residential Mar 13, 2013</t>
  </si>
  <si>
    <t>OUTD-0.125</t>
  </si>
  <si>
    <t>FROM ERTAC/EPA WOODBURNING TOOL</t>
  </si>
  <si>
    <t>IND 0.46/.90</t>
  </si>
  <si>
    <t xml:space="preserve">  * 0.46 /92</t>
  </si>
  <si>
    <t xml:space="preserve">  =====</t>
  </si>
  <si>
    <t xml:space="preserve">   APPENDIX TABLE 3.1-7   RESIDENTIAL WOODBURNING EMISSIONS 2011 (Contd)</t>
  </si>
  <si>
    <t>APPENDIX TABLE 3.1-9 TOTAL REDIDENTIAL FUEL ALL COMBUSTION SECTIONS EMISSIONS ANNUAL AND SEASONAL DAY</t>
  </si>
  <si>
    <t>3.1-9</t>
  </si>
  <si>
    <t>APPENDIX TABLE 3.2-1 COMMERCIAL BITUMINOUS COAL EMISSIONS 2011</t>
  </si>
  <si>
    <t>APPENDIX TABLE 3.2-2 COMMERCIAL DISTILLATE OIL EMISSIONS 2011</t>
  </si>
  <si>
    <t>APPENDIX TABLE 3.2-3 COMMERCIAL RESIDUAL OIL EMISSIONS 2011</t>
  </si>
  <si>
    <t>APPENDIX TABLE 3.2-4      COMMERCIAL/INSTITUTIONAL NATURAL GAS EMISSIONS 2011</t>
  </si>
  <si>
    <t>APPENDIX TABLE 3.2-5     COMMERCIAL KEROSENE OIL EMISSIONS 2011</t>
  </si>
  <si>
    <t>APPENDIX TABLE 3.2-6 COMMERCIAL LIQUID PETROLEUM GAS EMISSIONS 2011</t>
  </si>
  <si>
    <t>APPENDIX TABLE 3.2-7     COMMERCIAL WOOD PRODUCTS EMISSIONS 2011</t>
  </si>
  <si>
    <t xml:space="preserve">     TABLE 3.4-4  </t>
  </si>
  <si>
    <t>ks/inv2011/Area/Section 3.4-2 Fuel Combo-Commercial-2011</t>
  </si>
  <si>
    <t xml:space="preserve">ERTAC &amp; AP-42 T.1.3-1 to 1.3-7 </t>
  </si>
  <si>
    <t xml:space="preserve">     APPENDIX TABLE 3.2-8  TOTAL COMMERCIAL FUEL COMBUSTION EMISSIONS ANNUAL &amp; SEASONAL DAY 2011</t>
  </si>
  <si>
    <t>Dec 6 2012</t>
  </si>
  <si>
    <t xml:space="preserve"> 21-03-002-000</t>
  </si>
  <si>
    <t>April 2 2013</t>
  </si>
  <si>
    <t xml:space="preserve"> 21-03-004-000</t>
  </si>
  <si>
    <t>AP-42 T.1.3-1 to 1.3-7</t>
  </si>
  <si>
    <t>Adj % Sulfur from 1.0% to 0.3%</t>
  </si>
  <si>
    <t>PM25</t>
  </si>
  <si>
    <t>664 K.Barrels * 42 Galls = 27,888 K galls - SSEIS 9797.9 K.galls  = 18,090.1 K.galls</t>
  </si>
  <si>
    <t>SCC : 21-03-006-000</t>
  </si>
  <si>
    <t xml:space="preserve">ERTAC &amp; AP-42 T.1.5-1 </t>
  </si>
  <si>
    <t>SCC  21-03-011-000</t>
  </si>
  <si>
    <t>ERTAC &amp; AP-42 T.1.3-1 to 1.3-3 -For dist oil</t>
  </si>
  <si>
    <t xml:space="preserve"> 21-03-007-000</t>
  </si>
  <si>
    <t>ERTAC &amp; AP-42 T.1.5-1</t>
  </si>
  <si>
    <t xml:space="preserve"> 21-03-008-000</t>
  </si>
  <si>
    <t>AP-42 T.1.6-1-2</t>
  </si>
  <si>
    <t xml:space="preserve">EIA 0 TONS - SSEIS 0 TONS  NET = 0 Tons </t>
  </si>
  <si>
    <t>5,597 K.BARRELS * 42 = 235,074 K.galls - SSEIS 10,826.5 Kgalls* = 224,247.5 K.galls</t>
  </si>
  <si>
    <t>PM-</t>
  </si>
  <si>
    <t xml:space="preserve"> 21-03-005-000</t>
  </si>
  <si>
    <t xml:space="preserve">PM10 </t>
  </si>
  <si>
    <t xml:space="preserve">PM25 </t>
  </si>
  <si>
    <t xml:space="preserve">PM </t>
  </si>
  <si>
    <t xml:space="preserve">EIA71,000 M.CUFT - SSEIS 18,122.7 M.CUFT    NET = 52,426.5 M.CUFT </t>
  </si>
  <si>
    <t>EIA 47 K.BARRELS * 42 = 1,974K.galls - SSEIS 812.4 K.galls = 1,161.6 Kgalls</t>
  </si>
  <si>
    <t xml:space="preserve">EIA 584 K BARRELS * 42 = 24,528 K gall - SSEIS 129.4 K GALL   NET = 24,398.6 K GALL                  </t>
  </si>
  <si>
    <t xml:space="preserve">EIA 1.37 trillion btu = 1,370,000 mmbtu   - SSEIS 17,790.2 tons * 7,750 btu/lb or 275,748 mmbtu = 1,094,252 mmbtu*                  </t>
  </si>
  <si>
    <t>COMM</t>
  </si>
  <si>
    <t xml:space="preserve">ANN  </t>
  </si>
  <si>
    <t>144LB</t>
  </si>
  <si>
    <t>FIL</t>
  </si>
  <si>
    <t>1.080 + 1.3</t>
  </si>
  <si>
    <t>.83 + 1.3</t>
  </si>
  <si>
    <t>CON</t>
  </si>
  <si>
    <t>353.29lb</t>
  </si>
  <si>
    <t xml:space="preserve">SUMMER </t>
  </si>
  <si>
    <t>PM2.5-PRI</t>
  </si>
  <si>
    <t>PM2.5-FIL</t>
  </si>
  <si>
    <t>ALL EMP</t>
  </si>
  <si>
    <t>MANUF</t>
  </si>
  <si>
    <t>INST</t>
  </si>
  <si>
    <t>CNTY</t>
  </si>
  <si>
    <t>13.04 LB</t>
  </si>
  <si>
    <t>12.0 LB</t>
  </si>
  <si>
    <t>2.44 LB</t>
  </si>
  <si>
    <t>1.4 LB</t>
  </si>
  <si>
    <t>1.04 LB</t>
  </si>
  <si>
    <t xml:space="preserve">DAY </t>
  </si>
  <si>
    <t>* 0.3% sulf</t>
  </si>
  <si>
    <t>1.080 lb</t>
  </si>
  <si>
    <t>*0.3</t>
  </si>
  <si>
    <t>3.65 LB</t>
  </si>
  <si>
    <t>2.86 LB</t>
  </si>
  <si>
    <t>1.36 LB</t>
  </si>
  <si>
    <t>1.5 LB</t>
  </si>
  <si>
    <t>NON-MANUF</t>
  </si>
  <si>
    <t>.20 + .32</t>
  </si>
  <si>
    <t>.11 + .32</t>
  </si>
  <si>
    <t>.0.08 LB</t>
  </si>
  <si>
    <t>0.08LB</t>
  </si>
  <si>
    <t>0.01 LB</t>
  </si>
  <si>
    <t>0.5032 LB</t>
  </si>
  <si>
    <t>0.5 LB</t>
  </si>
  <si>
    <t>PM25 FIL</t>
  </si>
  <si>
    <t>PM CON</t>
  </si>
  <si>
    <t>EMPL</t>
  </si>
  <si>
    <t>ACT</t>
  </si>
  <si>
    <t>11.0 LB</t>
  </si>
  <si>
    <t>5.0 LB</t>
  </si>
  <si>
    <t>38 LB</t>
  </si>
  <si>
    <t>TON</t>
  </si>
  <si>
    <t>0.34 LB</t>
  </si>
  <si>
    <t>42.6 lb/k.gal</t>
  </si>
  <si>
    <t>ACTIV</t>
  </si>
  <si>
    <t>0.2 LB</t>
  </si>
  <si>
    <t>105.9 lb/</t>
  </si>
  <si>
    <t>EF 100 LB</t>
  </si>
  <si>
    <t>EF 84 LB</t>
  </si>
  <si>
    <t>0.43 LB</t>
  </si>
  <si>
    <t>0.32 LB</t>
  </si>
  <si>
    <t>0.49 LB</t>
  </si>
  <si>
    <t>0.33 LB</t>
  </si>
  <si>
    <t>19.3LB/</t>
  </si>
  <si>
    <t>142 LB</t>
  </si>
  <si>
    <t>0.52 LB</t>
  </si>
  <si>
    <t>COUNT</t>
  </si>
  <si>
    <t>0.017 LB</t>
  </si>
  <si>
    <t>EF 0.22</t>
  </si>
  <si>
    <t>0.025LB</t>
  </si>
  <si>
    <t>MMBTU</t>
  </si>
  <si>
    <t>0.4345 LB</t>
  </si>
  <si>
    <t>0.00448 LB</t>
  </si>
  <si>
    <t>0.012 LB</t>
  </si>
  <si>
    <t>NAICS 31</t>
  </si>
  <si>
    <t>EMP</t>
  </si>
  <si>
    <t>*0.9/92</t>
  </si>
  <si>
    <t xml:space="preserve"> * 0.46</t>
  </si>
  <si>
    <t>*.09/92 Days</t>
  </si>
  <si>
    <t>20 LB/TGAL</t>
  </si>
  <si>
    <t>*.09/78Days</t>
  </si>
  <si>
    <t>55 LB/TGAL</t>
  </si>
  <si>
    <t>K.gal TPY</t>
  </si>
  <si>
    <t>*.09/78 DYS</t>
  </si>
  <si>
    <t>K.Gallons</t>
  </si>
  <si>
    <t>0.09/92Days</t>
  </si>
  <si>
    <t>/TGAL</t>
  </si>
  <si>
    <t>4.8LB/TGAL</t>
  </si>
  <si>
    <t>9.49 LB/</t>
  </si>
  <si>
    <t>11.95 LB</t>
  </si>
  <si>
    <t xml:space="preserve"> =========</t>
  </si>
  <si>
    <t xml:space="preserve"> -------</t>
  </si>
  <si>
    <t xml:space="preserve"> -----------------</t>
  </si>
  <si>
    <t xml:space="preserve"> ------</t>
  </si>
  <si>
    <t xml:space="preserve"> --------</t>
  </si>
  <si>
    <t>EMA</t>
  </si>
  <si>
    <t>WMA</t>
  </si>
  <si>
    <t>EW.MA</t>
  </si>
  <si>
    <t xml:space="preserve"> * 7,750 btu/lb wood pellets from: http://www.gfc.state.ga.us/utilization/forest-biomass/research/BiomassEnergyConversions.pdf</t>
  </si>
  <si>
    <t>* SSEIS fuel use is in file: ks/Inv2001/Area Sources "sseis-point-2011-sort-fuel2" 12/12/2012</t>
  </si>
  <si>
    <t>3.2-3</t>
  </si>
  <si>
    <t>3.2-6</t>
  </si>
  <si>
    <t>3.4-10</t>
  </si>
  <si>
    <t>3.2-1</t>
  </si>
  <si>
    <t>3.2-2</t>
  </si>
  <si>
    <t>3.2-4</t>
  </si>
  <si>
    <t>3.2-5</t>
  </si>
  <si>
    <t>3.2-7</t>
  </si>
  <si>
    <t>APPENDIX TABLE 3.3-1     INDUSTRIAL BITUMINOUS COAL EMISSIONS 2011</t>
  </si>
  <si>
    <t>APPENDIX TABLE 3.3-2     INDUSTRIAL DISTILLATE OIL EMISSIONS 2011</t>
  </si>
  <si>
    <t>APPENDIX TABLE 3.3-3     INDUSTRIAL RESIDUAL OIL EMISSIONS 2011</t>
  </si>
  <si>
    <t>APPENDIX TABLE 3.3-4   AREA SOURCE INDUSTRIAL NATURAL GAS EMISSIONS 2011</t>
  </si>
  <si>
    <t>APPENDIX TABLE 3.3-5     INDUSTRIAL KEROSENE OIL EMISSIONS 2011</t>
  </si>
  <si>
    <t>APPENDIX TABLE 3.3-6    INDUSTRIAL LIQUID PETROLEUM GAS EMISSIONS 2011</t>
  </si>
  <si>
    <t>APPENDIX TABLE 3.3-7     INDUSTRIAL WOOD PRODUCTS EMISSIONS 2011</t>
  </si>
  <si>
    <t xml:space="preserve">            APPENDIX  TABLE 3.3-8  TOTAL INDUSTRIAL FUEL COMBUSTION EMISSIONS ANNUAL AND SEASONAL DAY BY COUNTY 2011</t>
  </si>
  <si>
    <t>ks/inv2011/Area/Section 3.4-2 Fuel Combo-Industrial-2011</t>
  </si>
  <si>
    <t xml:space="preserve"> SCC   21-02-006-000</t>
  </si>
  <si>
    <t xml:space="preserve"> 21-02-007-000</t>
  </si>
  <si>
    <t>ERTAC</t>
  </si>
  <si>
    <t>Dec 12 2012</t>
  </si>
  <si>
    <t xml:space="preserve"> 21-02-002-000</t>
  </si>
  <si>
    <t xml:space="preserve"> 21-02-004-000</t>
  </si>
  <si>
    <t xml:space="preserve"> 21-02-005-000</t>
  </si>
  <si>
    <t xml:space="preserve">ERTAC &amp; AP-42 T.1.3-1 to 1.3-3 </t>
  </si>
  <si>
    <t xml:space="preserve">43,000 M.CUFT - SSEIS 20,379.4 M.CUFT  NET AREA SOURCE = 22,620.6 M.CUFT </t>
  </si>
  <si>
    <t xml:space="preserve"> 21-02-011-000</t>
  </si>
  <si>
    <t>ERTAC   AP-42 T.1.3-1 to 1.3-3 -For dist oil</t>
  </si>
  <si>
    <t xml:space="preserve">EIA 366 K BARRELS * 42 = 15,372 K.GALL - SSEIS 1,875.4 K.GAL = 13,496.6 K.GALL                    </t>
  </si>
  <si>
    <t xml:space="preserve"> 21-02-008-000</t>
  </si>
  <si>
    <t>AP-42 T.1.6-1-2&amp;3</t>
  </si>
  <si>
    <t>(NO EM FAC)</t>
  </si>
  <si>
    <t>NH3*</t>
  </si>
  <si>
    <t xml:space="preserve">EIA 66,000 TONS - SSEIS 74,261 TONS =  0 TONS </t>
  </si>
  <si>
    <t>1,274 K.BARRELS * 42 galls = 53,508 Kgalls - SSEIS 3,568.5 Kgalls = 49,939.5Kgalls</t>
  </si>
  <si>
    <t>EIA 143 K.BARRELS * 42 = 6,006 Kgalls - SSEIS 11,727.1 Kgalls   NET = 0 Kgalls</t>
  </si>
  <si>
    <t>PM</t>
  </si>
  <si>
    <t>EIA 0 BARRELS  - SSEIS 1,374.9 TONS    NET = 0</t>
  </si>
  <si>
    <t xml:space="preserve">EIA 4,500,000 E6BTU  - SSEIS 321,618 MMBTU   NET = 4,178,382 E6BTU                  </t>
  </si>
  <si>
    <t>PM2.5 PRI</t>
  </si>
  <si>
    <t>0.022*</t>
  </si>
  <si>
    <t>1.0 + 1.3</t>
  </si>
  <si>
    <t>0.25 + 1.3</t>
  </si>
  <si>
    <t>5.06+1.5</t>
  </si>
  <si>
    <t>3.30+1.5</t>
  </si>
  <si>
    <t>.02 +.03</t>
  </si>
  <si>
    <t>.01 +.03</t>
  </si>
  <si>
    <t>144LB*0.3</t>
  </si>
  <si>
    <t>2.3 LB</t>
  </si>
  <si>
    <t>1.55 LB</t>
  </si>
  <si>
    <t>0.25 LB</t>
  </si>
  <si>
    <t>1.3LB</t>
  </si>
  <si>
    <t>OZ DAY</t>
  </si>
  <si>
    <t>157LB* .3</t>
  </si>
  <si>
    <t>5.06 LB</t>
  </si>
  <si>
    <t>6.56 LB</t>
  </si>
  <si>
    <t>3.30 LB</t>
  </si>
  <si>
    <t>4.80 LB</t>
  </si>
  <si>
    <t>1.5LB</t>
  </si>
  <si>
    <t>0.20+0.49</t>
  </si>
  <si>
    <t>0.11+0.49</t>
  </si>
  <si>
    <t>2.21 LB</t>
  </si>
  <si>
    <t>0.96 LB</t>
  </si>
  <si>
    <t>1.49 LB</t>
  </si>
  <si>
    <t>0.24 LB</t>
  </si>
  <si>
    <t>1.25 LB</t>
  </si>
  <si>
    <t>.05 LB</t>
  </si>
  <si>
    <t>.04 LB</t>
  </si>
  <si>
    <t>0.03LB</t>
  </si>
  <si>
    <t>0.05LB</t>
  </si>
  <si>
    <t>E6BTU</t>
  </si>
  <si>
    <t>0.050 LB</t>
  </si>
  <si>
    <t>11 LB</t>
  </si>
  <si>
    <t>5 LB</t>
  </si>
  <si>
    <t>.25/ 65</t>
  </si>
  <si>
    <t>0.28 LB</t>
  </si>
  <si>
    <t>47.1 LB</t>
  </si>
  <si>
    <t xml:space="preserve"> * 0.25</t>
  </si>
  <si>
    <t>0.69 LB</t>
  </si>
  <si>
    <t>EF 0.13 LB</t>
  </si>
  <si>
    <t>0.60 LB</t>
  </si>
  <si>
    <t>0.11LB</t>
  </si>
  <si>
    <t>3.2  LB</t>
  </si>
  <si>
    <t>0.19 LB</t>
  </si>
  <si>
    <t>157LB</t>
  </si>
  <si>
    <t>14.23 LB/</t>
  </si>
  <si>
    <t>* 0.09/92</t>
  </si>
  <si>
    <t>* 0.01042</t>
  </si>
  <si>
    <t>DAYS</t>
  </si>
  <si>
    <t xml:space="preserve"> * 25/65DYS</t>
  </si>
  <si>
    <t>55LB/TGAL</t>
  </si>
  <si>
    <t xml:space="preserve"> * 0.25/65</t>
  </si>
  <si>
    <t>M.CU FT</t>
  </si>
  <si>
    <t xml:space="preserve"> /65 DYS</t>
  </si>
  <si>
    <t>19.29 LB/TGAL</t>
  </si>
  <si>
    <t>4.82 LB/TGAL</t>
  </si>
  <si>
    <t>TGAL</t>
  </si>
  <si>
    <t>7.97LB/TG</t>
  </si>
  <si>
    <t xml:space="preserve"> Days</t>
  </si>
  <si>
    <t>FIL*1.0064</t>
  </si>
  <si>
    <t>FIL*1.01042</t>
  </si>
  <si>
    <t xml:space="preserve">*NOx to NH3 Ratio taken from Pechan/MARAMA data for Residential Woodburning </t>
  </si>
  <si>
    <t>File: ks/MARAMA-2008-2010/ "Compare 2002 &amp; 2007 SCC Summary" tab 'Draft 2007 Area Emis by SCC' 2/25/2010</t>
  </si>
  <si>
    <t>The NH3-NOx Ratio of 0.54 was used to approximate NH3 emissions from NOx above.</t>
  </si>
  <si>
    <t>3.3-5</t>
  </si>
  <si>
    <t>3.3-1</t>
  </si>
  <si>
    <t>3.3-2</t>
  </si>
  <si>
    <t>3.3-3</t>
  </si>
  <si>
    <t>3.3-4</t>
  </si>
  <si>
    <t>3.3-6</t>
  </si>
  <si>
    <t>3.3-7</t>
  </si>
  <si>
    <t>3.4-11</t>
  </si>
  <si>
    <t>APPENDIX 3.4-1  COMMERCIAL COOKING EMISSIONS 2011 (EPA's)</t>
  </si>
  <si>
    <t>ks/inv2008/Area/Fue-Pechan-Commercial-Cooking-County  Mar 25 2010</t>
  </si>
  <si>
    <t>FIPS State &amp; County Code</t>
  </si>
  <si>
    <t>Postal State Code</t>
  </si>
  <si>
    <t>County Name</t>
  </si>
  <si>
    <t>Throughput</t>
  </si>
  <si>
    <t>Throughput_Unit</t>
  </si>
  <si>
    <t>SCC</t>
  </si>
  <si>
    <t>SCC description</t>
  </si>
  <si>
    <t>POLLUTANT_CODE</t>
  </si>
  <si>
    <t>percapita emission factor lbs/person</t>
  </si>
  <si>
    <t>EF_Num</t>
  </si>
  <si>
    <t>EF_Denom</t>
  </si>
  <si>
    <t>Emissions LB</t>
  </si>
  <si>
    <t>Emissions TPY</t>
  </si>
  <si>
    <t>County Emissions TPY</t>
  </si>
  <si>
    <t>Emissions TPSD</t>
  </si>
  <si>
    <t>County Emissions TPSD</t>
  </si>
  <si>
    <t>25001</t>
  </si>
  <si>
    <t>MA</t>
  </si>
  <si>
    <t>Barnstable</t>
  </si>
  <si>
    <t>EACH</t>
  </si>
  <si>
    <t>2302002100</t>
  </si>
  <si>
    <t>Conveyorized Charbroiling</t>
  </si>
  <si>
    <t>LB</t>
  </si>
  <si>
    <t>2302002200</t>
  </si>
  <si>
    <t>Under-fired Charbroiling</t>
  </si>
  <si>
    <t>2302003000</t>
  </si>
  <si>
    <t>Deep Fat Fying</t>
  </si>
  <si>
    <t>2302003100</t>
  </si>
  <si>
    <t>Flat Griddle Frying</t>
  </si>
  <si>
    <t>2302003200</t>
  </si>
  <si>
    <t>Clamshell Griddle Frying</t>
  </si>
  <si>
    <t>25003</t>
  </si>
  <si>
    <t>Berkshire</t>
  </si>
  <si>
    <t>25005</t>
  </si>
  <si>
    <t>Bristol</t>
  </si>
  <si>
    <t>25007</t>
  </si>
  <si>
    <t>Dukes</t>
  </si>
  <si>
    <t>25009</t>
  </si>
  <si>
    <t>Essex</t>
  </si>
  <si>
    <t>25011</t>
  </si>
  <si>
    <t>Franklin</t>
  </si>
  <si>
    <t>25013</t>
  </si>
  <si>
    <t>Hampden</t>
  </si>
  <si>
    <t>25015</t>
  </si>
  <si>
    <t>Hampshire</t>
  </si>
  <si>
    <t>25017</t>
  </si>
  <si>
    <t>Middlesex</t>
  </si>
  <si>
    <t>25019</t>
  </si>
  <si>
    <t>Nantucket</t>
  </si>
  <si>
    <t>25021</t>
  </si>
  <si>
    <t>Norfolk</t>
  </si>
  <si>
    <t>25023</t>
  </si>
  <si>
    <t>Plymouth</t>
  </si>
  <si>
    <t>25025</t>
  </si>
  <si>
    <t>Suffolk</t>
  </si>
  <si>
    <t>25027</t>
  </si>
  <si>
    <t>Worcester</t>
  </si>
  <si>
    <t xml:space="preserve">       APPENDIX TABLE 3.1-7 EPA-ERTAC WOODBURNING ESTIMATES FOR MA 2011  </t>
  </si>
  <si>
    <t>KS/Inv2011/Area/woodburning em from ERTAC-Tool -Feb.22, 2013</t>
  </si>
  <si>
    <t>FIPS</t>
  </si>
  <si>
    <t>scc</t>
  </si>
  <si>
    <t>code</t>
  </si>
  <si>
    <t>Throughput Tons</t>
  </si>
  <si>
    <t>EF Tons per Ton</t>
  </si>
  <si>
    <t>Emission Numeric Value TON</t>
  </si>
  <si>
    <t>COUNTY TOTAL INDOOR</t>
  </si>
  <si>
    <t>COUNTY TOTAL OUTDOOR</t>
  </si>
  <si>
    <t>TPSD *0.125 /92 DAYS</t>
  </si>
  <si>
    <t>TPWD *0.75 /90 DAYS</t>
  </si>
  <si>
    <t>BARNST</t>
  </si>
  <si>
    <t>2104008100</t>
  </si>
  <si>
    <t>2104008210</t>
  </si>
  <si>
    <t>2104008220</t>
  </si>
  <si>
    <t>2104008230</t>
  </si>
  <si>
    <t>2104008310</t>
  </si>
  <si>
    <t>2104008320</t>
  </si>
  <si>
    <t>2104008330</t>
  </si>
  <si>
    <t>2104008400</t>
  </si>
  <si>
    <t>2104008510</t>
  </si>
  <si>
    <t>2104008700</t>
  </si>
  <si>
    <t>2104009000</t>
  </si>
  <si>
    <t>2104008610</t>
  </si>
  <si>
    <t>BERKS</t>
  </si>
  <si>
    <t>BRIST</t>
  </si>
  <si>
    <t>FRANK</t>
  </si>
  <si>
    <t>HAMPD</t>
  </si>
  <si>
    <t>HAMPS</t>
  </si>
  <si>
    <t>MIDDL</t>
  </si>
  <si>
    <t>NANT</t>
  </si>
  <si>
    <t>NORF</t>
  </si>
  <si>
    <t>PLYM</t>
  </si>
  <si>
    <t>SUFF</t>
  </si>
  <si>
    <t>WORC</t>
  </si>
  <si>
    <t>STATE TOTAL INDOOR</t>
  </si>
  <si>
    <t>STATE TOTAL OUTDOOR</t>
  </si>
  <si>
    <t>STATE TOTAL INDOOR/OUTDOOR</t>
  </si>
  <si>
    <r>
      <t xml:space="preserve">Dec 6 2012 </t>
    </r>
    <r>
      <rPr>
        <sz val="8"/>
        <color indexed="10"/>
        <rFont val="Arial Narrow"/>
        <family val="2"/>
      </rPr>
      <t>REVISED May 16 2014, July 21, 2014</t>
    </r>
  </si>
  <si>
    <r>
      <t xml:space="preserve">Dec 6 2012 </t>
    </r>
    <r>
      <rPr>
        <sz val="8"/>
        <color indexed="10"/>
        <rFont val="Arial Narrow"/>
        <family val="2"/>
      </rPr>
      <t>REVISED May 16 2014</t>
    </r>
  </si>
</sst>
</file>

<file path=xl/styles.xml><?xml version="1.0" encoding="utf-8"?>
<styleSheet xmlns="http://schemas.openxmlformats.org/spreadsheetml/2006/main">
  <numFmts count="12">
    <numFmt numFmtId="43" formatCode="_(* #,##0.00_);_(* \(#,##0.00\);_(* &quot;-&quot;??_);_(@_)"/>
    <numFmt numFmtId="164" formatCode="General_)"/>
    <numFmt numFmtId="165" formatCode="0.0%"/>
    <numFmt numFmtId="166" formatCode="0.00_)"/>
    <numFmt numFmtId="167" formatCode="0.0_)"/>
    <numFmt numFmtId="168" formatCode="0.000_)"/>
    <numFmt numFmtId="170" formatCode="_(* #,##0_);_(* \(#,##0\);_(* &quot;-&quot;??_);_(@_)"/>
    <numFmt numFmtId="171" formatCode="0_)"/>
    <numFmt numFmtId="172" formatCode="0.0"/>
    <numFmt numFmtId="173" formatCode="0.000"/>
    <numFmt numFmtId="174" formatCode="0.0000_)"/>
    <numFmt numFmtId="177" formatCode="0.00000"/>
  </numFmts>
  <fonts count="25">
    <font>
      <sz val="10"/>
      <name val="Courier"/>
    </font>
    <font>
      <sz val="10"/>
      <name val="Arial"/>
      <family val="2"/>
    </font>
    <font>
      <sz val="10"/>
      <name val="Courier"/>
      <family val="3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u/>
      <sz val="7"/>
      <name val="Arial Narrow"/>
      <family val="2"/>
    </font>
    <font>
      <b/>
      <u/>
      <sz val="7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i/>
      <sz val="8"/>
      <color theme="1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u/>
      <sz val="8"/>
      <color indexed="8"/>
      <name val="Arial Narrow"/>
      <family val="2"/>
    </font>
    <font>
      <b/>
      <u/>
      <sz val="8"/>
      <color theme="1"/>
      <name val="Arial Narrow"/>
      <family val="2"/>
    </font>
    <font>
      <b/>
      <u/>
      <sz val="8"/>
      <color indexed="8"/>
      <name val="Arial Narrow"/>
      <family val="2"/>
    </font>
    <font>
      <u/>
      <sz val="8"/>
      <color theme="1"/>
      <name val="Arial Narrow"/>
      <family val="2"/>
    </font>
    <font>
      <sz val="8"/>
      <color indexed="10"/>
      <name val="Arial Narrow"/>
      <family val="2"/>
    </font>
    <font>
      <sz val="8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164" fontId="0" fillId="0" borderId="0"/>
    <xf numFmtId="43" fontId="1" fillId="0" borderId="0" applyFont="0" applyFill="0" applyBorder="0" applyAlignment="0" applyProtection="0"/>
    <xf numFmtId="164" fontId="2" fillId="0" borderId="0"/>
    <xf numFmtId="9" fontId="1" fillId="0" borderId="0" applyFont="0" applyFill="0" applyBorder="0" applyAlignment="0" applyProtection="0"/>
  </cellStyleXfs>
  <cellXfs count="213">
    <xf numFmtId="164" fontId="0" fillId="0" borderId="0" xfId="0"/>
    <xf numFmtId="164" fontId="3" fillId="0" borderId="0" xfId="0" applyFont="1"/>
    <xf numFmtId="164" fontId="4" fillId="0" borderId="0" xfId="0" applyNumberFormat="1" applyFont="1" applyAlignment="1" applyProtection="1">
      <alignment horizontal="left"/>
    </xf>
    <xf numFmtId="164" fontId="3" fillId="4" borderId="0" xfId="0" applyFont="1" applyFill="1"/>
    <xf numFmtId="164" fontId="5" fillId="0" borderId="0" xfId="0" applyNumberFormat="1" applyFont="1" applyAlignment="1" applyProtection="1">
      <alignment horizontal="left"/>
    </xf>
    <xf numFmtId="164" fontId="3" fillId="0" borderId="0" xfId="0" applyFont="1" applyAlignment="1">
      <alignment horizontal="right"/>
    </xf>
    <xf numFmtId="164" fontId="6" fillId="0" borderId="0" xfId="0" applyFont="1"/>
    <xf numFmtId="164" fontId="6" fillId="0" borderId="0" xfId="0" applyFont="1" applyAlignment="1">
      <alignment horizontal="right"/>
    </xf>
    <xf numFmtId="164" fontId="4" fillId="0" borderId="0" xfId="0" applyFont="1" applyAlignment="1">
      <alignment horizontal="right"/>
    </xf>
    <xf numFmtId="164" fontId="4" fillId="0" borderId="0" xfId="0" applyFont="1"/>
    <xf numFmtId="0" fontId="7" fillId="0" borderId="0" xfId="0" applyNumberFormat="1" applyFont="1"/>
    <xf numFmtId="0" fontId="8" fillId="0" borderId="0" xfId="0" applyNumberFormat="1" applyFont="1"/>
    <xf numFmtId="0" fontId="8" fillId="0" borderId="0" xfId="0" applyNumberFormat="1" applyFont="1" applyFill="1"/>
    <xf numFmtId="164" fontId="3" fillId="0" borderId="0" xfId="0" applyFont="1" applyFill="1"/>
    <xf numFmtId="0" fontId="4" fillId="0" borderId="0" xfId="0" applyNumberFormat="1" applyFont="1"/>
    <xf numFmtId="164" fontId="4" fillId="0" borderId="0" xfId="0" applyFont="1" applyFill="1"/>
    <xf numFmtId="0" fontId="9" fillId="0" borderId="0" xfId="0" applyNumberFormat="1" applyFont="1"/>
    <xf numFmtId="164" fontId="3" fillId="0" borderId="0" xfId="0" applyNumberFormat="1" applyFont="1" applyAlignment="1" applyProtection="1">
      <alignment horizontal="left"/>
    </xf>
    <xf numFmtId="164" fontId="3" fillId="0" borderId="0" xfId="0" applyFont="1" applyAlignment="1">
      <alignment horizontal="left"/>
    </xf>
    <xf numFmtId="164" fontId="10" fillId="0" borderId="0" xfId="0" applyFont="1" applyAlignment="1">
      <alignment horizontal="right"/>
    </xf>
    <xf numFmtId="164" fontId="10" fillId="0" borderId="0" xfId="0" applyFont="1"/>
    <xf numFmtId="164" fontId="3" fillId="0" borderId="0" xfId="0" applyNumberFormat="1" applyFont="1" applyAlignment="1" applyProtection="1">
      <alignment horizontal="right"/>
    </xf>
    <xf numFmtId="170" fontId="10" fillId="0" borderId="0" xfId="1" applyNumberFormat="1" applyFont="1" applyAlignment="1" applyProtection="1">
      <alignment horizontal="left"/>
    </xf>
    <xf numFmtId="164" fontId="10" fillId="0" borderId="0" xfId="0" applyNumberFormat="1" applyFont="1" applyAlignment="1" applyProtection="1">
      <alignment horizontal="left"/>
    </xf>
    <xf numFmtId="170" fontId="3" fillId="0" borderId="0" xfId="1" applyNumberFormat="1" applyFont="1" applyAlignment="1" applyProtection="1">
      <alignment horizontal="left"/>
    </xf>
    <xf numFmtId="0" fontId="7" fillId="0" borderId="0" xfId="0" applyNumberFormat="1" applyFont="1" applyAlignment="1">
      <alignment horizontal="right"/>
    </xf>
    <xf numFmtId="170" fontId="3" fillId="0" borderId="0" xfId="1" applyNumberFormat="1" applyFont="1" applyAlignment="1" applyProtection="1">
      <alignment horizontal="right"/>
    </xf>
    <xf numFmtId="0" fontId="11" fillId="0" borderId="0" xfId="0" applyNumberFormat="1" applyFont="1" applyAlignment="1">
      <alignment horizontal="right"/>
    </xf>
    <xf numFmtId="0" fontId="11" fillId="2" borderId="0" xfId="0" applyNumberFormat="1" applyFont="1" applyFill="1" applyAlignment="1">
      <alignment horizontal="right"/>
    </xf>
    <xf numFmtId="0" fontId="7" fillId="2" borderId="0" xfId="0" applyNumberFormat="1" applyFont="1" applyFill="1"/>
    <xf numFmtId="0" fontId="7" fillId="0" borderId="0" xfId="0" applyNumberFormat="1" applyFont="1" applyFill="1"/>
    <xf numFmtId="0" fontId="11" fillId="0" borderId="0" xfId="0" applyNumberFormat="1" applyFont="1" applyFill="1" applyAlignment="1">
      <alignment horizontal="right"/>
    </xf>
    <xf numFmtId="0" fontId="12" fillId="0" borderId="0" xfId="0" applyNumberFormat="1" applyFont="1" applyAlignment="1">
      <alignment horizontal="right"/>
    </xf>
    <xf numFmtId="0" fontId="7" fillId="2" borderId="0" xfId="0" applyNumberFormat="1" applyFont="1" applyFill="1" applyAlignment="1">
      <alignment horizontal="right"/>
    </xf>
    <xf numFmtId="0" fontId="7" fillId="0" borderId="0" xfId="0" applyNumberFormat="1" applyFont="1" applyFill="1" applyAlignment="1">
      <alignment horizontal="right"/>
    </xf>
    <xf numFmtId="0" fontId="11" fillId="0" borderId="0" xfId="0" applyNumberFormat="1" applyFont="1" applyAlignment="1">
      <alignment horizontal="right" wrapText="1"/>
    </xf>
    <xf numFmtId="0" fontId="11" fillId="2" borderId="0" xfId="0" applyNumberFormat="1" applyFont="1" applyFill="1" applyAlignment="1">
      <alignment horizontal="right" wrapText="1"/>
    </xf>
    <xf numFmtId="0" fontId="11" fillId="0" borderId="0" xfId="0" applyNumberFormat="1" applyFont="1" applyFill="1" applyAlignment="1">
      <alignment horizontal="right" wrapText="1"/>
    </xf>
    <xf numFmtId="164" fontId="3" fillId="0" borderId="0" xfId="0" applyNumberFormat="1" applyFont="1" applyAlignment="1" applyProtection="1">
      <alignment horizontal="center"/>
    </xf>
    <xf numFmtId="0" fontId="12" fillId="0" borderId="0" xfId="0" applyNumberFormat="1" applyFont="1" applyAlignment="1">
      <alignment horizontal="right" wrapText="1"/>
    </xf>
    <xf numFmtId="0" fontId="12" fillId="0" borderId="0" xfId="0" applyNumberFormat="1" applyFont="1" applyFill="1" applyAlignment="1">
      <alignment horizontal="right" wrapText="1"/>
    </xf>
    <xf numFmtId="0" fontId="12" fillId="5" borderId="0" xfId="0" applyNumberFormat="1" applyFont="1" applyFill="1" applyAlignment="1">
      <alignment horizontal="right" wrapText="1"/>
    </xf>
    <xf numFmtId="170" fontId="3" fillId="0" borderId="0" xfId="1" applyNumberFormat="1" applyFont="1"/>
    <xf numFmtId="165" fontId="3" fillId="0" borderId="0" xfId="3" applyNumberFormat="1" applyFont="1"/>
    <xf numFmtId="167" fontId="3" fillId="0" borderId="0" xfId="0" applyNumberFormat="1" applyFont="1" applyProtection="1"/>
    <xf numFmtId="166" fontId="3" fillId="0" borderId="0" xfId="0" applyNumberFormat="1" applyFont="1" applyProtection="1"/>
    <xf numFmtId="168" fontId="3" fillId="0" borderId="0" xfId="0" applyNumberFormat="1" applyFont="1" applyProtection="1"/>
    <xf numFmtId="166" fontId="3" fillId="0" borderId="0" xfId="0" applyNumberFormat="1" applyFont="1"/>
    <xf numFmtId="171" fontId="3" fillId="0" borderId="0" xfId="0" applyNumberFormat="1" applyFont="1" applyProtection="1"/>
    <xf numFmtId="174" fontId="3" fillId="0" borderId="0" xfId="0" applyNumberFormat="1" applyFont="1" applyProtection="1"/>
    <xf numFmtId="170" fontId="3" fillId="0" borderId="0" xfId="1" applyNumberFormat="1" applyFont="1" applyAlignment="1">
      <alignment horizontal="right"/>
    </xf>
    <xf numFmtId="2" fontId="10" fillId="0" borderId="0" xfId="2" applyNumberFormat="1" applyFont="1" applyAlignment="1" applyProtection="1">
      <alignment horizontal="right"/>
    </xf>
    <xf numFmtId="2" fontId="10" fillId="0" borderId="0" xfId="0" applyNumberFormat="1" applyFont="1"/>
    <xf numFmtId="2" fontId="10" fillId="0" borderId="0" xfId="0" applyNumberFormat="1" applyFont="1" applyAlignment="1">
      <alignment horizontal="right"/>
    </xf>
    <xf numFmtId="2" fontId="10" fillId="2" borderId="0" xfId="0" applyNumberFormat="1" applyFont="1" applyFill="1"/>
    <xf numFmtId="2" fontId="10" fillId="0" borderId="0" xfId="0" applyNumberFormat="1" applyFont="1" applyFill="1"/>
    <xf numFmtId="172" fontId="13" fillId="2" borderId="0" xfId="0" applyNumberFormat="1" applyFont="1" applyFill="1"/>
    <xf numFmtId="0" fontId="10" fillId="0" borderId="0" xfId="0" applyNumberFormat="1" applyFont="1"/>
    <xf numFmtId="172" fontId="13" fillId="0" borderId="0" xfId="0" applyNumberFormat="1" applyFont="1" applyFill="1"/>
    <xf numFmtId="173" fontId="10" fillId="0" borderId="0" xfId="0" applyNumberFormat="1" applyFont="1"/>
    <xf numFmtId="172" fontId="4" fillId="0" borderId="0" xfId="0" applyNumberFormat="1" applyFont="1"/>
    <xf numFmtId="2" fontId="4" fillId="0" borderId="0" xfId="0" applyNumberFormat="1" applyFont="1"/>
    <xf numFmtId="2" fontId="7" fillId="0" borderId="0" xfId="0" applyNumberFormat="1" applyFont="1"/>
    <xf numFmtId="2" fontId="7" fillId="2" borderId="0" xfId="0" applyNumberFormat="1" applyFont="1" applyFill="1"/>
    <xf numFmtId="172" fontId="8" fillId="2" borderId="0" xfId="0" applyNumberFormat="1" applyFont="1" applyFill="1"/>
    <xf numFmtId="172" fontId="8" fillId="0" borderId="0" xfId="0" applyNumberFormat="1" applyFont="1"/>
    <xf numFmtId="172" fontId="8" fillId="0" borderId="0" xfId="0" applyNumberFormat="1" applyFont="1" applyFill="1"/>
    <xf numFmtId="170" fontId="4" fillId="0" borderId="0" xfId="1" applyNumberFormat="1" applyFont="1"/>
    <xf numFmtId="165" fontId="4" fillId="0" borderId="0" xfId="3" applyNumberFormat="1" applyFont="1"/>
    <xf numFmtId="166" fontId="4" fillId="0" borderId="0" xfId="0" applyNumberFormat="1" applyFont="1" applyProtection="1"/>
    <xf numFmtId="168" fontId="4" fillId="0" borderId="0" xfId="0" applyNumberFormat="1" applyFont="1" applyProtection="1"/>
    <xf numFmtId="164" fontId="4" fillId="4" borderId="0" xfId="0" applyFont="1" applyFill="1"/>
    <xf numFmtId="167" fontId="4" fillId="0" borderId="0" xfId="0" applyNumberFormat="1" applyFont="1" applyProtection="1"/>
    <xf numFmtId="166" fontId="4" fillId="0" borderId="0" xfId="0" applyNumberFormat="1" applyFont="1"/>
    <xf numFmtId="174" fontId="4" fillId="0" borderId="0" xfId="0" applyNumberFormat="1" applyFont="1" applyProtection="1"/>
    <xf numFmtId="2" fontId="13" fillId="0" borderId="0" xfId="2" applyNumberFormat="1" applyFont="1" applyAlignment="1" applyProtection="1">
      <alignment horizontal="right"/>
    </xf>
    <xf numFmtId="2" fontId="8" fillId="0" borderId="0" xfId="2" applyNumberFormat="1" applyFont="1" applyAlignment="1" applyProtection="1">
      <alignment horizontal="right"/>
    </xf>
    <xf numFmtId="2" fontId="13" fillId="0" borderId="0" xfId="0" applyNumberFormat="1" applyFont="1"/>
    <xf numFmtId="2" fontId="13" fillId="0" borderId="0" xfId="0" applyNumberFormat="1" applyFont="1" applyAlignment="1">
      <alignment horizontal="right"/>
    </xf>
    <xf numFmtId="2" fontId="8" fillId="2" borderId="0" xfId="0" applyNumberFormat="1" applyFont="1" applyFill="1"/>
    <xf numFmtId="2" fontId="13" fillId="0" borderId="0" xfId="0" applyNumberFormat="1" applyFont="1" applyFill="1"/>
    <xf numFmtId="2" fontId="8" fillId="0" borderId="0" xfId="0" applyNumberFormat="1" applyFont="1" applyFill="1"/>
    <xf numFmtId="173" fontId="13" fillId="0" borderId="0" xfId="0" applyNumberFormat="1" applyFont="1"/>
    <xf numFmtId="167" fontId="3" fillId="0" borderId="0" xfId="0" applyNumberFormat="1" applyFont="1"/>
    <xf numFmtId="168" fontId="3" fillId="0" borderId="0" xfId="0" applyNumberFormat="1" applyFont="1"/>
    <xf numFmtId="174" fontId="3" fillId="0" borderId="0" xfId="0" applyNumberFormat="1" applyFont="1"/>
    <xf numFmtId="166" fontId="3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/>
    </xf>
    <xf numFmtId="2" fontId="8" fillId="0" borderId="0" xfId="0" applyNumberFormat="1" applyFont="1"/>
    <xf numFmtId="2" fontId="7" fillId="0" borderId="0" xfId="1" applyNumberFormat="1" applyFont="1"/>
    <xf numFmtId="1" fontId="8" fillId="2" borderId="0" xfId="0" applyNumberFormat="1" applyFont="1" applyFill="1"/>
    <xf numFmtId="2" fontId="7" fillId="0" borderId="0" xfId="0" applyNumberFormat="1" applyFont="1" applyFill="1"/>
    <xf numFmtId="1" fontId="8" fillId="0" borderId="0" xfId="0" applyNumberFormat="1" applyFont="1"/>
    <xf numFmtId="1" fontId="8" fillId="0" borderId="0" xfId="0" applyNumberFormat="1" applyFont="1" applyFill="1"/>
    <xf numFmtId="172" fontId="3" fillId="0" borderId="0" xfId="0" applyNumberFormat="1" applyFont="1"/>
    <xf numFmtId="2" fontId="3" fillId="0" borderId="0" xfId="0" applyNumberFormat="1" applyFont="1"/>
    <xf numFmtId="166" fontId="3" fillId="0" borderId="0" xfId="0" applyNumberFormat="1" applyFont="1" applyAlignment="1" applyProtection="1">
      <alignment horizontal="left"/>
    </xf>
    <xf numFmtId="166" fontId="3" fillId="0" borderId="0" xfId="0" applyNumberFormat="1" applyFont="1" applyAlignment="1" applyProtection="1">
      <alignment horizontal="right"/>
    </xf>
    <xf numFmtId="0" fontId="13" fillId="0" borderId="0" xfId="0" applyNumberFormat="1" applyFont="1"/>
    <xf numFmtId="172" fontId="10" fillId="0" borderId="0" xfId="0" applyNumberFormat="1" applyFont="1"/>
    <xf numFmtId="168" fontId="3" fillId="0" borderId="0" xfId="0" applyNumberFormat="1" applyFont="1" applyAlignment="1" applyProtection="1">
      <alignment horizontal="right"/>
    </xf>
    <xf numFmtId="2" fontId="3" fillId="0" borderId="0" xfId="0" applyNumberFormat="1" applyFont="1" applyAlignment="1" applyProtection="1">
      <alignment horizontal="right"/>
    </xf>
    <xf numFmtId="173" fontId="3" fillId="0" borderId="0" xfId="0" applyNumberFormat="1" applyFont="1"/>
    <xf numFmtId="172" fontId="10" fillId="2" borderId="0" xfId="0" applyNumberFormat="1" applyFont="1" applyFill="1"/>
    <xf numFmtId="172" fontId="10" fillId="0" borderId="0" xfId="0" applyNumberFormat="1" applyFont="1" applyFill="1"/>
    <xf numFmtId="164" fontId="10" fillId="0" borderId="0" xfId="0" applyNumberFormat="1" applyFont="1" applyAlignment="1" applyProtection="1">
      <alignment horizontal="right"/>
    </xf>
    <xf numFmtId="166" fontId="10" fillId="0" borderId="0" xfId="0" applyNumberFormat="1" applyFont="1" applyAlignment="1" applyProtection="1">
      <alignment horizontal="right"/>
    </xf>
    <xf numFmtId="164" fontId="4" fillId="0" borderId="0" xfId="0" applyNumberFormat="1" applyFont="1" applyAlignment="1" applyProtection="1">
      <alignment horizontal="right"/>
    </xf>
    <xf numFmtId="164" fontId="3" fillId="0" borderId="0" xfId="0" applyNumberFormat="1" applyFont="1" applyProtection="1"/>
    <xf numFmtId="167" fontId="3" fillId="0" borderId="0" xfId="0" applyNumberFormat="1" applyFont="1" applyAlignment="1" applyProtection="1">
      <alignment horizontal="right"/>
    </xf>
    <xf numFmtId="164" fontId="10" fillId="0" borderId="0" xfId="0" applyNumberFormat="1" applyFont="1" applyProtection="1"/>
    <xf numFmtId="171" fontId="10" fillId="0" borderId="0" xfId="0" applyNumberFormat="1" applyFont="1" applyProtection="1"/>
    <xf numFmtId="167" fontId="10" fillId="0" borderId="0" xfId="0" applyNumberFormat="1" applyFont="1" applyProtection="1"/>
    <xf numFmtId="167" fontId="10" fillId="0" borderId="0" xfId="0" applyNumberFormat="1" applyFont="1" applyAlignment="1" applyProtection="1">
      <alignment horizontal="right"/>
    </xf>
    <xf numFmtId="167" fontId="4" fillId="0" borderId="0" xfId="0" applyNumberFormat="1" applyFont="1" applyAlignment="1" applyProtection="1">
      <alignment horizontal="right"/>
    </xf>
    <xf numFmtId="0" fontId="14" fillId="0" borderId="0" xfId="0" applyNumberFormat="1" applyFont="1"/>
    <xf numFmtId="0" fontId="14" fillId="0" borderId="0" xfId="0" applyNumberFormat="1" applyFont="1" applyAlignment="1">
      <alignment horizontal="left"/>
    </xf>
    <xf numFmtId="0" fontId="15" fillId="0" borderId="0" xfId="0" applyNumberFormat="1" applyFont="1"/>
    <xf numFmtId="0" fontId="16" fillId="0" borderId="0" xfId="0" applyNumberFormat="1" applyFont="1"/>
    <xf numFmtId="0" fontId="17" fillId="0" borderId="1" xfId="2" applyNumberFormat="1" applyFont="1" applyFill="1" applyBorder="1" applyAlignment="1">
      <alignment wrapText="1"/>
    </xf>
    <xf numFmtId="0" fontId="17" fillId="0" borderId="1" xfId="2" applyNumberFormat="1" applyFont="1" applyFill="1" applyBorder="1" applyAlignment="1">
      <alignment horizontal="left" wrapText="1"/>
    </xf>
    <xf numFmtId="2" fontId="17" fillId="0" borderId="1" xfId="2" applyNumberFormat="1" applyFont="1" applyFill="1" applyBorder="1" applyAlignment="1">
      <alignment horizontal="right" wrapText="1"/>
    </xf>
    <xf numFmtId="177" fontId="17" fillId="0" borderId="1" xfId="2" applyNumberFormat="1" applyFont="1" applyFill="1" applyBorder="1" applyAlignment="1">
      <alignment horizontal="right" wrapText="1"/>
    </xf>
    <xf numFmtId="2" fontId="18" fillId="0" borderId="0" xfId="2" applyNumberFormat="1" applyFont="1" applyFill="1" applyBorder="1" applyAlignment="1">
      <alignment horizontal="right" wrapText="1"/>
    </xf>
    <xf numFmtId="173" fontId="14" fillId="0" borderId="0" xfId="0" applyNumberFormat="1" applyFont="1"/>
    <xf numFmtId="172" fontId="18" fillId="0" borderId="0" xfId="2" applyNumberFormat="1" applyFont="1" applyFill="1" applyBorder="1" applyAlignment="1">
      <alignment horizontal="right" wrapText="1"/>
    </xf>
    <xf numFmtId="2" fontId="14" fillId="0" borderId="0" xfId="0" applyNumberFormat="1" applyFont="1"/>
    <xf numFmtId="0" fontId="18" fillId="0" borderId="1" xfId="2" applyNumberFormat="1" applyFont="1" applyFill="1" applyBorder="1" applyAlignment="1">
      <alignment wrapText="1"/>
    </xf>
    <xf numFmtId="0" fontId="18" fillId="0" borderId="1" xfId="2" applyNumberFormat="1" applyFont="1" applyFill="1" applyBorder="1" applyAlignment="1">
      <alignment horizontal="left" wrapText="1"/>
    </xf>
    <xf numFmtId="2" fontId="18" fillId="0" borderId="1" xfId="2" applyNumberFormat="1" applyFont="1" applyFill="1" applyBorder="1" applyAlignment="1">
      <alignment horizontal="right" wrapText="1"/>
    </xf>
    <xf numFmtId="177" fontId="18" fillId="0" borderId="1" xfId="2" applyNumberFormat="1" applyFont="1" applyFill="1" applyBorder="1" applyAlignment="1">
      <alignment horizontal="right" wrapText="1"/>
    </xf>
    <xf numFmtId="172" fontId="15" fillId="0" borderId="0" xfId="0" applyNumberFormat="1" applyFont="1"/>
    <xf numFmtId="172" fontId="18" fillId="0" borderId="1" xfId="2" applyNumberFormat="1" applyFont="1" applyFill="1" applyBorder="1" applyAlignment="1">
      <alignment horizontal="right" wrapText="1"/>
    </xf>
    <xf numFmtId="2" fontId="15" fillId="0" borderId="0" xfId="0" applyNumberFormat="1" applyFont="1"/>
    <xf numFmtId="0" fontId="18" fillId="0" borderId="1" xfId="2" applyNumberFormat="1" applyFont="1" applyFill="1" applyBorder="1" applyAlignment="1">
      <alignment horizontal="left"/>
    </xf>
    <xf numFmtId="0" fontId="18" fillId="0" borderId="1" xfId="2" applyNumberFormat="1" applyFont="1" applyFill="1" applyBorder="1" applyAlignment="1"/>
    <xf numFmtId="0" fontId="19" fillId="0" borderId="1" xfId="2" applyNumberFormat="1" applyFont="1" applyFill="1" applyBorder="1" applyAlignment="1">
      <alignment wrapText="1"/>
    </xf>
    <xf numFmtId="0" fontId="20" fillId="0" borderId="0" xfId="0" applyNumberFormat="1" applyFont="1"/>
    <xf numFmtId="0" fontId="19" fillId="0" borderId="1" xfId="2" applyNumberFormat="1" applyFont="1" applyFill="1" applyBorder="1" applyAlignment="1">
      <alignment horizontal="left" wrapText="1"/>
    </xf>
    <xf numFmtId="2" fontId="19" fillId="0" borderId="1" xfId="2" applyNumberFormat="1" applyFont="1" applyFill="1" applyBorder="1" applyAlignment="1">
      <alignment horizontal="right" wrapText="1"/>
    </xf>
    <xf numFmtId="2" fontId="21" fillId="0" borderId="1" xfId="2" applyNumberFormat="1" applyFont="1" applyFill="1" applyBorder="1" applyAlignment="1">
      <alignment horizontal="right" wrapText="1"/>
    </xf>
    <xf numFmtId="172" fontId="21" fillId="0" borderId="0" xfId="2" applyNumberFormat="1" applyFont="1" applyFill="1" applyBorder="1" applyAlignment="1">
      <alignment horizontal="right" wrapText="1"/>
    </xf>
    <xf numFmtId="2" fontId="20" fillId="0" borderId="0" xfId="0" applyNumberFormat="1" applyFont="1"/>
    <xf numFmtId="0" fontId="22" fillId="0" borderId="0" xfId="0" applyNumberFormat="1" applyFont="1"/>
    <xf numFmtId="0" fontId="17" fillId="0" borderId="0" xfId="2" applyNumberFormat="1" applyFont="1" applyFill="1" applyBorder="1" applyAlignment="1">
      <alignment wrapText="1"/>
    </xf>
    <xf numFmtId="173" fontId="15" fillId="0" borderId="0" xfId="0" applyNumberFormat="1" applyFont="1"/>
    <xf numFmtId="172" fontId="14" fillId="0" borderId="0" xfId="0" applyNumberFormat="1" applyFont="1"/>
    <xf numFmtId="0" fontId="19" fillId="3" borderId="1" xfId="2" applyNumberFormat="1" applyFont="1" applyFill="1" applyBorder="1" applyAlignment="1">
      <alignment horizontal="center" wrapText="1"/>
    </xf>
    <xf numFmtId="0" fontId="19" fillId="3" borderId="1" xfId="2" applyNumberFormat="1" applyFont="1" applyFill="1" applyBorder="1" applyAlignment="1">
      <alignment horizontal="left" wrapText="1"/>
    </xf>
    <xf numFmtId="0" fontId="21" fillId="3" borderId="0" xfId="2" applyNumberFormat="1" applyFont="1" applyFill="1" applyBorder="1" applyAlignment="1">
      <alignment horizontal="center" wrapText="1"/>
    </xf>
    <xf numFmtId="0" fontId="20" fillId="0" borderId="0" xfId="0" applyNumberFormat="1" applyFont="1" applyAlignment="1">
      <alignment wrapText="1"/>
    </xf>
    <xf numFmtId="0" fontId="22" fillId="0" borderId="0" xfId="0" applyNumberFormat="1" applyFont="1" applyAlignment="1">
      <alignment wrapText="1"/>
    </xf>
    <xf numFmtId="164" fontId="10" fillId="5" borderId="0" xfId="0" applyFont="1" applyFill="1"/>
    <xf numFmtId="164" fontId="13" fillId="0" borderId="0" xfId="0" applyFont="1" applyAlignment="1">
      <alignment horizontal="right"/>
    </xf>
    <xf numFmtId="164" fontId="13" fillId="0" borderId="0" xfId="0" applyFont="1"/>
    <xf numFmtId="164" fontId="13" fillId="0" borderId="0" xfId="0" applyNumberFormat="1" applyFont="1" applyAlignment="1" applyProtection="1">
      <alignment horizontal="left"/>
    </xf>
    <xf numFmtId="164" fontId="10" fillId="0" borderId="0" xfId="0" applyFont="1" applyAlignment="1">
      <alignment horizontal="left"/>
    </xf>
    <xf numFmtId="170" fontId="24" fillId="0" borderId="0" xfId="1" applyNumberFormat="1" applyFont="1" applyAlignment="1" applyProtection="1">
      <alignment horizontal="left"/>
    </xf>
    <xf numFmtId="164" fontId="10" fillId="5" borderId="0" xfId="0" applyFont="1" applyFill="1" applyAlignment="1">
      <alignment horizontal="right"/>
    </xf>
    <xf numFmtId="164" fontId="13" fillId="0" borderId="0" xfId="0" applyNumberFormat="1" applyFont="1" applyAlignment="1" applyProtection="1">
      <alignment horizontal="right"/>
    </xf>
    <xf numFmtId="164" fontId="10" fillId="5" borderId="0" xfId="0" applyNumberFormat="1" applyFont="1" applyFill="1" applyAlignment="1" applyProtection="1">
      <alignment horizontal="right"/>
    </xf>
    <xf numFmtId="164" fontId="10" fillId="0" borderId="0" xfId="0" applyNumberFormat="1" applyFont="1" applyAlignment="1" applyProtection="1">
      <alignment horizontal="center"/>
    </xf>
    <xf numFmtId="1" fontId="3" fillId="0" borderId="0" xfId="0" applyNumberFormat="1" applyFont="1" applyAlignment="1" applyProtection="1">
      <alignment horizontal="right"/>
    </xf>
    <xf numFmtId="165" fontId="10" fillId="0" borderId="0" xfId="0" applyNumberFormat="1" applyFont="1" applyProtection="1"/>
    <xf numFmtId="168" fontId="10" fillId="0" borderId="0" xfId="0" applyNumberFormat="1" applyFont="1" applyProtection="1"/>
    <xf numFmtId="166" fontId="10" fillId="0" borderId="0" xfId="0" applyNumberFormat="1" applyFont="1" applyProtection="1"/>
    <xf numFmtId="165" fontId="3" fillId="0" borderId="0" xfId="0" applyNumberFormat="1" applyFont="1" applyProtection="1"/>
    <xf numFmtId="166" fontId="10" fillId="5" borderId="0" xfId="0" applyNumberFormat="1" applyFont="1" applyFill="1" applyProtection="1"/>
    <xf numFmtId="174" fontId="10" fillId="0" borderId="0" xfId="0" applyNumberFormat="1" applyFont="1" applyProtection="1"/>
    <xf numFmtId="166" fontId="13" fillId="0" borderId="0" xfId="0" applyNumberFormat="1" applyFont="1" applyProtection="1"/>
    <xf numFmtId="1" fontId="3" fillId="5" borderId="0" xfId="0" applyNumberFormat="1" applyFont="1" applyFill="1" applyAlignment="1" applyProtection="1">
      <alignment horizontal="right"/>
    </xf>
    <xf numFmtId="174" fontId="3" fillId="0" borderId="0" xfId="0" applyNumberFormat="1" applyFont="1" applyAlignment="1" applyProtection="1">
      <alignment horizontal="right"/>
    </xf>
    <xf numFmtId="164" fontId="4" fillId="0" borderId="0" xfId="0" applyNumberFormat="1" applyFont="1" applyProtection="1"/>
    <xf numFmtId="168" fontId="13" fillId="0" borderId="0" xfId="0" applyNumberFormat="1" applyFont="1" applyProtection="1"/>
    <xf numFmtId="167" fontId="13" fillId="0" borderId="0" xfId="0" applyNumberFormat="1" applyFont="1" applyProtection="1"/>
    <xf numFmtId="164" fontId="13" fillId="5" borderId="0" xfId="0" applyFont="1" applyFill="1"/>
    <xf numFmtId="166" fontId="13" fillId="5" borderId="0" xfId="0" applyNumberFormat="1" applyFont="1" applyFill="1" applyProtection="1"/>
    <xf numFmtId="174" fontId="13" fillId="0" borderId="0" xfId="0" applyNumberFormat="1" applyFont="1" applyProtection="1"/>
    <xf numFmtId="168" fontId="4" fillId="0" borderId="0" xfId="0" applyNumberFormat="1" applyFont="1" applyAlignment="1" applyProtection="1">
      <alignment horizontal="right"/>
    </xf>
    <xf numFmtId="171" fontId="13" fillId="0" borderId="0" xfId="0" applyNumberFormat="1" applyFont="1" applyProtection="1"/>
    <xf numFmtId="166" fontId="10" fillId="0" borderId="0" xfId="0" applyNumberFormat="1" applyFont="1"/>
    <xf numFmtId="168" fontId="10" fillId="0" borderId="0" xfId="0" applyNumberFormat="1" applyFont="1"/>
    <xf numFmtId="170" fontId="10" fillId="0" borderId="0" xfId="1" applyNumberFormat="1" applyFont="1" applyProtection="1"/>
    <xf numFmtId="166" fontId="10" fillId="0" borderId="0" xfId="0" applyNumberFormat="1" applyFont="1" applyAlignment="1" applyProtection="1">
      <alignment horizontal="left"/>
    </xf>
    <xf numFmtId="172" fontId="3" fillId="0" borderId="0" xfId="0" applyNumberFormat="1" applyFont="1" applyProtection="1"/>
    <xf numFmtId="2" fontId="3" fillId="0" borderId="0" xfId="0" applyNumberFormat="1" applyFont="1" applyProtection="1"/>
    <xf numFmtId="172" fontId="10" fillId="5" borderId="0" xfId="0" applyNumberFormat="1" applyFont="1" applyFill="1"/>
    <xf numFmtId="2" fontId="10" fillId="0" borderId="0" xfId="0" applyNumberFormat="1" applyFont="1" applyProtection="1"/>
    <xf numFmtId="174" fontId="10" fillId="0" borderId="0" xfId="0" applyNumberFormat="1" applyFont="1"/>
    <xf numFmtId="172" fontId="13" fillId="0" borderId="0" xfId="0" applyNumberFormat="1" applyFont="1"/>
    <xf numFmtId="2" fontId="10" fillId="5" borderId="0" xfId="0" applyNumberFormat="1" applyFont="1" applyFill="1"/>
    <xf numFmtId="2" fontId="10" fillId="0" borderId="0" xfId="0" applyNumberFormat="1" applyFont="1" applyAlignment="1" applyProtection="1">
      <alignment horizontal="right"/>
    </xf>
    <xf numFmtId="2" fontId="13" fillId="0" borderId="0" xfId="0" applyNumberFormat="1" applyFont="1" applyAlignment="1" applyProtection="1">
      <alignment horizontal="right"/>
    </xf>
    <xf numFmtId="173" fontId="10" fillId="0" borderId="0" xfId="0" applyNumberFormat="1" applyFont="1" applyAlignment="1" applyProtection="1">
      <alignment horizontal="right"/>
    </xf>
    <xf numFmtId="166" fontId="4" fillId="0" borderId="0" xfId="0" applyNumberFormat="1" applyFont="1" applyAlignment="1" applyProtection="1">
      <alignment horizontal="right"/>
    </xf>
    <xf numFmtId="164" fontId="24" fillId="0" borderId="0" xfId="0" applyFont="1"/>
    <xf numFmtId="167" fontId="13" fillId="0" borderId="0" xfId="0" applyNumberFormat="1" applyFont="1" applyAlignment="1" applyProtection="1">
      <alignment horizontal="right"/>
    </xf>
    <xf numFmtId="171" fontId="4" fillId="0" borderId="0" xfId="0" applyNumberFormat="1" applyFont="1" applyProtection="1"/>
    <xf numFmtId="168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168" fontId="10" fillId="0" borderId="0" xfId="0" applyNumberFormat="1" applyFont="1" applyAlignment="1">
      <alignment horizontal="right"/>
    </xf>
    <xf numFmtId="168" fontId="4" fillId="0" borderId="0" xfId="0" applyNumberFormat="1" applyFont="1"/>
    <xf numFmtId="172" fontId="10" fillId="0" borderId="0" xfId="0" applyNumberFormat="1" applyFont="1" applyProtection="1"/>
    <xf numFmtId="172" fontId="3" fillId="0" borderId="0" xfId="0" applyNumberFormat="1" applyFont="1" applyAlignment="1" applyProtection="1">
      <alignment horizontal="right"/>
    </xf>
    <xf numFmtId="0" fontId="17" fillId="3" borderId="2" xfId="2" applyNumberFormat="1" applyFont="1" applyFill="1" applyBorder="1" applyAlignment="1">
      <alignment horizontal="center" wrapText="1"/>
    </xf>
    <xf numFmtId="0" fontId="10" fillId="0" borderId="0" xfId="0" applyNumberFormat="1" applyFont="1" applyAlignment="1">
      <alignment wrapText="1"/>
    </xf>
    <xf numFmtId="0" fontId="17" fillId="0" borderId="1" xfId="2" applyNumberFormat="1" applyFont="1" applyFill="1" applyBorder="1" applyAlignment="1">
      <alignment horizontal="right" wrapText="1"/>
    </xf>
    <xf numFmtId="1" fontId="17" fillId="0" borderId="1" xfId="2" applyNumberFormat="1" applyFont="1" applyFill="1" applyBorder="1" applyAlignment="1">
      <alignment horizontal="right" wrapText="1"/>
    </xf>
    <xf numFmtId="1" fontId="18" fillId="0" borderId="1" xfId="2" applyNumberFormat="1" applyFont="1" applyFill="1" applyBorder="1" applyAlignment="1">
      <alignment horizontal="right" wrapText="1"/>
    </xf>
    <xf numFmtId="173" fontId="18" fillId="0" borderId="1" xfId="2" applyNumberFormat="1" applyFont="1" applyFill="1" applyBorder="1" applyAlignment="1">
      <alignment horizontal="right" wrapText="1"/>
    </xf>
    <xf numFmtId="1" fontId="13" fillId="0" borderId="0" xfId="0" applyNumberFormat="1" applyFont="1"/>
  </cellXfs>
  <cellStyles count="4">
    <cellStyle name="Comma" xfId="1" builtinId="3"/>
    <cellStyle name="Normal" xfId="0" builtinId="0"/>
    <cellStyle name="Normal_Sheet1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Y37"/>
  <sheetViews>
    <sheetView showGridLines="0" tabSelected="1" zoomScale="110" zoomScaleNormal="110" workbookViewId="0"/>
  </sheetViews>
  <sheetFormatPr defaultColWidth="9.75" defaultRowHeight="10.9" customHeight="1"/>
  <cols>
    <col min="1" max="1" width="6.75" style="1" customWidth="1"/>
    <col min="2" max="2" width="8.125" style="1" customWidth="1"/>
    <col min="3" max="3" width="6.5" style="1" customWidth="1"/>
    <col min="4" max="4" width="7.5" style="1" customWidth="1"/>
    <col min="5" max="5" width="7.375" style="1" customWidth="1"/>
    <col min="6" max="6" width="5.5" style="1" customWidth="1"/>
    <col min="7" max="7" width="8.625" style="1" customWidth="1"/>
    <col min="8" max="8" width="6.375" style="1" customWidth="1"/>
    <col min="9" max="9" width="8.25" style="1" customWidth="1"/>
    <col min="10" max="10" width="5.5" style="1" customWidth="1"/>
    <col min="11" max="11" width="5.375" style="1" customWidth="1"/>
    <col min="12" max="12" width="7.5" style="1" customWidth="1"/>
    <col min="13" max="13" width="8.625" style="1" customWidth="1"/>
    <col min="14" max="14" width="8.875" style="1" customWidth="1"/>
    <col min="15" max="16" width="8.25" style="1" customWidth="1"/>
    <col min="17" max="17" width="8.125" style="1" customWidth="1"/>
    <col min="18" max="18" width="7.625" style="1" customWidth="1"/>
    <col min="19" max="19" width="0.5" style="1" customWidth="1"/>
    <col min="20" max="20" width="6" style="1" customWidth="1"/>
    <col min="21" max="21" width="7.625" style="1" customWidth="1"/>
    <col min="22" max="22" width="6.125" style="1" customWidth="1"/>
    <col min="23" max="23" width="9" style="1" customWidth="1"/>
    <col min="24" max="24" width="7.875" style="1" customWidth="1"/>
    <col min="25" max="25" width="7.25" style="1" customWidth="1"/>
    <col min="26" max="26" width="7" style="1" customWidth="1"/>
    <col min="27" max="27" width="8.5" style="1" customWidth="1"/>
    <col min="28" max="28" width="7.125" style="1" customWidth="1"/>
    <col min="29" max="29" width="7.75" style="1" customWidth="1"/>
    <col min="30" max="30" width="6.375" style="1" customWidth="1"/>
    <col min="31" max="31" width="6.125" style="1" customWidth="1"/>
    <col min="32" max="32" width="8.75" style="1" customWidth="1"/>
    <col min="33" max="33" width="6.75" style="1" customWidth="1"/>
    <col min="34" max="34" width="6.5" style="1" customWidth="1"/>
    <col min="35" max="35" width="6.875" style="1" customWidth="1"/>
    <col min="36" max="36" width="7" style="1" customWidth="1"/>
    <col min="37" max="37" width="6.5" style="1" customWidth="1"/>
    <col min="38" max="38" width="5.75" style="1" customWidth="1"/>
    <col min="39" max="39" width="0.75" style="1" customWidth="1"/>
    <col min="40" max="40" width="6.625" style="1" customWidth="1"/>
    <col min="41" max="41" width="8.75" style="1" customWidth="1"/>
    <col min="42" max="42" width="6" style="1" customWidth="1"/>
    <col min="43" max="43" width="7.875" style="1" customWidth="1"/>
    <col min="44" max="44" width="7.75" style="1" customWidth="1"/>
    <col min="45" max="45" width="7.875" style="1" customWidth="1"/>
    <col min="46" max="46" width="6.625" style="1" customWidth="1"/>
    <col min="47" max="47" width="7" style="1" customWidth="1"/>
    <col min="48" max="48" width="6.25" style="1" customWidth="1"/>
    <col min="49" max="50" width="6.625" style="1" customWidth="1"/>
    <col min="51" max="51" width="6.125" style="1" customWidth="1"/>
    <col min="52" max="52" width="6.5" style="1" customWidth="1"/>
    <col min="53" max="53" width="7.5" style="1" customWidth="1"/>
    <col min="54" max="54" width="7.25" style="1" customWidth="1"/>
    <col min="55" max="55" width="6.875" style="1" customWidth="1"/>
    <col min="56" max="56" width="7.125" style="1" customWidth="1"/>
    <col min="57" max="58" width="7.25" style="1" customWidth="1"/>
    <col min="59" max="59" width="0.75" style="1" customWidth="1"/>
    <col min="60" max="60" width="6.375" style="1" customWidth="1"/>
    <col min="61" max="61" width="8.5" style="1" customWidth="1"/>
    <col min="62" max="62" width="6.25" style="1" customWidth="1"/>
    <col min="63" max="63" width="7.625" style="1" customWidth="1"/>
    <col min="64" max="64" width="7.375" style="1" customWidth="1"/>
    <col min="65" max="65" width="6.375" style="1" customWidth="1"/>
    <col min="66" max="66" width="6.625" style="1" customWidth="1"/>
    <col min="67" max="67" width="9" style="1" customWidth="1"/>
    <col min="68" max="68" width="5.875" style="1" customWidth="1"/>
    <col min="69" max="69" width="8.5" style="1" customWidth="1"/>
    <col min="70" max="70" width="6" style="1" customWidth="1"/>
    <col min="71" max="71" width="6.5" style="1" customWidth="1"/>
    <col min="72" max="72" width="9.125" style="1" customWidth="1"/>
    <col min="73" max="73" width="6.75" style="1" customWidth="1"/>
    <col min="74" max="74" width="7" style="1" customWidth="1"/>
    <col min="75" max="75" width="7.25" style="1" customWidth="1"/>
    <col min="76" max="76" width="6.875" style="1" customWidth="1"/>
    <col min="77" max="77" width="6.625" style="1" customWidth="1"/>
    <col min="78" max="78" width="5.625" style="1" customWidth="1"/>
    <col min="79" max="79" width="0.625" style="1" customWidth="1"/>
    <col min="80" max="80" width="5.625" style="1" customWidth="1"/>
    <col min="81" max="81" width="8.25" style="1" customWidth="1"/>
    <col min="82" max="82" width="5.875" style="1" customWidth="1"/>
    <col min="83" max="83" width="7.375" style="1" customWidth="1"/>
    <col min="84" max="84" width="8.875" style="1" customWidth="1"/>
    <col min="85" max="85" width="7.125" style="1" customWidth="1"/>
    <col min="86" max="86" width="6.125" style="1" customWidth="1"/>
    <col min="87" max="87" width="9.5" style="1" customWidth="1"/>
    <col min="88" max="88" width="5.625" style="1" customWidth="1"/>
    <col min="89" max="89" width="8.375" style="1" customWidth="1"/>
    <col min="90" max="90" width="6.5" style="1" customWidth="1"/>
    <col min="91" max="92" width="5.75" style="1" customWidth="1"/>
    <col min="93" max="93" width="6.625" style="1" customWidth="1"/>
    <col min="94" max="94" width="6.875" style="1" customWidth="1"/>
    <col min="95" max="95" width="7.25" style="1" customWidth="1"/>
    <col min="96" max="96" width="6.875" style="1" customWidth="1"/>
    <col min="97" max="97" width="6.5" style="1" customWidth="1"/>
    <col min="98" max="98" width="7.125" style="1" customWidth="1"/>
    <col min="99" max="99" width="0.625" style="1" customWidth="1"/>
    <col min="100" max="100" width="10.375" style="1" customWidth="1"/>
    <col min="101" max="101" width="7" style="1" customWidth="1"/>
    <col min="102" max="102" width="7.5" style="1" customWidth="1"/>
    <col min="103" max="103" width="6.875" style="1" customWidth="1"/>
    <col min="104" max="104" width="7" style="1" customWidth="1"/>
    <col min="105" max="105" width="7.75" style="1" customWidth="1"/>
    <col min="106" max="106" width="8.375" style="5" customWidth="1"/>
    <col min="107" max="107" width="6.25" style="1" customWidth="1"/>
    <col min="108" max="108" width="0.25" style="1" customWidth="1"/>
    <col min="109" max="109" width="8.625" style="1" customWidth="1"/>
    <col min="110" max="110" width="5.75" style="1" customWidth="1"/>
    <col min="111" max="111" width="5.5" style="1" customWidth="1"/>
    <col min="112" max="112" width="5.875" style="1" customWidth="1"/>
    <col min="113" max="113" width="0.375" style="1" customWidth="1"/>
    <col min="114" max="114" width="7.75" style="1" customWidth="1"/>
    <col min="115" max="115" width="6.5" style="1" customWidth="1"/>
    <col min="116" max="116" width="6" style="1" customWidth="1"/>
    <col min="117" max="117" width="0.375" style="1" customWidth="1"/>
    <col min="118" max="118" width="7.875" style="1" customWidth="1"/>
    <col min="119" max="119" width="7.5" style="1" customWidth="1"/>
    <col min="120" max="120" width="7.25" style="1" customWidth="1"/>
    <col min="121" max="121" width="0.5" style="1" customWidth="1"/>
    <col min="122" max="122" width="11.875" style="13" customWidth="1"/>
    <col min="123" max="123" width="10.5" style="13" customWidth="1"/>
    <col min="124" max="124" width="7.375" style="1" customWidth="1"/>
    <col min="125" max="125" width="6.625" style="1" customWidth="1"/>
    <col min="126" max="126" width="5.875" style="1" customWidth="1"/>
    <col min="127" max="127" width="6.25" style="1" customWidth="1"/>
    <col min="128" max="128" width="0.375" style="1" customWidth="1"/>
    <col min="129" max="129" width="7.25" style="1" customWidth="1"/>
    <col min="130" max="130" width="6.375" style="1" customWidth="1"/>
    <col min="131" max="131" width="6.125" style="1" customWidth="1"/>
    <col min="132" max="132" width="0.875" style="1" customWidth="1"/>
    <col min="133" max="133" width="7.75" style="1" customWidth="1"/>
    <col min="134" max="134" width="6.875" style="1" customWidth="1"/>
    <col min="135" max="142" width="6.5" style="1" customWidth="1"/>
    <col min="143" max="143" width="12.625" style="1" customWidth="1"/>
    <col min="144" max="144" width="10.75" style="15" customWidth="1"/>
    <col min="145" max="145" width="6.875" style="9" customWidth="1"/>
    <col min="146" max="146" width="6.625" style="9" customWidth="1"/>
    <col min="147" max="147" width="9.375" style="1" customWidth="1"/>
    <col min="148" max="148" width="6.25" style="1" customWidth="1"/>
    <col min="149" max="149" width="9.75" style="1" customWidth="1"/>
    <col min="150" max="151" width="6.5" style="1" customWidth="1"/>
    <col min="152" max="152" width="10" style="1" customWidth="1"/>
    <col min="153" max="153" width="9.375" style="1" customWidth="1"/>
    <col min="154" max="154" width="9.75" style="1" customWidth="1"/>
    <col min="155" max="155" width="9.375" style="1" customWidth="1"/>
    <col min="156" max="156" width="1.25" style="1" customWidth="1"/>
    <col min="157" max="16384" width="9.75" style="1"/>
  </cols>
  <sheetData>
    <row r="1" spans="1:155" ht="12" customHeight="1">
      <c r="F1" s="2" t="s">
        <v>180</v>
      </c>
      <c r="S1" s="3"/>
      <c r="X1" s="2" t="s">
        <v>181</v>
      </c>
      <c r="Z1" s="4"/>
      <c r="AG1" s="5"/>
      <c r="AH1" s="5"/>
      <c r="AM1" s="3"/>
      <c r="AO1" s="6"/>
      <c r="AP1" s="6"/>
      <c r="AQ1" s="6"/>
      <c r="AS1" s="2" t="s">
        <v>182</v>
      </c>
      <c r="AT1" s="6"/>
      <c r="AU1" s="6"/>
      <c r="AV1" s="6"/>
      <c r="AW1" s="6"/>
      <c r="AX1" s="6"/>
      <c r="AY1" s="6"/>
      <c r="AZ1" s="6"/>
      <c r="BA1" s="7"/>
      <c r="BB1" s="7"/>
      <c r="BC1" s="6"/>
      <c r="BD1" s="6"/>
      <c r="BE1" s="6"/>
      <c r="BF1" s="6"/>
      <c r="BG1" s="3"/>
      <c r="BN1" s="2" t="s">
        <v>185</v>
      </c>
      <c r="BU1" s="5"/>
      <c r="BV1" s="5"/>
      <c r="CA1" s="3"/>
      <c r="CF1" s="2"/>
      <c r="CH1" s="2" t="s">
        <v>193</v>
      </c>
      <c r="CO1" s="5"/>
      <c r="CP1" s="8"/>
      <c r="CR1" s="9"/>
      <c r="CU1" s="3"/>
      <c r="CV1" s="10"/>
      <c r="CW1" s="10"/>
      <c r="CY1" s="11"/>
      <c r="DA1" s="2" t="s">
        <v>194</v>
      </c>
      <c r="DC1" s="10"/>
      <c r="DD1" s="10"/>
      <c r="DE1" s="10"/>
      <c r="DF1" s="11"/>
      <c r="DG1" s="11"/>
      <c r="DH1" s="10"/>
      <c r="DI1" s="10"/>
      <c r="DJ1" s="10"/>
      <c r="DK1" s="11"/>
      <c r="DL1" s="11"/>
      <c r="DM1" s="11"/>
      <c r="DN1" s="11"/>
      <c r="DO1" s="11"/>
      <c r="DP1" s="11"/>
      <c r="DQ1" s="11"/>
      <c r="DR1" s="12"/>
      <c r="DU1" s="2" t="s">
        <v>204</v>
      </c>
      <c r="DV1" s="11"/>
      <c r="DX1" s="14"/>
      <c r="DY1" s="14"/>
      <c r="DZ1" s="2"/>
      <c r="EA1" s="10"/>
      <c r="EB1" s="10"/>
      <c r="EE1" s="10"/>
      <c r="EF1" s="10"/>
      <c r="EG1" s="10"/>
      <c r="EH1" s="10"/>
      <c r="EI1" s="10"/>
      <c r="EJ1" s="10"/>
      <c r="EK1" s="10"/>
      <c r="EL1" s="10"/>
      <c r="EM1" s="10"/>
      <c r="EO1" s="16"/>
    </row>
    <row r="2" spans="1:155" ht="15.75" customHeight="1">
      <c r="A2" s="1" t="s">
        <v>179</v>
      </c>
      <c r="S2" s="3"/>
      <c r="T2" s="1" t="s">
        <v>179</v>
      </c>
      <c r="AA2" s="17" t="s">
        <v>0</v>
      </c>
      <c r="AB2" s="17" t="s">
        <v>74</v>
      </c>
      <c r="AG2" s="18" t="s">
        <v>75</v>
      </c>
      <c r="AH2" s="5"/>
      <c r="AM2" s="3"/>
      <c r="AN2" s="1" t="s">
        <v>179</v>
      </c>
      <c r="AP2" s="8"/>
      <c r="AR2" s="17"/>
      <c r="AT2" s="6" t="s">
        <v>105</v>
      </c>
      <c r="BA2" s="5"/>
      <c r="BB2" s="5"/>
      <c r="BE2" s="19"/>
      <c r="BF2" s="20"/>
      <c r="BG2" s="3"/>
      <c r="BH2" s="17"/>
      <c r="BJ2" s="17" t="s">
        <v>0</v>
      </c>
      <c r="BK2" s="17" t="s">
        <v>125</v>
      </c>
      <c r="BL2" s="17"/>
      <c r="BN2" s="1" t="s">
        <v>126</v>
      </c>
      <c r="BU2" s="5"/>
      <c r="BV2" s="5"/>
      <c r="CA2" s="3"/>
      <c r="CD2" s="21" t="s">
        <v>0</v>
      </c>
      <c r="CE2" s="17" t="s">
        <v>143</v>
      </c>
      <c r="CF2" s="17"/>
      <c r="CG2" s="1" t="s">
        <v>144</v>
      </c>
      <c r="CH2" s="1" t="s">
        <v>145</v>
      </c>
      <c r="CO2" s="5"/>
      <c r="CP2" s="8"/>
      <c r="CR2" s="9"/>
      <c r="CU2" s="3"/>
      <c r="CV2" s="10"/>
      <c r="CW2" s="10"/>
      <c r="CX2" s="11"/>
      <c r="CY2" s="11"/>
      <c r="CZ2" s="10"/>
      <c r="DC2" s="11" t="s">
        <v>200</v>
      </c>
      <c r="DD2" s="10"/>
      <c r="DF2" s="11"/>
      <c r="DH2" s="10"/>
      <c r="DI2" s="10"/>
      <c r="DJ2" s="10"/>
      <c r="DK2" s="11"/>
      <c r="DL2" s="11"/>
      <c r="DM2" s="11"/>
      <c r="DN2" s="11"/>
      <c r="DO2" s="11"/>
      <c r="DP2" s="11"/>
      <c r="DQ2" s="11"/>
      <c r="DR2" s="12"/>
      <c r="DS2" s="1"/>
      <c r="DT2" s="10"/>
      <c r="DU2" s="11"/>
      <c r="DW2" s="11" t="s">
        <v>163</v>
      </c>
      <c r="DX2" s="10"/>
      <c r="DZ2" s="10"/>
      <c r="EB2" s="10"/>
      <c r="EC2" s="11"/>
      <c r="EE2" s="10"/>
      <c r="EF2" s="10"/>
      <c r="EG2" s="10"/>
      <c r="EH2" s="10"/>
      <c r="EI2" s="10"/>
      <c r="EJ2" s="10"/>
      <c r="EK2" s="10"/>
      <c r="EL2" s="10"/>
      <c r="EM2" s="10"/>
      <c r="EN2" s="9"/>
      <c r="EO2" s="9" t="s">
        <v>205</v>
      </c>
    </row>
    <row r="3" spans="1:155" ht="13.5" customHeight="1">
      <c r="A3" s="17"/>
      <c r="D3" s="17" t="s">
        <v>0</v>
      </c>
      <c r="E3" s="17" t="s">
        <v>72</v>
      </c>
      <c r="G3" s="1" t="s">
        <v>58</v>
      </c>
      <c r="S3" s="3"/>
      <c r="T3" s="20" t="s">
        <v>73</v>
      </c>
      <c r="U3" s="18"/>
      <c r="W3" s="22" t="s">
        <v>184</v>
      </c>
      <c r="AF3" s="8" t="s">
        <v>76</v>
      </c>
      <c r="AG3" s="5"/>
      <c r="AH3" s="5"/>
      <c r="AM3" s="3"/>
      <c r="AN3" s="23"/>
      <c r="AP3" s="17" t="s">
        <v>0</v>
      </c>
      <c r="AQ3" s="17" t="s">
        <v>106</v>
      </c>
      <c r="AS3" s="24" t="s">
        <v>192</v>
      </c>
      <c r="BA3" s="5"/>
      <c r="BB3" s="5"/>
      <c r="BF3" s="20"/>
      <c r="BG3" s="3"/>
      <c r="BH3" s="1" t="s">
        <v>179</v>
      </c>
      <c r="BI3" s="18"/>
      <c r="BN3" s="24" t="s">
        <v>186</v>
      </c>
      <c r="BU3" s="5"/>
      <c r="BV3" s="5"/>
      <c r="CA3" s="3"/>
      <c r="CB3" s="1" t="s">
        <v>179</v>
      </c>
      <c r="CC3" s="18"/>
      <c r="CH3" s="24" t="s">
        <v>191</v>
      </c>
      <c r="CO3" s="5"/>
      <c r="CP3" s="5" t="s">
        <v>79</v>
      </c>
      <c r="CR3" s="5" t="s">
        <v>81</v>
      </c>
      <c r="CU3" s="3"/>
      <c r="CV3" s="1" t="s">
        <v>198</v>
      </c>
      <c r="CW3" s="10"/>
      <c r="CX3" s="11"/>
      <c r="CY3" s="10"/>
      <c r="CZ3" s="10"/>
      <c r="DA3" s="10"/>
      <c r="DB3" s="25"/>
      <c r="DC3" s="10"/>
      <c r="DD3" s="10"/>
      <c r="DE3" s="10"/>
      <c r="DF3" s="11"/>
      <c r="DG3" s="11"/>
      <c r="DH3" s="10"/>
      <c r="DI3" s="10"/>
      <c r="DJ3" s="10"/>
      <c r="DK3" s="11"/>
      <c r="DL3" s="11"/>
      <c r="DM3" s="11"/>
      <c r="DN3" s="11"/>
      <c r="DO3" s="11"/>
      <c r="DP3" s="11"/>
      <c r="DQ3" s="11"/>
      <c r="DR3" s="12"/>
      <c r="DS3" s="1" t="s">
        <v>198</v>
      </c>
      <c r="DT3" s="10"/>
      <c r="DU3" s="11"/>
      <c r="DV3" s="10"/>
      <c r="DW3" s="10"/>
      <c r="DX3" s="10"/>
      <c r="DY3" s="10"/>
      <c r="DZ3" s="10"/>
      <c r="EA3" s="10"/>
      <c r="EB3" s="10"/>
      <c r="EC3" s="11"/>
      <c r="ED3" s="11"/>
      <c r="EE3" s="10"/>
      <c r="EF3" s="10"/>
      <c r="EG3" s="10"/>
      <c r="EH3" s="10"/>
      <c r="EI3" s="10"/>
      <c r="EJ3" s="10"/>
      <c r="EK3" s="10"/>
      <c r="EL3" s="10"/>
      <c r="EM3" s="10"/>
      <c r="EN3" s="9" t="s">
        <v>198</v>
      </c>
    </row>
    <row r="4" spans="1:155" ht="16.5" customHeight="1">
      <c r="A4" s="17"/>
      <c r="C4" s="1" t="s">
        <v>53</v>
      </c>
      <c r="D4" s="26"/>
      <c r="F4" s="21"/>
      <c r="Q4" s="5"/>
      <c r="R4" s="5"/>
      <c r="S4" s="3"/>
      <c r="U4" s="17"/>
      <c r="W4" s="21" t="s">
        <v>4</v>
      </c>
      <c r="X4" s="21" t="s">
        <v>77</v>
      </c>
      <c r="Y4" s="21" t="s">
        <v>5</v>
      </c>
      <c r="AF4" s="5" t="s">
        <v>78</v>
      </c>
      <c r="AG4" s="5" t="s">
        <v>79</v>
      </c>
      <c r="AH4" s="5" t="s">
        <v>80</v>
      </c>
      <c r="AI4" s="5" t="s">
        <v>81</v>
      </c>
      <c r="AJ4" s="5" t="s">
        <v>82</v>
      </c>
      <c r="AK4" s="5" t="s">
        <v>68</v>
      </c>
      <c r="AL4" s="5" t="s">
        <v>70</v>
      </c>
      <c r="AM4" s="3"/>
      <c r="AO4" s="17" t="s">
        <v>107</v>
      </c>
      <c r="AQ4" s="21" t="s">
        <v>4</v>
      </c>
      <c r="AR4" s="21" t="s">
        <v>12</v>
      </c>
      <c r="AS4" s="21" t="s">
        <v>5</v>
      </c>
      <c r="AZ4" s="5"/>
      <c r="BA4" s="5"/>
      <c r="BB4" s="5" t="s">
        <v>79</v>
      </c>
      <c r="BD4" s="5" t="s">
        <v>81</v>
      </c>
      <c r="BF4" s="20"/>
      <c r="BG4" s="3"/>
      <c r="BI4" s="17" t="s">
        <v>107</v>
      </c>
      <c r="BL4" s="5" t="s">
        <v>77</v>
      </c>
      <c r="BM4" s="21" t="s">
        <v>5</v>
      </c>
      <c r="BQ4" s="21" t="s">
        <v>8</v>
      </c>
      <c r="BT4" s="5" t="s">
        <v>76</v>
      </c>
      <c r="BU4" s="5" t="s">
        <v>127</v>
      </c>
      <c r="BV4" s="5" t="s">
        <v>128</v>
      </c>
      <c r="BW4" s="5" t="s">
        <v>129</v>
      </c>
      <c r="BX4" s="5" t="s">
        <v>130</v>
      </c>
      <c r="BY4" s="5" t="s">
        <v>68</v>
      </c>
      <c r="BZ4" s="5" t="s">
        <v>70</v>
      </c>
      <c r="CA4" s="3"/>
      <c r="CC4" s="5" t="s">
        <v>146</v>
      </c>
      <c r="CF4" s="21" t="s">
        <v>147</v>
      </c>
      <c r="CG4" s="21" t="s">
        <v>5</v>
      </c>
      <c r="CN4" s="5"/>
      <c r="CO4" s="5" t="s">
        <v>80</v>
      </c>
      <c r="CP4" s="5" t="s">
        <v>148</v>
      </c>
      <c r="CQ4" s="5" t="s">
        <v>82</v>
      </c>
      <c r="CR4" s="5" t="s">
        <v>149</v>
      </c>
      <c r="CU4" s="3"/>
      <c r="CW4" s="10"/>
      <c r="CX4" s="10"/>
      <c r="CY4" s="10"/>
      <c r="CZ4" s="27" t="s">
        <v>133</v>
      </c>
      <c r="DA4" s="27" t="s">
        <v>133</v>
      </c>
      <c r="DB4" s="27" t="s">
        <v>133</v>
      </c>
      <c r="DC4" s="27" t="s">
        <v>133</v>
      </c>
      <c r="DD4" s="28"/>
      <c r="DE4" s="27"/>
      <c r="DF4" s="10"/>
      <c r="DG4" s="10"/>
      <c r="DH4" s="27" t="s">
        <v>1</v>
      </c>
      <c r="DI4" s="29"/>
      <c r="DJ4" s="27" t="s">
        <v>2</v>
      </c>
      <c r="DK4" s="27" t="s">
        <v>2</v>
      </c>
      <c r="DL4" s="27" t="s">
        <v>2</v>
      </c>
      <c r="DM4" s="28"/>
      <c r="DN4" s="27" t="s">
        <v>3</v>
      </c>
      <c r="DO4" s="27" t="s">
        <v>3</v>
      </c>
      <c r="DP4" s="27" t="s">
        <v>3</v>
      </c>
      <c r="DQ4" s="29"/>
      <c r="DR4" s="30"/>
      <c r="DS4" s="10"/>
      <c r="DT4" s="30"/>
      <c r="DU4" s="10"/>
      <c r="DV4" s="10"/>
      <c r="DW4" s="27" t="s">
        <v>164</v>
      </c>
      <c r="DX4" s="29"/>
      <c r="DY4" s="30"/>
      <c r="DZ4" s="10"/>
      <c r="EA4" s="10"/>
      <c r="EB4" s="28"/>
      <c r="EC4" s="31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1"/>
    </row>
    <row r="5" spans="1:155" ht="18.75" customHeight="1">
      <c r="A5" s="17"/>
      <c r="B5" s="5" t="s">
        <v>54</v>
      </c>
      <c r="D5" s="21" t="s">
        <v>4</v>
      </c>
      <c r="E5" s="21" t="s">
        <v>5</v>
      </c>
      <c r="F5" s="21" t="s">
        <v>1</v>
      </c>
      <c r="G5" s="21" t="s">
        <v>6</v>
      </c>
      <c r="H5" s="21" t="s">
        <v>7</v>
      </c>
      <c r="I5" s="21" t="s">
        <v>8</v>
      </c>
      <c r="J5" s="21" t="s">
        <v>9</v>
      </c>
      <c r="K5" s="21" t="s">
        <v>10</v>
      </c>
      <c r="M5" s="5" t="s">
        <v>2</v>
      </c>
      <c r="N5" s="5" t="s">
        <v>2</v>
      </c>
      <c r="O5" s="5" t="s">
        <v>3</v>
      </c>
      <c r="P5" s="5" t="s">
        <v>3</v>
      </c>
      <c r="Q5" s="5" t="s">
        <v>68</v>
      </c>
      <c r="R5" s="21" t="s">
        <v>70</v>
      </c>
      <c r="S5" s="3"/>
      <c r="T5" s="17"/>
      <c r="U5" s="5" t="s">
        <v>54</v>
      </c>
      <c r="W5" s="21" t="s">
        <v>12</v>
      </c>
      <c r="X5" s="21" t="s">
        <v>12</v>
      </c>
      <c r="Y5" s="21" t="s">
        <v>13</v>
      </c>
      <c r="Z5" s="21" t="s">
        <v>83</v>
      </c>
      <c r="AA5" s="21" t="s">
        <v>6</v>
      </c>
      <c r="AB5" s="21" t="s">
        <v>84</v>
      </c>
      <c r="AC5" s="21" t="s">
        <v>8</v>
      </c>
      <c r="AD5" s="21" t="s">
        <v>85</v>
      </c>
      <c r="AE5" s="21" t="s">
        <v>85</v>
      </c>
      <c r="AF5" s="5" t="s">
        <v>86</v>
      </c>
      <c r="AG5" s="21" t="s">
        <v>87</v>
      </c>
      <c r="AH5" s="21" t="s">
        <v>88</v>
      </c>
      <c r="AI5" s="21" t="s">
        <v>89</v>
      </c>
      <c r="AJ5" s="21" t="s">
        <v>90</v>
      </c>
      <c r="AK5" s="5" t="s">
        <v>91</v>
      </c>
      <c r="AL5" s="5" t="s">
        <v>92</v>
      </c>
      <c r="AM5" s="3"/>
      <c r="AN5" s="17"/>
      <c r="AO5" s="1" t="s">
        <v>109</v>
      </c>
      <c r="AQ5" s="21" t="s">
        <v>12</v>
      </c>
      <c r="AR5" s="21" t="s">
        <v>22</v>
      </c>
      <c r="AS5" s="21" t="s">
        <v>13</v>
      </c>
      <c r="AT5" s="21" t="s">
        <v>83</v>
      </c>
      <c r="AU5" s="21" t="s">
        <v>6</v>
      </c>
      <c r="AV5" s="21" t="s">
        <v>84</v>
      </c>
      <c r="AW5" s="21" t="s">
        <v>8</v>
      </c>
      <c r="AX5" s="21" t="s">
        <v>85</v>
      </c>
      <c r="AY5" s="21" t="s">
        <v>85</v>
      </c>
      <c r="AZ5" s="5" t="s">
        <v>76</v>
      </c>
      <c r="BA5" s="5" t="s">
        <v>80</v>
      </c>
      <c r="BB5" s="5" t="s">
        <v>110</v>
      </c>
      <c r="BC5" s="5" t="s">
        <v>82</v>
      </c>
      <c r="BD5" s="5" t="s">
        <v>111</v>
      </c>
      <c r="BE5" s="5" t="s">
        <v>68</v>
      </c>
      <c r="BF5" s="5" t="s">
        <v>70</v>
      </c>
      <c r="BG5" s="3"/>
      <c r="BH5" s="17"/>
      <c r="BI5" s="1" t="s">
        <v>109</v>
      </c>
      <c r="BK5" s="21" t="s">
        <v>4</v>
      </c>
      <c r="BL5" s="21" t="s">
        <v>131</v>
      </c>
      <c r="BM5" s="21" t="s">
        <v>13</v>
      </c>
      <c r="BN5" s="21" t="s">
        <v>1</v>
      </c>
      <c r="BO5" s="21" t="s">
        <v>6</v>
      </c>
      <c r="BP5" s="21" t="s">
        <v>132</v>
      </c>
      <c r="BQ5" s="21" t="s">
        <v>15</v>
      </c>
      <c r="BR5" s="21" t="s">
        <v>133</v>
      </c>
      <c r="BS5" s="21" t="s">
        <v>133</v>
      </c>
      <c r="BT5" s="5" t="s">
        <v>134</v>
      </c>
      <c r="BU5" s="21" t="s">
        <v>135</v>
      </c>
      <c r="BV5" s="21" t="s">
        <v>136</v>
      </c>
      <c r="BW5" s="21" t="s">
        <v>137</v>
      </c>
      <c r="BX5" s="21" t="s">
        <v>138</v>
      </c>
      <c r="BY5" s="21" t="s">
        <v>91</v>
      </c>
      <c r="BZ5" s="5" t="s">
        <v>189</v>
      </c>
      <c r="CA5" s="3"/>
      <c r="CB5" s="17"/>
      <c r="CC5" s="5" t="s">
        <v>54</v>
      </c>
      <c r="CE5" s="21" t="s">
        <v>4</v>
      </c>
      <c r="CF5" s="21" t="s">
        <v>12</v>
      </c>
      <c r="CG5" s="21" t="s">
        <v>13</v>
      </c>
      <c r="CH5" s="21" t="s">
        <v>1</v>
      </c>
      <c r="CI5" s="21" t="s">
        <v>6</v>
      </c>
      <c r="CJ5" s="21" t="s">
        <v>84</v>
      </c>
      <c r="CK5" s="21" t="s">
        <v>8</v>
      </c>
      <c r="CL5" s="21" t="s">
        <v>133</v>
      </c>
      <c r="CM5" s="21" t="s">
        <v>133</v>
      </c>
      <c r="CN5" s="5" t="s">
        <v>76</v>
      </c>
      <c r="CO5" s="21" t="s">
        <v>150</v>
      </c>
      <c r="CP5" s="21" t="s">
        <v>151</v>
      </c>
      <c r="CQ5" s="5" t="s">
        <v>152</v>
      </c>
      <c r="CR5" s="5" t="s">
        <v>153</v>
      </c>
      <c r="CS5" s="5" t="s">
        <v>68</v>
      </c>
      <c r="CT5" s="5" t="s">
        <v>70</v>
      </c>
      <c r="CU5" s="3"/>
      <c r="CV5" s="32"/>
      <c r="CW5" s="27" t="s">
        <v>133</v>
      </c>
      <c r="CX5" s="27" t="s">
        <v>133</v>
      </c>
      <c r="CY5" s="27" t="s">
        <v>133</v>
      </c>
      <c r="CZ5" s="25" t="s">
        <v>165</v>
      </c>
      <c r="DA5" s="25" t="s">
        <v>166</v>
      </c>
      <c r="DB5" s="25" t="s">
        <v>196</v>
      </c>
      <c r="DC5" s="25" t="s">
        <v>166</v>
      </c>
      <c r="DD5" s="33"/>
      <c r="DE5" s="27" t="s">
        <v>1</v>
      </c>
      <c r="DF5" s="27" t="s">
        <v>1</v>
      </c>
      <c r="DG5" s="27" t="s">
        <v>1</v>
      </c>
      <c r="DH5" s="25" t="s">
        <v>165</v>
      </c>
      <c r="DI5" s="33"/>
      <c r="DJ5" s="27" t="s">
        <v>63</v>
      </c>
      <c r="DK5" s="27" t="s">
        <v>63</v>
      </c>
      <c r="DL5" s="27" t="s">
        <v>63</v>
      </c>
      <c r="DM5" s="28"/>
      <c r="DN5" s="27" t="s">
        <v>63</v>
      </c>
      <c r="DO5" s="27" t="s">
        <v>63</v>
      </c>
      <c r="DP5" s="27" t="s">
        <v>63</v>
      </c>
      <c r="DQ5" s="28"/>
      <c r="DR5" s="31"/>
      <c r="DT5" s="27" t="s">
        <v>164</v>
      </c>
      <c r="DU5" s="27" t="s">
        <v>164</v>
      </c>
      <c r="DV5" s="27" t="s">
        <v>164</v>
      </c>
      <c r="DW5" s="25" t="s">
        <v>165</v>
      </c>
      <c r="DX5" s="33"/>
      <c r="DY5" s="27" t="s">
        <v>70</v>
      </c>
      <c r="DZ5" s="27" t="s">
        <v>70</v>
      </c>
      <c r="EA5" s="27" t="s">
        <v>70</v>
      </c>
      <c r="EB5" s="33"/>
      <c r="EC5" s="27" t="s">
        <v>76</v>
      </c>
      <c r="ED5" s="27" t="s">
        <v>76</v>
      </c>
      <c r="EE5" s="27" t="s">
        <v>76</v>
      </c>
      <c r="EF5" s="27"/>
      <c r="EG5" s="27"/>
      <c r="EH5" s="27"/>
      <c r="EI5" s="27"/>
      <c r="EJ5" s="27"/>
      <c r="EK5" s="27"/>
      <c r="EL5" s="27"/>
      <c r="EM5" s="27"/>
      <c r="EO5" s="8" t="s">
        <v>1</v>
      </c>
      <c r="EP5" s="8" t="s">
        <v>1</v>
      </c>
      <c r="EQ5" s="8" t="s">
        <v>164</v>
      </c>
      <c r="ER5" s="8" t="s">
        <v>164</v>
      </c>
      <c r="ES5" s="8" t="s">
        <v>133</v>
      </c>
      <c r="ET5" s="8" t="s">
        <v>133</v>
      </c>
      <c r="EU5" s="8" t="s">
        <v>133</v>
      </c>
      <c r="EV5" s="8" t="s">
        <v>76</v>
      </c>
      <c r="EW5" s="8" t="s">
        <v>127</v>
      </c>
      <c r="EX5" s="8" t="s">
        <v>175</v>
      </c>
      <c r="EY5" s="8" t="s">
        <v>70</v>
      </c>
    </row>
    <row r="6" spans="1:155" ht="12.75" customHeight="1">
      <c r="A6" s="17" t="s">
        <v>11</v>
      </c>
      <c r="B6" s="5" t="s">
        <v>55</v>
      </c>
      <c r="D6" s="21" t="s">
        <v>12</v>
      </c>
      <c r="E6" s="21" t="s">
        <v>13</v>
      </c>
      <c r="F6" s="21" t="s">
        <v>14</v>
      </c>
      <c r="G6" s="21" t="s">
        <v>15</v>
      </c>
      <c r="H6" s="21" t="s">
        <v>14</v>
      </c>
      <c r="I6" s="21" t="s">
        <v>15</v>
      </c>
      <c r="J6" s="21" t="s">
        <v>14</v>
      </c>
      <c r="K6" s="21" t="s">
        <v>16</v>
      </c>
      <c r="L6" s="5" t="s">
        <v>17</v>
      </c>
      <c r="M6" s="5" t="s">
        <v>18</v>
      </c>
      <c r="N6" s="5" t="s">
        <v>63</v>
      </c>
      <c r="O6" s="5" t="s">
        <v>18</v>
      </c>
      <c r="P6" s="5" t="s">
        <v>63</v>
      </c>
      <c r="Q6" s="21"/>
      <c r="R6" s="5"/>
      <c r="S6" s="3"/>
      <c r="T6" s="17" t="s">
        <v>11</v>
      </c>
      <c r="U6" s="5" t="s">
        <v>154</v>
      </c>
      <c r="W6" s="21" t="s">
        <v>22</v>
      </c>
      <c r="X6" s="21" t="s">
        <v>22</v>
      </c>
      <c r="Y6" s="5" t="s">
        <v>93</v>
      </c>
      <c r="Z6" s="21" t="s">
        <v>14</v>
      </c>
      <c r="AA6" s="21" t="s">
        <v>15</v>
      </c>
      <c r="AB6" s="21" t="s">
        <v>14</v>
      </c>
      <c r="AC6" s="21" t="s">
        <v>15</v>
      </c>
      <c r="AD6" s="21" t="s">
        <v>14</v>
      </c>
      <c r="AE6" s="21" t="s">
        <v>16</v>
      </c>
      <c r="AF6" s="5" t="s">
        <v>94</v>
      </c>
      <c r="AG6" s="21" t="s">
        <v>95</v>
      </c>
      <c r="AH6" s="21" t="s">
        <v>95</v>
      </c>
      <c r="AI6" s="21" t="s">
        <v>95</v>
      </c>
      <c r="AJ6" s="21" t="s">
        <v>95</v>
      </c>
      <c r="AK6" s="21" t="s">
        <v>95</v>
      </c>
      <c r="AL6" s="21" t="s">
        <v>95</v>
      </c>
      <c r="AM6" s="3"/>
      <c r="AN6" s="17" t="s">
        <v>11</v>
      </c>
      <c r="AO6" s="5" t="s">
        <v>112</v>
      </c>
      <c r="AQ6" s="21" t="s">
        <v>22</v>
      </c>
      <c r="AR6" s="21" t="s">
        <v>113</v>
      </c>
      <c r="AS6" s="5" t="s">
        <v>114</v>
      </c>
      <c r="AT6" s="21" t="s">
        <v>14</v>
      </c>
      <c r="AU6" s="21" t="s">
        <v>115</v>
      </c>
      <c r="AV6" s="21" t="s">
        <v>14</v>
      </c>
      <c r="AW6" s="21" t="s">
        <v>116</v>
      </c>
      <c r="AX6" s="21" t="s">
        <v>14</v>
      </c>
      <c r="AY6" s="21" t="s">
        <v>16</v>
      </c>
      <c r="AZ6" s="21" t="s">
        <v>117</v>
      </c>
      <c r="BA6" s="21" t="s">
        <v>118</v>
      </c>
      <c r="BB6" s="21" t="s">
        <v>119</v>
      </c>
      <c r="BC6" s="21" t="s">
        <v>120</v>
      </c>
      <c r="BD6" s="21" t="s">
        <v>121</v>
      </c>
      <c r="BE6" s="21">
        <v>0.32</v>
      </c>
      <c r="BF6" s="5" t="s">
        <v>108</v>
      </c>
      <c r="BG6" s="3"/>
      <c r="BH6" s="17" t="s">
        <v>11</v>
      </c>
      <c r="BI6" s="5" t="s">
        <v>112</v>
      </c>
      <c r="BK6" s="21" t="s">
        <v>12</v>
      </c>
      <c r="BL6" s="21" t="s">
        <v>12</v>
      </c>
      <c r="BM6" s="5" t="s">
        <v>187</v>
      </c>
      <c r="BN6" s="21" t="s">
        <v>14</v>
      </c>
      <c r="BO6" s="21" t="s">
        <v>15</v>
      </c>
      <c r="BP6" s="21" t="s">
        <v>14</v>
      </c>
      <c r="BQ6" s="21" t="s">
        <v>190</v>
      </c>
      <c r="BR6" s="21" t="s">
        <v>14</v>
      </c>
      <c r="BS6" s="21" t="s">
        <v>16</v>
      </c>
      <c r="BT6" s="5" t="s">
        <v>139</v>
      </c>
      <c r="BU6" s="5" t="s">
        <v>140</v>
      </c>
      <c r="BV6" s="5" t="s">
        <v>140</v>
      </c>
      <c r="BW6" s="5" t="s">
        <v>140</v>
      </c>
      <c r="BX6" s="5" t="s">
        <v>140</v>
      </c>
      <c r="BY6" s="5" t="s">
        <v>140</v>
      </c>
      <c r="BZ6" s="5" t="s">
        <v>140</v>
      </c>
      <c r="CA6" s="3"/>
      <c r="CB6" s="17" t="s">
        <v>11</v>
      </c>
      <c r="CC6" s="21" t="s">
        <v>154</v>
      </c>
      <c r="CE6" s="21" t="s">
        <v>12</v>
      </c>
      <c r="CF6" s="21" t="s">
        <v>22</v>
      </c>
      <c r="CG6" s="5" t="s">
        <v>155</v>
      </c>
      <c r="CH6" s="21" t="s">
        <v>14</v>
      </c>
      <c r="CI6" s="21" t="s">
        <v>15</v>
      </c>
      <c r="CJ6" s="21" t="s">
        <v>14</v>
      </c>
      <c r="CK6" s="21" t="s">
        <v>15</v>
      </c>
      <c r="CL6" s="21" t="s">
        <v>14</v>
      </c>
      <c r="CM6" s="21" t="s">
        <v>16</v>
      </c>
      <c r="CN6" s="5" t="s">
        <v>156</v>
      </c>
      <c r="CO6" s="21" t="s">
        <v>95</v>
      </c>
      <c r="CP6" s="21" t="s">
        <v>95</v>
      </c>
      <c r="CQ6" s="21" t="s">
        <v>95</v>
      </c>
      <c r="CR6" s="21" t="s">
        <v>95</v>
      </c>
      <c r="CS6" s="5" t="s">
        <v>157</v>
      </c>
      <c r="CT6" s="1">
        <v>0.05</v>
      </c>
      <c r="CU6" s="3"/>
      <c r="CV6" s="10"/>
      <c r="CW6" s="25" t="s">
        <v>102</v>
      </c>
      <c r="CX6" s="25" t="s">
        <v>102</v>
      </c>
      <c r="CY6" s="25" t="s">
        <v>102</v>
      </c>
      <c r="CZ6" s="25" t="s">
        <v>167</v>
      </c>
      <c r="DA6" s="25" t="s">
        <v>168</v>
      </c>
      <c r="DB6" s="25" t="s">
        <v>168</v>
      </c>
      <c r="DC6" s="25" t="s">
        <v>169</v>
      </c>
      <c r="DD6" s="33"/>
      <c r="DE6" s="25" t="s">
        <v>102</v>
      </c>
      <c r="DF6" s="25" t="s">
        <v>102</v>
      </c>
      <c r="DG6" s="25" t="s">
        <v>102</v>
      </c>
      <c r="DH6" s="25" t="s">
        <v>167</v>
      </c>
      <c r="DI6" s="33"/>
      <c r="DJ6" s="25" t="s">
        <v>102</v>
      </c>
      <c r="DK6" s="25" t="s">
        <v>102</v>
      </c>
      <c r="DL6" s="25" t="s">
        <v>102</v>
      </c>
      <c r="DM6" s="33"/>
      <c r="DN6" s="25" t="s">
        <v>102</v>
      </c>
      <c r="DO6" s="25" t="s">
        <v>102</v>
      </c>
      <c r="DP6" s="25" t="s">
        <v>102</v>
      </c>
      <c r="DQ6" s="33"/>
      <c r="DR6" s="34"/>
      <c r="DT6" s="25" t="s">
        <v>102</v>
      </c>
      <c r="DU6" s="25" t="s">
        <v>102</v>
      </c>
      <c r="DV6" s="25" t="s">
        <v>102</v>
      </c>
      <c r="DW6" s="25" t="s">
        <v>167</v>
      </c>
      <c r="DX6" s="33"/>
      <c r="DY6" s="25" t="s">
        <v>102</v>
      </c>
      <c r="DZ6" s="25" t="s">
        <v>102</v>
      </c>
      <c r="EA6" s="25" t="s">
        <v>102</v>
      </c>
      <c r="EB6" s="33"/>
      <c r="EC6" s="25" t="s">
        <v>102</v>
      </c>
      <c r="ED6" s="25" t="s">
        <v>102</v>
      </c>
      <c r="EE6" s="25" t="s">
        <v>102</v>
      </c>
      <c r="EF6" s="25"/>
      <c r="EG6" s="25"/>
      <c r="EH6" s="25"/>
      <c r="EI6" s="25"/>
      <c r="EJ6" s="25"/>
      <c r="EK6" s="25"/>
      <c r="EL6" s="25"/>
      <c r="EM6" s="25"/>
      <c r="EO6" s="8" t="s">
        <v>169</v>
      </c>
      <c r="EP6" s="8" t="s">
        <v>169</v>
      </c>
      <c r="EQ6" s="8" t="s">
        <v>169</v>
      </c>
      <c r="ER6" s="8" t="s">
        <v>169</v>
      </c>
      <c r="ES6" s="8" t="s">
        <v>169</v>
      </c>
      <c r="ET6" s="8" t="s">
        <v>169</v>
      </c>
      <c r="EU6" s="8" t="s">
        <v>169</v>
      </c>
      <c r="EV6" s="8" t="s">
        <v>169</v>
      </c>
      <c r="EW6" s="8" t="s">
        <v>169</v>
      </c>
      <c r="EX6" s="8" t="s">
        <v>169</v>
      </c>
      <c r="EY6" s="8" t="s">
        <v>169</v>
      </c>
    </row>
    <row r="7" spans="1:155" ht="13.5" customHeight="1">
      <c r="A7" s="17" t="s">
        <v>19</v>
      </c>
      <c r="B7" s="21" t="s">
        <v>20</v>
      </c>
      <c r="C7" s="21" t="s">
        <v>21</v>
      </c>
      <c r="D7" s="21" t="s">
        <v>22</v>
      </c>
      <c r="E7" s="21" t="s">
        <v>23</v>
      </c>
      <c r="F7" s="21" t="s">
        <v>24</v>
      </c>
      <c r="G7" s="21" t="s">
        <v>59</v>
      </c>
      <c r="H7" s="21" t="s">
        <v>25</v>
      </c>
      <c r="I7" s="21" t="s">
        <v>60</v>
      </c>
      <c r="J7" s="21" t="s">
        <v>25</v>
      </c>
      <c r="K7" s="21" t="s">
        <v>26</v>
      </c>
      <c r="L7" s="5" t="s">
        <v>61</v>
      </c>
      <c r="M7" s="5" t="s">
        <v>62</v>
      </c>
      <c r="N7" s="5" t="s">
        <v>64</v>
      </c>
      <c r="O7" s="5" t="s">
        <v>65</v>
      </c>
      <c r="P7" s="5" t="s">
        <v>66</v>
      </c>
      <c r="Q7" s="5" t="s">
        <v>69</v>
      </c>
      <c r="R7" s="21" t="s">
        <v>71</v>
      </c>
      <c r="S7" s="3"/>
      <c r="T7" s="17" t="s">
        <v>19</v>
      </c>
      <c r="U7" s="5" t="s">
        <v>176</v>
      </c>
      <c r="V7" s="21" t="s">
        <v>21</v>
      </c>
      <c r="W7" s="5" t="s">
        <v>96</v>
      </c>
      <c r="X7" s="5" t="s">
        <v>97</v>
      </c>
      <c r="Y7" s="21" t="s">
        <v>98</v>
      </c>
      <c r="Z7" s="21" t="s">
        <v>99</v>
      </c>
      <c r="AA7" s="21" t="s">
        <v>100</v>
      </c>
      <c r="AB7" s="21" t="s">
        <v>99</v>
      </c>
      <c r="AC7" s="21" t="s">
        <v>101</v>
      </c>
      <c r="AD7" s="21" t="s">
        <v>99</v>
      </c>
      <c r="AE7" s="21">
        <v>0.46</v>
      </c>
      <c r="AF7" s="5" t="s">
        <v>102</v>
      </c>
      <c r="AG7" s="21" t="s">
        <v>102</v>
      </c>
      <c r="AH7" s="21" t="s">
        <v>102</v>
      </c>
      <c r="AI7" s="21" t="s">
        <v>102</v>
      </c>
      <c r="AJ7" s="21" t="s">
        <v>102</v>
      </c>
      <c r="AK7" s="21" t="s">
        <v>102</v>
      </c>
      <c r="AL7" s="21" t="s">
        <v>102</v>
      </c>
      <c r="AM7" s="3"/>
      <c r="AN7" s="17" t="s">
        <v>19</v>
      </c>
      <c r="AO7" s="21" t="s">
        <v>55</v>
      </c>
      <c r="AP7" s="21" t="s">
        <v>21</v>
      </c>
      <c r="AR7" s="21" t="s">
        <v>122</v>
      </c>
      <c r="AS7" s="21" t="s">
        <v>123</v>
      </c>
      <c r="AT7" s="21" t="s">
        <v>99</v>
      </c>
      <c r="AU7" s="21" t="s">
        <v>123</v>
      </c>
      <c r="AV7" s="21" t="s">
        <v>99</v>
      </c>
      <c r="AW7" s="21" t="s">
        <v>123</v>
      </c>
      <c r="AX7" s="21" t="s">
        <v>99</v>
      </c>
      <c r="AY7" s="21">
        <v>0.46</v>
      </c>
      <c r="AZ7" s="21" t="s">
        <v>123</v>
      </c>
      <c r="BA7" s="21" t="s">
        <v>123</v>
      </c>
      <c r="BB7" s="21" t="s">
        <v>123</v>
      </c>
      <c r="BC7" s="21" t="s">
        <v>123</v>
      </c>
      <c r="BD7" s="21" t="s">
        <v>123</v>
      </c>
      <c r="BE7" s="21" t="s">
        <v>123</v>
      </c>
      <c r="BF7" s="21" t="s">
        <v>123</v>
      </c>
      <c r="BG7" s="3"/>
      <c r="BH7" s="17" t="s">
        <v>19</v>
      </c>
      <c r="BI7" s="21" t="s">
        <v>55</v>
      </c>
      <c r="BJ7" s="21" t="s">
        <v>21</v>
      </c>
      <c r="BK7" s="21" t="s">
        <v>22</v>
      </c>
      <c r="BL7" s="21" t="s">
        <v>22</v>
      </c>
      <c r="BM7" s="21" t="s">
        <v>140</v>
      </c>
      <c r="BN7" s="21" t="s">
        <v>99</v>
      </c>
      <c r="BO7" s="21" t="s">
        <v>188</v>
      </c>
      <c r="BP7" s="21" t="s">
        <v>99</v>
      </c>
      <c r="BQ7" s="21" t="s">
        <v>140</v>
      </c>
      <c r="BR7" s="21" t="s">
        <v>99</v>
      </c>
      <c r="BS7" s="21">
        <v>0.46</v>
      </c>
      <c r="BT7" s="5" t="s">
        <v>141</v>
      </c>
      <c r="BU7" s="21" t="s">
        <v>102</v>
      </c>
      <c r="BV7" s="21" t="s">
        <v>102</v>
      </c>
      <c r="BW7" s="21" t="s">
        <v>102</v>
      </c>
      <c r="BX7" s="21" t="s">
        <v>102</v>
      </c>
      <c r="BY7" s="21" t="s">
        <v>102</v>
      </c>
      <c r="BZ7" s="21" t="s">
        <v>102</v>
      </c>
      <c r="CA7" s="3"/>
      <c r="CB7" s="17" t="s">
        <v>19</v>
      </c>
      <c r="CC7" s="5" t="s">
        <v>158</v>
      </c>
      <c r="CD7" s="21" t="s">
        <v>21</v>
      </c>
      <c r="CE7" s="21" t="s">
        <v>22</v>
      </c>
      <c r="CF7" s="21" t="s">
        <v>159</v>
      </c>
      <c r="CG7" s="21" t="s">
        <v>98</v>
      </c>
      <c r="CH7" s="21" t="s">
        <v>99</v>
      </c>
      <c r="CI7" s="21" t="s">
        <v>160</v>
      </c>
      <c r="CJ7" s="21" t="s">
        <v>99</v>
      </c>
      <c r="CK7" s="21" t="s">
        <v>161</v>
      </c>
      <c r="CL7" s="21" t="s">
        <v>99</v>
      </c>
      <c r="CM7" s="21">
        <v>0.46</v>
      </c>
      <c r="CN7" s="5" t="s">
        <v>102</v>
      </c>
      <c r="CO7" s="21" t="s">
        <v>102</v>
      </c>
      <c r="CP7" s="21" t="s">
        <v>102</v>
      </c>
      <c r="CQ7" s="21" t="s">
        <v>102</v>
      </c>
      <c r="CR7" s="21" t="s">
        <v>102</v>
      </c>
      <c r="CS7" s="21" t="s">
        <v>102</v>
      </c>
      <c r="CT7" s="21" t="s">
        <v>102</v>
      </c>
      <c r="CU7" s="3"/>
      <c r="CV7" s="35"/>
      <c r="CW7" s="35" t="s">
        <v>170</v>
      </c>
      <c r="CX7" s="35" t="s">
        <v>171</v>
      </c>
      <c r="CY7" s="35" t="s">
        <v>195</v>
      </c>
      <c r="CZ7" s="35" t="s">
        <v>197</v>
      </c>
      <c r="DA7" s="35" t="s">
        <v>201</v>
      </c>
      <c r="DB7" s="35" t="s">
        <v>202</v>
      </c>
      <c r="DC7" s="35" t="s">
        <v>16</v>
      </c>
      <c r="DD7" s="36"/>
      <c r="DE7" s="35" t="s">
        <v>170</v>
      </c>
      <c r="DF7" s="35" t="s">
        <v>171</v>
      </c>
      <c r="DG7" s="35" t="s">
        <v>172</v>
      </c>
      <c r="DH7" s="35" t="s">
        <v>173</v>
      </c>
      <c r="DI7" s="36"/>
      <c r="DJ7" s="35" t="s">
        <v>170</v>
      </c>
      <c r="DK7" s="35" t="s">
        <v>171</v>
      </c>
      <c r="DL7" s="35" t="s">
        <v>172</v>
      </c>
      <c r="DM7" s="36"/>
      <c r="DN7" s="35" t="s">
        <v>170</v>
      </c>
      <c r="DO7" s="35" t="s">
        <v>171</v>
      </c>
      <c r="DP7" s="35" t="s">
        <v>172</v>
      </c>
      <c r="DQ7" s="36"/>
      <c r="DR7" s="37"/>
      <c r="DS7" s="17" t="s">
        <v>19</v>
      </c>
      <c r="DT7" s="35" t="s">
        <v>170</v>
      </c>
      <c r="DU7" s="35" t="s">
        <v>171</v>
      </c>
      <c r="DV7" s="35" t="s">
        <v>172</v>
      </c>
      <c r="DW7" s="35" t="s">
        <v>199</v>
      </c>
      <c r="DX7" s="36"/>
      <c r="DY7" s="35" t="s">
        <v>170</v>
      </c>
      <c r="DZ7" s="35" t="s">
        <v>171</v>
      </c>
      <c r="EA7" s="35" t="s">
        <v>172</v>
      </c>
      <c r="EB7" s="36"/>
      <c r="EC7" s="35" t="s">
        <v>170</v>
      </c>
      <c r="ED7" s="35" t="s">
        <v>171</v>
      </c>
      <c r="EE7" s="35" t="s">
        <v>172</v>
      </c>
      <c r="EF7" s="35"/>
      <c r="EG7" s="35"/>
      <c r="EH7" s="35"/>
      <c r="EI7" s="35"/>
      <c r="EJ7" s="35"/>
      <c r="EK7" s="35"/>
      <c r="EL7" s="35"/>
      <c r="EM7" s="35"/>
      <c r="EN7" s="2" t="s">
        <v>19</v>
      </c>
      <c r="EO7" s="8" t="s">
        <v>102</v>
      </c>
      <c r="EP7" s="8" t="s">
        <v>14</v>
      </c>
      <c r="EQ7" s="8" t="s">
        <v>102</v>
      </c>
      <c r="ER7" s="8" t="s">
        <v>14</v>
      </c>
      <c r="ES7" s="8" t="s">
        <v>102</v>
      </c>
      <c r="ET7" s="8" t="s">
        <v>14</v>
      </c>
      <c r="EU7" s="8" t="s">
        <v>16</v>
      </c>
      <c r="EV7" s="8" t="s">
        <v>102</v>
      </c>
      <c r="EW7" s="8" t="s">
        <v>102</v>
      </c>
      <c r="EX7" s="8" t="s">
        <v>102</v>
      </c>
      <c r="EY7" s="8" t="s">
        <v>102</v>
      </c>
    </row>
    <row r="8" spans="1:155" ht="10.9" customHeight="1">
      <c r="A8" s="17" t="s">
        <v>27</v>
      </c>
      <c r="B8" s="21" t="s">
        <v>28</v>
      </c>
      <c r="C8" s="21" t="s">
        <v>29</v>
      </c>
      <c r="D8" s="21" t="s">
        <v>30</v>
      </c>
      <c r="E8" s="21" t="s">
        <v>31</v>
      </c>
      <c r="F8" s="21" t="s">
        <v>32</v>
      </c>
      <c r="G8" s="38" t="s">
        <v>33</v>
      </c>
      <c r="H8" s="21" t="s">
        <v>34</v>
      </c>
      <c r="I8" s="21" t="s">
        <v>35</v>
      </c>
      <c r="J8" s="21" t="s">
        <v>35</v>
      </c>
      <c r="K8" s="21" t="s">
        <v>35</v>
      </c>
      <c r="L8" s="21" t="s">
        <v>35</v>
      </c>
      <c r="M8" s="21" t="s">
        <v>35</v>
      </c>
      <c r="N8" s="21" t="s">
        <v>35</v>
      </c>
      <c r="O8" s="21" t="s">
        <v>35</v>
      </c>
      <c r="P8" s="21" t="s">
        <v>35</v>
      </c>
      <c r="Q8" s="21" t="s">
        <v>35</v>
      </c>
      <c r="R8" s="21" t="s">
        <v>35</v>
      </c>
      <c r="S8" s="3"/>
      <c r="T8" s="17" t="s">
        <v>27</v>
      </c>
      <c r="U8" s="21" t="s">
        <v>28</v>
      </c>
      <c r="V8" s="21" t="s">
        <v>29</v>
      </c>
      <c r="W8" s="21" t="s">
        <v>30</v>
      </c>
      <c r="X8" s="21" t="s">
        <v>30</v>
      </c>
      <c r="Y8" s="21" t="s">
        <v>31</v>
      </c>
      <c r="Z8" s="21" t="s">
        <v>32</v>
      </c>
      <c r="AA8" s="21" t="s">
        <v>33</v>
      </c>
      <c r="AB8" s="21" t="s">
        <v>34</v>
      </c>
      <c r="AC8" s="21" t="s">
        <v>35</v>
      </c>
      <c r="AD8" s="21" t="s">
        <v>35</v>
      </c>
      <c r="AE8" s="21" t="s">
        <v>35</v>
      </c>
      <c r="AF8" s="21" t="s">
        <v>35</v>
      </c>
      <c r="AG8" s="21" t="s">
        <v>32</v>
      </c>
      <c r="AH8" s="21" t="s">
        <v>32</v>
      </c>
      <c r="AI8" s="21" t="s">
        <v>32</v>
      </c>
      <c r="AJ8" s="21" t="s">
        <v>32</v>
      </c>
      <c r="AK8" s="21" t="s">
        <v>32</v>
      </c>
      <c r="AL8" s="21" t="s">
        <v>32</v>
      </c>
      <c r="AM8" s="3"/>
      <c r="AN8" s="17" t="s">
        <v>27</v>
      </c>
      <c r="AO8" s="21" t="s">
        <v>28</v>
      </c>
      <c r="AP8" s="21" t="s">
        <v>29</v>
      </c>
      <c r="AQ8" s="21" t="s">
        <v>30</v>
      </c>
      <c r="AR8" s="21" t="s">
        <v>30</v>
      </c>
      <c r="AS8" s="21" t="s">
        <v>31</v>
      </c>
      <c r="AT8" s="21" t="s">
        <v>32</v>
      </c>
      <c r="AU8" s="21" t="s">
        <v>33</v>
      </c>
      <c r="AV8" s="21" t="s">
        <v>34</v>
      </c>
      <c r="AW8" s="21" t="s">
        <v>35</v>
      </c>
      <c r="AX8" s="21" t="s">
        <v>35</v>
      </c>
      <c r="AY8" s="21" t="s">
        <v>35</v>
      </c>
      <c r="AZ8" s="21" t="s">
        <v>35</v>
      </c>
      <c r="BA8" s="21" t="s">
        <v>32</v>
      </c>
      <c r="BB8" s="21" t="s">
        <v>32</v>
      </c>
      <c r="BC8" s="21" t="s">
        <v>32</v>
      </c>
      <c r="BD8" s="21" t="s">
        <v>32</v>
      </c>
      <c r="BE8" s="21" t="s">
        <v>32</v>
      </c>
      <c r="BF8" s="21" t="s">
        <v>32</v>
      </c>
      <c r="BG8" s="3"/>
      <c r="BH8" s="17" t="s">
        <v>27</v>
      </c>
      <c r="BI8" s="21" t="s">
        <v>28</v>
      </c>
      <c r="BJ8" s="21" t="s">
        <v>29</v>
      </c>
      <c r="BK8" s="21" t="s">
        <v>30</v>
      </c>
      <c r="BL8" s="21" t="s">
        <v>30</v>
      </c>
      <c r="BM8" s="21" t="s">
        <v>31</v>
      </c>
      <c r="BN8" s="21" t="s">
        <v>32</v>
      </c>
      <c r="BO8" s="21" t="s">
        <v>33</v>
      </c>
      <c r="BP8" s="21" t="s">
        <v>34</v>
      </c>
      <c r="BQ8" s="21" t="s">
        <v>35</v>
      </c>
      <c r="BR8" s="21" t="s">
        <v>35</v>
      </c>
      <c r="BS8" s="21" t="s">
        <v>35</v>
      </c>
      <c r="BT8" s="21" t="s">
        <v>35</v>
      </c>
      <c r="BU8" s="21" t="s">
        <v>32</v>
      </c>
      <c r="BV8" s="21" t="s">
        <v>32</v>
      </c>
      <c r="BW8" s="21" t="s">
        <v>32</v>
      </c>
      <c r="BX8" s="21" t="s">
        <v>32</v>
      </c>
      <c r="BY8" s="21" t="s">
        <v>32</v>
      </c>
      <c r="BZ8" s="21" t="s">
        <v>32</v>
      </c>
      <c r="CA8" s="3"/>
      <c r="CB8" s="17" t="s">
        <v>27</v>
      </c>
      <c r="CC8" s="21" t="s">
        <v>28</v>
      </c>
      <c r="CD8" s="21" t="s">
        <v>29</v>
      </c>
      <c r="CE8" s="21" t="s">
        <v>30</v>
      </c>
      <c r="CF8" s="21" t="s">
        <v>30</v>
      </c>
      <c r="CG8" s="21" t="s">
        <v>31</v>
      </c>
      <c r="CH8" s="21" t="s">
        <v>32</v>
      </c>
      <c r="CI8" s="21" t="s">
        <v>33</v>
      </c>
      <c r="CJ8" s="21" t="s">
        <v>34</v>
      </c>
      <c r="CK8" s="21" t="s">
        <v>35</v>
      </c>
      <c r="CL8" s="21" t="s">
        <v>35</v>
      </c>
      <c r="CM8" s="21" t="s">
        <v>35</v>
      </c>
      <c r="CN8" s="21" t="s">
        <v>35</v>
      </c>
      <c r="CO8" s="21" t="s">
        <v>32</v>
      </c>
      <c r="CP8" s="21" t="s">
        <v>32</v>
      </c>
      <c r="CQ8" s="21" t="s">
        <v>32</v>
      </c>
      <c r="CR8" s="21" t="s">
        <v>32</v>
      </c>
      <c r="CS8" s="21" t="s">
        <v>32</v>
      </c>
      <c r="CT8" s="21" t="s">
        <v>32</v>
      </c>
      <c r="CU8" s="3"/>
      <c r="CV8" s="35"/>
      <c r="CW8" s="39" t="s">
        <v>174</v>
      </c>
      <c r="CX8" s="39" t="s">
        <v>174</v>
      </c>
      <c r="CY8" s="39" t="s">
        <v>174</v>
      </c>
      <c r="CZ8" s="39" t="s">
        <v>174</v>
      </c>
      <c r="DA8" s="39" t="s">
        <v>174</v>
      </c>
      <c r="DB8" s="39" t="s">
        <v>174</v>
      </c>
      <c r="DC8" s="39" t="s">
        <v>174</v>
      </c>
      <c r="DD8" s="36"/>
      <c r="DE8" s="39" t="s">
        <v>174</v>
      </c>
      <c r="DF8" s="39" t="s">
        <v>174</v>
      </c>
      <c r="DG8" s="39" t="s">
        <v>174</v>
      </c>
      <c r="DH8" s="39" t="s">
        <v>174</v>
      </c>
      <c r="DI8" s="39" t="s">
        <v>174</v>
      </c>
      <c r="DJ8" s="39" t="s">
        <v>174</v>
      </c>
      <c r="DK8" s="39" t="s">
        <v>174</v>
      </c>
      <c r="DL8" s="39" t="s">
        <v>174</v>
      </c>
      <c r="DM8" s="39" t="s">
        <v>174</v>
      </c>
      <c r="DN8" s="39" t="s">
        <v>174</v>
      </c>
      <c r="DO8" s="39" t="s">
        <v>174</v>
      </c>
      <c r="DP8" s="39" t="s">
        <v>174</v>
      </c>
      <c r="DQ8" s="39" t="s">
        <v>174</v>
      </c>
      <c r="DR8" s="40"/>
      <c r="DS8" s="17" t="s">
        <v>27</v>
      </c>
      <c r="DT8" s="39" t="s">
        <v>174</v>
      </c>
      <c r="DU8" s="39" t="s">
        <v>174</v>
      </c>
      <c r="DV8" s="39" t="s">
        <v>174</v>
      </c>
      <c r="DW8" s="39" t="s">
        <v>174</v>
      </c>
      <c r="DX8" s="39" t="s">
        <v>174</v>
      </c>
      <c r="DY8" s="39" t="s">
        <v>174</v>
      </c>
      <c r="DZ8" s="39" t="s">
        <v>174</v>
      </c>
      <c r="EA8" s="39" t="s">
        <v>203</v>
      </c>
      <c r="EB8" s="41"/>
      <c r="EC8" s="39" t="s">
        <v>174</v>
      </c>
      <c r="ED8" s="39" t="s">
        <v>174</v>
      </c>
      <c r="EE8" s="39" t="s">
        <v>174</v>
      </c>
      <c r="EF8" s="39"/>
      <c r="EG8" s="39"/>
      <c r="EH8" s="39"/>
      <c r="EI8" s="39"/>
      <c r="EJ8" s="39"/>
      <c r="EK8" s="39"/>
      <c r="EL8" s="39"/>
      <c r="EM8" s="39"/>
      <c r="EN8" s="2" t="s">
        <v>27</v>
      </c>
      <c r="EO8" s="39" t="s">
        <v>174</v>
      </c>
      <c r="EP8" s="39" t="s">
        <v>174</v>
      </c>
      <c r="EQ8" s="39" t="s">
        <v>174</v>
      </c>
      <c r="ER8" s="39" t="s">
        <v>174</v>
      </c>
      <c r="ES8" s="39" t="s">
        <v>174</v>
      </c>
      <c r="ET8" s="39" t="s">
        <v>174</v>
      </c>
      <c r="EU8" s="39" t="s">
        <v>174</v>
      </c>
      <c r="EV8" s="39" t="s">
        <v>174</v>
      </c>
      <c r="EW8" s="39" t="s">
        <v>174</v>
      </c>
      <c r="EX8" s="39" t="s">
        <v>174</v>
      </c>
      <c r="EY8" s="39" t="s">
        <v>174</v>
      </c>
    </row>
    <row r="9" spans="1:155" ht="18" customHeight="1">
      <c r="A9" s="17" t="s">
        <v>36</v>
      </c>
      <c r="B9" s="42">
        <v>35904</v>
      </c>
      <c r="C9" s="43">
        <f>SUM(B9/963353)</f>
        <v>3.7269827363386007E-2</v>
      </c>
      <c r="D9" s="44">
        <f>SUM(C9*0)</f>
        <v>0</v>
      </c>
      <c r="E9" s="45">
        <f t="shared" ref="E9:E24" si="0">SUM(D9*10)/2000</f>
        <v>0</v>
      </c>
      <c r="F9" s="45">
        <f t="shared" ref="F9:F24" si="1">SUM(E9*0)</f>
        <v>0</v>
      </c>
      <c r="G9" s="45">
        <f>SUM(D9*9.1)/2000</f>
        <v>0</v>
      </c>
      <c r="H9" s="45">
        <f t="shared" ref="H9:H22" si="2">SUM(G9*0)</f>
        <v>0</v>
      </c>
      <c r="I9" s="45">
        <f>SUM(D9*275)/2000</f>
        <v>0</v>
      </c>
      <c r="J9" s="45">
        <f t="shared" ref="J9:J22" si="3">SUM(I9*0)</f>
        <v>0</v>
      </c>
      <c r="K9" s="46">
        <f t="shared" ref="K9:K22" si="4">SUM(I9*0.75)/90</f>
        <v>0</v>
      </c>
      <c r="L9" s="45">
        <f>SUM(D9*31)/2000</f>
        <v>0</v>
      </c>
      <c r="M9" s="45">
        <f>SUM(D9*6.24)/2000</f>
        <v>0</v>
      </c>
      <c r="N9" s="45">
        <f>SUM(D9*6.28)/2000</f>
        <v>0</v>
      </c>
      <c r="O9" s="45">
        <f>SUM(D9*3.84)/2000</f>
        <v>0</v>
      </c>
      <c r="P9" s="45">
        <f>SUM(D9*3.88)/2000</f>
        <v>0</v>
      </c>
      <c r="Q9" s="46">
        <f>SUM(D9*0.04)/2000</f>
        <v>0</v>
      </c>
      <c r="R9" s="45">
        <f>SUM(D9*2)/2000</f>
        <v>0</v>
      </c>
      <c r="S9" s="3"/>
      <c r="T9" s="17" t="s">
        <v>36</v>
      </c>
      <c r="U9" s="42">
        <v>35904</v>
      </c>
      <c r="V9" s="43">
        <f>SUM(U9/963353)</f>
        <v>3.7269827363386007E-2</v>
      </c>
      <c r="W9" s="44">
        <f>SUM(V9*629687.66)</f>
        <v>23468.350381054504</v>
      </c>
      <c r="X9" s="44">
        <f>SUM(W9*0.09)/92</f>
        <v>22.958168851031576</v>
      </c>
      <c r="Y9" s="45">
        <f t="shared" ref="Y9:Y22" si="5">SUM(W9*0.713)/2000</f>
        <v>8.3664669108459311</v>
      </c>
      <c r="Z9" s="46">
        <f t="shared" ref="Z9:Z22" si="6">SUM(Y9*0.09)/92</f>
        <v>8.1845871953927576E-3</v>
      </c>
      <c r="AA9" s="44">
        <f t="shared" ref="AA9:AA22" si="7">SUM(W9*18)/2000</f>
        <v>211.21515342949056</v>
      </c>
      <c r="AB9" s="46">
        <f t="shared" ref="AB9:AB22" si="8">SUM(AA9*0.09)/92</f>
        <v>0.20662351965928424</v>
      </c>
      <c r="AC9" s="44">
        <f t="shared" ref="AC9:AC22" si="9">SUM(W9*5)/2000</f>
        <v>58.670875952636266</v>
      </c>
      <c r="AD9" s="46">
        <f t="shared" ref="AD9:AD22" si="10">SUM(AC9*0.09)/92</f>
        <v>5.7395422127578956E-2</v>
      </c>
      <c r="AE9" s="46">
        <f t="shared" ref="AE9:AE22" si="11">SUM(AC9*0.46)/90</f>
        <v>0.29987336598014092</v>
      </c>
      <c r="AF9" s="45">
        <f t="shared" ref="AF9:AF22" si="12">SUM(W9*42.6)/2000</f>
        <v>499.87586311646095</v>
      </c>
      <c r="AG9" s="45">
        <f>SUM(W9*2.38)/2000</f>
        <v>27.927336953454859</v>
      </c>
      <c r="AH9" s="45">
        <f>SUM(W9*1.08)/2000</f>
        <v>12.672909205769432</v>
      </c>
      <c r="AI9" s="45">
        <f>SUM(W9*2.13)/2000</f>
        <v>24.993793155823045</v>
      </c>
      <c r="AJ9" s="45">
        <f>SUM(W9*0.83)/2000</f>
        <v>9.7393654081376191</v>
      </c>
      <c r="AK9" s="45">
        <f>SUM(W9*1.3)/2000</f>
        <v>15.254427747685428</v>
      </c>
      <c r="AL9" s="45">
        <f>SUM(W9*1)/2000</f>
        <v>11.734175190527251</v>
      </c>
      <c r="AM9" s="3"/>
      <c r="AN9" s="17" t="s">
        <v>36</v>
      </c>
      <c r="AO9" s="42">
        <v>35904</v>
      </c>
      <c r="AP9" s="43">
        <f>SUM(AO9/963353)</f>
        <v>3.7269827363386007E-2</v>
      </c>
      <c r="AQ9" s="44">
        <f>SUM(AP9*125443.2)</f>
        <v>4675.2464079107031</v>
      </c>
      <c r="AR9" s="45">
        <f>SUM(AQ9*0.09)/92</f>
        <v>4.573610616434383</v>
      </c>
      <c r="AS9" s="44">
        <f t="shared" ref="AS9:AS22" si="13">SUM(AQ9*5.5)/2000</f>
        <v>12.856927621754433</v>
      </c>
      <c r="AT9" s="46">
        <f t="shared" ref="AT9:AT22" si="14">SUM(AS9*0.09)/92</f>
        <v>1.2577429195194554E-2</v>
      </c>
      <c r="AU9" s="44">
        <f t="shared" ref="AU9:AU22" si="15">SUM(AQ9*94)/2000</f>
        <v>219.73658117180304</v>
      </c>
      <c r="AV9" s="46">
        <f t="shared" ref="AV9:AV22" si="16">SUM(AU9*0.09)/92</f>
        <v>0.21495969897241601</v>
      </c>
      <c r="AW9" s="44">
        <f t="shared" ref="AW9:AW22" si="17">SUM(AQ9*40)/2000</f>
        <v>93.504928158214057</v>
      </c>
      <c r="AX9" s="46">
        <f t="shared" ref="AX9:AX22" si="18">SUM(AW9*0.09)/92</f>
        <v>9.1472212328687658E-2</v>
      </c>
      <c r="AY9" s="45">
        <f t="shared" ref="AY9:AY22" si="19">SUM(AW9*0.46)/90</f>
        <v>0.47791407725309409</v>
      </c>
      <c r="AZ9" s="44">
        <f t="shared" ref="AZ9:AZ22" si="20">SUM(AQ9*0.6)/2000</f>
        <v>1.402573922373211</v>
      </c>
      <c r="BA9" s="45">
        <f>SUM(AQ9*0.2)/2000</f>
        <v>0.46752464079107037</v>
      </c>
      <c r="BB9" s="45">
        <f>SUM(AQ9*0.52)/2000</f>
        <v>1.2155640660567828</v>
      </c>
      <c r="BC9" s="45">
        <f>SUM(AQ9*0.11)/2000</f>
        <v>0.25713855243508871</v>
      </c>
      <c r="BD9" s="45">
        <f>SUM(AQ9*0.43)/2000</f>
        <v>1.0051779777008012</v>
      </c>
      <c r="BE9" s="47">
        <f>SUM(AQ9*0.32)/2000</f>
        <v>0.74803942526571243</v>
      </c>
      <c r="BF9" s="47">
        <f>SUM(AQ9*20)/2000</f>
        <v>46.752464079107028</v>
      </c>
      <c r="BG9" s="3"/>
      <c r="BH9" s="17" t="s">
        <v>36</v>
      </c>
      <c r="BI9" s="42">
        <v>35904</v>
      </c>
      <c r="BJ9" s="43">
        <f>SUM(BI9/963353)</f>
        <v>3.7269827363386007E-2</v>
      </c>
      <c r="BK9" s="48">
        <f>SUM(BJ9*4200)</f>
        <v>156.53327492622122</v>
      </c>
      <c r="BL9" s="46">
        <f>SUM(BK9*0.09)/2000</f>
        <v>7.0439973716799548E-3</v>
      </c>
      <c r="BM9" s="46">
        <f>SUM(BK9*0.68)/2000</f>
        <v>5.3221313474915218E-2</v>
      </c>
      <c r="BN9" s="49">
        <f t="shared" ref="BN9:BN22" si="21">SUM(BM9*0.09)/92</f>
        <v>5.206432839937358E-5</v>
      </c>
      <c r="BO9" s="45">
        <f>SUM(BK9*17.4)/2000</f>
        <v>1.3618394918581245</v>
      </c>
      <c r="BP9" s="49">
        <f t="shared" ref="BP9:BP22" si="22">SUM(BO9*0.09)/92</f>
        <v>1.3322342855133825E-3</v>
      </c>
      <c r="BQ9" s="45">
        <f>SUM(BK9*4.82)/2000</f>
        <v>0.37724519257219319</v>
      </c>
      <c r="BR9" s="46">
        <f t="shared" ref="BR9:BR22" si="23">SUM(BQ9*0.09)/92</f>
        <v>3.6904421012497158E-4</v>
      </c>
      <c r="BS9" s="46">
        <f t="shared" ref="BS9:BS22" si="24">SUM(BQ9*0.46)/90</f>
        <v>1.9281420953689873E-3</v>
      </c>
      <c r="BT9" s="44">
        <f>SUM(BK9*42.6)/2000</f>
        <v>3.3341587559285122</v>
      </c>
      <c r="BU9" s="45">
        <f>SUM(BK9*2.34)/2000</f>
        <v>0.18314393166367882</v>
      </c>
      <c r="BV9" s="45">
        <f>SUM(BK9*1.044)/2000</f>
        <v>8.1710369511487482E-2</v>
      </c>
      <c r="BW9" s="45">
        <f>SUM(BK9*2.1)/2000</f>
        <v>0.16435993867253229</v>
      </c>
      <c r="BX9" s="45">
        <f>SUM(BK9*0.8)/2000</f>
        <v>6.2613309970488501E-2</v>
      </c>
      <c r="BY9" s="45">
        <f>SUM(BK9*1.3)/2000</f>
        <v>0.10174662870204379</v>
      </c>
      <c r="BZ9" s="45">
        <f>SUM(BK9*0.964)/2000</f>
        <v>7.5449038514438627E-2</v>
      </c>
      <c r="CA9" s="3"/>
      <c r="CB9" s="17" t="s">
        <v>36</v>
      </c>
      <c r="CC9" s="50">
        <v>35904</v>
      </c>
      <c r="CD9" s="43">
        <f>SUM(CC9/963353)</f>
        <v>3.7269827363386007E-2</v>
      </c>
      <c r="CE9" s="48">
        <f>SUM(CD9*70854)</f>
        <v>2640.7163480053523</v>
      </c>
      <c r="CF9" s="46">
        <f t="shared" ref="CF9:CF24" si="25">SUM(CE9*0.09)/92</f>
        <v>2.5833094708748012</v>
      </c>
      <c r="CG9" s="45">
        <f>SUM(CE9*0.52)/2000</f>
        <v>0.68658625048139166</v>
      </c>
      <c r="CH9" s="46">
        <f t="shared" ref="CH9:CH22" si="26">SUM(CG9*0.09)/92</f>
        <v>6.7166046242744836E-4</v>
      </c>
      <c r="CI9" s="45">
        <f>SUM(CE9*13.4)/2000</f>
        <v>17.69279953163586</v>
      </c>
      <c r="CJ9" s="46">
        <f t="shared" ref="CJ9:CJ22" si="27">SUM(CI9*0.09)/92</f>
        <v>1.7308173454861166E-2</v>
      </c>
      <c r="CK9" s="45">
        <f>SUM(CE9*3.8)/2000</f>
        <v>5.0173610612101696</v>
      </c>
      <c r="CL9" s="46">
        <f t="shared" ref="CL9:CL22" si="28">SUM(CK9*0.09)/92</f>
        <v>4.9082879946621225E-3</v>
      </c>
      <c r="CM9" s="46">
        <f t="shared" ref="CM9:CM22" si="29">SUM(CK9*0.46)/90</f>
        <v>2.5644289868407534E-2</v>
      </c>
      <c r="CN9" s="45">
        <f>SUM(CE9*0.06)/2000</f>
        <v>7.9221490440160566E-2</v>
      </c>
      <c r="CO9" s="45">
        <f>SUM(CE9*0.02)/2000</f>
        <v>2.6407163480053522E-2</v>
      </c>
      <c r="CP9" s="45">
        <f>SUM(CE9*0.05)/2000</f>
        <v>6.6017908700133812E-2</v>
      </c>
      <c r="CQ9" s="45">
        <f>SUM(CE9*0.01)/2000</f>
        <v>1.3203581740026761E-2</v>
      </c>
      <c r="CR9" s="45">
        <f>SUM(CE9*0.04)/2000</f>
        <v>5.2814326960107044E-2</v>
      </c>
      <c r="CS9" s="45">
        <f>SUM(CE9*0.03)/2000</f>
        <v>3.9610745220080283E-2</v>
      </c>
      <c r="CT9" s="45">
        <f>SUM(CE9*0.05)/2000</f>
        <v>6.6017908700133812E-2</v>
      </c>
      <c r="CU9" s="3"/>
      <c r="CV9" s="17" t="s">
        <v>36</v>
      </c>
      <c r="CW9" s="51">
        <f>SUM(CX9,CY9)</f>
        <v>1987.8</v>
      </c>
      <c r="CX9" s="52">
        <v>1837.1</v>
      </c>
      <c r="CY9" s="52">
        <v>150.69999999999999</v>
      </c>
      <c r="CZ9" s="52">
        <f>SUM(CY9*0.125)/92</f>
        <v>0.20475543478260869</v>
      </c>
      <c r="DA9" s="52">
        <f>SUM(CX9*0.46)/90</f>
        <v>9.3896222222222221</v>
      </c>
      <c r="DB9" s="53">
        <f>SUM(CY9*0.46)/90</f>
        <v>0.77024444444444451</v>
      </c>
      <c r="DC9" s="52">
        <f>SUM(DA9+DB9)</f>
        <v>10.159866666666666</v>
      </c>
      <c r="DD9" s="54"/>
      <c r="DE9" s="52">
        <f>SUM(DF9,DG9)</f>
        <v>372.09999999999997</v>
      </c>
      <c r="DF9" s="52">
        <v>343.9</v>
      </c>
      <c r="DG9" s="52">
        <v>28.2</v>
      </c>
      <c r="DH9" s="52">
        <f>SUM(DG9*0.125)/92</f>
        <v>3.8315217391304349E-2</v>
      </c>
      <c r="DI9" s="54"/>
      <c r="DJ9" s="55">
        <f>SUM(DK9,DL9)</f>
        <v>283.7</v>
      </c>
      <c r="DK9" s="52">
        <v>256.89999999999998</v>
      </c>
      <c r="DL9" s="52">
        <v>26.8</v>
      </c>
      <c r="DM9" s="56"/>
      <c r="DN9" s="55">
        <f>SUM(DO9,DP9)</f>
        <v>283.60000000000002</v>
      </c>
      <c r="DO9" s="52">
        <v>256.8</v>
      </c>
      <c r="DP9" s="57">
        <v>26.8</v>
      </c>
      <c r="DQ9" s="56"/>
      <c r="DR9" s="58"/>
      <c r="DS9" s="17" t="s">
        <v>36</v>
      </c>
      <c r="DT9" s="55">
        <f>SUM(DU9,DV9)</f>
        <v>31.6</v>
      </c>
      <c r="DU9" s="52">
        <v>30.8</v>
      </c>
      <c r="DV9" s="52">
        <v>0.8</v>
      </c>
      <c r="DW9" s="59">
        <f>SUM(DV9*0.125)/92</f>
        <v>1.0869565217391304E-3</v>
      </c>
      <c r="DX9" s="54"/>
      <c r="DY9" s="55">
        <f>SUM(DZ9,EA9)</f>
        <v>15.100000000000001</v>
      </c>
      <c r="DZ9" s="52">
        <v>14.3</v>
      </c>
      <c r="EA9" s="52">
        <v>0.8</v>
      </c>
      <c r="EB9" s="54"/>
      <c r="EC9" s="55">
        <f>SUM(ED9,EE9)</f>
        <v>6.2</v>
      </c>
      <c r="ED9" s="52">
        <v>5.4</v>
      </c>
      <c r="EE9" s="52">
        <v>0.8</v>
      </c>
      <c r="EF9" s="52"/>
      <c r="EG9" s="52"/>
      <c r="EH9" s="52"/>
      <c r="EI9" s="52"/>
      <c r="EJ9" s="52"/>
      <c r="EK9" s="52"/>
      <c r="EL9" s="52"/>
      <c r="EM9" s="52"/>
      <c r="EN9" s="2" t="s">
        <v>36</v>
      </c>
      <c r="EO9" s="60">
        <f t="shared" ref="EO9:EO22" si="30">SUM(E9,Y9,AS9,BM9,CG9,DE9)</f>
        <v>394.06320209655667</v>
      </c>
      <c r="EP9" s="61">
        <f t="shared" ref="EP9:EP22" si="31">SUM(F9,Z9,AT9,BN9,CH9,DH9)</f>
        <v>5.9800958572718485E-2</v>
      </c>
      <c r="EQ9" s="60">
        <f t="shared" ref="EQ9:EQ22" si="32">SUM(G9,AA9,AU9,BO9,CI9,DT9)</f>
        <v>481.60637362478758</v>
      </c>
      <c r="ER9" s="61">
        <f t="shared" ref="ER9:ER22" si="33">SUM(H9,AB9,AV9,BP9,CJ9,DW9)</f>
        <v>0.44131058289381392</v>
      </c>
      <c r="ES9" s="60">
        <f t="shared" ref="ES9:ES22" si="34">SUM(I9,AC9,AW9,BQ9,CK9,CW9)</f>
        <v>2145.3704103646328</v>
      </c>
      <c r="ET9" s="61">
        <f t="shared" ref="ET9:ET22" si="35">SUM(J9,AD9,AX9,BR9,CL9,CZ9)</f>
        <v>0.35890040144366236</v>
      </c>
      <c r="EU9" s="61">
        <f t="shared" ref="EU9:EU22" si="36">SUM(K9,AE9,AY9,BS9,CM9,DC9)</f>
        <v>10.965226541863677</v>
      </c>
      <c r="EV9" s="61">
        <f t="shared" ref="EV9:EV22" si="37">SUM(L9,AF9,AZ9,BT9,CN9,EC9)</f>
        <v>510.89181728520282</v>
      </c>
      <c r="EW9" s="61">
        <f>SUM(N9,AG9,BB9,BU9,CP9,DJ9)</f>
        <v>313.09206285987545</v>
      </c>
      <c r="EX9" s="61">
        <f t="shared" ref="EX9:EX22" si="38">SUM(P9,AI9,BD9,BW9,CR9,DN9)</f>
        <v>309.81614539915648</v>
      </c>
      <c r="EY9" s="61">
        <f t="shared" ref="EY9:EY22" si="39">SUM(R9,AL9,BF9,BZ9,CT9,DY9)</f>
        <v>73.728106216848857</v>
      </c>
    </row>
    <row r="10" spans="1:155" ht="18" customHeight="1">
      <c r="A10" s="17" t="s">
        <v>37</v>
      </c>
      <c r="B10" s="42">
        <v>27659</v>
      </c>
      <c r="C10" s="43">
        <f t="shared" ref="C10:C24" si="40">SUM(B10/963353)</f>
        <v>2.8711178560714503E-2</v>
      </c>
      <c r="D10" s="44">
        <f t="shared" ref="D10:D22" si="41">SUM(C10*0)</f>
        <v>0</v>
      </c>
      <c r="E10" s="45">
        <f t="shared" si="0"/>
        <v>0</v>
      </c>
      <c r="F10" s="45">
        <f t="shared" si="1"/>
        <v>0</v>
      </c>
      <c r="G10" s="45">
        <f t="shared" ref="G10:G24" si="42">SUM(D10*9.1)/2000</f>
        <v>0</v>
      </c>
      <c r="H10" s="45">
        <f t="shared" si="2"/>
        <v>0</v>
      </c>
      <c r="I10" s="45">
        <f t="shared" ref="I10:I24" si="43">SUM(D10*275)/2000</f>
        <v>0</v>
      </c>
      <c r="J10" s="45">
        <f t="shared" si="3"/>
        <v>0</v>
      </c>
      <c r="K10" s="46">
        <f t="shared" si="4"/>
        <v>0</v>
      </c>
      <c r="L10" s="45">
        <f t="shared" ref="L10:L24" si="44">SUM(D10*31)/2000</f>
        <v>0</v>
      </c>
      <c r="M10" s="45">
        <f t="shared" ref="M10:M24" si="45">SUM(D10*6.24)/2000</f>
        <v>0</v>
      </c>
      <c r="N10" s="45">
        <f t="shared" ref="N10:N24" si="46">SUM(D10*6.28)/2000</f>
        <v>0</v>
      </c>
      <c r="O10" s="45">
        <f t="shared" ref="O10:O24" si="47">SUM(D10*3.84)/2000</f>
        <v>0</v>
      </c>
      <c r="P10" s="45">
        <f t="shared" ref="P10:P24" si="48">SUM(D10*3.88)/2000</f>
        <v>0</v>
      </c>
      <c r="Q10" s="46">
        <f t="shared" ref="Q10:Q24" si="49">SUM(D10*0.04)/2000</f>
        <v>0</v>
      </c>
      <c r="R10" s="45">
        <f t="shared" ref="R10:R24" si="50">SUM(D10*2)/2000</f>
        <v>0</v>
      </c>
      <c r="S10" s="3"/>
      <c r="T10" s="17" t="s">
        <v>37</v>
      </c>
      <c r="U10" s="42">
        <v>27659</v>
      </c>
      <c r="V10" s="43">
        <f t="shared" ref="V10:V24" si="51">SUM(U10/963353)</f>
        <v>2.8711178560714503E-2</v>
      </c>
      <c r="W10" s="44">
        <f t="shared" ref="W10:W24" si="52">SUM(V10*629687.66)</f>
        <v>18079.074843738483</v>
      </c>
      <c r="X10" s="44">
        <f t="shared" ref="X10:X24" si="53">SUM(W10*0.09)/92</f>
        <v>17.686051477570253</v>
      </c>
      <c r="Y10" s="45">
        <f t="shared" si="5"/>
        <v>6.4451901817927695</v>
      </c>
      <c r="Z10" s="46">
        <f t="shared" si="6"/>
        <v>6.3050773517537963E-3</v>
      </c>
      <c r="AA10" s="44">
        <f t="shared" si="7"/>
        <v>162.71167359364634</v>
      </c>
      <c r="AB10" s="46">
        <f t="shared" si="8"/>
        <v>0.15917446329813228</v>
      </c>
      <c r="AC10" s="44">
        <f t="shared" si="9"/>
        <v>45.197687109346212</v>
      </c>
      <c r="AD10" s="46">
        <f t="shared" si="10"/>
        <v>4.4215128693925639E-2</v>
      </c>
      <c r="AE10" s="46">
        <f t="shared" si="11"/>
        <v>0.23101040078110288</v>
      </c>
      <c r="AF10" s="45">
        <f t="shared" si="12"/>
        <v>385.08429417162972</v>
      </c>
      <c r="AG10" s="45">
        <f t="shared" ref="AG10:AG24" si="54">SUM(W10*2.38)/2000</f>
        <v>21.514099064048793</v>
      </c>
      <c r="AH10" s="45">
        <f t="shared" ref="AH10:AH24" si="55">SUM(W10*1.08)/2000</f>
        <v>9.7627004156187809</v>
      </c>
      <c r="AI10" s="45">
        <f t="shared" ref="AI10:AI24" si="56">SUM(W10*2.13)/2000</f>
        <v>19.254214708581483</v>
      </c>
      <c r="AJ10" s="45">
        <f t="shared" ref="AJ10:AJ24" si="57">SUM(W10*0.83)/2000</f>
        <v>7.5028160601514697</v>
      </c>
      <c r="AK10" s="45">
        <f t="shared" ref="AK10:AK24" si="58">SUM(W10*1.3)/2000</f>
        <v>11.751398648430015</v>
      </c>
      <c r="AL10" s="45">
        <f t="shared" ref="AL10:AL24" si="59">SUM(W10*1)/2000</f>
        <v>9.039537421869241</v>
      </c>
      <c r="AM10" s="3"/>
      <c r="AN10" s="17" t="s">
        <v>37</v>
      </c>
      <c r="AO10" s="42">
        <v>27659</v>
      </c>
      <c r="AP10" s="43">
        <f t="shared" ref="AP10:AP24" si="60">SUM(AO10/963353)</f>
        <v>2.8711178560714503E-2</v>
      </c>
      <c r="AQ10" s="44">
        <f t="shared" ref="AQ10:AQ24" si="61">SUM(AP10*125443.2)</f>
        <v>3601.6221144274214</v>
      </c>
      <c r="AR10" s="45">
        <f t="shared" ref="AR10:AR24" si="62">SUM(AQ10*0.09)/92</f>
        <v>3.5233259815050859</v>
      </c>
      <c r="AS10" s="44">
        <f t="shared" si="13"/>
        <v>9.9044608146754083</v>
      </c>
      <c r="AT10" s="46">
        <f t="shared" si="14"/>
        <v>9.6891464491389856E-3</v>
      </c>
      <c r="AU10" s="44">
        <f t="shared" si="15"/>
        <v>169.2762393780888</v>
      </c>
      <c r="AV10" s="46">
        <f t="shared" si="16"/>
        <v>0.16559632113073902</v>
      </c>
      <c r="AW10" s="44">
        <f t="shared" si="17"/>
        <v>72.032442288548424</v>
      </c>
      <c r="AX10" s="46">
        <f t="shared" si="18"/>
        <v>7.0466519630101712E-2</v>
      </c>
      <c r="AY10" s="45">
        <f t="shared" si="19"/>
        <v>0.3681658161414697</v>
      </c>
      <c r="AZ10" s="44">
        <f t="shared" si="20"/>
        <v>1.0804866343282262</v>
      </c>
      <c r="BA10" s="45">
        <f t="shared" ref="BA10:BA24" si="63">SUM(AQ10*0.2)/2000</f>
        <v>0.36016221144274213</v>
      </c>
      <c r="BB10" s="45">
        <f t="shared" ref="BB10:BB24" si="64">SUM(AQ10*0.52)/2000</f>
        <v>0.93642174975112957</v>
      </c>
      <c r="BC10" s="45">
        <f t="shared" ref="BC10:BC24" si="65">SUM(AQ10*0.11)/2000</f>
        <v>0.19808921629350817</v>
      </c>
      <c r="BD10" s="45">
        <f t="shared" ref="BD10:BD24" si="66">SUM(AQ10*0.43)/2000</f>
        <v>0.77434875460189567</v>
      </c>
      <c r="BE10" s="47">
        <f t="shared" ref="BE10:BE24" si="67">SUM(AQ10*0.32)/2000</f>
        <v>0.57625953830838739</v>
      </c>
      <c r="BF10" s="47">
        <f t="shared" ref="BF10:BF24" si="68">SUM(AQ10*20)/2000</f>
        <v>36.016221144274212</v>
      </c>
      <c r="BG10" s="3"/>
      <c r="BH10" s="17" t="s">
        <v>37</v>
      </c>
      <c r="BI10" s="42">
        <v>27659</v>
      </c>
      <c r="BJ10" s="43">
        <f t="shared" ref="BJ10:BJ22" si="69">SUM(BI10/963353)</f>
        <v>2.8711178560714503E-2</v>
      </c>
      <c r="BK10" s="48">
        <f t="shared" ref="BK10:BK24" si="70">SUM(BJ10*4200)</f>
        <v>120.58694995500092</v>
      </c>
      <c r="BL10" s="46">
        <f t="shared" ref="BL10:BL24" si="71">SUM(BK10*0.09)/2000</f>
        <v>5.4264127479750407E-3</v>
      </c>
      <c r="BM10" s="46">
        <f t="shared" ref="BM10:BM24" si="72">SUM(BK10*0.68)/2000</f>
        <v>4.0999562984700311E-2</v>
      </c>
      <c r="BN10" s="49">
        <f t="shared" si="21"/>
        <v>4.0108268137206824E-5</v>
      </c>
      <c r="BO10" s="45">
        <f t="shared" ref="BO10:BO24" si="73">SUM(BK10*17.4)/2000</f>
        <v>1.0491064646085078</v>
      </c>
      <c r="BP10" s="49">
        <f t="shared" si="22"/>
        <v>1.0262998023344099E-3</v>
      </c>
      <c r="BQ10" s="45">
        <f t="shared" ref="BQ10:BQ24" si="74">SUM(BK10*4.82)/2000</f>
        <v>0.29061454939155218</v>
      </c>
      <c r="BR10" s="46">
        <f t="shared" si="23"/>
        <v>2.8429684179608365E-4</v>
      </c>
      <c r="BS10" s="46">
        <f t="shared" si="24"/>
        <v>1.4853632524457112E-3</v>
      </c>
      <c r="BT10" s="44">
        <f t="shared" ref="BT10:BT24" si="75">SUM(BK10*42.6)/2000</f>
        <v>2.5685020340415194</v>
      </c>
      <c r="BU10" s="45">
        <f t="shared" ref="BU10:BU24" si="76">SUM(BK10*2.34)/2000</f>
        <v>0.14108673144735107</v>
      </c>
      <c r="BV10" s="45">
        <f t="shared" ref="BV10:BV24" si="77">SUM(BK10*1.044)/2000</f>
        <v>6.2946387876510482E-2</v>
      </c>
      <c r="BW10" s="45">
        <f t="shared" ref="BW10:BW24" si="78">SUM(BK10*2.1)/2000</f>
        <v>0.12661629745275096</v>
      </c>
      <c r="BX10" s="45">
        <f t="shared" ref="BX10:BX24" si="79">SUM(BK10*0.8)/2000</f>
        <v>4.8234779982000368E-2</v>
      </c>
      <c r="BY10" s="45">
        <f t="shared" ref="BY10:BY24" si="80">SUM(BK10*1.3)/2000</f>
        <v>7.8381517470750589E-2</v>
      </c>
      <c r="BZ10" s="45">
        <f t="shared" ref="BZ10:BZ24" si="81">SUM(BK10*0.964)/2000</f>
        <v>5.8122909878310439E-2</v>
      </c>
      <c r="CA10" s="3"/>
      <c r="CB10" s="17" t="s">
        <v>37</v>
      </c>
      <c r="CC10" s="42">
        <v>27659</v>
      </c>
      <c r="CD10" s="43">
        <f t="shared" ref="CD10:CD24" si="82">SUM(CC10/963353)</f>
        <v>2.8711178560714503E-2</v>
      </c>
      <c r="CE10" s="48">
        <f t="shared" ref="CE10:CE24" si="83">SUM(CD10*70854)</f>
        <v>2034.3018457408655</v>
      </c>
      <c r="CF10" s="46">
        <f t="shared" si="25"/>
        <v>1.9900778925725857</v>
      </c>
      <c r="CG10" s="45">
        <f t="shared" ref="CG10:CG24" si="84">SUM(CE10*0.52)/2000</f>
        <v>0.52891847989262497</v>
      </c>
      <c r="CH10" s="46">
        <f t="shared" si="26"/>
        <v>5.1742025206887217E-4</v>
      </c>
      <c r="CI10" s="45">
        <f t="shared" ref="CI10:CI24" si="85">SUM(CE10*13.4)/2000</f>
        <v>13.629822366463799</v>
      </c>
      <c r="CJ10" s="46">
        <f t="shared" si="27"/>
        <v>1.3333521880236324E-2</v>
      </c>
      <c r="CK10" s="45">
        <f t="shared" ref="CK10:CK24" si="86">SUM(CE10*3.8)/2000</f>
        <v>3.8651735069076443</v>
      </c>
      <c r="CL10" s="46">
        <f t="shared" si="28"/>
        <v>3.7811479958879128E-3</v>
      </c>
      <c r="CM10" s="46">
        <f t="shared" si="29"/>
        <v>1.9755331257527962E-2</v>
      </c>
      <c r="CN10" s="45">
        <f t="shared" ref="CN10:CN24" si="87">SUM(CE10*0.06)/2000</f>
        <v>6.1029055372225964E-2</v>
      </c>
      <c r="CO10" s="45">
        <f t="shared" ref="CO10:CO24" si="88">SUM(CE10*0.02)/2000</f>
        <v>2.0343018457408654E-2</v>
      </c>
      <c r="CP10" s="45">
        <f t="shared" ref="CP10:CP24" si="89">SUM(CE10*0.05)/2000</f>
        <v>5.0857546143521636E-2</v>
      </c>
      <c r="CQ10" s="45">
        <f t="shared" ref="CQ10:CQ24" si="90">SUM(CE10*0.01)/2000</f>
        <v>1.0171509228704327E-2</v>
      </c>
      <c r="CR10" s="45">
        <f t="shared" ref="CR10:CR24" si="91">SUM(CE10*0.04)/2000</f>
        <v>4.0686036914817307E-2</v>
      </c>
      <c r="CS10" s="45">
        <f t="shared" ref="CS10:CS24" si="92">SUM(CE10*0.03)/2000</f>
        <v>3.0514527686112982E-2</v>
      </c>
      <c r="CT10" s="45">
        <f t="shared" ref="CT10:CT24" si="93">SUM(CE10*0.05)/2000</f>
        <v>5.0857546143521636E-2</v>
      </c>
      <c r="CU10" s="3"/>
      <c r="CV10" s="17" t="s">
        <v>37</v>
      </c>
      <c r="CW10" s="51">
        <f t="shared" ref="CW10:CW24" si="94">SUM(CX10,CY10)</f>
        <v>5098.7</v>
      </c>
      <c r="CX10" s="52">
        <v>3721.7</v>
      </c>
      <c r="CY10" s="52">
        <v>1377</v>
      </c>
      <c r="CZ10" s="52">
        <f t="shared" ref="CZ10:CZ24" si="95">SUM(CY10*0.125)/92</f>
        <v>1.8709239130434783</v>
      </c>
      <c r="DA10" s="52">
        <f t="shared" ref="DA10:DA24" si="96">SUM(CX10*0.46)/90</f>
        <v>19.022022222222223</v>
      </c>
      <c r="DB10" s="53">
        <f t="shared" ref="DB10:DB24" si="97">SUM(CY10*0.46)/90</f>
        <v>7.0380000000000011</v>
      </c>
      <c r="DC10" s="52">
        <f t="shared" ref="DC10:DC24" si="98">SUM(DA10+DB10)</f>
        <v>26.060022222222223</v>
      </c>
      <c r="DD10" s="54"/>
      <c r="DE10" s="52">
        <f t="shared" ref="DE10:DE24" si="99">SUM(DF10,DG10)</f>
        <v>847.2</v>
      </c>
      <c r="DF10" s="52">
        <v>589.4</v>
      </c>
      <c r="DG10" s="52">
        <v>257.8</v>
      </c>
      <c r="DH10" s="52">
        <f t="shared" ref="DH10:DH24" si="100">SUM(DG10*0.125)/92</f>
        <v>0.3502717391304348</v>
      </c>
      <c r="DI10" s="54"/>
      <c r="DJ10" s="55">
        <f t="shared" ref="DJ10:DJ24" si="101">SUM(DK10,DL10)</f>
        <v>780.7</v>
      </c>
      <c r="DK10" s="52">
        <v>535.9</v>
      </c>
      <c r="DL10" s="52">
        <v>244.8</v>
      </c>
      <c r="DM10" s="56"/>
      <c r="DN10" s="55">
        <f t="shared" ref="DN10:DN24" si="102">SUM(DO10,DP10)</f>
        <v>780.7</v>
      </c>
      <c r="DO10" s="52">
        <v>535.9</v>
      </c>
      <c r="DP10" s="52">
        <v>244.8</v>
      </c>
      <c r="DQ10" s="56"/>
      <c r="DR10" s="58"/>
      <c r="DS10" s="17" t="s">
        <v>37</v>
      </c>
      <c r="DT10" s="55">
        <f t="shared" ref="DT10:DT24" si="103">SUM(DU10,DV10)</f>
        <v>60.1</v>
      </c>
      <c r="DU10" s="52">
        <v>53.1</v>
      </c>
      <c r="DV10" s="52">
        <v>7</v>
      </c>
      <c r="DW10" s="59">
        <f t="shared" ref="DW10:DW24" si="104">SUM(DV10*0.125)/92</f>
        <v>9.5108695652173919E-3</v>
      </c>
      <c r="DX10" s="54"/>
      <c r="DY10" s="55">
        <f t="shared" ref="DY10:DY24" si="105">SUM(DZ10,EA10)</f>
        <v>39.799999999999997</v>
      </c>
      <c r="DZ10" s="52">
        <v>32.9</v>
      </c>
      <c r="EA10" s="52">
        <v>6.9</v>
      </c>
      <c r="EB10" s="54"/>
      <c r="EC10" s="55">
        <f t="shared" ref="EC10:EC24" si="106">SUM(ED10,EE10)</f>
        <v>22.7</v>
      </c>
      <c r="ED10" s="52">
        <v>14.9</v>
      </c>
      <c r="EE10" s="52">
        <v>7.8</v>
      </c>
      <c r="EF10" s="52"/>
      <c r="EG10" s="52"/>
      <c r="EH10" s="52"/>
      <c r="EI10" s="52"/>
      <c r="EJ10" s="52"/>
      <c r="EK10" s="52"/>
      <c r="EL10" s="52"/>
      <c r="EM10" s="52"/>
      <c r="EN10" s="2" t="s">
        <v>37</v>
      </c>
      <c r="EO10" s="60">
        <f t="shared" si="30"/>
        <v>864.11956903934561</v>
      </c>
      <c r="EP10" s="61">
        <f t="shared" si="31"/>
        <v>0.36682349145153365</v>
      </c>
      <c r="EQ10" s="60">
        <f t="shared" si="32"/>
        <v>406.76684180280745</v>
      </c>
      <c r="ER10" s="61">
        <f t="shared" si="33"/>
        <v>0.34864147567665948</v>
      </c>
      <c r="ES10" s="60">
        <f t="shared" si="34"/>
        <v>5220.0859174541938</v>
      </c>
      <c r="ET10" s="61">
        <f t="shared" si="35"/>
        <v>1.9896710062051897</v>
      </c>
      <c r="EU10" s="61">
        <f t="shared" si="36"/>
        <v>26.680439133654769</v>
      </c>
      <c r="EV10" s="61">
        <f t="shared" si="37"/>
        <v>411.49431189537165</v>
      </c>
      <c r="EW10" s="61">
        <f t="shared" ref="EW10:EW24" si="107">SUM(N10,AG10,BB10,BU10,CP10,DJ10)</f>
        <v>803.34246509139086</v>
      </c>
      <c r="EX10" s="61">
        <f t="shared" si="38"/>
        <v>800.89586579755098</v>
      </c>
      <c r="EY10" s="61">
        <f t="shared" si="39"/>
        <v>84.964739022165276</v>
      </c>
    </row>
    <row r="11" spans="1:155" ht="18" customHeight="1">
      <c r="A11" s="17" t="s">
        <v>38</v>
      </c>
      <c r="B11" s="42">
        <v>69297</v>
      </c>
      <c r="C11" s="43">
        <f t="shared" si="40"/>
        <v>7.1933133545024508E-2</v>
      </c>
      <c r="D11" s="44">
        <f t="shared" si="41"/>
        <v>0</v>
      </c>
      <c r="E11" s="45">
        <f t="shared" si="0"/>
        <v>0</v>
      </c>
      <c r="F11" s="45">
        <f t="shared" si="1"/>
        <v>0</v>
      </c>
      <c r="G11" s="45">
        <f t="shared" si="42"/>
        <v>0</v>
      </c>
      <c r="H11" s="45">
        <f t="shared" si="2"/>
        <v>0</v>
      </c>
      <c r="I11" s="45">
        <f t="shared" si="43"/>
        <v>0</v>
      </c>
      <c r="J11" s="45">
        <f t="shared" si="3"/>
        <v>0</v>
      </c>
      <c r="K11" s="46">
        <f t="shared" si="4"/>
        <v>0</v>
      </c>
      <c r="L11" s="45">
        <f t="shared" si="44"/>
        <v>0</v>
      </c>
      <c r="M11" s="45">
        <f t="shared" si="45"/>
        <v>0</v>
      </c>
      <c r="N11" s="45">
        <f t="shared" si="46"/>
        <v>0</v>
      </c>
      <c r="O11" s="45">
        <f t="shared" si="47"/>
        <v>0</v>
      </c>
      <c r="P11" s="45">
        <f t="shared" si="48"/>
        <v>0</v>
      </c>
      <c r="Q11" s="46">
        <f t="shared" si="49"/>
        <v>0</v>
      </c>
      <c r="R11" s="45">
        <f t="shared" si="50"/>
        <v>0</v>
      </c>
      <c r="S11" s="3"/>
      <c r="T11" s="17" t="s">
        <v>38</v>
      </c>
      <c r="U11" s="42">
        <v>69297</v>
      </c>
      <c r="V11" s="43">
        <f t="shared" si="51"/>
        <v>7.1933133545024508E-2</v>
      </c>
      <c r="W11" s="44">
        <f t="shared" si="52"/>
        <v>45295.406538433992</v>
      </c>
      <c r="X11" s="44">
        <f t="shared" si="53"/>
        <v>44.310723787598469</v>
      </c>
      <c r="Y11" s="45">
        <f t="shared" si="5"/>
        <v>16.147812430951717</v>
      </c>
      <c r="Z11" s="46">
        <f t="shared" si="6"/>
        <v>1.5796773030278852E-2</v>
      </c>
      <c r="AA11" s="44">
        <f t="shared" si="7"/>
        <v>407.6586588459059</v>
      </c>
      <c r="AB11" s="46">
        <f t="shared" si="8"/>
        <v>0.39879651408838618</v>
      </c>
      <c r="AC11" s="44">
        <f t="shared" si="9"/>
        <v>113.23851634608498</v>
      </c>
      <c r="AD11" s="46">
        <f t="shared" si="10"/>
        <v>0.11077680946899617</v>
      </c>
      <c r="AE11" s="46">
        <f t="shared" si="11"/>
        <v>0.57877463910221216</v>
      </c>
      <c r="AF11" s="45">
        <f t="shared" si="12"/>
        <v>964.79215926864401</v>
      </c>
      <c r="AG11" s="45">
        <f t="shared" si="54"/>
        <v>53.90153378073645</v>
      </c>
      <c r="AH11" s="45">
        <f t="shared" si="55"/>
        <v>24.45951953075436</v>
      </c>
      <c r="AI11" s="45">
        <f t="shared" si="56"/>
        <v>48.239607963432199</v>
      </c>
      <c r="AJ11" s="45">
        <f t="shared" si="57"/>
        <v>18.797593713450109</v>
      </c>
      <c r="AK11" s="45">
        <f t="shared" si="58"/>
        <v>29.442014249982094</v>
      </c>
      <c r="AL11" s="45">
        <f t="shared" si="59"/>
        <v>22.647703269216997</v>
      </c>
      <c r="AM11" s="3"/>
      <c r="AN11" s="17" t="s">
        <v>38</v>
      </c>
      <c r="AO11" s="42">
        <v>69297</v>
      </c>
      <c r="AP11" s="43">
        <f t="shared" si="60"/>
        <v>7.1933133545024508E-2</v>
      </c>
      <c r="AQ11" s="44">
        <f t="shared" si="61"/>
        <v>9023.5224579152182</v>
      </c>
      <c r="AR11" s="45">
        <f t="shared" si="62"/>
        <v>8.8273589262214092</v>
      </c>
      <c r="AS11" s="44">
        <f t="shared" si="13"/>
        <v>24.814686759266849</v>
      </c>
      <c r="AT11" s="46">
        <f t="shared" si="14"/>
        <v>2.4275237047108874E-2</v>
      </c>
      <c r="AU11" s="44">
        <f t="shared" si="15"/>
        <v>424.10555552201527</v>
      </c>
      <c r="AV11" s="46">
        <f t="shared" si="16"/>
        <v>0.41488586953240619</v>
      </c>
      <c r="AW11" s="44">
        <f t="shared" si="17"/>
        <v>180.47044915830438</v>
      </c>
      <c r="AX11" s="46">
        <f t="shared" si="18"/>
        <v>0.17654717852442819</v>
      </c>
      <c r="AY11" s="45">
        <f t="shared" si="19"/>
        <v>0.92240451792022249</v>
      </c>
      <c r="AZ11" s="44">
        <f t="shared" si="20"/>
        <v>2.7070567373745651</v>
      </c>
      <c r="BA11" s="45">
        <f t="shared" si="63"/>
        <v>0.90235224579152196</v>
      </c>
      <c r="BB11" s="45">
        <f t="shared" si="64"/>
        <v>2.3461158390579566</v>
      </c>
      <c r="BC11" s="45">
        <f t="shared" si="65"/>
        <v>0.49629373518533704</v>
      </c>
      <c r="BD11" s="45">
        <f t="shared" si="66"/>
        <v>1.9400573284517717</v>
      </c>
      <c r="BE11" s="47">
        <f t="shared" si="67"/>
        <v>1.443763593266435</v>
      </c>
      <c r="BF11" s="47">
        <f t="shared" si="68"/>
        <v>90.235224579152188</v>
      </c>
      <c r="BG11" s="3"/>
      <c r="BH11" s="17" t="s">
        <v>38</v>
      </c>
      <c r="BI11" s="42">
        <v>69297</v>
      </c>
      <c r="BJ11" s="43">
        <f t="shared" si="69"/>
        <v>7.1933133545024508E-2</v>
      </c>
      <c r="BK11" s="48">
        <f t="shared" si="70"/>
        <v>302.11916088910294</v>
      </c>
      <c r="BL11" s="46">
        <f t="shared" si="71"/>
        <v>1.3595362240009632E-2</v>
      </c>
      <c r="BM11" s="46">
        <f t="shared" si="72"/>
        <v>0.10272051470229501</v>
      </c>
      <c r="BN11" s="49">
        <f t="shared" si="21"/>
        <v>1.0048746003485381E-4</v>
      </c>
      <c r="BO11" s="45">
        <f t="shared" si="73"/>
        <v>2.6284366997351953</v>
      </c>
      <c r="BP11" s="49">
        <f t="shared" si="22"/>
        <v>2.5712967714800823E-3</v>
      </c>
      <c r="BQ11" s="45">
        <f t="shared" si="74"/>
        <v>0.72810717774273814</v>
      </c>
      <c r="BR11" s="46">
        <f t="shared" si="23"/>
        <v>7.1227876083528735E-4</v>
      </c>
      <c r="BS11" s="46">
        <f t="shared" si="24"/>
        <v>3.7214366862406622E-3</v>
      </c>
      <c r="BT11" s="44">
        <f t="shared" si="75"/>
        <v>6.4351381269378924</v>
      </c>
      <c r="BU11" s="45">
        <f t="shared" si="76"/>
        <v>0.35347941824025042</v>
      </c>
      <c r="BV11" s="45">
        <f t="shared" si="77"/>
        <v>0.15770620198411175</v>
      </c>
      <c r="BW11" s="45">
        <f t="shared" si="78"/>
        <v>0.31722511893355815</v>
      </c>
      <c r="BX11" s="45">
        <f t="shared" si="79"/>
        <v>0.12084766435564119</v>
      </c>
      <c r="BY11" s="45">
        <f t="shared" si="80"/>
        <v>0.19637745457791692</v>
      </c>
      <c r="BZ11" s="45">
        <f t="shared" si="81"/>
        <v>0.14562143554854762</v>
      </c>
      <c r="CA11" s="3"/>
      <c r="CB11" s="17" t="s">
        <v>38</v>
      </c>
      <c r="CC11" s="42">
        <v>69297</v>
      </c>
      <c r="CD11" s="43">
        <f t="shared" si="82"/>
        <v>7.1933133545024508E-2</v>
      </c>
      <c r="CE11" s="48">
        <f t="shared" si="83"/>
        <v>5096.7502441991664</v>
      </c>
      <c r="CF11" s="46">
        <f t="shared" si="25"/>
        <v>4.9859513258470107</v>
      </c>
      <c r="CG11" s="45">
        <f t="shared" si="84"/>
        <v>1.3251550634917832</v>
      </c>
      <c r="CH11" s="46">
        <f t="shared" si="26"/>
        <v>1.2963473447202226E-3</v>
      </c>
      <c r="CI11" s="45">
        <f t="shared" si="85"/>
        <v>34.148226636134417</v>
      </c>
      <c r="CJ11" s="46">
        <f t="shared" si="27"/>
        <v>3.3405873883174973E-2</v>
      </c>
      <c r="CK11" s="45">
        <f t="shared" si="86"/>
        <v>9.6838254639784154</v>
      </c>
      <c r="CL11" s="46">
        <f t="shared" si="28"/>
        <v>9.47330751910932E-3</v>
      </c>
      <c r="CM11" s="46">
        <f t="shared" si="29"/>
        <v>4.9495107927000792E-2</v>
      </c>
      <c r="CN11" s="45">
        <f t="shared" si="87"/>
        <v>0.15290250732597499</v>
      </c>
      <c r="CO11" s="45">
        <f t="shared" si="88"/>
        <v>5.0967502441991663E-2</v>
      </c>
      <c r="CP11" s="45">
        <f t="shared" si="89"/>
        <v>0.12741875610497916</v>
      </c>
      <c r="CQ11" s="45">
        <f t="shared" si="90"/>
        <v>2.5483751220995832E-2</v>
      </c>
      <c r="CR11" s="45">
        <f t="shared" si="91"/>
        <v>0.10193500488398333</v>
      </c>
      <c r="CS11" s="45">
        <f t="shared" si="92"/>
        <v>7.6451253662987495E-2</v>
      </c>
      <c r="CT11" s="45">
        <f t="shared" si="93"/>
        <v>0.12741875610497916</v>
      </c>
      <c r="CU11" s="3"/>
      <c r="CV11" s="17" t="s">
        <v>38</v>
      </c>
      <c r="CW11" s="51">
        <f t="shared" si="94"/>
        <v>3758.7000000000003</v>
      </c>
      <c r="CX11" s="52">
        <v>3692.9</v>
      </c>
      <c r="CY11" s="52">
        <v>65.8</v>
      </c>
      <c r="CZ11" s="52">
        <f t="shared" si="95"/>
        <v>8.9402173913043476E-2</v>
      </c>
      <c r="DA11" s="52">
        <f t="shared" si="96"/>
        <v>18.874822222222225</v>
      </c>
      <c r="DB11" s="53">
        <f t="shared" si="97"/>
        <v>0.33631111111111112</v>
      </c>
      <c r="DC11" s="52">
        <f t="shared" si="98"/>
        <v>19.211133333333336</v>
      </c>
      <c r="DD11" s="54"/>
      <c r="DE11" s="52">
        <f t="shared" si="99"/>
        <v>721.19999999999993</v>
      </c>
      <c r="DF11" s="52">
        <v>708.9</v>
      </c>
      <c r="DG11" s="52">
        <v>12.3</v>
      </c>
      <c r="DH11" s="52">
        <f t="shared" si="100"/>
        <v>1.6711956521739131E-2</v>
      </c>
      <c r="DI11" s="54"/>
      <c r="DJ11" s="55">
        <f t="shared" si="101"/>
        <v>540.20000000000005</v>
      </c>
      <c r="DK11" s="52">
        <v>528.5</v>
      </c>
      <c r="DL11" s="52">
        <v>11.7</v>
      </c>
      <c r="DM11" s="56"/>
      <c r="DN11" s="55">
        <f t="shared" si="102"/>
        <v>539.30000000000007</v>
      </c>
      <c r="DO11" s="52">
        <v>527.6</v>
      </c>
      <c r="DP11" s="52">
        <v>11.7</v>
      </c>
      <c r="DQ11" s="56"/>
      <c r="DR11" s="58"/>
      <c r="DS11" s="17" t="s">
        <v>38</v>
      </c>
      <c r="DT11" s="55">
        <f t="shared" si="103"/>
        <v>74.2</v>
      </c>
      <c r="DU11" s="52">
        <v>73.900000000000006</v>
      </c>
      <c r="DV11" s="52">
        <v>0.3</v>
      </c>
      <c r="DW11" s="59">
        <f t="shared" si="104"/>
        <v>4.0760869565217389E-4</v>
      </c>
      <c r="DX11" s="54"/>
      <c r="DY11" s="55">
        <f t="shared" si="105"/>
        <v>29.3</v>
      </c>
      <c r="DZ11" s="52">
        <v>29</v>
      </c>
      <c r="EA11" s="52">
        <v>0.3</v>
      </c>
      <c r="EB11" s="54"/>
      <c r="EC11" s="55">
        <f t="shared" si="106"/>
        <v>9.8000000000000007</v>
      </c>
      <c r="ED11" s="52">
        <v>9.4</v>
      </c>
      <c r="EE11" s="52">
        <v>0.4</v>
      </c>
      <c r="EF11" s="52"/>
      <c r="EG11" s="52"/>
      <c r="EH11" s="52"/>
      <c r="EI11" s="52"/>
      <c r="EJ11" s="52"/>
      <c r="EK11" s="52"/>
      <c r="EL11" s="52"/>
      <c r="EM11" s="52"/>
      <c r="EN11" s="2" t="s">
        <v>38</v>
      </c>
      <c r="EO11" s="60">
        <f t="shared" si="30"/>
        <v>763.59037476841263</v>
      </c>
      <c r="EP11" s="61">
        <f t="shared" si="31"/>
        <v>5.8180801403881932E-2</v>
      </c>
      <c r="EQ11" s="60">
        <f t="shared" si="32"/>
        <v>942.74087770379072</v>
      </c>
      <c r="ER11" s="61">
        <f t="shared" si="33"/>
        <v>0.85006716297109952</v>
      </c>
      <c r="ES11" s="60">
        <f t="shared" si="34"/>
        <v>4062.8208981461107</v>
      </c>
      <c r="ET11" s="61">
        <f t="shared" si="35"/>
        <v>0.38691174818641239</v>
      </c>
      <c r="EU11" s="61">
        <f t="shared" si="36"/>
        <v>20.765529034969013</v>
      </c>
      <c r="EV11" s="61">
        <f t="shared" si="37"/>
        <v>983.88725664028243</v>
      </c>
      <c r="EW11" s="61">
        <f t="shared" si="107"/>
        <v>596.92854779413972</v>
      </c>
      <c r="EX11" s="61">
        <f t="shared" si="38"/>
        <v>589.89882541570159</v>
      </c>
      <c r="EY11" s="61">
        <f t="shared" si="39"/>
        <v>142.4559680400227</v>
      </c>
    </row>
    <row r="12" spans="1:155" ht="18" customHeight="1">
      <c r="A12" s="17" t="s">
        <v>39</v>
      </c>
      <c r="B12" s="42">
        <v>3154</v>
      </c>
      <c r="C12" s="43">
        <f t="shared" si="40"/>
        <v>3.2739816038357696E-3</v>
      </c>
      <c r="D12" s="44">
        <f t="shared" si="41"/>
        <v>0</v>
      </c>
      <c r="E12" s="45">
        <f t="shared" si="0"/>
        <v>0</v>
      </c>
      <c r="F12" s="45">
        <f t="shared" si="1"/>
        <v>0</v>
      </c>
      <c r="G12" s="45">
        <f t="shared" si="42"/>
        <v>0</v>
      </c>
      <c r="H12" s="45">
        <f t="shared" si="2"/>
        <v>0</v>
      </c>
      <c r="I12" s="45">
        <f t="shared" si="43"/>
        <v>0</v>
      </c>
      <c r="J12" s="45">
        <f t="shared" si="3"/>
        <v>0</v>
      </c>
      <c r="K12" s="46">
        <f t="shared" si="4"/>
        <v>0</v>
      </c>
      <c r="L12" s="45">
        <f t="shared" si="44"/>
        <v>0</v>
      </c>
      <c r="M12" s="45">
        <f t="shared" si="45"/>
        <v>0</v>
      </c>
      <c r="N12" s="45">
        <f t="shared" si="46"/>
        <v>0</v>
      </c>
      <c r="O12" s="45">
        <f t="shared" si="47"/>
        <v>0</v>
      </c>
      <c r="P12" s="45">
        <f t="shared" si="48"/>
        <v>0</v>
      </c>
      <c r="Q12" s="46">
        <f t="shared" si="49"/>
        <v>0</v>
      </c>
      <c r="R12" s="45">
        <f t="shared" si="50"/>
        <v>0</v>
      </c>
      <c r="S12" s="3"/>
      <c r="T12" s="17" t="s">
        <v>39</v>
      </c>
      <c r="U12" s="42">
        <v>3154</v>
      </c>
      <c r="V12" s="43">
        <f t="shared" si="51"/>
        <v>3.2739816038357696E-3</v>
      </c>
      <c r="W12" s="44">
        <f t="shared" si="52"/>
        <v>2061.5858150023928</v>
      </c>
      <c r="X12" s="44">
        <f t="shared" si="53"/>
        <v>2.016768732067558</v>
      </c>
      <c r="Y12" s="45">
        <f t="shared" si="5"/>
        <v>0.73495534304835308</v>
      </c>
      <c r="Z12" s="46">
        <f t="shared" si="6"/>
        <v>7.1897805298208454E-4</v>
      </c>
      <c r="AA12" s="44">
        <f t="shared" si="7"/>
        <v>18.554272335021533</v>
      </c>
      <c r="AB12" s="46">
        <f t="shared" si="8"/>
        <v>1.8150918588608022E-2</v>
      </c>
      <c r="AC12" s="44">
        <f t="shared" si="9"/>
        <v>5.1539645375059822</v>
      </c>
      <c r="AD12" s="46">
        <f t="shared" si="10"/>
        <v>5.0419218301688959E-3</v>
      </c>
      <c r="AE12" s="46">
        <f t="shared" si="11"/>
        <v>2.6342485413919463E-2</v>
      </c>
      <c r="AF12" s="45">
        <f t="shared" si="12"/>
        <v>43.911777859550966</v>
      </c>
      <c r="AG12" s="45">
        <f t="shared" si="54"/>
        <v>2.4532871198528472</v>
      </c>
      <c r="AH12" s="45">
        <f t="shared" si="55"/>
        <v>1.1132563401012923</v>
      </c>
      <c r="AI12" s="45">
        <f t="shared" si="56"/>
        <v>2.1955888929775482</v>
      </c>
      <c r="AJ12" s="45">
        <f t="shared" si="57"/>
        <v>0.85555811322599296</v>
      </c>
      <c r="AK12" s="45">
        <f t="shared" si="58"/>
        <v>1.3400307797515554</v>
      </c>
      <c r="AL12" s="45">
        <f t="shared" si="59"/>
        <v>1.0307929075011963</v>
      </c>
      <c r="AM12" s="3"/>
      <c r="AN12" s="17" t="s">
        <v>39</v>
      </c>
      <c r="AO12" s="42">
        <v>3154</v>
      </c>
      <c r="AP12" s="43">
        <f t="shared" si="60"/>
        <v>3.2739816038357696E-3</v>
      </c>
      <c r="AQ12" s="44">
        <f t="shared" si="61"/>
        <v>410.6987291262912</v>
      </c>
      <c r="AR12" s="45">
        <f t="shared" si="62"/>
        <v>0.40177049588441527</v>
      </c>
      <c r="AS12" s="44">
        <f t="shared" si="13"/>
        <v>1.1294215050973007</v>
      </c>
      <c r="AT12" s="46">
        <f t="shared" si="14"/>
        <v>1.1048688636821418E-3</v>
      </c>
      <c r="AU12" s="44">
        <f t="shared" si="15"/>
        <v>19.302840268935689</v>
      </c>
      <c r="AV12" s="46">
        <f t="shared" si="16"/>
        <v>1.8883213306567524E-2</v>
      </c>
      <c r="AW12" s="44">
        <f t="shared" si="17"/>
        <v>8.2139745825258235</v>
      </c>
      <c r="AX12" s="46">
        <f t="shared" si="18"/>
        <v>8.0354099176883059E-3</v>
      </c>
      <c r="AY12" s="45">
        <f t="shared" si="19"/>
        <v>4.1982536755131986E-2</v>
      </c>
      <c r="AZ12" s="44">
        <f t="shared" si="20"/>
        <v>0.12320961873788736</v>
      </c>
      <c r="BA12" s="45">
        <f t="shared" si="63"/>
        <v>4.1069872912629125E-2</v>
      </c>
      <c r="BB12" s="45">
        <f t="shared" si="64"/>
        <v>0.10678166957283571</v>
      </c>
      <c r="BC12" s="45">
        <f t="shared" si="65"/>
        <v>2.2588430101946017E-2</v>
      </c>
      <c r="BD12" s="45">
        <f t="shared" si="66"/>
        <v>8.83002267621526E-2</v>
      </c>
      <c r="BE12" s="47">
        <f t="shared" si="67"/>
        <v>6.5711796660206587E-2</v>
      </c>
      <c r="BF12" s="47">
        <f t="shared" si="68"/>
        <v>4.1069872912629117</v>
      </c>
      <c r="BG12" s="3"/>
      <c r="BH12" s="17" t="s">
        <v>39</v>
      </c>
      <c r="BI12" s="42">
        <v>3154</v>
      </c>
      <c r="BJ12" s="43">
        <f t="shared" si="69"/>
        <v>3.2739816038357696E-3</v>
      </c>
      <c r="BK12" s="48">
        <f t="shared" si="70"/>
        <v>13.750722736110232</v>
      </c>
      <c r="BL12" s="46">
        <f t="shared" si="71"/>
        <v>6.1878252312496035E-4</v>
      </c>
      <c r="BM12" s="46">
        <f t="shared" si="72"/>
        <v>4.6752457302774789E-3</v>
      </c>
      <c r="BN12" s="49">
        <f t="shared" si="21"/>
        <v>4.5736099535323159E-6</v>
      </c>
      <c r="BO12" s="45">
        <f t="shared" si="73"/>
        <v>0.11963128780415902</v>
      </c>
      <c r="BP12" s="49">
        <f t="shared" si="22"/>
        <v>1.1703060763450339E-4</v>
      </c>
      <c r="BQ12" s="45">
        <f t="shared" si="74"/>
        <v>3.3139241794025658E-2</v>
      </c>
      <c r="BR12" s="46">
        <f t="shared" si="23"/>
        <v>3.2418823494155537E-5</v>
      </c>
      <c r="BS12" s="46">
        <f t="shared" si="24"/>
        <v>1.6937834694724226E-4</v>
      </c>
      <c r="BT12" s="44">
        <f t="shared" si="75"/>
        <v>0.29289039427914793</v>
      </c>
      <c r="BU12" s="45">
        <f t="shared" si="76"/>
        <v>1.6088345601248971E-2</v>
      </c>
      <c r="BV12" s="45">
        <f t="shared" si="77"/>
        <v>7.1778772682495415E-3</v>
      </c>
      <c r="BW12" s="45">
        <f t="shared" si="78"/>
        <v>1.4438258872915744E-2</v>
      </c>
      <c r="BX12" s="45">
        <f t="shared" si="79"/>
        <v>5.5002890944440934E-3</v>
      </c>
      <c r="BY12" s="45">
        <f t="shared" si="80"/>
        <v>8.9379697784716505E-3</v>
      </c>
      <c r="BZ12" s="45">
        <f t="shared" si="81"/>
        <v>6.6278483588051319E-3</v>
      </c>
      <c r="CA12" s="3"/>
      <c r="CB12" s="17" t="s">
        <v>39</v>
      </c>
      <c r="CC12" s="42">
        <v>3154</v>
      </c>
      <c r="CD12" s="43">
        <f t="shared" si="82"/>
        <v>3.2739816038357696E-3</v>
      </c>
      <c r="CE12" s="48">
        <f t="shared" si="83"/>
        <v>231.97469255817961</v>
      </c>
      <c r="CF12" s="46">
        <f t="shared" si="25"/>
        <v>0.22693176445908875</v>
      </c>
      <c r="CG12" s="45">
        <f t="shared" si="84"/>
        <v>6.0313420065126702E-2</v>
      </c>
      <c r="CH12" s="46">
        <f t="shared" si="26"/>
        <v>5.9002258759363073E-5</v>
      </c>
      <c r="CI12" s="45">
        <f t="shared" si="85"/>
        <v>1.5542304401398035</v>
      </c>
      <c r="CJ12" s="46">
        <f t="shared" si="27"/>
        <v>1.5204428218758947E-3</v>
      </c>
      <c r="CK12" s="45">
        <f t="shared" si="86"/>
        <v>0.44075191586054124</v>
      </c>
      <c r="CL12" s="46">
        <f t="shared" si="28"/>
        <v>4.3117035247226858E-4</v>
      </c>
      <c r="CM12" s="46">
        <f t="shared" si="29"/>
        <v>2.2527320143983219E-3</v>
      </c>
      <c r="CN12" s="45">
        <f t="shared" si="87"/>
        <v>6.9592407767453887E-3</v>
      </c>
      <c r="CO12" s="45">
        <f t="shared" si="88"/>
        <v>2.3197469255817958E-3</v>
      </c>
      <c r="CP12" s="45">
        <f t="shared" si="89"/>
        <v>5.7993673139544906E-3</v>
      </c>
      <c r="CQ12" s="45">
        <f t="shared" si="90"/>
        <v>1.1598734627908979E-3</v>
      </c>
      <c r="CR12" s="45">
        <f t="shared" si="91"/>
        <v>4.6394938511635916E-3</v>
      </c>
      <c r="CS12" s="45">
        <f t="shared" si="92"/>
        <v>3.4796203883726944E-3</v>
      </c>
      <c r="CT12" s="45">
        <f t="shared" si="93"/>
        <v>5.7993673139544906E-3</v>
      </c>
      <c r="CU12" s="3"/>
      <c r="CV12" s="17" t="s">
        <v>39</v>
      </c>
      <c r="CW12" s="51">
        <f t="shared" si="94"/>
        <v>1030.4000000000001</v>
      </c>
      <c r="CX12" s="52">
        <v>555.6</v>
      </c>
      <c r="CY12" s="52">
        <v>474.8</v>
      </c>
      <c r="CZ12" s="52">
        <f t="shared" si="95"/>
        <v>0.64510869565217388</v>
      </c>
      <c r="DA12" s="52">
        <f t="shared" si="96"/>
        <v>2.8397333333333337</v>
      </c>
      <c r="DB12" s="53">
        <f t="shared" si="97"/>
        <v>2.4267555555555558</v>
      </c>
      <c r="DC12" s="52">
        <f t="shared" si="98"/>
        <v>5.2664888888888894</v>
      </c>
      <c r="DD12" s="54"/>
      <c r="DE12" s="52">
        <f t="shared" si="99"/>
        <v>140.5</v>
      </c>
      <c r="DF12" s="52">
        <v>51.6</v>
      </c>
      <c r="DG12" s="52">
        <v>88.9</v>
      </c>
      <c r="DH12" s="52">
        <f t="shared" si="100"/>
        <v>0.12078804347826087</v>
      </c>
      <c r="DI12" s="54"/>
      <c r="DJ12" s="55">
        <f t="shared" si="101"/>
        <v>166.60000000000002</v>
      </c>
      <c r="DK12" s="52">
        <v>82.2</v>
      </c>
      <c r="DL12" s="52">
        <v>84.4</v>
      </c>
      <c r="DM12" s="56"/>
      <c r="DN12" s="55">
        <f t="shared" si="102"/>
        <v>166.60000000000002</v>
      </c>
      <c r="DO12" s="52">
        <v>82.2</v>
      </c>
      <c r="DP12" s="52">
        <v>84.4</v>
      </c>
      <c r="DQ12" s="56"/>
      <c r="DR12" s="58"/>
      <c r="DS12" s="17" t="s">
        <v>39</v>
      </c>
      <c r="DT12" s="55">
        <f t="shared" si="103"/>
        <v>8.8000000000000007</v>
      </c>
      <c r="DU12" s="52">
        <v>6.4</v>
      </c>
      <c r="DV12" s="52">
        <v>2.4</v>
      </c>
      <c r="DW12" s="59">
        <f t="shared" si="104"/>
        <v>3.2608695652173911E-3</v>
      </c>
      <c r="DX12" s="54"/>
      <c r="DY12" s="55">
        <f t="shared" si="105"/>
        <v>7.6</v>
      </c>
      <c r="DZ12" s="52">
        <v>5.2</v>
      </c>
      <c r="EA12" s="52">
        <v>2.4</v>
      </c>
      <c r="EB12" s="54"/>
      <c r="EC12" s="55">
        <f t="shared" si="106"/>
        <v>7.8</v>
      </c>
      <c r="ED12" s="52">
        <v>5.0999999999999996</v>
      </c>
      <c r="EE12" s="52">
        <v>2.7</v>
      </c>
      <c r="EF12" s="52"/>
      <c r="EG12" s="52"/>
      <c r="EH12" s="52"/>
      <c r="EI12" s="52"/>
      <c r="EJ12" s="52"/>
      <c r="EK12" s="52"/>
      <c r="EL12" s="52"/>
      <c r="EM12" s="52"/>
      <c r="EN12" s="2" t="s">
        <v>39</v>
      </c>
      <c r="EO12" s="60">
        <f t="shared" si="30"/>
        <v>142.42936551394106</v>
      </c>
      <c r="EP12" s="61">
        <f t="shared" si="31"/>
        <v>0.122675466263638</v>
      </c>
      <c r="EQ12" s="60">
        <f t="shared" si="32"/>
        <v>48.330974331901189</v>
      </c>
      <c r="ER12" s="61">
        <f t="shared" si="33"/>
        <v>4.1932474889903336E-2</v>
      </c>
      <c r="ES12" s="60">
        <f t="shared" si="34"/>
        <v>1044.2418302776864</v>
      </c>
      <c r="ET12" s="61">
        <f t="shared" si="35"/>
        <v>0.65864961657599752</v>
      </c>
      <c r="EU12" s="61">
        <f t="shared" si="36"/>
        <v>5.3372360214192867</v>
      </c>
      <c r="EV12" s="61">
        <f t="shared" si="37"/>
        <v>52.134837113344744</v>
      </c>
      <c r="EW12" s="61">
        <f t="shared" si="107"/>
        <v>169.18195650234091</v>
      </c>
      <c r="EX12" s="61">
        <f t="shared" si="38"/>
        <v>168.90296687246379</v>
      </c>
      <c r="EY12" s="61">
        <f t="shared" si="39"/>
        <v>12.750207414436868</v>
      </c>
    </row>
    <row r="13" spans="1:155" ht="18" customHeight="1">
      <c r="A13" s="17" t="s">
        <v>40</v>
      </c>
      <c r="B13" s="42">
        <v>106479</v>
      </c>
      <c r="C13" s="43">
        <f t="shared" si="40"/>
        <v>0.1105295774238519</v>
      </c>
      <c r="D13" s="44">
        <f t="shared" si="41"/>
        <v>0</v>
      </c>
      <c r="E13" s="45">
        <f t="shared" si="0"/>
        <v>0</v>
      </c>
      <c r="F13" s="45">
        <f t="shared" si="1"/>
        <v>0</v>
      </c>
      <c r="G13" s="45">
        <f t="shared" si="42"/>
        <v>0</v>
      </c>
      <c r="H13" s="45">
        <f t="shared" si="2"/>
        <v>0</v>
      </c>
      <c r="I13" s="45">
        <f t="shared" si="43"/>
        <v>0</v>
      </c>
      <c r="J13" s="45">
        <f t="shared" si="3"/>
        <v>0</v>
      </c>
      <c r="K13" s="46">
        <f t="shared" si="4"/>
        <v>0</v>
      </c>
      <c r="L13" s="45">
        <f t="shared" si="44"/>
        <v>0</v>
      </c>
      <c r="M13" s="45">
        <f t="shared" si="45"/>
        <v>0</v>
      </c>
      <c r="N13" s="45">
        <f t="shared" si="46"/>
        <v>0</v>
      </c>
      <c r="O13" s="45">
        <f t="shared" si="47"/>
        <v>0</v>
      </c>
      <c r="P13" s="45">
        <f t="shared" si="48"/>
        <v>0</v>
      </c>
      <c r="Q13" s="46">
        <f t="shared" si="49"/>
        <v>0</v>
      </c>
      <c r="R13" s="45">
        <f t="shared" si="50"/>
        <v>0</v>
      </c>
      <c r="S13" s="3"/>
      <c r="T13" s="17" t="s">
        <v>40</v>
      </c>
      <c r="U13" s="42">
        <v>106479</v>
      </c>
      <c r="V13" s="43">
        <f t="shared" si="51"/>
        <v>0.1105295774238519</v>
      </c>
      <c r="W13" s="44">
        <f t="shared" si="52"/>
        <v>69599.11096881413</v>
      </c>
      <c r="X13" s="44">
        <f t="shared" si="53"/>
        <v>68.086086817318161</v>
      </c>
      <c r="Y13" s="45">
        <f t="shared" si="5"/>
        <v>24.812083060382236</v>
      </c>
      <c r="Z13" s="46">
        <f t="shared" si="6"/>
        <v>2.4272689950373925E-2</v>
      </c>
      <c r="AA13" s="44">
        <f t="shared" si="7"/>
        <v>626.39199871932715</v>
      </c>
      <c r="AB13" s="46">
        <f t="shared" si="8"/>
        <v>0.6127747813558635</v>
      </c>
      <c r="AC13" s="44">
        <f t="shared" si="9"/>
        <v>173.99777742203531</v>
      </c>
      <c r="AD13" s="46">
        <f t="shared" si="10"/>
        <v>0.1702152170432954</v>
      </c>
      <c r="AE13" s="46">
        <f t="shared" si="11"/>
        <v>0.88932197349040265</v>
      </c>
      <c r="AF13" s="45">
        <f t="shared" si="12"/>
        <v>1482.4610636357409</v>
      </c>
      <c r="AG13" s="45">
        <f t="shared" si="54"/>
        <v>82.82294205288882</v>
      </c>
      <c r="AH13" s="45">
        <f t="shared" si="55"/>
        <v>37.583519923159635</v>
      </c>
      <c r="AI13" s="45">
        <f t="shared" si="56"/>
        <v>74.123053181787057</v>
      </c>
      <c r="AJ13" s="45">
        <f t="shared" si="57"/>
        <v>28.883631052057861</v>
      </c>
      <c r="AK13" s="45">
        <f t="shared" si="58"/>
        <v>45.239422129729185</v>
      </c>
      <c r="AL13" s="45">
        <f t="shared" si="59"/>
        <v>34.799555484407065</v>
      </c>
      <c r="AM13" s="3"/>
      <c r="AN13" s="17" t="s">
        <v>40</v>
      </c>
      <c r="AO13" s="42">
        <v>106479</v>
      </c>
      <c r="AP13" s="43">
        <f t="shared" si="60"/>
        <v>0.1105295774238519</v>
      </c>
      <c r="AQ13" s="44">
        <f t="shared" si="61"/>
        <v>13865.183886695739</v>
      </c>
      <c r="AR13" s="45">
        <f t="shared" si="62"/>
        <v>13.563766845680613</v>
      </c>
      <c r="AS13" s="44">
        <f t="shared" si="13"/>
        <v>38.129255688413281</v>
      </c>
      <c r="AT13" s="46">
        <f t="shared" si="14"/>
        <v>3.7300358825621681E-2</v>
      </c>
      <c r="AU13" s="44">
        <f t="shared" si="15"/>
        <v>651.66364267469976</v>
      </c>
      <c r="AV13" s="46">
        <f t="shared" si="16"/>
        <v>0.63749704174698885</v>
      </c>
      <c r="AW13" s="44">
        <f t="shared" si="17"/>
        <v>277.30367773391475</v>
      </c>
      <c r="AX13" s="46">
        <f t="shared" si="18"/>
        <v>0.27127533691361227</v>
      </c>
      <c r="AY13" s="45">
        <f t="shared" si="19"/>
        <v>1.4173299084177866</v>
      </c>
      <c r="AZ13" s="44">
        <f t="shared" si="20"/>
        <v>4.1595551660087215</v>
      </c>
      <c r="BA13" s="45">
        <f t="shared" si="63"/>
        <v>1.386518388669574</v>
      </c>
      <c r="BB13" s="45">
        <f t="shared" si="64"/>
        <v>3.6049478105408919</v>
      </c>
      <c r="BC13" s="45">
        <f t="shared" si="65"/>
        <v>0.76258511376826565</v>
      </c>
      <c r="BD13" s="45">
        <f t="shared" si="66"/>
        <v>2.9810145356395839</v>
      </c>
      <c r="BE13" s="47">
        <f t="shared" si="67"/>
        <v>2.2184294218713179</v>
      </c>
      <c r="BF13" s="47">
        <f t="shared" si="68"/>
        <v>138.65183886695738</v>
      </c>
      <c r="BG13" s="3"/>
      <c r="BH13" s="17" t="s">
        <v>40</v>
      </c>
      <c r="BI13" s="42">
        <v>106479</v>
      </c>
      <c r="BJ13" s="43">
        <f t="shared" si="69"/>
        <v>0.1105295774238519</v>
      </c>
      <c r="BK13" s="48">
        <f t="shared" si="70"/>
        <v>464.224225180178</v>
      </c>
      <c r="BL13" s="46">
        <f t="shared" si="71"/>
        <v>2.0890090133108011E-2</v>
      </c>
      <c r="BM13" s="46">
        <f t="shared" si="72"/>
        <v>0.15783623656126053</v>
      </c>
      <c r="BN13" s="49">
        <f t="shared" si="21"/>
        <v>1.5440501402732009E-4</v>
      </c>
      <c r="BO13" s="45">
        <f t="shared" si="73"/>
        <v>4.0387507590675478</v>
      </c>
      <c r="BP13" s="49">
        <f t="shared" si="22"/>
        <v>3.9509518295226011E-3</v>
      </c>
      <c r="BQ13" s="45">
        <f t="shared" si="74"/>
        <v>1.1187803826842289</v>
      </c>
      <c r="BR13" s="46">
        <f t="shared" si="23"/>
        <v>1.0944590700171803E-3</v>
      </c>
      <c r="BS13" s="46">
        <f t="shared" si="24"/>
        <v>5.7182108448305029E-3</v>
      </c>
      <c r="BT13" s="44">
        <f t="shared" si="75"/>
        <v>9.8879759963377918</v>
      </c>
      <c r="BU13" s="45">
        <f t="shared" si="76"/>
        <v>0.54314234346080825</v>
      </c>
      <c r="BV13" s="45">
        <f t="shared" si="77"/>
        <v>0.24232504554405293</v>
      </c>
      <c r="BW13" s="45">
        <f t="shared" si="78"/>
        <v>0.48743543643918691</v>
      </c>
      <c r="BX13" s="45">
        <f t="shared" si="79"/>
        <v>0.18568969007207123</v>
      </c>
      <c r="BY13" s="45">
        <f t="shared" si="80"/>
        <v>0.30174574636711571</v>
      </c>
      <c r="BZ13" s="45">
        <f t="shared" si="81"/>
        <v>0.22375607653684579</v>
      </c>
      <c r="CA13" s="3"/>
      <c r="CB13" s="17" t="s">
        <v>40</v>
      </c>
      <c r="CC13" s="42">
        <v>106479</v>
      </c>
      <c r="CD13" s="43">
        <f t="shared" si="82"/>
        <v>0.1105295774238519</v>
      </c>
      <c r="CE13" s="48">
        <f t="shared" si="83"/>
        <v>7831.4626787896023</v>
      </c>
      <c r="CF13" s="46">
        <f t="shared" si="25"/>
        <v>7.6612134901202626</v>
      </c>
      <c r="CG13" s="45">
        <f t="shared" si="84"/>
        <v>2.0361802964852966</v>
      </c>
      <c r="CH13" s="46">
        <f t="shared" si="26"/>
        <v>1.9919155074312684E-3</v>
      </c>
      <c r="CI13" s="45">
        <f t="shared" si="85"/>
        <v>52.470799947890335</v>
      </c>
      <c r="CJ13" s="46">
        <f t="shared" si="27"/>
        <v>5.133013038380576E-2</v>
      </c>
      <c r="CK13" s="45">
        <f t="shared" si="86"/>
        <v>14.879779089700243</v>
      </c>
      <c r="CL13" s="46">
        <f t="shared" si="28"/>
        <v>1.4556305631228499E-2</v>
      </c>
      <c r="CM13" s="46">
        <f t="shared" si="29"/>
        <v>7.6052204236245688E-2</v>
      </c>
      <c r="CN13" s="45">
        <f t="shared" si="87"/>
        <v>0.23494388036368807</v>
      </c>
      <c r="CO13" s="45">
        <f t="shared" si="88"/>
        <v>7.8314626787896011E-2</v>
      </c>
      <c r="CP13" s="45">
        <f t="shared" si="89"/>
        <v>0.19578656696974009</v>
      </c>
      <c r="CQ13" s="45">
        <f t="shared" si="90"/>
        <v>3.9157313393948005E-2</v>
      </c>
      <c r="CR13" s="45">
        <f t="shared" si="91"/>
        <v>0.15662925357579202</v>
      </c>
      <c r="CS13" s="45">
        <f t="shared" si="92"/>
        <v>0.11747194018184404</v>
      </c>
      <c r="CT13" s="45">
        <f t="shared" si="93"/>
        <v>0.19578656696974009</v>
      </c>
      <c r="CU13" s="3"/>
      <c r="CV13" s="17" t="s">
        <v>40</v>
      </c>
      <c r="CW13" s="51">
        <f t="shared" si="94"/>
        <v>11880.1</v>
      </c>
      <c r="CX13" s="52">
        <v>11774.6</v>
      </c>
      <c r="CY13" s="52">
        <v>105.5</v>
      </c>
      <c r="CZ13" s="52">
        <f t="shared" si="95"/>
        <v>0.14334239130434784</v>
      </c>
      <c r="DA13" s="52">
        <f t="shared" si="96"/>
        <v>60.181288888888893</v>
      </c>
      <c r="DB13" s="53">
        <f t="shared" si="97"/>
        <v>0.53922222222222227</v>
      </c>
      <c r="DC13" s="52">
        <f t="shared" si="98"/>
        <v>60.720511111111115</v>
      </c>
      <c r="DD13" s="54"/>
      <c r="DE13" s="52">
        <f t="shared" si="99"/>
        <v>2177.6999999999998</v>
      </c>
      <c r="DF13" s="52">
        <v>2158</v>
      </c>
      <c r="DG13" s="52">
        <v>19.7</v>
      </c>
      <c r="DH13" s="52">
        <f t="shared" si="100"/>
        <v>2.6766304347826085E-2</v>
      </c>
      <c r="DI13" s="54"/>
      <c r="DJ13" s="55">
        <f t="shared" si="101"/>
        <v>1688.8999999999999</v>
      </c>
      <c r="DK13" s="52">
        <v>1670.1</v>
      </c>
      <c r="DL13" s="52">
        <v>18.8</v>
      </c>
      <c r="DM13" s="56"/>
      <c r="DN13" s="55">
        <f t="shared" si="102"/>
        <v>1688.8999999999999</v>
      </c>
      <c r="DO13" s="52">
        <v>1670.1</v>
      </c>
      <c r="DP13" s="52">
        <v>18.8</v>
      </c>
      <c r="DQ13" s="56"/>
      <c r="DR13" s="58"/>
      <c r="DS13" s="17" t="s">
        <v>40</v>
      </c>
      <c r="DT13" s="55">
        <f t="shared" si="103"/>
        <v>174.2</v>
      </c>
      <c r="DU13" s="52">
        <v>173.7</v>
      </c>
      <c r="DV13" s="52">
        <v>0.5</v>
      </c>
      <c r="DW13" s="59">
        <f t="shared" si="104"/>
        <v>6.793478260869565E-4</v>
      </c>
      <c r="DX13" s="54"/>
      <c r="DY13" s="55">
        <f t="shared" si="105"/>
        <v>100.3</v>
      </c>
      <c r="DZ13" s="52">
        <v>99.8</v>
      </c>
      <c r="EA13" s="52">
        <v>0.5</v>
      </c>
      <c r="EB13" s="54"/>
      <c r="EC13" s="55">
        <f t="shared" si="106"/>
        <v>27.200000000000003</v>
      </c>
      <c r="ED13" s="52">
        <v>26.6</v>
      </c>
      <c r="EE13" s="52">
        <v>0.6</v>
      </c>
      <c r="EF13" s="52"/>
      <c r="EG13" s="52"/>
      <c r="EH13" s="52"/>
      <c r="EI13" s="52"/>
      <c r="EJ13" s="52"/>
      <c r="EK13" s="52"/>
      <c r="EL13" s="52"/>
      <c r="EM13" s="52"/>
      <c r="EN13" s="2" t="s">
        <v>40</v>
      </c>
      <c r="EO13" s="60">
        <f t="shared" si="30"/>
        <v>2242.8353552818417</v>
      </c>
      <c r="EP13" s="61">
        <f t="shared" si="31"/>
        <v>9.048567364528029E-2</v>
      </c>
      <c r="EQ13" s="60">
        <f t="shared" si="32"/>
        <v>1508.7651921009849</v>
      </c>
      <c r="ER13" s="61">
        <f t="shared" si="33"/>
        <v>1.3062322531422677</v>
      </c>
      <c r="ES13" s="60">
        <f t="shared" si="34"/>
        <v>12347.400014628334</v>
      </c>
      <c r="ET13" s="61">
        <f t="shared" si="35"/>
        <v>0.60048370996250122</v>
      </c>
      <c r="EU13" s="61">
        <f t="shared" si="36"/>
        <v>63.108933408100377</v>
      </c>
      <c r="EV13" s="61">
        <f t="shared" si="37"/>
        <v>1523.9435386784512</v>
      </c>
      <c r="EW13" s="61">
        <f t="shared" si="107"/>
        <v>1776.0668187738602</v>
      </c>
      <c r="EX13" s="61">
        <f t="shared" si="38"/>
        <v>1766.6481324074414</v>
      </c>
      <c r="EY13" s="61">
        <f t="shared" si="39"/>
        <v>274.17093699487106</v>
      </c>
    </row>
    <row r="14" spans="1:155" ht="18" customHeight="1">
      <c r="A14" s="17" t="s">
        <v>41</v>
      </c>
      <c r="B14" s="42">
        <v>17727</v>
      </c>
      <c r="C14" s="43">
        <f t="shared" si="40"/>
        <v>1.8401354436016704E-2</v>
      </c>
      <c r="D14" s="44">
        <f t="shared" si="41"/>
        <v>0</v>
      </c>
      <c r="E14" s="45">
        <f t="shared" si="0"/>
        <v>0</v>
      </c>
      <c r="F14" s="45">
        <f t="shared" si="1"/>
        <v>0</v>
      </c>
      <c r="G14" s="45">
        <f t="shared" si="42"/>
        <v>0</v>
      </c>
      <c r="H14" s="45">
        <f t="shared" si="2"/>
        <v>0</v>
      </c>
      <c r="I14" s="45">
        <f t="shared" si="43"/>
        <v>0</v>
      </c>
      <c r="J14" s="45">
        <f t="shared" si="3"/>
        <v>0</v>
      </c>
      <c r="K14" s="46">
        <f t="shared" si="4"/>
        <v>0</v>
      </c>
      <c r="L14" s="45">
        <f t="shared" si="44"/>
        <v>0</v>
      </c>
      <c r="M14" s="45">
        <f t="shared" si="45"/>
        <v>0</v>
      </c>
      <c r="N14" s="45">
        <f t="shared" si="46"/>
        <v>0</v>
      </c>
      <c r="O14" s="45">
        <f t="shared" si="47"/>
        <v>0</v>
      </c>
      <c r="P14" s="45">
        <f t="shared" si="48"/>
        <v>0</v>
      </c>
      <c r="Q14" s="46">
        <f t="shared" si="49"/>
        <v>0</v>
      </c>
      <c r="R14" s="45">
        <f t="shared" si="50"/>
        <v>0</v>
      </c>
      <c r="S14" s="3"/>
      <c r="T14" s="17" t="s">
        <v>41</v>
      </c>
      <c r="U14" s="42">
        <v>17727</v>
      </c>
      <c r="V14" s="43">
        <f t="shared" si="51"/>
        <v>1.8401354436016704E-2</v>
      </c>
      <c r="W14" s="44">
        <f t="shared" si="52"/>
        <v>11587.105815645979</v>
      </c>
      <c r="X14" s="44">
        <f t="shared" si="53"/>
        <v>11.335212210958023</v>
      </c>
      <c r="Y14" s="45">
        <f t="shared" si="5"/>
        <v>4.1308032232777911</v>
      </c>
      <c r="Z14" s="46">
        <f t="shared" si="6"/>
        <v>4.0410031532065347E-3</v>
      </c>
      <c r="AA14" s="44">
        <f t="shared" si="7"/>
        <v>104.2839523408138</v>
      </c>
      <c r="AB14" s="46">
        <f t="shared" si="8"/>
        <v>0.10201690989862219</v>
      </c>
      <c r="AC14" s="44">
        <f t="shared" si="9"/>
        <v>28.967764539114945</v>
      </c>
      <c r="AD14" s="46">
        <f t="shared" si="10"/>
        <v>2.8338030527395055E-2</v>
      </c>
      <c r="AE14" s="46">
        <f t="shared" si="11"/>
        <v>0.14805746319992086</v>
      </c>
      <c r="AF14" s="45">
        <f t="shared" si="12"/>
        <v>246.80535387325935</v>
      </c>
      <c r="AG14" s="45">
        <f t="shared" si="54"/>
        <v>13.788655920618714</v>
      </c>
      <c r="AH14" s="45">
        <f t="shared" si="55"/>
        <v>6.257037140448829</v>
      </c>
      <c r="AI14" s="45">
        <f t="shared" si="56"/>
        <v>12.340267693662966</v>
      </c>
      <c r="AJ14" s="45">
        <f t="shared" si="57"/>
        <v>4.808648913493081</v>
      </c>
      <c r="AK14" s="45">
        <f t="shared" si="58"/>
        <v>7.531618780169886</v>
      </c>
      <c r="AL14" s="45">
        <f t="shared" si="59"/>
        <v>5.7935529078229893</v>
      </c>
      <c r="AM14" s="3"/>
      <c r="AN14" s="17" t="s">
        <v>41</v>
      </c>
      <c r="AO14" s="42">
        <v>17727</v>
      </c>
      <c r="AP14" s="43">
        <f t="shared" si="60"/>
        <v>1.8401354436016704E-2</v>
      </c>
      <c r="AQ14" s="44">
        <f t="shared" si="61"/>
        <v>2308.3247847881307</v>
      </c>
      <c r="AR14" s="45">
        <f t="shared" si="62"/>
        <v>2.2581438112057799</v>
      </c>
      <c r="AS14" s="44">
        <f t="shared" si="13"/>
        <v>6.3478931581673592</v>
      </c>
      <c r="AT14" s="46">
        <f t="shared" si="14"/>
        <v>6.2098954808158949E-3</v>
      </c>
      <c r="AU14" s="44">
        <f t="shared" si="15"/>
        <v>108.49126488504214</v>
      </c>
      <c r="AV14" s="46">
        <f t="shared" si="16"/>
        <v>0.10613275912667165</v>
      </c>
      <c r="AW14" s="44">
        <f t="shared" si="17"/>
        <v>46.166495695762613</v>
      </c>
      <c r="AX14" s="46">
        <f t="shared" si="18"/>
        <v>4.5162876224115592E-2</v>
      </c>
      <c r="AY14" s="45">
        <f t="shared" si="19"/>
        <v>0.2359620891116756</v>
      </c>
      <c r="AZ14" s="44">
        <f t="shared" si="20"/>
        <v>0.69249743543643927</v>
      </c>
      <c r="BA14" s="45">
        <f t="shared" si="63"/>
        <v>0.23083247847881308</v>
      </c>
      <c r="BB14" s="45">
        <f t="shared" si="64"/>
        <v>0.60016444404491398</v>
      </c>
      <c r="BC14" s="45">
        <f t="shared" si="65"/>
        <v>0.12695786316334717</v>
      </c>
      <c r="BD14" s="45">
        <f t="shared" si="66"/>
        <v>0.4962898287294481</v>
      </c>
      <c r="BE14" s="47">
        <f t="shared" si="67"/>
        <v>0.36933196556610093</v>
      </c>
      <c r="BF14" s="47">
        <f t="shared" si="68"/>
        <v>23.083247847881307</v>
      </c>
      <c r="BG14" s="3"/>
      <c r="BH14" s="17" t="s">
        <v>41</v>
      </c>
      <c r="BI14" s="42">
        <v>17727</v>
      </c>
      <c r="BJ14" s="43">
        <f t="shared" si="69"/>
        <v>1.8401354436016704E-2</v>
      </c>
      <c r="BK14" s="48">
        <f t="shared" si="70"/>
        <v>77.285688631270162</v>
      </c>
      <c r="BL14" s="46">
        <f t="shared" si="71"/>
        <v>3.4778559884071575E-3</v>
      </c>
      <c r="BM14" s="46">
        <f t="shared" si="72"/>
        <v>2.6277134134631858E-2</v>
      </c>
      <c r="BN14" s="49">
        <f t="shared" si="21"/>
        <v>2.5705892088226818E-5</v>
      </c>
      <c r="BO14" s="45">
        <f t="shared" si="73"/>
        <v>0.67238549109205026</v>
      </c>
      <c r="BP14" s="49">
        <f t="shared" si="22"/>
        <v>6.5776841519874483E-4</v>
      </c>
      <c r="BQ14" s="45">
        <f t="shared" si="74"/>
        <v>0.18625850960136112</v>
      </c>
      <c r="BR14" s="46">
        <f t="shared" si="23"/>
        <v>1.822094115665489E-4</v>
      </c>
      <c r="BS14" s="46">
        <f t="shared" si="24"/>
        <v>9.5198793796251241E-4</v>
      </c>
      <c r="BT14" s="44">
        <f t="shared" si="75"/>
        <v>1.6461851678460546</v>
      </c>
      <c r="BU14" s="45">
        <f t="shared" si="76"/>
        <v>9.0424255698586087E-2</v>
      </c>
      <c r="BV14" s="45">
        <f t="shared" si="77"/>
        <v>4.0343129465523028E-2</v>
      </c>
      <c r="BW14" s="45">
        <f t="shared" si="78"/>
        <v>8.1149973062833669E-2</v>
      </c>
      <c r="BX14" s="45">
        <f t="shared" si="79"/>
        <v>3.0914275452508064E-2</v>
      </c>
      <c r="BY14" s="45">
        <f t="shared" si="80"/>
        <v>5.0235697610325605E-2</v>
      </c>
      <c r="BZ14" s="45">
        <f t="shared" si="81"/>
        <v>3.7251701920272218E-2</v>
      </c>
      <c r="CA14" s="3"/>
      <c r="CB14" s="17" t="s">
        <v>41</v>
      </c>
      <c r="CC14" s="42">
        <v>17727</v>
      </c>
      <c r="CD14" s="43">
        <f t="shared" si="82"/>
        <v>1.8401354436016704E-2</v>
      </c>
      <c r="CE14" s="48">
        <f t="shared" si="83"/>
        <v>1303.8095672095276</v>
      </c>
      <c r="CF14" s="46">
        <f t="shared" si="25"/>
        <v>1.2754658809658421</v>
      </c>
      <c r="CG14" s="45">
        <f t="shared" si="84"/>
        <v>0.33899048747447719</v>
      </c>
      <c r="CH14" s="46">
        <f t="shared" si="26"/>
        <v>3.3162112905111901E-4</v>
      </c>
      <c r="CI14" s="45">
        <f t="shared" si="85"/>
        <v>8.7355241003038362</v>
      </c>
      <c r="CJ14" s="46">
        <f t="shared" si="27"/>
        <v>8.5456214024711447E-3</v>
      </c>
      <c r="CK14" s="45">
        <f t="shared" si="86"/>
        <v>2.4772381776981023</v>
      </c>
      <c r="CL14" s="46">
        <f t="shared" si="28"/>
        <v>2.4233851738351001E-3</v>
      </c>
      <c r="CM14" s="46">
        <f t="shared" si="29"/>
        <v>1.2661439574901413E-2</v>
      </c>
      <c r="CN14" s="45">
        <f t="shared" si="87"/>
        <v>3.9114287016285831E-2</v>
      </c>
      <c r="CO14" s="45">
        <f t="shared" si="88"/>
        <v>1.3038095672095275E-2</v>
      </c>
      <c r="CP14" s="45">
        <f t="shared" si="89"/>
        <v>3.2595239180238191E-2</v>
      </c>
      <c r="CQ14" s="45">
        <f t="shared" si="90"/>
        <v>6.5190478360476374E-3</v>
      </c>
      <c r="CR14" s="45">
        <f t="shared" si="91"/>
        <v>2.607619134419055E-2</v>
      </c>
      <c r="CS14" s="45">
        <f t="shared" si="92"/>
        <v>1.9557143508142916E-2</v>
      </c>
      <c r="CT14" s="45">
        <f t="shared" si="93"/>
        <v>3.2595239180238191E-2</v>
      </c>
      <c r="CU14" s="3"/>
      <c r="CV14" s="17" t="s">
        <v>41</v>
      </c>
      <c r="CW14" s="51">
        <f t="shared" si="94"/>
        <v>4545.8</v>
      </c>
      <c r="CX14" s="52">
        <v>2638.6</v>
      </c>
      <c r="CY14" s="52">
        <v>1907.2</v>
      </c>
      <c r="CZ14" s="52">
        <f t="shared" si="95"/>
        <v>2.5913043478260871</v>
      </c>
      <c r="DA14" s="52">
        <f t="shared" si="96"/>
        <v>13.48617777777778</v>
      </c>
      <c r="DB14" s="53">
        <f t="shared" si="97"/>
        <v>9.7479111111111116</v>
      </c>
      <c r="DC14" s="52">
        <f t="shared" si="98"/>
        <v>23.234088888888891</v>
      </c>
      <c r="DD14" s="54"/>
      <c r="DE14" s="52">
        <f t="shared" si="99"/>
        <v>716.40000000000009</v>
      </c>
      <c r="DF14" s="52">
        <v>359.3</v>
      </c>
      <c r="DG14" s="52">
        <v>357.1</v>
      </c>
      <c r="DH14" s="52">
        <f t="shared" si="100"/>
        <v>0.48519021739130436</v>
      </c>
      <c r="DI14" s="54"/>
      <c r="DJ14" s="55">
        <f t="shared" si="101"/>
        <v>723</v>
      </c>
      <c r="DK14" s="52">
        <v>383.9</v>
      </c>
      <c r="DL14" s="52">
        <v>339.1</v>
      </c>
      <c r="DM14" s="56"/>
      <c r="DN14" s="55">
        <f t="shared" si="102"/>
        <v>723</v>
      </c>
      <c r="DO14" s="52">
        <v>383.9</v>
      </c>
      <c r="DP14" s="52">
        <v>339.1</v>
      </c>
      <c r="DQ14" s="56"/>
      <c r="DR14" s="58"/>
      <c r="DS14" s="17" t="s">
        <v>41</v>
      </c>
      <c r="DT14" s="55">
        <f t="shared" si="103"/>
        <v>44.8</v>
      </c>
      <c r="DU14" s="52">
        <v>35</v>
      </c>
      <c r="DV14" s="52">
        <v>9.8000000000000007</v>
      </c>
      <c r="DW14" s="59">
        <f t="shared" si="104"/>
        <v>1.3315217391304349E-2</v>
      </c>
      <c r="DX14" s="54"/>
      <c r="DY14" s="55">
        <f t="shared" si="105"/>
        <v>33.4</v>
      </c>
      <c r="DZ14" s="52">
        <v>23.9</v>
      </c>
      <c r="EA14" s="52">
        <v>9.5</v>
      </c>
      <c r="EB14" s="54"/>
      <c r="EC14" s="55">
        <f t="shared" si="106"/>
        <v>25.8</v>
      </c>
      <c r="ED14" s="52">
        <v>15</v>
      </c>
      <c r="EE14" s="52">
        <v>10.8</v>
      </c>
      <c r="EF14" s="52"/>
      <c r="EG14" s="52"/>
      <c r="EH14" s="52"/>
      <c r="EI14" s="52"/>
      <c r="EJ14" s="52"/>
      <c r="EK14" s="52"/>
      <c r="EL14" s="52"/>
      <c r="EM14" s="52"/>
      <c r="EN14" s="2" t="s">
        <v>41</v>
      </c>
      <c r="EO14" s="60">
        <f t="shared" si="30"/>
        <v>727.24396400305432</v>
      </c>
      <c r="EP14" s="61">
        <f t="shared" si="31"/>
        <v>0.49579844304646614</v>
      </c>
      <c r="EQ14" s="60">
        <f t="shared" si="32"/>
        <v>266.98312681725184</v>
      </c>
      <c r="ER14" s="61">
        <f t="shared" si="33"/>
        <v>0.23066827623426808</v>
      </c>
      <c r="ES14" s="60">
        <f t="shared" si="34"/>
        <v>4623.5977569221768</v>
      </c>
      <c r="ET14" s="61">
        <f t="shared" si="35"/>
        <v>2.6674108491629993</v>
      </c>
      <c r="EU14" s="61">
        <f t="shared" si="36"/>
        <v>23.631721868713353</v>
      </c>
      <c r="EV14" s="61">
        <f t="shared" si="37"/>
        <v>274.98315076355811</v>
      </c>
      <c r="EW14" s="61">
        <f t="shared" si="107"/>
        <v>737.51183985954242</v>
      </c>
      <c r="EX14" s="61">
        <f t="shared" si="38"/>
        <v>735.94378368679941</v>
      </c>
      <c r="EY14" s="61">
        <f t="shared" si="39"/>
        <v>62.346647696804808</v>
      </c>
    </row>
    <row r="15" spans="1:155" ht="18" customHeight="1">
      <c r="A15" s="17" t="s">
        <v>42</v>
      </c>
      <c r="B15" s="42">
        <v>62374</v>
      </c>
      <c r="C15" s="43">
        <f t="shared" si="40"/>
        <v>6.4746775065837758E-2</v>
      </c>
      <c r="D15" s="44">
        <f t="shared" si="41"/>
        <v>0</v>
      </c>
      <c r="E15" s="45">
        <f t="shared" si="0"/>
        <v>0</v>
      </c>
      <c r="F15" s="45">
        <f t="shared" si="1"/>
        <v>0</v>
      </c>
      <c r="G15" s="45">
        <f t="shared" si="42"/>
        <v>0</v>
      </c>
      <c r="H15" s="45">
        <f t="shared" si="2"/>
        <v>0</v>
      </c>
      <c r="I15" s="45">
        <f t="shared" si="43"/>
        <v>0</v>
      </c>
      <c r="J15" s="45">
        <f t="shared" si="3"/>
        <v>0</v>
      </c>
      <c r="K15" s="46">
        <f t="shared" si="4"/>
        <v>0</v>
      </c>
      <c r="L15" s="45">
        <f t="shared" si="44"/>
        <v>0</v>
      </c>
      <c r="M15" s="45">
        <f t="shared" si="45"/>
        <v>0</v>
      </c>
      <c r="N15" s="45">
        <f t="shared" si="46"/>
        <v>0</v>
      </c>
      <c r="O15" s="45">
        <f t="shared" si="47"/>
        <v>0</v>
      </c>
      <c r="P15" s="45">
        <f t="shared" si="48"/>
        <v>0</v>
      </c>
      <c r="Q15" s="46">
        <f t="shared" si="49"/>
        <v>0</v>
      </c>
      <c r="R15" s="45">
        <f t="shared" si="50"/>
        <v>0</v>
      </c>
      <c r="S15" s="3"/>
      <c r="T15" s="17" t="s">
        <v>42</v>
      </c>
      <c r="U15" s="42">
        <v>62374</v>
      </c>
      <c r="V15" s="43">
        <f t="shared" si="51"/>
        <v>6.4746775065837758E-2</v>
      </c>
      <c r="W15" s="44">
        <f t="shared" si="52"/>
        <v>40770.245283753728</v>
      </c>
      <c r="X15" s="44">
        <f t="shared" si="53"/>
        <v>39.883935603672121</v>
      </c>
      <c r="Y15" s="45">
        <f t="shared" si="5"/>
        <v>14.534592443658203</v>
      </c>
      <c r="Z15" s="46">
        <f t="shared" si="6"/>
        <v>1.4218623042709112E-2</v>
      </c>
      <c r="AA15" s="44">
        <f t="shared" si="7"/>
        <v>366.93220755378354</v>
      </c>
      <c r="AB15" s="46">
        <f t="shared" si="8"/>
        <v>0.35895542043304912</v>
      </c>
      <c r="AC15" s="44">
        <f t="shared" si="9"/>
        <v>101.92561320938432</v>
      </c>
      <c r="AD15" s="46">
        <f t="shared" si="10"/>
        <v>9.9709839009180318E-2</v>
      </c>
      <c r="AE15" s="46">
        <f t="shared" si="11"/>
        <v>0.52095313418129774</v>
      </c>
      <c r="AF15" s="45">
        <f t="shared" si="12"/>
        <v>868.40622454395452</v>
      </c>
      <c r="AG15" s="45">
        <f t="shared" si="54"/>
        <v>48.516591887666934</v>
      </c>
      <c r="AH15" s="45">
        <f t="shared" si="55"/>
        <v>22.015932453227016</v>
      </c>
      <c r="AI15" s="45">
        <f t="shared" si="56"/>
        <v>43.420311227197715</v>
      </c>
      <c r="AJ15" s="45">
        <f t="shared" si="57"/>
        <v>16.919651792757794</v>
      </c>
      <c r="AK15" s="45">
        <f t="shared" si="58"/>
        <v>26.500659434439925</v>
      </c>
      <c r="AL15" s="45">
        <f t="shared" si="59"/>
        <v>20.385122641876865</v>
      </c>
      <c r="AM15" s="3"/>
      <c r="AN15" s="17" t="s">
        <v>42</v>
      </c>
      <c r="AO15" s="42">
        <v>62374</v>
      </c>
      <c r="AP15" s="43">
        <f t="shared" si="60"/>
        <v>6.4746775065837758E-2</v>
      </c>
      <c r="AQ15" s="44">
        <f t="shared" si="61"/>
        <v>8122.0426539388991</v>
      </c>
      <c r="AR15" s="45">
        <f t="shared" si="62"/>
        <v>7.9454765092880528</v>
      </c>
      <c r="AS15" s="44">
        <f t="shared" si="13"/>
        <v>22.335617298331975</v>
      </c>
      <c r="AT15" s="46">
        <f t="shared" si="14"/>
        <v>2.1850060400542149E-2</v>
      </c>
      <c r="AU15" s="44">
        <f t="shared" si="15"/>
        <v>381.73600473512823</v>
      </c>
      <c r="AV15" s="46">
        <f t="shared" si="16"/>
        <v>0.37343739593653852</v>
      </c>
      <c r="AW15" s="44">
        <f t="shared" si="17"/>
        <v>162.44085307877799</v>
      </c>
      <c r="AX15" s="46">
        <f t="shared" si="18"/>
        <v>0.15890953018576107</v>
      </c>
      <c r="AY15" s="45">
        <f t="shared" si="19"/>
        <v>0.83025324906930975</v>
      </c>
      <c r="AZ15" s="44">
        <f t="shared" si="20"/>
        <v>2.4366127961816697</v>
      </c>
      <c r="BA15" s="45">
        <f t="shared" si="63"/>
        <v>0.8122042653938899</v>
      </c>
      <c r="BB15" s="45">
        <f t="shared" si="64"/>
        <v>2.1117310900241137</v>
      </c>
      <c r="BC15" s="45">
        <f t="shared" si="65"/>
        <v>0.4467123459666395</v>
      </c>
      <c r="BD15" s="45">
        <f t="shared" si="66"/>
        <v>1.7462391705968632</v>
      </c>
      <c r="BE15" s="47">
        <f t="shared" si="67"/>
        <v>1.2995268246302238</v>
      </c>
      <c r="BF15" s="47">
        <f t="shared" si="68"/>
        <v>81.220426539388995</v>
      </c>
      <c r="BG15" s="3"/>
      <c r="BH15" s="17" t="s">
        <v>42</v>
      </c>
      <c r="BI15" s="42">
        <v>62374</v>
      </c>
      <c r="BJ15" s="43">
        <f t="shared" si="69"/>
        <v>6.4746775065837758E-2</v>
      </c>
      <c r="BK15" s="48">
        <f t="shared" si="70"/>
        <v>271.93645527651859</v>
      </c>
      <c r="BL15" s="46">
        <f t="shared" si="71"/>
        <v>1.2237140487443336E-2</v>
      </c>
      <c r="BM15" s="46">
        <f t="shared" si="72"/>
        <v>9.2458394794016324E-2</v>
      </c>
      <c r="BN15" s="49">
        <f t="shared" si="21"/>
        <v>9.0448429689798566E-5</v>
      </c>
      <c r="BO15" s="45">
        <f t="shared" si="73"/>
        <v>2.3658471609057115</v>
      </c>
      <c r="BP15" s="49">
        <f t="shared" si="22"/>
        <v>2.3144157008860218E-3</v>
      </c>
      <c r="BQ15" s="45">
        <f t="shared" si="74"/>
        <v>0.65536685721640986</v>
      </c>
      <c r="BR15" s="46">
        <f t="shared" si="23"/>
        <v>6.4111975162474877E-4</v>
      </c>
      <c r="BS15" s="46">
        <f t="shared" si="24"/>
        <v>3.3496528257727616E-3</v>
      </c>
      <c r="BT15" s="44">
        <f t="shared" si="75"/>
        <v>5.7922464973898462</v>
      </c>
      <c r="BU15" s="45">
        <f t="shared" si="76"/>
        <v>0.3181656526735267</v>
      </c>
      <c r="BV15" s="45">
        <f t="shared" si="77"/>
        <v>0.14195082965434269</v>
      </c>
      <c r="BW15" s="45">
        <f t="shared" si="78"/>
        <v>0.28553327804034456</v>
      </c>
      <c r="BX15" s="45">
        <f t="shared" si="79"/>
        <v>0.10877458211060743</v>
      </c>
      <c r="BY15" s="45">
        <f t="shared" si="80"/>
        <v>0.17675869592973709</v>
      </c>
      <c r="BZ15" s="45">
        <f t="shared" si="81"/>
        <v>0.13107337144328196</v>
      </c>
      <c r="CA15" s="3"/>
      <c r="CB15" s="17" t="s">
        <v>42</v>
      </c>
      <c r="CC15" s="42">
        <v>62374</v>
      </c>
      <c r="CD15" s="43">
        <f t="shared" si="82"/>
        <v>6.4746775065837758E-2</v>
      </c>
      <c r="CE15" s="48">
        <f t="shared" si="83"/>
        <v>4587.5680005148688</v>
      </c>
      <c r="CF15" s="46">
        <f t="shared" si="25"/>
        <v>4.4878382613732413</v>
      </c>
      <c r="CG15" s="45">
        <f t="shared" si="84"/>
        <v>1.192767680133866</v>
      </c>
      <c r="CH15" s="46">
        <f t="shared" si="26"/>
        <v>1.1668379479570429E-3</v>
      </c>
      <c r="CI15" s="45">
        <f t="shared" si="85"/>
        <v>30.736705603449622</v>
      </c>
      <c r="CJ15" s="46">
        <f t="shared" si="27"/>
        <v>3.0068516351200718E-2</v>
      </c>
      <c r="CK15" s="45">
        <f t="shared" si="86"/>
        <v>8.7163792009782508</v>
      </c>
      <c r="CL15" s="46">
        <f t="shared" si="28"/>
        <v>8.526892696609157E-3</v>
      </c>
      <c r="CM15" s="46">
        <f t="shared" si="29"/>
        <v>4.4550382582777728E-2</v>
      </c>
      <c r="CN15" s="45">
        <f t="shared" si="87"/>
        <v>0.13762704001544607</v>
      </c>
      <c r="CO15" s="45">
        <f t="shared" si="88"/>
        <v>4.5875680005148689E-2</v>
      </c>
      <c r="CP15" s="45">
        <f t="shared" si="89"/>
        <v>0.11468920001287172</v>
      </c>
      <c r="CQ15" s="45">
        <f t="shared" si="90"/>
        <v>2.2937840002574345E-2</v>
      </c>
      <c r="CR15" s="45">
        <f t="shared" si="91"/>
        <v>9.1751360010297378E-2</v>
      </c>
      <c r="CS15" s="45">
        <f t="shared" si="92"/>
        <v>6.8813520007723034E-2</v>
      </c>
      <c r="CT15" s="45">
        <f t="shared" si="93"/>
        <v>0.11468920001287172</v>
      </c>
      <c r="CU15" s="3"/>
      <c r="CV15" s="17" t="s">
        <v>42</v>
      </c>
      <c r="CW15" s="51">
        <f t="shared" si="94"/>
        <v>9604.6</v>
      </c>
      <c r="CX15" s="52">
        <v>9351.4</v>
      </c>
      <c r="CY15" s="52">
        <v>253.2</v>
      </c>
      <c r="CZ15" s="52">
        <f t="shared" si="95"/>
        <v>0.34402173913043477</v>
      </c>
      <c r="DA15" s="52">
        <f t="shared" si="96"/>
        <v>47.796044444444448</v>
      </c>
      <c r="DB15" s="53">
        <f t="shared" si="97"/>
        <v>1.2941333333333334</v>
      </c>
      <c r="DC15" s="52">
        <f t="shared" si="98"/>
        <v>49.090177777777782</v>
      </c>
      <c r="DD15" s="54"/>
      <c r="DE15" s="52">
        <f t="shared" si="99"/>
        <v>1732.5</v>
      </c>
      <c r="DF15" s="52">
        <v>1685.1</v>
      </c>
      <c r="DG15" s="52">
        <v>47.4</v>
      </c>
      <c r="DH15" s="52">
        <f t="shared" si="100"/>
        <v>6.4402173913043481E-2</v>
      </c>
      <c r="DI15" s="54"/>
      <c r="DJ15" s="55">
        <f t="shared" si="101"/>
        <v>1377.3</v>
      </c>
      <c r="DK15" s="52">
        <v>1332.3</v>
      </c>
      <c r="DL15" s="52">
        <v>45</v>
      </c>
      <c r="DM15" s="56"/>
      <c r="DN15" s="55">
        <f t="shared" si="102"/>
        <v>1377.3</v>
      </c>
      <c r="DO15" s="52">
        <v>1332.3</v>
      </c>
      <c r="DP15" s="52">
        <v>45</v>
      </c>
      <c r="DQ15" s="56"/>
      <c r="DR15" s="58"/>
      <c r="DS15" s="17" t="s">
        <v>42</v>
      </c>
      <c r="DT15" s="55">
        <f t="shared" si="103"/>
        <v>143.70000000000002</v>
      </c>
      <c r="DU15" s="52">
        <v>142.4</v>
      </c>
      <c r="DV15" s="52">
        <v>1.3</v>
      </c>
      <c r="DW15" s="59">
        <f t="shared" si="104"/>
        <v>1.766304347826087E-3</v>
      </c>
      <c r="DX15" s="54"/>
      <c r="DY15" s="55">
        <f t="shared" si="105"/>
        <v>81.8</v>
      </c>
      <c r="DZ15" s="52">
        <v>80.5</v>
      </c>
      <c r="EA15" s="52">
        <v>1.3</v>
      </c>
      <c r="EB15" s="54"/>
      <c r="EC15" s="55">
        <f t="shared" si="106"/>
        <v>23.799999999999997</v>
      </c>
      <c r="ED15" s="52">
        <v>22.4</v>
      </c>
      <c r="EE15" s="52">
        <v>1.4</v>
      </c>
      <c r="EF15" s="52"/>
      <c r="EG15" s="52"/>
      <c r="EH15" s="52"/>
      <c r="EI15" s="52"/>
      <c r="EJ15" s="52"/>
      <c r="EK15" s="52"/>
      <c r="EL15" s="52"/>
      <c r="EM15" s="52"/>
      <c r="EN15" s="2" t="s">
        <v>42</v>
      </c>
      <c r="EO15" s="60">
        <f t="shared" si="30"/>
        <v>1770.655435816918</v>
      </c>
      <c r="EP15" s="61">
        <f t="shared" si="31"/>
        <v>0.10172814373394158</v>
      </c>
      <c r="EQ15" s="60">
        <f t="shared" si="32"/>
        <v>925.47076505326709</v>
      </c>
      <c r="ER15" s="61">
        <f t="shared" si="33"/>
        <v>0.76654205276950038</v>
      </c>
      <c r="ES15" s="60">
        <f t="shared" si="34"/>
        <v>9878.338212346358</v>
      </c>
      <c r="ET15" s="61">
        <f t="shared" si="35"/>
        <v>0.61180912077361005</v>
      </c>
      <c r="EU15" s="61">
        <f t="shared" si="36"/>
        <v>50.489284196436941</v>
      </c>
      <c r="EV15" s="61">
        <f t="shared" si="37"/>
        <v>900.57271087754145</v>
      </c>
      <c r="EW15" s="61">
        <f t="shared" si="107"/>
        <v>1428.3611778303773</v>
      </c>
      <c r="EX15" s="61">
        <f t="shared" si="38"/>
        <v>1422.8438350358451</v>
      </c>
      <c r="EY15" s="61">
        <f t="shared" si="39"/>
        <v>183.65131175272199</v>
      </c>
    </row>
    <row r="16" spans="1:155" ht="18" customHeight="1">
      <c r="A16" s="17" t="s">
        <v>43</v>
      </c>
      <c r="B16" s="42">
        <v>26007</v>
      </c>
      <c r="C16" s="43">
        <f t="shared" si="40"/>
        <v>2.6996334676904519E-2</v>
      </c>
      <c r="D16" s="44">
        <f t="shared" si="41"/>
        <v>0</v>
      </c>
      <c r="E16" s="45">
        <f t="shared" si="0"/>
        <v>0</v>
      </c>
      <c r="F16" s="45">
        <f t="shared" si="1"/>
        <v>0</v>
      </c>
      <c r="G16" s="45">
        <f t="shared" si="42"/>
        <v>0</v>
      </c>
      <c r="H16" s="45">
        <f t="shared" si="2"/>
        <v>0</v>
      </c>
      <c r="I16" s="45">
        <f t="shared" si="43"/>
        <v>0</v>
      </c>
      <c r="J16" s="45">
        <f t="shared" si="3"/>
        <v>0</v>
      </c>
      <c r="K16" s="46">
        <f t="shared" si="4"/>
        <v>0</v>
      </c>
      <c r="L16" s="45">
        <f t="shared" si="44"/>
        <v>0</v>
      </c>
      <c r="M16" s="45">
        <f t="shared" si="45"/>
        <v>0</v>
      </c>
      <c r="N16" s="45">
        <f t="shared" si="46"/>
        <v>0</v>
      </c>
      <c r="O16" s="45">
        <f t="shared" si="47"/>
        <v>0</v>
      </c>
      <c r="P16" s="45">
        <f t="shared" si="48"/>
        <v>0</v>
      </c>
      <c r="Q16" s="46">
        <f t="shared" si="49"/>
        <v>0</v>
      </c>
      <c r="R16" s="45">
        <f t="shared" si="50"/>
        <v>0</v>
      </c>
      <c r="S16" s="3"/>
      <c r="T16" s="17" t="s">
        <v>43</v>
      </c>
      <c r="U16" s="42">
        <v>26007</v>
      </c>
      <c r="V16" s="43">
        <f t="shared" si="51"/>
        <v>2.6996334676904519E-2</v>
      </c>
      <c r="W16" s="44">
        <f t="shared" si="52"/>
        <v>16999.258811276864</v>
      </c>
      <c r="X16" s="44">
        <f t="shared" si="53"/>
        <v>16.62970970668389</v>
      </c>
      <c r="Y16" s="45">
        <f t="shared" si="5"/>
        <v>6.0602357662202024</v>
      </c>
      <c r="Z16" s="46">
        <f t="shared" si="6"/>
        <v>5.9284915104328064E-3</v>
      </c>
      <c r="AA16" s="44">
        <f t="shared" si="7"/>
        <v>152.9933293014918</v>
      </c>
      <c r="AB16" s="46">
        <f t="shared" si="8"/>
        <v>0.14966738736015503</v>
      </c>
      <c r="AC16" s="44">
        <f t="shared" si="9"/>
        <v>42.498147028192164</v>
      </c>
      <c r="AD16" s="46">
        <f t="shared" si="10"/>
        <v>4.1574274266709725E-2</v>
      </c>
      <c r="AE16" s="46">
        <f t="shared" si="11"/>
        <v>0.21721275147742661</v>
      </c>
      <c r="AF16" s="45">
        <f t="shared" si="12"/>
        <v>362.0842126801972</v>
      </c>
      <c r="AG16" s="45">
        <f t="shared" si="54"/>
        <v>20.229117985419467</v>
      </c>
      <c r="AH16" s="45">
        <f t="shared" si="55"/>
        <v>9.1795997580895072</v>
      </c>
      <c r="AI16" s="45">
        <f t="shared" si="56"/>
        <v>18.104210634009856</v>
      </c>
      <c r="AJ16" s="45">
        <f t="shared" si="57"/>
        <v>7.0546924066798979</v>
      </c>
      <c r="AK16" s="45">
        <f t="shared" si="58"/>
        <v>11.049518227329962</v>
      </c>
      <c r="AL16" s="45">
        <f t="shared" si="59"/>
        <v>8.4996294056384318</v>
      </c>
      <c r="AM16" s="3"/>
      <c r="AN16" s="17" t="s">
        <v>43</v>
      </c>
      <c r="AO16" s="42">
        <v>26007</v>
      </c>
      <c r="AP16" s="43">
        <f t="shared" si="60"/>
        <v>2.6996334676904519E-2</v>
      </c>
      <c r="AQ16" s="44">
        <f t="shared" si="61"/>
        <v>3386.5066101418688</v>
      </c>
      <c r="AR16" s="45">
        <f t="shared" si="62"/>
        <v>3.3128869012257414</v>
      </c>
      <c r="AS16" s="44">
        <f t="shared" si="13"/>
        <v>9.3128931778901389</v>
      </c>
      <c r="AT16" s="46">
        <f t="shared" si="14"/>
        <v>9.1104389783707874E-3</v>
      </c>
      <c r="AU16" s="44">
        <f t="shared" si="15"/>
        <v>159.16581067666783</v>
      </c>
      <c r="AV16" s="46">
        <f t="shared" si="16"/>
        <v>0.15570568435760984</v>
      </c>
      <c r="AW16" s="44">
        <f t="shared" si="17"/>
        <v>67.730132202837382</v>
      </c>
      <c r="AX16" s="46">
        <f t="shared" si="18"/>
        <v>6.6257738024514831E-2</v>
      </c>
      <c r="AY16" s="45">
        <f t="shared" si="19"/>
        <v>0.34617623125894664</v>
      </c>
      <c r="AZ16" s="44">
        <f t="shared" si="20"/>
        <v>1.0159519830425607</v>
      </c>
      <c r="BA16" s="45">
        <f t="shared" si="63"/>
        <v>0.33865066101418689</v>
      </c>
      <c r="BB16" s="45">
        <f t="shared" si="64"/>
        <v>0.88049171863688591</v>
      </c>
      <c r="BC16" s="45">
        <f t="shared" si="65"/>
        <v>0.18625786355780277</v>
      </c>
      <c r="BD16" s="45">
        <f t="shared" si="66"/>
        <v>0.72809892118050179</v>
      </c>
      <c r="BE16" s="47">
        <f t="shared" si="67"/>
        <v>0.54184105762269907</v>
      </c>
      <c r="BF16" s="47">
        <f t="shared" si="68"/>
        <v>33.865066101418691</v>
      </c>
      <c r="BG16" s="3"/>
      <c r="BH16" s="17" t="s">
        <v>43</v>
      </c>
      <c r="BI16" s="42">
        <v>26007</v>
      </c>
      <c r="BJ16" s="43">
        <f t="shared" si="69"/>
        <v>2.6996334676904519E-2</v>
      </c>
      <c r="BK16" s="48">
        <f t="shared" si="70"/>
        <v>113.38460564299898</v>
      </c>
      <c r="BL16" s="46">
        <f t="shared" si="71"/>
        <v>5.1023072539349533E-3</v>
      </c>
      <c r="BM16" s="46">
        <f t="shared" si="72"/>
        <v>3.8550765918619653E-2</v>
      </c>
      <c r="BN16" s="49">
        <f t="shared" si="21"/>
        <v>3.7712705789954008E-5</v>
      </c>
      <c r="BO16" s="45">
        <f t="shared" si="73"/>
        <v>0.98644606909409105</v>
      </c>
      <c r="BP16" s="49">
        <f t="shared" si="22"/>
        <v>9.6500158933117604E-4</v>
      </c>
      <c r="BQ16" s="45">
        <f t="shared" si="74"/>
        <v>0.27325689959962757</v>
      </c>
      <c r="BR16" s="46">
        <f t="shared" si="23"/>
        <v>2.6731653221702693E-4</v>
      </c>
      <c r="BS16" s="46">
        <f t="shared" si="24"/>
        <v>1.3966463757314298E-3</v>
      </c>
      <c r="BT16" s="44">
        <f t="shared" si="75"/>
        <v>2.4150921001958783</v>
      </c>
      <c r="BU16" s="45">
        <f t="shared" si="76"/>
        <v>0.13265998860230879</v>
      </c>
      <c r="BV16" s="45">
        <f t="shared" si="77"/>
        <v>5.9186764145645471E-2</v>
      </c>
      <c r="BW16" s="45">
        <f t="shared" si="78"/>
        <v>0.11905383592514893</v>
      </c>
      <c r="BX16" s="45">
        <f t="shared" si="79"/>
        <v>4.5353842257199593E-2</v>
      </c>
      <c r="BY16" s="45">
        <f t="shared" si="80"/>
        <v>7.369999366794934E-2</v>
      </c>
      <c r="BZ16" s="45">
        <f t="shared" si="81"/>
        <v>5.4651379919925504E-2</v>
      </c>
      <c r="CA16" s="3"/>
      <c r="CB16" s="17" t="s">
        <v>43</v>
      </c>
      <c r="CC16" s="42">
        <v>26007</v>
      </c>
      <c r="CD16" s="43">
        <f t="shared" si="82"/>
        <v>2.6996334676904519E-2</v>
      </c>
      <c r="CE16" s="48">
        <f t="shared" si="83"/>
        <v>1912.7982971973927</v>
      </c>
      <c r="CF16" s="46">
        <f t="shared" si="25"/>
        <v>1.8712157255191886</v>
      </c>
      <c r="CG16" s="45">
        <f t="shared" si="84"/>
        <v>0.49732755727132211</v>
      </c>
      <c r="CH16" s="46">
        <f t="shared" si="26"/>
        <v>4.8651608863498899E-4</v>
      </c>
      <c r="CI16" s="45">
        <f t="shared" si="85"/>
        <v>12.815748591222532</v>
      </c>
      <c r="CJ16" s="46">
        <f t="shared" si="27"/>
        <v>1.2537145360978563E-2</v>
      </c>
      <c r="CK16" s="45">
        <f t="shared" si="86"/>
        <v>3.6343167646750456</v>
      </c>
      <c r="CL16" s="46">
        <f t="shared" si="28"/>
        <v>3.5553098784864572E-3</v>
      </c>
      <c r="CM16" s="46">
        <f t="shared" si="29"/>
        <v>1.857539679722801E-2</v>
      </c>
      <c r="CN16" s="45">
        <f t="shared" si="87"/>
        <v>5.738394891592178E-2</v>
      </c>
      <c r="CO16" s="45">
        <f t="shared" si="88"/>
        <v>1.9127982971973927E-2</v>
      </c>
      <c r="CP16" s="45">
        <f t="shared" si="89"/>
        <v>4.781995742993482E-2</v>
      </c>
      <c r="CQ16" s="45">
        <f t="shared" si="90"/>
        <v>9.5639914859869633E-3</v>
      </c>
      <c r="CR16" s="45">
        <f t="shared" si="91"/>
        <v>3.8255965943947853E-2</v>
      </c>
      <c r="CS16" s="45">
        <f t="shared" si="92"/>
        <v>2.869197445796089E-2</v>
      </c>
      <c r="CT16" s="45">
        <f t="shared" si="93"/>
        <v>4.781995742993482E-2</v>
      </c>
      <c r="CU16" s="3"/>
      <c r="CV16" s="17" t="s">
        <v>43</v>
      </c>
      <c r="CW16" s="51">
        <f t="shared" si="94"/>
        <v>3829.3999999999996</v>
      </c>
      <c r="CX16" s="52">
        <v>3218.7</v>
      </c>
      <c r="CY16" s="52">
        <v>610.70000000000005</v>
      </c>
      <c r="CZ16" s="52">
        <f t="shared" si="95"/>
        <v>0.82975543478260871</v>
      </c>
      <c r="DA16" s="52">
        <f t="shared" si="96"/>
        <v>16.451133333333335</v>
      </c>
      <c r="DB16" s="53">
        <f t="shared" si="97"/>
        <v>3.1213555555555557</v>
      </c>
      <c r="DC16" s="52">
        <f t="shared" si="98"/>
        <v>19.572488888888891</v>
      </c>
      <c r="DD16" s="54"/>
      <c r="DE16" s="52">
        <f t="shared" si="99"/>
        <v>662.09999999999991</v>
      </c>
      <c r="DF16" s="52">
        <v>547.79999999999995</v>
      </c>
      <c r="DG16" s="52">
        <v>114.3</v>
      </c>
      <c r="DH16" s="52">
        <f t="shared" si="100"/>
        <v>0.15529891304347826</v>
      </c>
      <c r="DI16" s="54"/>
      <c r="DJ16" s="55">
        <f t="shared" si="101"/>
        <v>569.20000000000005</v>
      </c>
      <c r="DK16" s="52">
        <v>460.6</v>
      </c>
      <c r="DL16" s="52">
        <v>108.6</v>
      </c>
      <c r="DM16" s="56"/>
      <c r="DN16" s="55">
        <f t="shared" si="102"/>
        <v>569.20000000000005</v>
      </c>
      <c r="DO16" s="52">
        <v>460.6</v>
      </c>
      <c r="DP16" s="52">
        <v>108.6</v>
      </c>
      <c r="DQ16" s="56"/>
      <c r="DR16" s="58"/>
      <c r="DS16" s="17" t="s">
        <v>43</v>
      </c>
      <c r="DT16" s="55">
        <f t="shared" si="103"/>
        <v>50.800000000000004</v>
      </c>
      <c r="DU16" s="52">
        <v>47.7</v>
      </c>
      <c r="DV16" s="52">
        <v>3.1</v>
      </c>
      <c r="DW16" s="59">
        <f t="shared" si="104"/>
        <v>4.2119565217391304E-3</v>
      </c>
      <c r="DX16" s="54"/>
      <c r="DY16" s="55">
        <f t="shared" si="105"/>
        <v>31.1</v>
      </c>
      <c r="DZ16" s="52">
        <v>28</v>
      </c>
      <c r="EA16" s="52">
        <v>3.1</v>
      </c>
      <c r="EB16" s="54"/>
      <c r="EC16" s="55">
        <f t="shared" si="106"/>
        <v>13.6</v>
      </c>
      <c r="ED16" s="52">
        <v>10.199999999999999</v>
      </c>
      <c r="EE16" s="52">
        <v>3.4</v>
      </c>
      <c r="EF16" s="52"/>
      <c r="EG16" s="52"/>
      <c r="EH16" s="52"/>
      <c r="EI16" s="52"/>
      <c r="EJ16" s="52"/>
      <c r="EK16" s="52"/>
      <c r="EL16" s="52"/>
      <c r="EM16" s="52"/>
      <c r="EN16" s="2" t="s">
        <v>43</v>
      </c>
      <c r="EO16" s="60">
        <f t="shared" si="30"/>
        <v>678.00900726730015</v>
      </c>
      <c r="EP16" s="61">
        <f t="shared" si="31"/>
        <v>0.1708620723267068</v>
      </c>
      <c r="EQ16" s="60">
        <f t="shared" si="32"/>
        <v>376.76133463847623</v>
      </c>
      <c r="ER16" s="61">
        <f t="shared" si="33"/>
        <v>0.32308717518981367</v>
      </c>
      <c r="ES16" s="60">
        <f t="shared" si="34"/>
        <v>3943.5358528953038</v>
      </c>
      <c r="ET16" s="61">
        <f t="shared" si="35"/>
        <v>0.94141007348453676</v>
      </c>
      <c r="EU16" s="61">
        <f t="shared" si="36"/>
        <v>20.155849914798225</v>
      </c>
      <c r="EV16" s="61">
        <f t="shared" si="37"/>
        <v>379.17264071235155</v>
      </c>
      <c r="EW16" s="61">
        <f t="shared" si="107"/>
        <v>590.49008965008863</v>
      </c>
      <c r="EX16" s="61">
        <f t="shared" si="38"/>
        <v>588.18961935705954</v>
      </c>
      <c r="EY16" s="61">
        <f t="shared" si="39"/>
        <v>73.567166844406984</v>
      </c>
    </row>
    <row r="17" spans="1:155" ht="18" customHeight="1">
      <c r="A17" s="17" t="s">
        <v>44</v>
      </c>
      <c r="B17" s="42">
        <v>207494</v>
      </c>
      <c r="C17" s="43">
        <f t="shared" si="40"/>
        <v>0.21538729832159137</v>
      </c>
      <c r="D17" s="44">
        <f t="shared" si="41"/>
        <v>0</v>
      </c>
      <c r="E17" s="45">
        <f t="shared" si="0"/>
        <v>0</v>
      </c>
      <c r="F17" s="45">
        <f t="shared" si="1"/>
        <v>0</v>
      </c>
      <c r="G17" s="45">
        <f t="shared" si="42"/>
        <v>0</v>
      </c>
      <c r="H17" s="45">
        <f t="shared" si="2"/>
        <v>0</v>
      </c>
      <c r="I17" s="45">
        <f t="shared" si="43"/>
        <v>0</v>
      </c>
      <c r="J17" s="45">
        <f t="shared" si="3"/>
        <v>0</v>
      </c>
      <c r="K17" s="46">
        <f t="shared" si="4"/>
        <v>0</v>
      </c>
      <c r="L17" s="45">
        <f t="shared" si="44"/>
        <v>0</v>
      </c>
      <c r="M17" s="45">
        <f t="shared" si="45"/>
        <v>0</v>
      </c>
      <c r="N17" s="45">
        <f t="shared" si="46"/>
        <v>0</v>
      </c>
      <c r="O17" s="45">
        <f t="shared" si="47"/>
        <v>0</v>
      </c>
      <c r="P17" s="45">
        <f t="shared" si="48"/>
        <v>0</v>
      </c>
      <c r="Q17" s="46">
        <f t="shared" si="49"/>
        <v>0</v>
      </c>
      <c r="R17" s="45">
        <f t="shared" si="50"/>
        <v>0</v>
      </c>
      <c r="S17" s="3"/>
      <c r="T17" s="17" t="s">
        <v>44</v>
      </c>
      <c r="U17" s="42">
        <v>207494</v>
      </c>
      <c r="V17" s="43">
        <f t="shared" si="51"/>
        <v>0.21538729832159137</v>
      </c>
      <c r="W17" s="44">
        <f t="shared" si="52"/>
        <v>135626.72387384481</v>
      </c>
      <c r="X17" s="44">
        <f t="shared" si="53"/>
        <v>132.67831683310905</v>
      </c>
      <c r="Y17" s="45">
        <f t="shared" si="5"/>
        <v>48.350927061025672</v>
      </c>
      <c r="Z17" s="46">
        <f t="shared" si="6"/>
        <v>4.7299819951003373E-2</v>
      </c>
      <c r="AA17" s="44">
        <f t="shared" si="7"/>
        <v>1220.6405148646033</v>
      </c>
      <c r="AB17" s="46">
        <f t="shared" si="8"/>
        <v>1.1941048514979815</v>
      </c>
      <c r="AC17" s="44">
        <f t="shared" si="9"/>
        <v>339.06680968461205</v>
      </c>
      <c r="AD17" s="46">
        <f t="shared" si="10"/>
        <v>0.33169579208277261</v>
      </c>
      <c r="AE17" s="46">
        <f t="shared" si="11"/>
        <v>1.7330081383880171</v>
      </c>
      <c r="AF17" s="45">
        <f t="shared" si="12"/>
        <v>2888.8492185128944</v>
      </c>
      <c r="AG17" s="45">
        <f t="shared" si="54"/>
        <v>161.3958014098753</v>
      </c>
      <c r="AH17" s="45">
        <f t="shared" si="55"/>
        <v>73.238430891876192</v>
      </c>
      <c r="AI17" s="45">
        <f t="shared" si="56"/>
        <v>144.4424609256447</v>
      </c>
      <c r="AJ17" s="45">
        <f t="shared" si="57"/>
        <v>56.28509040764559</v>
      </c>
      <c r="AK17" s="45">
        <f t="shared" si="58"/>
        <v>88.157370517999126</v>
      </c>
      <c r="AL17" s="45">
        <f t="shared" si="59"/>
        <v>67.813361936922405</v>
      </c>
      <c r="AM17" s="3"/>
      <c r="AN17" s="17" t="s">
        <v>44</v>
      </c>
      <c r="AO17" s="42">
        <v>207494</v>
      </c>
      <c r="AP17" s="43">
        <f t="shared" si="60"/>
        <v>0.21538729832159137</v>
      </c>
      <c r="AQ17" s="44">
        <f t="shared" si="61"/>
        <v>27018.87194081505</v>
      </c>
      <c r="AR17" s="45">
        <f t="shared" si="62"/>
        <v>26.431505159492982</v>
      </c>
      <c r="AS17" s="44">
        <f t="shared" si="13"/>
        <v>74.301897837241384</v>
      </c>
      <c r="AT17" s="46">
        <f t="shared" si="14"/>
        <v>7.2686639188605698E-2</v>
      </c>
      <c r="AU17" s="44">
        <f t="shared" si="15"/>
        <v>1269.8869812183073</v>
      </c>
      <c r="AV17" s="46">
        <f t="shared" si="16"/>
        <v>1.2422807424961702</v>
      </c>
      <c r="AW17" s="44">
        <f t="shared" si="17"/>
        <v>540.37743881630104</v>
      </c>
      <c r="AX17" s="46">
        <f t="shared" si="18"/>
        <v>0.5286301031898597</v>
      </c>
      <c r="AY17" s="45">
        <f t="shared" si="19"/>
        <v>2.761929131727761</v>
      </c>
      <c r="AZ17" s="44">
        <f t="shared" si="20"/>
        <v>8.1056615822445153</v>
      </c>
      <c r="BA17" s="45">
        <f t="shared" si="63"/>
        <v>2.7018871940815052</v>
      </c>
      <c r="BB17" s="45">
        <f t="shared" si="64"/>
        <v>7.0249067046119134</v>
      </c>
      <c r="BC17" s="45">
        <f t="shared" si="65"/>
        <v>1.4860379567448279</v>
      </c>
      <c r="BD17" s="45">
        <f t="shared" si="66"/>
        <v>5.8090574672752355</v>
      </c>
      <c r="BE17" s="47">
        <f t="shared" si="67"/>
        <v>4.3230195105304086</v>
      </c>
      <c r="BF17" s="47">
        <f t="shared" si="68"/>
        <v>270.18871940815052</v>
      </c>
      <c r="BG17" s="3"/>
      <c r="BH17" s="17" t="s">
        <v>44</v>
      </c>
      <c r="BI17" s="42">
        <v>207494</v>
      </c>
      <c r="BJ17" s="43">
        <f t="shared" si="69"/>
        <v>0.21538729832159137</v>
      </c>
      <c r="BK17" s="48">
        <f t="shared" si="70"/>
        <v>904.62665295068371</v>
      </c>
      <c r="BL17" s="46">
        <f t="shared" si="71"/>
        <v>4.0708199382780759E-2</v>
      </c>
      <c r="BM17" s="46">
        <f t="shared" si="72"/>
        <v>0.30757306200323253</v>
      </c>
      <c r="BN17" s="49">
        <f t="shared" si="21"/>
        <v>3.0088669109011877E-4</v>
      </c>
      <c r="BO17" s="45">
        <f t="shared" si="73"/>
        <v>7.8702518806709474</v>
      </c>
      <c r="BP17" s="49">
        <f t="shared" si="22"/>
        <v>7.6991594484824479E-3</v>
      </c>
      <c r="BQ17" s="45">
        <f t="shared" si="74"/>
        <v>2.180150233611148</v>
      </c>
      <c r="BR17" s="46">
        <f t="shared" si="23"/>
        <v>2.1327556633152535E-3</v>
      </c>
      <c r="BS17" s="46">
        <f t="shared" si="24"/>
        <v>1.1142990082901425E-2</v>
      </c>
      <c r="BT17" s="44">
        <f t="shared" si="75"/>
        <v>19.268547707849564</v>
      </c>
      <c r="BU17" s="45">
        <f t="shared" si="76"/>
        <v>1.0584131839522999</v>
      </c>
      <c r="BV17" s="45">
        <f t="shared" si="77"/>
        <v>0.47221511284025691</v>
      </c>
      <c r="BW17" s="45">
        <f t="shared" si="78"/>
        <v>0.94985798559821799</v>
      </c>
      <c r="BX17" s="45">
        <f t="shared" si="79"/>
        <v>0.36185066118027348</v>
      </c>
      <c r="BY17" s="45">
        <f t="shared" si="80"/>
        <v>0.58800732441794445</v>
      </c>
      <c r="BZ17" s="45">
        <f t="shared" si="81"/>
        <v>0.43603004672222956</v>
      </c>
      <c r="CA17" s="3"/>
      <c r="CB17" s="17" t="s">
        <v>44</v>
      </c>
      <c r="CC17" s="42">
        <v>207494</v>
      </c>
      <c r="CD17" s="43">
        <f t="shared" si="82"/>
        <v>0.21538729832159137</v>
      </c>
      <c r="CE17" s="48">
        <f t="shared" si="83"/>
        <v>15261.051635278034</v>
      </c>
      <c r="CF17" s="46">
        <f t="shared" si="25"/>
        <v>14.92928964320677</v>
      </c>
      <c r="CG17" s="45">
        <f t="shared" si="84"/>
        <v>3.9678734251722889</v>
      </c>
      <c r="CH17" s="46">
        <f t="shared" si="26"/>
        <v>3.8816153072337607E-3</v>
      </c>
      <c r="CI17" s="45">
        <f t="shared" si="85"/>
        <v>102.24904595636282</v>
      </c>
      <c r="CJ17" s="46">
        <f t="shared" si="27"/>
        <v>0.10002624060948535</v>
      </c>
      <c r="CK17" s="45">
        <f t="shared" si="86"/>
        <v>28.995998107028264</v>
      </c>
      <c r="CL17" s="46">
        <f t="shared" si="28"/>
        <v>2.8365650322092865E-2</v>
      </c>
      <c r="CM17" s="46">
        <f t="shared" si="29"/>
        <v>0.14820176810258892</v>
      </c>
      <c r="CN17" s="45">
        <f t="shared" si="87"/>
        <v>0.457831549058341</v>
      </c>
      <c r="CO17" s="45">
        <f t="shared" si="88"/>
        <v>0.15261051635278033</v>
      </c>
      <c r="CP17" s="45">
        <f t="shared" si="89"/>
        <v>0.38152629088195089</v>
      </c>
      <c r="CQ17" s="45">
        <f t="shared" si="90"/>
        <v>7.6305258176390167E-2</v>
      </c>
      <c r="CR17" s="45">
        <f t="shared" si="91"/>
        <v>0.30522103270556067</v>
      </c>
      <c r="CS17" s="45">
        <f t="shared" si="92"/>
        <v>0.2289157745291705</v>
      </c>
      <c r="CT17" s="45">
        <f t="shared" si="93"/>
        <v>0.38152629088195089</v>
      </c>
      <c r="CU17" s="3"/>
      <c r="CV17" s="17" t="s">
        <v>44</v>
      </c>
      <c r="CW17" s="51">
        <f t="shared" si="94"/>
        <v>7115.9</v>
      </c>
      <c r="CX17" s="52">
        <v>7077</v>
      </c>
      <c r="CY17" s="52">
        <v>38.9</v>
      </c>
      <c r="CZ17" s="52">
        <f t="shared" si="95"/>
        <v>5.2853260869565218E-2</v>
      </c>
      <c r="DA17" s="52">
        <f t="shared" si="96"/>
        <v>36.171333333333337</v>
      </c>
      <c r="DB17" s="53">
        <f t="shared" si="97"/>
        <v>0.19882222222222221</v>
      </c>
      <c r="DC17" s="52">
        <f t="shared" si="98"/>
        <v>36.370155555555556</v>
      </c>
      <c r="DD17" s="54"/>
      <c r="DE17" s="52">
        <f t="shared" si="99"/>
        <v>1333.7</v>
      </c>
      <c r="DF17" s="52">
        <v>1326.4</v>
      </c>
      <c r="DG17" s="52">
        <v>7.3</v>
      </c>
      <c r="DH17" s="52">
        <f t="shared" si="100"/>
        <v>9.9184782608695652E-3</v>
      </c>
      <c r="DI17" s="54"/>
      <c r="DJ17" s="55">
        <f t="shared" si="101"/>
        <v>1056.6000000000001</v>
      </c>
      <c r="DK17" s="52">
        <v>1049.7</v>
      </c>
      <c r="DL17" s="52">
        <v>6.9</v>
      </c>
      <c r="DM17" s="56"/>
      <c r="DN17" s="55">
        <f t="shared" si="102"/>
        <v>1053.5</v>
      </c>
      <c r="DO17" s="52">
        <v>1046.5999999999999</v>
      </c>
      <c r="DP17" s="52">
        <v>6.9</v>
      </c>
      <c r="DQ17" s="56"/>
      <c r="DR17" s="58"/>
      <c r="DS17" s="17" t="s">
        <v>44</v>
      </c>
      <c r="DT17" s="55">
        <f t="shared" si="103"/>
        <v>138.79999999999998</v>
      </c>
      <c r="DU17" s="52">
        <v>138.6</v>
      </c>
      <c r="DV17" s="52">
        <v>0.2</v>
      </c>
      <c r="DW17" s="59">
        <f t="shared" si="104"/>
        <v>2.7173913043478261E-4</v>
      </c>
      <c r="DX17" s="54"/>
      <c r="DY17" s="55">
        <f t="shared" si="105"/>
        <v>58.400000000000006</v>
      </c>
      <c r="DZ17" s="52">
        <v>58.2</v>
      </c>
      <c r="EA17" s="52">
        <v>0.2</v>
      </c>
      <c r="EB17" s="54"/>
      <c r="EC17" s="55">
        <f t="shared" si="106"/>
        <v>16.5</v>
      </c>
      <c r="ED17" s="52">
        <v>16.3</v>
      </c>
      <c r="EE17" s="52">
        <v>0.2</v>
      </c>
      <c r="EF17" s="52"/>
      <c r="EG17" s="52"/>
      <c r="EH17" s="52"/>
      <c r="EI17" s="52"/>
      <c r="EJ17" s="52"/>
      <c r="EK17" s="52"/>
      <c r="EL17" s="52"/>
      <c r="EM17" s="52"/>
      <c r="EN17" s="2" t="s">
        <v>44</v>
      </c>
      <c r="EO17" s="60">
        <f t="shared" si="30"/>
        <v>1460.6282713854425</v>
      </c>
      <c r="EP17" s="61">
        <f t="shared" si="31"/>
        <v>0.13408743939880249</v>
      </c>
      <c r="EQ17" s="60">
        <f t="shared" si="32"/>
        <v>2739.4467939199444</v>
      </c>
      <c r="ER17" s="61">
        <f t="shared" si="33"/>
        <v>2.5443827331825544</v>
      </c>
      <c r="ES17" s="60">
        <f t="shared" si="34"/>
        <v>8026.5203968415517</v>
      </c>
      <c r="ET17" s="61">
        <f t="shared" si="35"/>
        <v>0.94367756212760556</v>
      </c>
      <c r="EU17" s="61">
        <f t="shared" si="36"/>
        <v>41.024437583856823</v>
      </c>
      <c r="EV17" s="61">
        <f t="shared" si="37"/>
        <v>2933.1812593520467</v>
      </c>
      <c r="EW17" s="61">
        <f t="shared" si="107"/>
        <v>1226.4606475893215</v>
      </c>
      <c r="EX17" s="61">
        <f t="shared" si="38"/>
        <v>1205.0065974112238</v>
      </c>
      <c r="EY17" s="61">
        <f t="shared" si="39"/>
        <v>397.2196376826771</v>
      </c>
    </row>
    <row r="18" spans="1:155" ht="18" customHeight="1">
      <c r="A18" s="17" t="s">
        <v>45</v>
      </c>
      <c r="B18" s="42">
        <v>1620</v>
      </c>
      <c r="C18" s="43">
        <f t="shared" si="40"/>
        <v>1.6816265688693554E-3</v>
      </c>
      <c r="D18" s="44">
        <f t="shared" si="41"/>
        <v>0</v>
      </c>
      <c r="E18" s="45">
        <f t="shared" si="0"/>
        <v>0</v>
      </c>
      <c r="F18" s="45">
        <f t="shared" si="1"/>
        <v>0</v>
      </c>
      <c r="G18" s="45">
        <f t="shared" si="42"/>
        <v>0</v>
      </c>
      <c r="H18" s="45">
        <f t="shared" si="2"/>
        <v>0</v>
      </c>
      <c r="I18" s="45">
        <f t="shared" si="43"/>
        <v>0</v>
      </c>
      <c r="J18" s="45">
        <f t="shared" si="3"/>
        <v>0</v>
      </c>
      <c r="K18" s="46">
        <f t="shared" si="4"/>
        <v>0</v>
      </c>
      <c r="L18" s="45">
        <f t="shared" si="44"/>
        <v>0</v>
      </c>
      <c r="M18" s="45">
        <f t="shared" si="45"/>
        <v>0</v>
      </c>
      <c r="N18" s="45">
        <f t="shared" si="46"/>
        <v>0</v>
      </c>
      <c r="O18" s="45">
        <f t="shared" si="47"/>
        <v>0</v>
      </c>
      <c r="P18" s="45">
        <f t="shared" si="48"/>
        <v>0</v>
      </c>
      <c r="Q18" s="46">
        <f t="shared" si="49"/>
        <v>0</v>
      </c>
      <c r="R18" s="45">
        <f t="shared" si="50"/>
        <v>0</v>
      </c>
      <c r="S18" s="3"/>
      <c r="T18" s="17" t="s">
        <v>45</v>
      </c>
      <c r="U18" s="42">
        <v>1620</v>
      </c>
      <c r="V18" s="43">
        <f t="shared" si="51"/>
        <v>1.6816265688693554E-3</v>
      </c>
      <c r="W18" s="44">
        <f t="shared" si="52"/>
        <v>1058.8994991451732</v>
      </c>
      <c r="X18" s="44">
        <f t="shared" si="53"/>
        <v>1.0358799448159304</v>
      </c>
      <c r="Y18" s="45">
        <f t="shared" si="5"/>
        <v>0.37749767144525426</v>
      </c>
      <c r="Z18" s="46">
        <f t="shared" si="6"/>
        <v>3.6929120032687916E-4</v>
      </c>
      <c r="AA18" s="44">
        <f t="shared" si="7"/>
        <v>9.5300954923065575</v>
      </c>
      <c r="AB18" s="46">
        <f t="shared" si="8"/>
        <v>9.3229195033433711E-3</v>
      </c>
      <c r="AC18" s="44">
        <f t="shared" si="9"/>
        <v>2.6472487478629327</v>
      </c>
      <c r="AD18" s="46">
        <f t="shared" si="10"/>
        <v>2.5896998620398254E-3</v>
      </c>
      <c r="AE18" s="46">
        <f t="shared" si="11"/>
        <v>1.3530382489077213E-2</v>
      </c>
      <c r="AF18" s="45">
        <f t="shared" si="12"/>
        <v>22.554559331792188</v>
      </c>
      <c r="AG18" s="45">
        <f t="shared" si="54"/>
        <v>1.2600904039827561</v>
      </c>
      <c r="AH18" s="45">
        <f t="shared" si="55"/>
        <v>0.57180572953839348</v>
      </c>
      <c r="AI18" s="45">
        <f t="shared" si="56"/>
        <v>1.1277279665896094</v>
      </c>
      <c r="AJ18" s="45">
        <f t="shared" si="57"/>
        <v>0.43944329214524686</v>
      </c>
      <c r="AK18" s="45">
        <f t="shared" si="58"/>
        <v>0.68828467444436259</v>
      </c>
      <c r="AL18" s="45">
        <f t="shared" si="59"/>
        <v>0.52944974957258661</v>
      </c>
      <c r="AM18" s="3"/>
      <c r="AN18" s="17" t="s">
        <v>45</v>
      </c>
      <c r="AO18" s="42">
        <v>1620</v>
      </c>
      <c r="AP18" s="43">
        <f t="shared" si="60"/>
        <v>1.6816265688693554E-3</v>
      </c>
      <c r="AQ18" s="44">
        <f t="shared" si="61"/>
        <v>210.94861800399232</v>
      </c>
      <c r="AR18" s="45">
        <f t="shared" si="62"/>
        <v>0.20636277848216641</v>
      </c>
      <c r="AS18" s="44">
        <f t="shared" si="13"/>
        <v>0.58010869951097888</v>
      </c>
      <c r="AT18" s="46">
        <f t="shared" si="14"/>
        <v>5.6749764082595754E-4</v>
      </c>
      <c r="AU18" s="44">
        <f t="shared" si="15"/>
        <v>9.9145850461876393</v>
      </c>
      <c r="AV18" s="46">
        <f t="shared" si="16"/>
        <v>9.6990505886618214E-3</v>
      </c>
      <c r="AW18" s="44">
        <f t="shared" si="17"/>
        <v>4.2189723600798459</v>
      </c>
      <c r="AX18" s="46">
        <f t="shared" si="18"/>
        <v>4.127255569643328E-3</v>
      </c>
      <c r="AY18" s="45">
        <f t="shared" si="19"/>
        <v>2.1563636507074768E-2</v>
      </c>
      <c r="AZ18" s="44">
        <f t="shared" si="20"/>
        <v>6.328458540119769E-2</v>
      </c>
      <c r="BA18" s="45">
        <f t="shared" si="63"/>
        <v>2.1094861800399232E-2</v>
      </c>
      <c r="BB18" s="45">
        <f t="shared" si="64"/>
        <v>5.4846640681038006E-2</v>
      </c>
      <c r="BC18" s="45">
        <f t="shared" si="65"/>
        <v>1.1602173990219579E-2</v>
      </c>
      <c r="BD18" s="45">
        <f t="shared" si="66"/>
        <v>4.5353952870858354E-2</v>
      </c>
      <c r="BE18" s="47">
        <f t="shared" si="67"/>
        <v>3.3751778880638773E-2</v>
      </c>
      <c r="BF18" s="47">
        <f t="shared" si="68"/>
        <v>2.1094861800399229</v>
      </c>
      <c r="BG18" s="3"/>
      <c r="BH18" s="17" t="s">
        <v>45</v>
      </c>
      <c r="BI18" s="42">
        <v>1620</v>
      </c>
      <c r="BJ18" s="43">
        <f t="shared" si="69"/>
        <v>1.6816265688693554E-3</v>
      </c>
      <c r="BK18" s="48">
        <f t="shared" si="70"/>
        <v>7.0628315892512923</v>
      </c>
      <c r="BL18" s="46">
        <f t="shared" si="71"/>
        <v>3.1782742151630815E-4</v>
      </c>
      <c r="BM18" s="46">
        <f t="shared" si="72"/>
        <v>2.4013627403454392E-3</v>
      </c>
      <c r="BN18" s="49">
        <f t="shared" si="21"/>
        <v>2.3491592025118429E-6</v>
      </c>
      <c r="BO18" s="45">
        <f t="shared" si="73"/>
        <v>6.1446634826486241E-2</v>
      </c>
      <c r="BP18" s="49">
        <f t="shared" si="22"/>
        <v>6.0110838417214804E-5</v>
      </c>
      <c r="BQ18" s="45">
        <f t="shared" si="74"/>
        <v>1.7021424130095615E-2</v>
      </c>
      <c r="BR18" s="46">
        <f t="shared" si="23"/>
        <v>1.665139317074571E-5</v>
      </c>
      <c r="BS18" s="46">
        <f t="shared" si="24"/>
        <v>8.6998389998266493E-5</v>
      </c>
      <c r="BT18" s="44">
        <f t="shared" si="75"/>
        <v>0.15043831285105252</v>
      </c>
      <c r="BU18" s="45">
        <f t="shared" si="76"/>
        <v>8.2635129594240114E-3</v>
      </c>
      <c r="BV18" s="45">
        <f t="shared" si="77"/>
        <v>3.6867980895891749E-3</v>
      </c>
      <c r="BW18" s="45">
        <f t="shared" si="78"/>
        <v>7.4159731687138573E-3</v>
      </c>
      <c r="BX18" s="45">
        <f t="shared" si="79"/>
        <v>2.8251326357005171E-3</v>
      </c>
      <c r="BY18" s="45">
        <f t="shared" si="80"/>
        <v>4.5908405330133397E-3</v>
      </c>
      <c r="BZ18" s="45">
        <f t="shared" si="81"/>
        <v>3.4042848260191229E-3</v>
      </c>
      <c r="CA18" s="3"/>
      <c r="CB18" s="17" t="s">
        <v>45</v>
      </c>
      <c r="CC18" s="42">
        <v>1620</v>
      </c>
      <c r="CD18" s="43">
        <f t="shared" si="82"/>
        <v>1.6816265688693554E-3</v>
      </c>
      <c r="CE18" s="48">
        <f t="shared" si="83"/>
        <v>119.1499689106693</v>
      </c>
      <c r="CF18" s="46">
        <f t="shared" si="25"/>
        <v>0.11655975219521997</v>
      </c>
      <c r="CG18" s="45">
        <f t="shared" si="84"/>
        <v>3.0978991916774022E-2</v>
      </c>
      <c r="CH18" s="46">
        <f t="shared" si="26"/>
        <v>3.0305535570757196E-5</v>
      </c>
      <c r="CI18" s="45">
        <f t="shared" si="85"/>
        <v>0.79830479170148427</v>
      </c>
      <c r="CJ18" s="46">
        <f t="shared" si="27"/>
        <v>7.8095033970797376E-4</v>
      </c>
      <c r="CK18" s="45">
        <f t="shared" si="86"/>
        <v>0.22638494093027164</v>
      </c>
      <c r="CL18" s="46">
        <f t="shared" si="28"/>
        <v>2.2146352917091789E-4</v>
      </c>
      <c r="CM18" s="46">
        <f t="shared" si="29"/>
        <v>1.157078586976944E-3</v>
      </c>
      <c r="CN18" s="45">
        <f t="shared" si="87"/>
        <v>3.5744990673200788E-3</v>
      </c>
      <c r="CO18" s="45">
        <f t="shared" si="88"/>
        <v>1.1914996891066931E-3</v>
      </c>
      <c r="CP18" s="45">
        <f t="shared" si="89"/>
        <v>2.9787492227667327E-3</v>
      </c>
      <c r="CQ18" s="45">
        <f t="shared" si="90"/>
        <v>5.9574984455334655E-4</v>
      </c>
      <c r="CR18" s="45">
        <f t="shared" si="91"/>
        <v>2.3829993782133862E-3</v>
      </c>
      <c r="CS18" s="45">
        <f t="shared" si="92"/>
        <v>1.7872495336600394E-3</v>
      </c>
      <c r="CT18" s="45">
        <f t="shared" si="93"/>
        <v>2.9787492227667327E-3</v>
      </c>
      <c r="CU18" s="3"/>
      <c r="CV18" s="17" t="s">
        <v>45</v>
      </c>
      <c r="CW18" s="51">
        <f t="shared" si="94"/>
        <v>780.7</v>
      </c>
      <c r="CX18" s="52">
        <v>413.3</v>
      </c>
      <c r="CY18" s="52">
        <v>367.4</v>
      </c>
      <c r="CZ18" s="52">
        <f t="shared" si="95"/>
        <v>0.49918478260869564</v>
      </c>
      <c r="DA18" s="52">
        <f t="shared" si="96"/>
        <v>2.1124222222222224</v>
      </c>
      <c r="DB18" s="53">
        <f t="shared" si="97"/>
        <v>1.8778222222222221</v>
      </c>
      <c r="DC18" s="52">
        <f t="shared" si="98"/>
        <v>3.9902444444444445</v>
      </c>
      <c r="DD18" s="54"/>
      <c r="DE18" s="52">
        <f t="shared" si="99"/>
        <v>105.3</v>
      </c>
      <c r="DF18" s="52">
        <v>36.5</v>
      </c>
      <c r="DG18" s="52">
        <v>68.8</v>
      </c>
      <c r="DH18" s="52">
        <f t="shared" si="100"/>
        <v>9.3478260869565219E-2</v>
      </c>
      <c r="DI18" s="54"/>
      <c r="DJ18" s="55">
        <f t="shared" si="101"/>
        <v>126.6</v>
      </c>
      <c r="DK18" s="52">
        <v>61.3</v>
      </c>
      <c r="DL18" s="52">
        <v>65.3</v>
      </c>
      <c r="DM18" s="56"/>
      <c r="DN18" s="55">
        <f t="shared" si="102"/>
        <v>126.1</v>
      </c>
      <c r="DO18" s="52">
        <v>60.8</v>
      </c>
      <c r="DP18" s="52">
        <v>65.3</v>
      </c>
      <c r="DQ18" s="56"/>
      <c r="DR18" s="58"/>
      <c r="DS18" s="17" t="s">
        <v>45</v>
      </c>
      <c r="DT18" s="55">
        <f t="shared" si="103"/>
        <v>6.6</v>
      </c>
      <c r="DU18" s="52">
        <v>4.7</v>
      </c>
      <c r="DV18" s="52">
        <v>1.9</v>
      </c>
      <c r="DW18" s="59">
        <f t="shared" si="104"/>
        <v>2.5815217391304346E-3</v>
      </c>
      <c r="DX18" s="54"/>
      <c r="DY18" s="55">
        <f t="shared" si="105"/>
        <v>5.7</v>
      </c>
      <c r="DZ18" s="52">
        <v>3.9</v>
      </c>
      <c r="EA18" s="52">
        <v>1.8</v>
      </c>
      <c r="EB18" s="54"/>
      <c r="EC18" s="55">
        <f t="shared" si="106"/>
        <v>6</v>
      </c>
      <c r="ED18" s="52">
        <v>3.9</v>
      </c>
      <c r="EE18" s="52">
        <v>2.1</v>
      </c>
      <c r="EF18" s="52"/>
      <c r="EG18" s="52"/>
      <c r="EH18" s="52"/>
      <c r="EI18" s="52"/>
      <c r="EJ18" s="52"/>
      <c r="EK18" s="52"/>
      <c r="EL18" s="52"/>
      <c r="EM18" s="52"/>
      <c r="EN18" s="2" t="s">
        <v>45</v>
      </c>
      <c r="EO18" s="60">
        <f t="shared" si="30"/>
        <v>106.29098672561335</v>
      </c>
      <c r="EP18" s="61">
        <f t="shared" si="31"/>
        <v>9.4447704405491328E-2</v>
      </c>
      <c r="EQ18" s="60">
        <f t="shared" si="32"/>
        <v>26.904431965022162</v>
      </c>
      <c r="ER18" s="61">
        <f t="shared" si="33"/>
        <v>2.2444553009260817E-2</v>
      </c>
      <c r="ES18" s="60">
        <f t="shared" si="34"/>
        <v>787.80962747300316</v>
      </c>
      <c r="ET18" s="61">
        <f t="shared" si="35"/>
        <v>0.50613985296272046</v>
      </c>
      <c r="EU18" s="61">
        <f t="shared" si="36"/>
        <v>4.0265825404175715</v>
      </c>
      <c r="EV18" s="61">
        <f t="shared" si="37"/>
        <v>28.771856729111757</v>
      </c>
      <c r="EW18" s="61">
        <f t="shared" si="107"/>
        <v>127.92617930684598</v>
      </c>
      <c r="EX18" s="61">
        <f t="shared" si="38"/>
        <v>127.28288089200738</v>
      </c>
      <c r="EY18" s="61">
        <f t="shared" si="39"/>
        <v>8.3453189636612954</v>
      </c>
    </row>
    <row r="19" spans="1:155" ht="18" customHeight="1">
      <c r="A19" s="17" t="s">
        <v>46</v>
      </c>
      <c r="B19" s="42">
        <v>105845</v>
      </c>
      <c r="C19" s="43">
        <f t="shared" si="40"/>
        <v>0.10987145937159068</v>
      </c>
      <c r="D19" s="44">
        <f t="shared" si="41"/>
        <v>0</v>
      </c>
      <c r="E19" s="45">
        <f t="shared" si="0"/>
        <v>0</v>
      </c>
      <c r="F19" s="45">
        <f t="shared" si="1"/>
        <v>0</v>
      </c>
      <c r="G19" s="45">
        <f t="shared" si="42"/>
        <v>0</v>
      </c>
      <c r="H19" s="45">
        <f t="shared" si="2"/>
        <v>0</v>
      </c>
      <c r="I19" s="45">
        <f t="shared" si="43"/>
        <v>0</v>
      </c>
      <c r="J19" s="45">
        <f t="shared" si="3"/>
        <v>0</v>
      </c>
      <c r="K19" s="46">
        <f t="shared" si="4"/>
        <v>0</v>
      </c>
      <c r="L19" s="45">
        <f t="shared" si="44"/>
        <v>0</v>
      </c>
      <c r="M19" s="45">
        <f t="shared" si="45"/>
        <v>0</v>
      </c>
      <c r="N19" s="45">
        <f t="shared" si="46"/>
        <v>0</v>
      </c>
      <c r="O19" s="45">
        <f t="shared" si="47"/>
        <v>0</v>
      </c>
      <c r="P19" s="45">
        <f t="shared" si="48"/>
        <v>0</v>
      </c>
      <c r="Q19" s="46">
        <f t="shared" si="49"/>
        <v>0</v>
      </c>
      <c r="R19" s="45">
        <f t="shared" si="50"/>
        <v>0</v>
      </c>
      <c r="S19" s="3"/>
      <c r="T19" s="17" t="s">
        <v>46</v>
      </c>
      <c r="U19" s="42">
        <v>105845</v>
      </c>
      <c r="V19" s="43">
        <f t="shared" si="51"/>
        <v>0.10987145937159068</v>
      </c>
      <c r="W19" s="44">
        <f t="shared" si="52"/>
        <v>69184.702152482016</v>
      </c>
      <c r="X19" s="44">
        <f t="shared" si="53"/>
        <v>67.680686888297629</v>
      </c>
      <c r="Y19" s="45">
        <f t="shared" si="5"/>
        <v>24.664346317359836</v>
      </c>
      <c r="Z19" s="46">
        <f t="shared" si="6"/>
        <v>2.41281648756781E-2</v>
      </c>
      <c r="AA19" s="44">
        <f t="shared" si="7"/>
        <v>622.66231937233817</v>
      </c>
      <c r="AB19" s="46">
        <f t="shared" si="8"/>
        <v>0.60912618199467861</v>
      </c>
      <c r="AC19" s="44">
        <f t="shared" si="9"/>
        <v>172.96175538120502</v>
      </c>
      <c r="AD19" s="46">
        <f t="shared" si="10"/>
        <v>0.16920171722074404</v>
      </c>
      <c r="AE19" s="46">
        <f t="shared" si="11"/>
        <v>0.88402674972615913</v>
      </c>
      <c r="AF19" s="45">
        <f t="shared" si="12"/>
        <v>1473.6341558478671</v>
      </c>
      <c r="AG19" s="45">
        <f t="shared" si="54"/>
        <v>82.329795561453594</v>
      </c>
      <c r="AH19" s="45">
        <f t="shared" si="55"/>
        <v>37.35973916234029</v>
      </c>
      <c r="AI19" s="45">
        <f t="shared" si="56"/>
        <v>73.68170779239334</v>
      </c>
      <c r="AJ19" s="45">
        <f t="shared" si="57"/>
        <v>28.711651393280032</v>
      </c>
      <c r="AK19" s="45">
        <f t="shared" si="58"/>
        <v>44.970056399113311</v>
      </c>
      <c r="AL19" s="45">
        <f t="shared" si="59"/>
        <v>34.592351076241009</v>
      </c>
      <c r="AM19" s="3"/>
      <c r="AN19" s="17" t="s">
        <v>46</v>
      </c>
      <c r="AO19" s="42">
        <v>105845</v>
      </c>
      <c r="AP19" s="43">
        <f t="shared" si="60"/>
        <v>0.10987145937159068</v>
      </c>
      <c r="AQ19" s="44">
        <f t="shared" si="61"/>
        <v>13782.627452242323</v>
      </c>
      <c r="AR19" s="45">
        <f t="shared" si="62"/>
        <v>13.48300511632401</v>
      </c>
      <c r="AS19" s="44">
        <f t="shared" si="13"/>
        <v>37.902225493666386</v>
      </c>
      <c r="AT19" s="46">
        <f t="shared" si="14"/>
        <v>3.707826406989103E-2</v>
      </c>
      <c r="AU19" s="44">
        <f t="shared" si="15"/>
        <v>647.7834902553891</v>
      </c>
      <c r="AV19" s="46">
        <f t="shared" si="16"/>
        <v>0.63370124046722842</v>
      </c>
      <c r="AW19" s="44">
        <f t="shared" si="17"/>
        <v>275.65254904484647</v>
      </c>
      <c r="AX19" s="46">
        <f t="shared" si="18"/>
        <v>0.26966010232648024</v>
      </c>
      <c r="AY19" s="45">
        <f t="shared" si="19"/>
        <v>1.4088908062292154</v>
      </c>
      <c r="AZ19" s="44">
        <f t="shared" si="20"/>
        <v>4.1347882356726968</v>
      </c>
      <c r="BA19" s="45">
        <f t="shared" si="63"/>
        <v>1.3782627452242322</v>
      </c>
      <c r="BB19" s="45">
        <f t="shared" si="64"/>
        <v>3.5834831375830039</v>
      </c>
      <c r="BC19" s="45">
        <f t="shared" si="65"/>
        <v>0.75804450987332783</v>
      </c>
      <c r="BD19" s="45">
        <f t="shared" si="66"/>
        <v>2.9632649022320994</v>
      </c>
      <c r="BE19" s="47">
        <f t="shared" si="67"/>
        <v>2.2052203923587719</v>
      </c>
      <c r="BF19" s="47">
        <f t="shared" si="68"/>
        <v>137.82627452242323</v>
      </c>
      <c r="BG19" s="3"/>
      <c r="BH19" s="17" t="s">
        <v>46</v>
      </c>
      <c r="BI19" s="42">
        <v>105845</v>
      </c>
      <c r="BJ19" s="43">
        <f t="shared" si="69"/>
        <v>0.10987145937159068</v>
      </c>
      <c r="BK19" s="48">
        <f t="shared" si="70"/>
        <v>461.46012936068087</v>
      </c>
      <c r="BL19" s="46">
        <f t="shared" si="71"/>
        <v>2.0765705821230638E-2</v>
      </c>
      <c r="BM19" s="46">
        <f t="shared" si="72"/>
        <v>0.1568964439826315</v>
      </c>
      <c r="BN19" s="49">
        <f t="shared" si="21"/>
        <v>1.534856517221395E-4</v>
      </c>
      <c r="BO19" s="45">
        <f t="shared" si="73"/>
        <v>4.0147031254379231</v>
      </c>
      <c r="BP19" s="49">
        <f t="shared" si="22"/>
        <v>3.9274269705370981E-3</v>
      </c>
      <c r="BQ19" s="45">
        <f t="shared" si="74"/>
        <v>1.1121189117592409</v>
      </c>
      <c r="BR19" s="46">
        <f t="shared" si="23"/>
        <v>1.0879424136775182E-3</v>
      </c>
      <c r="BS19" s="46">
        <f t="shared" si="24"/>
        <v>5.6841633267694534E-3</v>
      </c>
      <c r="BT19" s="44">
        <f t="shared" si="75"/>
        <v>9.8291007553825018</v>
      </c>
      <c r="BU19" s="45">
        <f t="shared" si="76"/>
        <v>0.53990835135199655</v>
      </c>
      <c r="BV19" s="45">
        <f t="shared" si="77"/>
        <v>0.24088218752627544</v>
      </c>
      <c r="BW19" s="45">
        <f t="shared" si="78"/>
        <v>0.48453313582871493</v>
      </c>
      <c r="BX19" s="45">
        <f t="shared" si="79"/>
        <v>0.18458405174427236</v>
      </c>
      <c r="BY19" s="45">
        <f t="shared" si="80"/>
        <v>0.2999490840844426</v>
      </c>
      <c r="BZ19" s="45">
        <f t="shared" si="81"/>
        <v>0.22242378235184815</v>
      </c>
      <c r="CA19" s="3"/>
      <c r="CB19" s="17" t="s">
        <v>46</v>
      </c>
      <c r="CC19" s="42">
        <v>105845</v>
      </c>
      <c r="CD19" s="43">
        <f t="shared" si="82"/>
        <v>0.10987145937159068</v>
      </c>
      <c r="CE19" s="48">
        <f t="shared" si="83"/>
        <v>7784.8323823146857</v>
      </c>
      <c r="CF19" s="46">
        <f t="shared" si="25"/>
        <v>7.6155968957426277</v>
      </c>
      <c r="CG19" s="45">
        <f t="shared" si="84"/>
        <v>2.0240564194018185</v>
      </c>
      <c r="CH19" s="46">
        <f t="shared" si="26"/>
        <v>1.9800551928930835E-3</v>
      </c>
      <c r="CI19" s="45">
        <f t="shared" si="85"/>
        <v>52.158376961508395</v>
      </c>
      <c r="CJ19" s="46">
        <f t="shared" si="27"/>
        <v>5.1024499201475601E-2</v>
      </c>
      <c r="CK19" s="45">
        <f t="shared" si="86"/>
        <v>14.791181526397903</v>
      </c>
      <c r="CL19" s="46">
        <f t="shared" si="28"/>
        <v>1.446963410191099E-2</v>
      </c>
      <c r="CM19" s="46">
        <f t="shared" si="29"/>
        <v>7.5599372246033733E-2</v>
      </c>
      <c r="CN19" s="45">
        <f t="shared" si="87"/>
        <v>0.23354497146944056</v>
      </c>
      <c r="CO19" s="45">
        <f t="shared" si="88"/>
        <v>7.7848323823146853E-2</v>
      </c>
      <c r="CP19" s="45">
        <f t="shared" si="89"/>
        <v>0.19462080955786715</v>
      </c>
      <c r="CQ19" s="45">
        <f t="shared" si="90"/>
        <v>3.8924161911573427E-2</v>
      </c>
      <c r="CR19" s="45">
        <f t="shared" si="91"/>
        <v>0.15569664764629371</v>
      </c>
      <c r="CS19" s="45">
        <f t="shared" si="92"/>
        <v>0.11677248573472028</v>
      </c>
      <c r="CT19" s="45">
        <f t="shared" si="93"/>
        <v>0.19462080955786715</v>
      </c>
      <c r="CU19" s="3"/>
      <c r="CV19" s="17" t="s">
        <v>46</v>
      </c>
      <c r="CW19" s="51">
        <f t="shared" si="94"/>
        <v>2568</v>
      </c>
      <c r="CX19" s="52">
        <v>2535</v>
      </c>
      <c r="CY19" s="52">
        <v>33</v>
      </c>
      <c r="CZ19" s="52">
        <f t="shared" si="95"/>
        <v>4.4836956521739128E-2</v>
      </c>
      <c r="DA19" s="52">
        <f t="shared" si="96"/>
        <v>12.956666666666669</v>
      </c>
      <c r="DB19" s="53">
        <f t="shared" si="97"/>
        <v>0.16866666666666669</v>
      </c>
      <c r="DC19" s="52">
        <f t="shared" si="98"/>
        <v>13.125333333333336</v>
      </c>
      <c r="DD19" s="54"/>
      <c r="DE19" s="52">
        <f t="shared" si="99"/>
        <v>483.4</v>
      </c>
      <c r="DF19" s="52">
        <v>477.2</v>
      </c>
      <c r="DG19" s="52">
        <v>6.2</v>
      </c>
      <c r="DH19" s="52">
        <f t="shared" si="100"/>
        <v>8.4239130434782608E-3</v>
      </c>
      <c r="DI19" s="54"/>
      <c r="DJ19" s="55">
        <f t="shared" si="101"/>
        <v>385.5</v>
      </c>
      <c r="DK19" s="52">
        <v>379.6</v>
      </c>
      <c r="DL19" s="52">
        <v>5.9</v>
      </c>
      <c r="DM19" s="56"/>
      <c r="DN19" s="55">
        <f t="shared" si="102"/>
        <v>384.09999999999997</v>
      </c>
      <c r="DO19" s="52">
        <v>378.2</v>
      </c>
      <c r="DP19" s="52">
        <v>5.9</v>
      </c>
      <c r="DQ19" s="56"/>
      <c r="DR19" s="58"/>
      <c r="DS19" s="17" t="s">
        <v>46</v>
      </c>
      <c r="DT19" s="55">
        <f t="shared" si="103"/>
        <v>53</v>
      </c>
      <c r="DU19" s="52">
        <v>52.8</v>
      </c>
      <c r="DV19" s="52">
        <v>0.2</v>
      </c>
      <c r="DW19" s="59">
        <f t="shared" si="104"/>
        <v>2.7173913043478261E-4</v>
      </c>
      <c r="DX19" s="54"/>
      <c r="DY19" s="55">
        <f t="shared" si="105"/>
        <v>20.8</v>
      </c>
      <c r="DZ19" s="52">
        <v>20.6</v>
      </c>
      <c r="EA19" s="52">
        <v>0.2</v>
      </c>
      <c r="EB19" s="54"/>
      <c r="EC19" s="55">
        <f t="shared" si="106"/>
        <v>6.2</v>
      </c>
      <c r="ED19" s="52">
        <v>6</v>
      </c>
      <c r="EE19" s="52">
        <v>0.2</v>
      </c>
      <c r="EF19" s="52"/>
      <c r="EG19" s="52"/>
      <c r="EH19" s="52"/>
      <c r="EI19" s="52"/>
      <c r="EJ19" s="52"/>
      <c r="EK19" s="52"/>
      <c r="EL19" s="52"/>
      <c r="EM19" s="52"/>
      <c r="EN19" s="2" t="s">
        <v>46</v>
      </c>
      <c r="EO19" s="60">
        <f t="shared" si="30"/>
        <v>548.14752467441065</v>
      </c>
      <c r="EP19" s="61">
        <f t="shared" si="31"/>
        <v>7.1763882833662612E-2</v>
      </c>
      <c r="EQ19" s="60">
        <f t="shared" si="32"/>
        <v>1379.6188897146735</v>
      </c>
      <c r="ER19" s="61">
        <f t="shared" si="33"/>
        <v>1.2980510877643545</v>
      </c>
      <c r="ES19" s="60">
        <f t="shared" si="34"/>
        <v>3032.5176048642088</v>
      </c>
      <c r="ET19" s="61">
        <f t="shared" si="35"/>
        <v>0.49925635258455192</v>
      </c>
      <c r="EU19" s="61">
        <f t="shared" si="36"/>
        <v>15.499534424861512</v>
      </c>
      <c r="EV19" s="61">
        <f t="shared" si="37"/>
        <v>1494.0315898103918</v>
      </c>
      <c r="EW19" s="61">
        <f t="shared" si="107"/>
        <v>472.14780785994645</v>
      </c>
      <c r="EX19" s="61">
        <f t="shared" si="38"/>
        <v>461.38520247810038</v>
      </c>
      <c r="EY19" s="61">
        <f t="shared" si="39"/>
        <v>193.63567019057399</v>
      </c>
    </row>
    <row r="20" spans="1:155" ht="18" customHeight="1">
      <c r="A20" s="17" t="s">
        <v>47</v>
      </c>
      <c r="B20" s="42">
        <v>80248</v>
      </c>
      <c r="C20" s="43">
        <f t="shared" si="40"/>
        <v>8.3300721542362982E-2</v>
      </c>
      <c r="D20" s="44">
        <f t="shared" si="41"/>
        <v>0</v>
      </c>
      <c r="E20" s="45">
        <f t="shared" si="0"/>
        <v>0</v>
      </c>
      <c r="F20" s="45">
        <f t="shared" si="1"/>
        <v>0</v>
      </c>
      <c r="G20" s="45">
        <f t="shared" si="42"/>
        <v>0</v>
      </c>
      <c r="H20" s="45">
        <f t="shared" si="2"/>
        <v>0</v>
      </c>
      <c r="I20" s="45">
        <f t="shared" si="43"/>
        <v>0</v>
      </c>
      <c r="J20" s="45">
        <f t="shared" si="3"/>
        <v>0</v>
      </c>
      <c r="K20" s="46">
        <f t="shared" si="4"/>
        <v>0</v>
      </c>
      <c r="L20" s="45">
        <f t="shared" si="44"/>
        <v>0</v>
      </c>
      <c r="M20" s="45">
        <f t="shared" si="45"/>
        <v>0</v>
      </c>
      <c r="N20" s="45">
        <f t="shared" si="46"/>
        <v>0</v>
      </c>
      <c r="O20" s="45">
        <f t="shared" si="47"/>
        <v>0</v>
      </c>
      <c r="P20" s="45">
        <f t="shared" si="48"/>
        <v>0</v>
      </c>
      <c r="Q20" s="46">
        <f t="shared" si="49"/>
        <v>0</v>
      </c>
      <c r="R20" s="45">
        <f t="shared" si="50"/>
        <v>0</v>
      </c>
      <c r="S20" s="3"/>
      <c r="T20" s="17" t="s">
        <v>47</v>
      </c>
      <c r="U20" s="42">
        <v>80248</v>
      </c>
      <c r="V20" s="43">
        <f t="shared" si="51"/>
        <v>8.3300721542362982E-2</v>
      </c>
      <c r="W20" s="44">
        <f t="shared" si="52"/>
        <v>52453.436424322143</v>
      </c>
      <c r="X20" s="44">
        <f t="shared" si="53"/>
        <v>51.313144328141227</v>
      </c>
      <c r="Y20" s="45">
        <f t="shared" si="5"/>
        <v>18.699650085270843</v>
      </c>
      <c r="Z20" s="46">
        <f t="shared" si="6"/>
        <v>1.8293135952982348E-2</v>
      </c>
      <c r="AA20" s="44">
        <f t="shared" si="7"/>
        <v>472.08092781889928</v>
      </c>
      <c r="AB20" s="46">
        <f t="shared" si="8"/>
        <v>0.46181829895327103</v>
      </c>
      <c r="AC20" s="44">
        <f t="shared" si="9"/>
        <v>131.13359106080537</v>
      </c>
      <c r="AD20" s="46">
        <f t="shared" si="10"/>
        <v>0.12828286082035306</v>
      </c>
      <c r="AE20" s="46">
        <f t="shared" si="11"/>
        <v>0.67023835431078305</v>
      </c>
      <c r="AF20" s="45">
        <f t="shared" si="12"/>
        <v>1117.2581958380617</v>
      </c>
      <c r="AG20" s="45">
        <f t="shared" si="54"/>
        <v>62.419589344943347</v>
      </c>
      <c r="AH20" s="45">
        <f t="shared" si="55"/>
        <v>28.324855669133957</v>
      </c>
      <c r="AI20" s="45">
        <f t="shared" si="56"/>
        <v>55.862909791903078</v>
      </c>
      <c r="AJ20" s="45">
        <f t="shared" si="57"/>
        <v>21.768176116093688</v>
      </c>
      <c r="AK20" s="45">
        <f t="shared" si="58"/>
        <v>34.094733675809394</v>
      </c>
      <c r="AL20" s="45">
        <f t="shared" si="59"/>
        <v>26.226718212161071</v>
      </c>
      <c r="AM20" s="3"/>
      <c r="AN20" s="17" t="s">
        <v>47</v>
      </c>
      <c r="AO20" s="42">
        <v>80248</v>
      </c>
      <c r="AP20" s="43">
        <f t="shared" si="60"/>
        <v>8.3300721542362982E-2</v>
      </c>
      <c r="AQ20" s="44">
        <f t="shared" si="61"/>
        <v>10449.509072582949</v>
      </c>
      <c r="AR20" s="45">
        <f t="shared" si="62"/>
        <v>10.222345831874623</v>
      </c>
      <c r="AS20" s="44">
        <f t="shared" si="13"/>
        <v>28.73614994960311</v>
      </c>
      <c r="AT20" s="46">
        <f t="shared" si="14"/>
        <v>2.8111451037655218E-2</v>
      </c>
      <c r="AU20" s="44">
        <f t="shared" si="15"/>
        <v>491.12692641139859</v>
      </c>
      <c r="AV20" s="46">
        <f t="shared" si="16"/>
        <v>0.48045025409810727</v>
      </c>
      <c r="AW20" s="44">
        <f t="shared" si="17"/>
        <v>208.99018145165897</v>
      </c>
      <c r="AX20" s="46">
        <f t="shared" si="18"/>
        <v>0.20444691663749245</v>
      </c>
      <c r="AY20" s="45">
        <f t="shared" si="19"/>
        <v>1.0681720385307014</v>
      </c>
      <c r="AZ20" s="44">
        <f t="shared" si="20"/>
        <v>3.1348527217748847</v>
      </c>
      <c r="BA20" s="45">
        <f t="shared" si="63"/>
        <v>1.0449509072582948</v>
      </c>
      <c r="BB20" s="45">
        <f t="shared" si="64"/>
        <v>2.7168723588715666</v>
      </c>
      <c r="BC20" s="45">
        <f t="shared" si="65"/>
        <v>0.57472299899206225</v>
      </c>
      <c r="BD20" s="45">
        <f t="shared" si="66"/>
        <v>2.2466444506053338</v>
      </c>
      <c r="BE20" s="47">
        <f t="shared" si="67"/>
        <v>1.6719214516132717</v>
      </c>
      <c r="BF20" s="47">
        <f t="shared" si="68"/>
        <v>104.49509072582948</v>
      </c>
      <c r="BG20" s="3"/>
      <c r="BH20" s="17" t="s">
        <v>47</v>
      </c>
      <c r="BI20" s="42">
        <v>80248</v>
      </c>
      <c r="BJ20" s="43">
        <f t="shared" si="69"/>
        <v>8.3300721542362982E-2</v>
      </c>
      <c r="BK20" s="48">
        <f t="shared" si="70"/>
        <v>349.8630304779245</v>
      </c>
      <c r="BL20" s="46">
        <f t="shared" si="71"/>
        <v>1.57438363715066E-2</v>
      </c>
      <c r="BM20" s="46">
        <f t="shared" si="72"/>
        <v>0.11895343036249433</v>
      </c>
      <c r="BN20" s="49">
        <f t="shared" si="21"/>
        <v>1.1636748622417924E-4</v>
      </c>
      <c r="BO20" s="45">
        <f t="shared" si="73"/>
        <v>3.0438083651579428</v>
      </c>
      <c r="BP20" s="49">
        <f t="shared" si="22"/>
        <v>2.9776386180892915E-3</v>
      </c>
      <c r="BQ20" s="45">
        <f t="shared" si="74"/>
        <v>0.8431699034517981</v>
      </c>
      <c r="BR20" s="46">
        <f t="shared" si="23"/>
        <v>8.2484012294197634E-4</v>
      </c>
      <c r="BS20" s="46">
        <f t="shared" si="24"/>
        <v>4.3095350620869681E-3</v>
      </c>
      <c r="BT20" s="44">
        <f t="shared" si="75"/>
        <v>7.4520825491797922</v>
      </c>
      <c r="BU20" s="45">
        <f t="shared" si="76"/>
        <v>0.40933974565917164</v>
      </c>
      <c r="BV20" s="45">
        <f t="shared" si="77"/>
        <v>0.1826285019094766</v>
      </c>
      <c r="BW20" s="45">
        <f t="shared" si="78"/>
        <v>0.36735618200182074</v>
      </c>
      <c r="BX20" s="45">
        <f t="shared" si="79"/>
        <v>0.13994521219116982</v>
      </c>
      <c r="BY20" s="45">
        <f t="shared" si="80"/>
        <v>0.22741096981065093</v>
      </c>
      <c r="BZ20" s="45">
        <f t="shared" si="81"/>
        <v>0.16863398069035962</v>
      </c>
      <c r="CA20" s="3"/>
      <c r="CB20" s="17" t="s">
        <v>47</v>
      </c>
      <c r="CC20" s="42">
        <v>80248</v>
      </c>
      <c r="CD20" s="43">
        <f t="shared" si="82"/>
        <v>8.3300721542362982E-2</v>
      </c>
      <c r="CE20" s="48">
        <f t="shared" si="83"/>
        <v>5902.1893241625867</v>
      </c>
      <c r="CF20" s="46">
        <f t="shared" si="25"/>
        <v>5.7738808605938345</v>
      </c>
      <c r="CG20" s="45">
        <f t="shared" si="84"/>
        <v>1.5345692242822726</v>
      </c>
      <c r="CH20" s="46">
        <f t="shared" si="26"/>
        <v>1.501209023754397E-3</v>
      </c>
      <c r="CI20" s="45">
        <f t="shared" si="85"/>
        <v>39.544668471889331</v>
      </c>
      <c r="CJ20" s="46">
        <f t="shared" si="27"/>
        <v>3.8685001765978687E-2</v>
      </c>
      <c r="CK20" s="45">
        <f t="shared" si="86"/>
        <v>11.214159715908915</v>
      </c>
      <c r="CL20" s="46">
        <f t="shared" si="28"/>
        <v>1.0970373635128285E-2</v>
      </c>
      <c r="CM20" s="46">
        <f t="shared" si="29"/>
        <v>5.7316816325756678E-2</v>
      </c>
      <c r="CN20" s="45">
        <f t="shared" si="87"/>
        <v>0.17706567972487758</v>
      </c>
      <c r="CO20" s="45">
        <f t="shared" si="88"/>
        <v>5.9021893241625871E-2</v>
      </c>
      <c r="CP20" s="45">
        <f t="shared" si="89"/>
        <v>0.14755473310406467</v>
      </c>
      <c r="CQ20" s="45">
        <f t="shared" si="90"/>
        <v>2.9510946620812935E-2</v>
      </c>
      <c r="CR20" s="45">
        <f t="shared" si="91"/>
        <v>0.11804378648325174</v>
      </c>
      <c r="CS20" s="45">
        <f t="shared" si="92"/>
        <v>8.8532839862438789E-2</v>
      </c>
      <c r="CT20" s="45">
        <f t="shared" si="93"/>
        <v>0.14755473310406467</v>
      </c>
      <c r="CU20" s="3"/>
      <c r="CV20" s="17" t="s">
        <v>47</v>
      </c>
      <c r="CW20" s="51">
        <f t="shared" si="94"/>
        <v>1952.2</v>
      </c>
      <c r="CX20" s="52">
        <v>1875.3</v>
      </c>
      <c r="CY20" s="52">
        <v>76.900000000000006</v>
      </c>
      <c r="CZ20" s="52">
        <f t="shared" si="95"/>
        <v>0.10448369565217393</v>
      </c>
      <c r="DA20" s="52">
        <f t="shared" si="96"/>
        <v>9.5848666666666666</v>
      </c>
      <c r="DB20" s="53">
        <f t="shared" si="97"/>
        <v>0.39304444444444447</v>
      </c>
      <c r="DC20" s="52">
        <f t="shared" si="98"/>
        <v>9.9779111111111103</v>
      </c>
      <c r="DD20" s="54"/>
      <c r="DE20" s="52">
        <f t="shared" si="99"/>
        <v>361.09999999999997</v>
      </c>
      <c r="DF20" s="52">
        <v>346.7</v>
      </c>
      <c r="DG20" s="52">
        <v>14.4</v>
      </c>
      <c r="DH20" s="52">
        <f t="shared" si="100"/>
        <v>1.9565217391304349E-2</v>
      </c>
      <c r="DI20" s="54"/>
      <c r="DJ20" s="55">
        <f t="shared" si="101"/>
        <v>294.2</v>
      </c>
      <c r="DK20" s="52">
        <v>280.5</v>
      </c>
      <c r="DL20" s="52">
        <v>13.7</v>
      </c>
      <c r="DM20" s="56"/>
      <c r="DN20" s="55">
        <f t="shared" si="102"/>
        <v>293.2</v>
      </c>
      <c r="DO20" s="52">
        <v>279.5</v>
      </c>
      <c r="DP20" s="52">
        <v>13.7</v>
      </c>
      <c r="DQ20" s="56"/>
      <c r="DR20" s="58"/>
      <c r="DS20" s="17" t="s">
        <v>47</v>
      </c>
      <c r="DT20" s="55">
        <f t="shared" si="103"/>
        <v>38.5</v>
      </c>
      <c r="DU20" s="52">
        <v>38.1</v>
      </c>
      <c r="DV20" s="52">
        <v>0.4</v>
      </c>
      <c r="DW20" s="59">
        <f t="shared" si="104"/>
        <v>5.4347826086956522E-4</v>
      </c>
      <c r="DX20" s="54"/>
      <c r="DY20" s="55">
        <f t="shared" si="105"/>
        <v>15.700000000000001</v>
      </c>
      <c r="DZ20" s="52">
        <v>15.3</v>
      </c>
      <c r="EA20" s="52">
        <v>0.4</v>
      </c>
      <c r="EB20" s="54"/>
      <c r="EC20" s="55">
        <f t="shared" si="106"/>
        <v>5.3000000000000007</v>
      </c>
      <c r="ED20" s="52">
        <v>4.9000000000000004</v>
      </c>
      <c r="EE20" s="52">
        <v>0.4</v>
      </c>
      <c r="EF20" s="52"/>
      <c r="EG20" s="52"/>
      <c r="EH20" s="52"/>
      <c r="EI20" s="52"/>
      <c r="EJ20" s="52"/>
      <c r="EK20" s="52"/>
      <c r="EL20" s="52"/>
      <c r="EM20" s="52"/>
      <c r="EN20" s="2" t="s">
        <v>47</v>
      </c>
      <c r="EO20" s="60">
        <f t="shared" si="30"/>
        <v>410.18932268951869</v>
      </c>
      <c r="EP20" s="61">
        <f t="shared" si="31"/>
        <v>6.7587380891920498E-2</v>
      </c>
      <c r="EQ20" s="60">
        <f t="shared" si="32"/>
        <v>1044.2963310673451</v>
      </c>
      <c r="ER20" s="61">
        <f t="shared" si="33"/>
        <v>0.98447467169631586</v>
      </c>
      <c r="ES20" s="60">
        <f t="shared" si="34"/>
        <v>2304.3811021318252</v>
      </c>
      <c r="ET20" s="61">
        <f t="shared" si="35"/>
        <v>0.44900868686808965</v>
      </c>
      <c r="EU20" s="61">
        <f t="shared" si="36"/>
        <v>11.777947855340438</v>
      </c>
      <c r="EV20" s="61">
        <f t="shared" si="37"/>
        <v>1133.3221967887412</v>
      </c>
      <c r="EW20" s="61">
        <f t="shared" si="107"/>
        <v>359.89335618257815</v>
      </c>
      <c r="EX20" s="61">
        <f t="shared" si="38"/>
        <v>351.79495421099347</v>
      </c>
      <c r="EY20" s="61">
        <f t="shared" si="39"/>
        <v>146.73799765178498</v>
      </c>
    </row>
    <row r="21" spans="1:155" ht="18" customHeight="1">
      <c r="A21" s="17" t="s">
        <v>48</v>
      </c>
      <c r="B21" s="42">
        <v>76344</v>
      </c>
      <c r="C21" s="43">
        <f t="shared" si="40"/>
        <v>7.9248209119606214E-2</v>
      </c>
      <c r="D21" s="44">
        <f t="shared" si="41"/>
        <v>0</v>
      </c>
      <c r="E21" s="45">
        <f t="shared" si="0"/>
        <v>0</v>
      </c>
      <c r="F21" s="45">
        <f t="shared" si="1"/>
        <v>0</v>
      </c>
      <c r="G21" s="45">
        <f t="shared" si="42"/>
        <v>0</v>
      </c>
      <c r="H21" s="45">
        <f t="shared" si="2"/>
        <v>0</v>
      </c>
      <c r="I21" s="45">
        <f t="shared" si="43"/>
        <v>0</v>
      </c>
      <c r="J21" s="45">
        <f t="shared" si="3"/>
        <v>0</v>
      </c>
      <c r="K21" s="46">
        <f t="shared" si="4"/>
        <v>0</v>
      </c>
      <c r="L21" s="45">
        <f t="shared" si="44"/>
        <v>0</v>
      </c>
      <c r="M21" s="45">
        <f t="shared" si="45"/>
        <v>0</v>
      </c>
      <c r="N21" s="45">
        <f t="shared" si="46"/>
        <v>0</v>
      </c>
      <c r="O21" s="45">
        <f t="shared" si="47"/>
        <v>0</v>
      </c>
      <c r="P21" s="45">
        <f t="shared" si="48"/>
        <v>0</v>
      </c>
      <c r="Q21" s="46">
        <f t="shared" si="49"/>
        <v>0</v>
      </c>
      <c r="R21" s="45">
        <f t="shared" si="50"/>
        <v>0</v>
      </c>
      <c r="S21" s="3"/>
      <c r="T21" s="17" t="s">
        <v>48</v>
      </c>
      <c r="U21" s="42">
        <v>76344</v>
      </c>
      <c r="V21" s="43">
        <f t="shared" si="51"/>
        <v>7.9248209119606214E-2</v>
      </c>
      <c r="W21" s="44">
        <f t="shared" si="52"/>
        <v>49901.6193597155</v>
      </c>
      <c r="X21" s="44">
        <f t="shared" si="53"/>
        <v>48.816801547547769</v>
      </c>
      <c r="Y21" s="45">
        <f t="shared" si="5"/>
        <v>17.789927301738576</v>
      </c>
      <c r="Z21" s="46">
        <f t="shared" si="6"/>
        <v>1.7403189751700777E-2</v>
      </c>
      <c r="AA21" s="44">
        <f t="shared" si="7"/>
        <v>449.11457423743951</v>
      </c>
      <c r="AB21" s="46">
        <f t="shared" si="8"/>
        <v>0.43935121392792992</v>
      </c>
      <c r="AC21" s="44">
        <f t="shared" si="9"/>
        <v>124.75404839928875</v>
      </c>
      <c r="AD21" s="46">
        <f t="shared" si="10"/>
        <v>0.12204200386886942</v>
      </c>
      <c r="AE21" s="46">
        <f t="shared" si="11"/>
        <v>0.63763180292969801</v>
      </c>
      <c r="AF21" s="45">
        <f t="shared" si="12"/>
        <v>1062.9044923619401</v>
      </c>
      <c r="AG21" s="45">
        <f t="shared" si="54"/>
        <v>59.382927038061439</v>
      </c>
      <c r="AH21" s="45">
        <f t="shared" si="55"/>
        <v>26.946874454246373</v>
      </c>
      <c r="AI21" s="45">
        <f t="shared" si="56"/>
        <v>53.145224618097004</v>
      </c>
      <c r="AJ21" s="45">
        <f t="shared" si="57"/>
        <v>20.709172034281931</v>
      </c>
      <c r="AK21" s="45">
        <f t="shared" si="58"/>
        <v>32.436052583815076</v>
      </c>
      <c r="AL21" s="45">
        <f t="shared" si="59"/>
        <v>24.950809679857748</v>
      </c>
      <c r="AM21" s="3"/>
      <c r="AN21" s="17" t="s">
        <v>48</v>
      </c>
      <c r="AO21" s="42">
        <v>76344</v>
      </c>
      <c r="AP21" s="43">
        <f t="shared" si="60"/>
        <v>7.9248209119606214E-2</v>
      </c>
      <c r="AQ21" s="44">
        <f t="shared" si="61"/>
        <v>9941.1489462325862</v>
      </c>
      <c r="AR21" s="45">
        <f t="shared" si="62"/>
        <v>9.7250370126188326</v>
      </c>
      <c r="AS21" s="44">
        <f t="shared" si="13"/>
        <v>27.338159602139612</v>
      </c>
      <c r="AT21" s="46">
        <f t="shared" si="14"/>
        <v>2.6743851784701792E-2</v>
      </c>
      <c r="AU21" s="44">
        <f t="shared" si="15"/>
        <v>467.23400047293154</v>
      </c>
      <c r="AV21" s="46">
        <f t="shared" si="16"/>
        <v>0.4570767395930852</v>
      </c>
      <c r="AW21" s="44">
        <f t="shared" si="17"/>
        <v>198.82297892465172</v>
      </c>
      <c r="AX21" s="46">
        <f t="shared" si="18"/>
        <v>0.19450074025237668</v>
      </c>
      <c r="AY21" s="45">
        <f t="shared" si="19"/>
        <v>1.0162063367259977</v>
      </c>
      <c r="AZ21" s="44">
        <f t="shared" si="20"/>
        <v>2.9823446838697758</v>
      </c>
      <c r="BA21" s="45">
        <f t="shared" si="63"/>
        <v>0.99411489462325864</v>
      </c>
      <c r="BB21" s="45">
        <f t="shared" si="64"/>
        <v>2.5846987260204726</v>
      </c>
      <c r="BC21" s="45">
        <f t="shared" si="65"/>
        <v>0.54676319204279233</v>
      </c>
      <c r="BD21" s="45">
        <f t="shared" si="66"/>
        <v>2.137347023440006</v>
      </c>
      <c r="BE21" s="47">
        <f t="shared" si="67"/>
        <v>1.5905838313972138</v>
      </c>
      <c r="BF21" s="47">
        <f t="shared" si="68"/>
        <v>99.411489462325861</v>
      </c>
      <c r="BG21" s="3"/>
      <c r="BH21" s="17" t="s">
        <v>48</v>
      </c>
      <c r="BI21" s="42">
        <v>76344</v>
      </c>
      <c r="BJ21" s="43">
        <f t="shared" si="69"/>
        <v>7.9248209119606214E-2</v>
      </c>
      <c r="BK21" s="48">
        <f t="shared" si="70"/>
        <v>332.84247830234608</v>
      </c>
      <c r="BL21" s="46">
        <f t="shared" si="71"/>
        <v>1.4977911523605574E-2</v>
      </c>
      <c r="BM21" s="46">
        <f t="shared" si="72"/>
        <v>0.11316644262279768</v>
      </c>
      <c r="BN21" s="49">
        <f t="shared" si="21"/>
        <v>1.1070630256578033E-4</v>
      </c>
      <c r="BO21" s="45">
        <f t="shared" si="73"/>
        <v>2.8957295612304104</v>
      </c>
      <c r="BP21" s="49">
        <f t="shared" si="22"/>
        <v>2.8327789185949664E-3</v>
      </c>
      <c r="BQ21" s="45">
        <f t="shared" si="74"/>
        <v>0.80215037270865408</v>
      </c>
      <c r="BR21" s="46">
        <f t="shared" si="23"/>
        <v>7.8471232112803109E-4</v>
      </c>
      <c r="BS21" s="46">
        <f t="shared" si="24"/>
        <v>4.0998796827331208E-3</v>
      </c>
      <c r="BT21" s="44">
        <f t="shared" si="75"/>
        <v>7.089544787839972</v>
      </c>
      <c r="BU21" s="45">
        <f t="shared" si="76"/>
        <v>0.3894256996137449</v>
      </c>
      <c r="BV21" s="45">
        <f t="shared" si="77"/>
        <v>0.17374377367382465</v>
      </c>
      <c r="BW21" s="45">
        <f t="shared" si="78"/>
        <v>0.34948460221746341</v>
      </c>
      <c r="BX21" s="45">
        <f t="shared" si="79"/>
        <v>0.13313699132093845</v>
      </c>
      <c r="BY21" s="45">
        <f t="shared" si="80"/>
        <v>0.21634761089652496</v>
      </c>
      <c r="BZ21" s="45">
        <f t="shared" si="81"/>
        <v>0.1604300745417308</v>
      </c>
      <c r="CA21" s="3"/>
      <c r="CB21" s="17" t="s">
        <v>48</v>
      </c>
      <c r="CC21" s="42">
        <v>76344</v>
      </c>
      <c r="CD21" s="43">
        <f t="shared" si="82"/>
        <v>7.9248209119606214E-2</v>
      </c>
      <c r="CE21" s="48">
        <f t="shared" si="83"/>
        <v>5615.0526089605783</v>
      </c>
      <c r="CF21" s="46">
        <f t="shared" si="25"/>
        <v>5.4929862478962175</v>
      </c>
      <c r="CG21" s="45">
        <f t="shared" si="84"/>
        <v>1.4599136783297504</v>
      </c>
      <c r="CH21" s="46">
        <f t="shared" si="26"/>
        <v>1.4281764244530168E-3</v>
      </c>
      <c r="CI21" s="45">
        <f t="shared" si="85"/>
        <v>37.620852480035872</v>
      </c>
      <c r="CJ21" s="46">
        <f t="shared" si="27"/>
        <v>3.6803007860904659E-2</v>
      </c>
      <c r="CK21" s="45">
        <f t="shared" si="86"/>
        <v>10.6685999570251</v>
      </c>
      <c r="CL21" s="46">
        <f t="shared" si="28"/>
        <v>1.0436673871002815E-2</v>
      </c>
      <c r="CM21" s="46">
        <f t="shared" si="29"/>
        <v>5.4528399780350512E-2</v>
      </c>
      <c r="CN21" s="45">
        <f t="shared" si="87"/>
        <v>0.16845157826881735</v>
      </c>
      <c r="CO21" s="45">
        <f t="shared" si="88"/>
        <v>5.615052608960578E-2</v>
      </c>
      <c r="CP21" s="45">
        <f t="shared" si="89"/>
        <v>0.14037631522401448</v>
      </c>
      <c r="CQ21" s="45">
        <f t="shared" si="90"/>
        <v>2.807526304480289E-2</v>
      </c>
      <c r="CR21" s="45">
        <f t="shared" si="91"/>
        <v>0.11230105217921156</v>
      </c>
      <c r="CS21" s="45">
        <f t="shared" si="92"/>
        <v>8.4225789134408674E-2</v>
      </c>
      <c r="CT21" s="45">
        <f t="shared" si="93"/>
        <v>0.14037631522401448</v>
      </c>
      <c r="CU21" s="3"/>
      <c r="CV21" s="17" t="s">
        <v>48</v>
      </c>
      <c r="CW21" s="51">
        <f t="shared" si="94"/>
        <v>4179</v>
      </c>
      <c r="CX21" s="52">
        <v>4173.1000000000004</v>
      </c>
      <c r="CY21" s="52">
        <v>5.9</v>
      </c>
      <c r="CZ21" s="52">
        <f t="shared" si="95"/>
        <v>8.0163043478260875E-3</v>
      </c>
      <c r="DA21" s="52">
        <f t="shared" si="96"/>
        <v>21.32917777777778</v>
      </c>
      <c r="DB21" s="53">
        <f t="shared" si="97"/>
        <v>3.015555555555556E-2</v>
      </c>
      <c r="DC21" s="52">
        <f t="shared" si="98"/>
        <v>21.359333333333336</v>
      </c>
      <c r="DD21" s="54"/>
      <c r="DE21" s="52">
        <f t="shared" si="99"/>
        <v>780.7</v>
      </c>
      <c r="DF21" s="52">
        <v>779.6</v>
      </c>
      <c r="DG21" s="52">
        <v>1.1000000000000001</v>
      </c>
      <c r="DH21" s="52">
        <f t="shared" si="100"/>
        <v>1.4945652173913044E-3</v>
      </c>
      <c r="DI21" s="54"/>
      <c r="DJ21" s="55">
        <f t="shared" si="101"/>
        <v>616.4</v>
      </c>
      <c r="DK21" s="52">
        <v>615.4</v>
      </c>
      <c r="DL21" s="52">
        <v>1</v>
      </c>
      <c r="DM21" s="56"/>
      <c r="DN21" s="55">
        <f t="shared" si="102"/>
        <v>614.9</v>
      </c>
      <c r="DO21" s="52">
        <v>613.9</v>
      </c>
      <c r="DP21" s="52">
        <v>1</v>
      </c>
      <c r="DQ21" s="56"/>
      <c r="DR21" s="58"/>
      <c r="DS21" s="17" t="s">
        <v>48</v>
      </c>
      <c r="DT21" s="55">
        <f t="shared" si="103"/>
        <v>78.400000000000006</v>
      </c>
      <c r="DU21" s="52">
        <v>78.400000000000006</v>
      </c>
      <c r="DV21" s="52">
        <v>0</v>
      </c>
      <c r="DW21" s="59">
        <f t="shared" si="104"/>
        <v>0</v>
      </c>
      <c r="DX21" s="54"/>
      <c r="DY21" s="55">
        <f t="shared" si="105"/>
        <v>34.6</v>
      </c>
      <c r="DZ21" s="52">
        <v>34.6</v>
      </c>
      <c r="EA21" s="52">
        <v>0</v>
      </c>
      <c r="EB21" s="54"/>
      <c r="EC21" s="55">
        <f t="shared" si="106"/>
        <v>9.4</v>
      </c>
      <c r="ED21" s="52">
        <v>9.4</v>
      </c>
      <c r="EE21" s="52">
        <v>0</v>
      </c>
      <c r="EF21" s="52"/>
      <c r="EG21" s="52"/>
      <c r="EH21" s="52"/>
      <c r="EI21" s="52"/>
      <c r="EJ21" s="52"/>
      <c r="EK21" s="52"/>
      <c r="EL21" s="52"/>
      <c r="EM21" s="52"/>
      <c r="EN21" s="2" t="s">
        <v>48</v>
      </c>
      <c r="EO21" s="60">
        <f t="shared" si="30"/>
        <v>827.40116702483078</v>
      </c>
      <c r="EP21" s="61">
        <f t="shared" si="31"/>
        <v>4.7180489480812673E-2</v>
      </c>
      <c r="EQ21" s="60">
        <f t="shared" si="32"/>
        <v>1035.2651567516373</v>
      </c>
      <c r="ER21" s="61">
        <f t="shared" si="33"/>
        <v>0.93606374030051476</v>
      </c>
      <c r="ES21" s="60">
        <f t="shared" si="34"/>
        <v>4514.0477776536745</v>
      </c>
      <c r="ET21" s="61">
        <f t="shared" si="35"/>
        <v>0.33578043466120305</v>
      </c>
      <c r="EU21" s="61">
        <f t="shared" si="36"/>
        <v>23.071799752452115</v>
      </c>
      <c r="EV21" s="61">
        <f t="shared" si="37"/>
        <v>1082.5448334119187</v>
      </c>
      <c r="EW21" s="61">
        <f t="shared" si="107"/>
        <v>678.89742777891968</v>
      </c>
      <c r="EX21" s="61">
        <f t="shared" si="38"/>
        <v>670.64435729593367</v>
      </c>
      <c r="EY21" s="61">
        <f t="shared" si="39"/>
        <v>159.26310553194938</v>
      </c>
    </row>
    <row r="22" spans="1:155" ht="18" customHeight="1">
      <c r="A22" s="17" t="s">
        <v>49</v>
      </c>
      <c r="B22" s="42">
        <v>143201</v>
      </c>
      <c r="C22" s="43">
        <f t="shared" si="40"/>
        <v>0.14864852240040774</v>
      </c>
      <c r="D22" s="44">
        <f t="shared" si="41"/>
        <v>0</v>
      </c>
      <c r="E22" s="45">
        <f t="shared" si="0"/>
        <v>0</v>
      </c>
      <c r="F22" s="45">
        <f t="shared" si="1"/>
        <v>0</v>
      </c>
      <c r="G22" s="45">
        <f t="shared" si="42"/>
        <v>0</v>
      </c>
      <c r="H22" s="45">
        <f t="shared" si="2"/>
        <v>0</v>
      </c>
      <c r="I22" s="45">
        <f t="shared" si="43"/>
        <v>0</v>
      </c>
      <c r="J22" s="45">
        <f t="shared" si="3"/>
        <v>0</v>
      </c>
      <c r="K22" s="46">
        <f t="shared" si="4"/>
        <v>0</v>
      </c>
      <c r="L22" s="45">
        <f t="shared" si="44"/>
        <v>0</v>
      </c>
      <c r="M22" s="45">
        <f t="shared" si="45"/>
        <v>0</v>
      </c>
      <c r="N22" s="45">
        <f t="shared" si="46"/>
        <v>0</v>
      </c>
      <c r="O22" s="45">
        <f t="shared" si="47"/>
        <v>0</v>
      </c>
      <c r="P22" s="45">
        <f t="shared" si="48"/>
        <v>0</v>
      </c>
      <c r="Q22" s="46">
        <f t="shared" si="49"/>
        <v>0</v>
      </c>
      <c r="R22" s="45">
        <f t="shared" si="50"/>
        <v>0</v>
      </c>
      <c r="S22" s="3"/>
      <c r="T22" s="17" t="s">
        <v>49</v>
      </c>
      <c r="U22" s="42">
        <v>143201</v>
      </c>
      <c r="V22" s="43">
        <f t="shared" si="51"/>
        <v>0.14864852240040774</v>
      </c>
      <c r="W22" s="44">
        <f t="shared" si="52"/>
        <v>93602.14023277034</v>
      </c>
      <c r="X22" s="44">
        <f t="shared" si="53"/>
        <v>91.567311097275336</v>
      </c>
      <c r="Y22" s="45">
        <f t="shared" si="5"/>
        <v>33.369162992982623</v>
      </c>
      <c r="Z22" s="46">
        <f t="shared" si="6"/>
        <v>3.2643746406178654E-2</v>
      </c>
      <c r="AA22" s="44">
        <f t="shared" si="7"/>
        <v>842.41926209493306</v>
      </c>
      <c r="AB22" s="46">
        <f t="shared" si="8"/>
        <v>0.82410579987547794</v>
      </c>
      <c r="AC22" s="44">
        <f t="shared" si="9"/>
        <v>234.00535058192585</v>
      </c>
      <c r="AD22" s="46">
        <f t="shared" si="10"/>
        <v>0.22891827774318832</v>
      </c>
      <c r="AE22" s="46">
        <f t="shared" si="11"/>
        <v>1.1960273474187322</v>
      </c>
      <c r="AF22" s="45">
        <f t="shared" si="12"/>
        <v>1993.7255869580083</v>
      </c>
      <c r="AG22" s="45">
        <f t="shared" si="54"/>
        <v>111.3865468769967</v>
      </c>
      <c r="AH22" s="45">
        <f t="shared" si="55"/>
        <v>50.545155725695984</v>
      </c>
      <c r="AI22" s="45">
        <f t="shared" si="56"/>
        <v>99.68627934790041</v>
      </c>
      <c r="AJ22" s="45">
        <f t="shared" si="57"/>
        <v>38.84488819659969</v>
      </c>
      <c r="AK22" s="45">
        <f t="shared" si="58"/>
        <v>60.841391151300726</v>
      </c>
      <c r="AL22" s="45">
        <f t="shared" si="59"/>
        <v>46.801070116385169</v>
      </c>
      <c r="AM22" s="3"/>
      <c r="AN22" s="17" t="s">
        <v>49</v>
      </c>
      <c r="AO22" s="42">
        <v>143201</v>
      </c>
      <c r="AP22" s="43">
        <f t="shared" si="60"/>
        <v>0.14864852240040774</v>
      </c>
      <c r="AQ22" s="44">
        <f t="shared" si="61"/>
        <v>18646.946325178829</v>
      </c>
      <c r="AR22" s="45">
        <f t="shared" si="62"/>
        <v>18.241577926805377</v>
      </c>
      <c r="AS22" s="44">
        <f t="shared" si="13"/>
        <v>51.279102394241782</v>
      </c>
      <c r="AT22" s="46">
        <f t="shared" si="14"/>
        <v>5.0164339298714784E-2</v>
      </c>
      <c r="AU22" s="44">
        <f t="shared" si="15"/>
        <v>876.40647728340502</v>
      </c>
      <c r="AV22" s="46">
        <f t="shared" si="16"/>
        <v>0.85735416255985275</v>
      </c>
      <c r="AW22" s="44">
        <f t="shared" si="17"/>
        <v>372.93892650357657</v>
      </c>
      <c r="AX22" s="46">
        <f t="shared" si="18"/>
        <v>0.36483155853610755</v>
      </c>
      <c r="AY22" s="45">
        <f t="shared" si="19"/>
        <v>1.9061322910182803</v>
      </c>
      <c r="AZ22" s="44">
        <f t="shared" si="20"/>
        <v>5.5940838975536487</v>
      </c>
      <c r="BA22" s="45">
        <f t="shared" si="63"/>
        <v>1.864694632517883</v>
      </c>
      <c r="BB22" s="45">
        <f t="shared" si="64"/>
        <v>4.8482060445464956</v>
      </c>
      <c r="BC22" s="45">
        <f t="shared" si="65"/>
        <v>1.0255820478848356</v>
      </c>
      <c r="BD22" s="45">
        <f t="shared" si="66"/>
        <v>4.0090934599134487</v>
      </c>
      <c r="BE22" s="47">
        <f t="shared" si="67"/>
        <v>2.9835114120286126</v>
      </c>
      <c r="BF22" s="47">
        <f t="shared" si="68"/>
        <v>186.46946325178828</v>
      </c>
      <c r="BG22" s="3"/>
      <c r="BH22" s="17" t="s">
        <v>49</v>
      </c>
      <c r="BI22" s="42">
        <v>143201</v>
      </c>
      <c r="BJ22" s="43">
        <f t="shared" si="69"/>
        <v>0.14864852240040774</v>
      </c>
      <c r="BK22" s="48">
        <f t="shared" si="70"/>
        <v>624.32379408171255</v>
      </c>
      <c r="BL22" s="46">
        <f t="shared" si="71"/>
        <v>2.8094570733677063E-2</v>
      </c>
      <c r="BM22" s="46">
        <f t="shared" si="72"/>
        <v>0.2122700899877823</v>
      </c>
      <c r="BN22" s="49">
        <f t="shared" si="21"/>
        <v>2.0765552281413484E-4</v>
      </c>
      <c r="BO22" s="45">
        <f t="shared" si="73"/>
        <v>5.4316170085108988</v>
      </c>
      <c r="BP22" s="49">
        <f t="shared" si="22"/>
        <v>5.3135383778910965E-3</v>
      </c>
      <c r="BQ22" s="45">
        <f t="shared" si="74"/>
        <v>1.5046203437369272</v>
      </c>
      <c r="BR22" s="46">
        <f t="shared" si="23"/>
        <v>1.4719112058296027E-3</v>
      </c>
      <c r="BS22" s="46">
        <f t="shared" si="24"/>
        <v>7.6902817568776285E-3</v>
      </c>
      <c r="BT22" s="44">
        <f t="shared" si="75"/>
        <v>13.298096813940477</v>
      </c>
      <c r="BU22" s="45">
        <f t="shared" si="76"/>
        <v>0.73045883907560372</v>
      </c>
      <c r="BV22" s="45">
        <f t="shared" si="77"/>
        <v>0.325897020510654</v>
      </c>
      <c r="BW22" s="45">
        <f t="shared" si="78"/>
        <v>0.65553998378579825</v>
      </c>
      <c r="BX22" s="45">
        <f t="shared" si="79"/>
        <v>0.24972951763268503</v>
      </c>
      <c r="BY22" s="45">
        <f t="shared" si="80"/>
        <v>0.40581046615311317</v>
      </c>
      <c r="BZ22" s="45">
        <f t="shared" si="81"/>
        <v>0.30092406874738542</v>
      </c>
      <c r="CA22" s="3"/>
      <c r="CB22" s="17" t="s">
        <v>49</v>
      </c>
      <c r="CC22" s="42">
        <v>143201</v>
      </c>
      <c r="CD22" s="43">
        <f t="shared" si="82"/>
        <v>0.14864852240040774</v>
      </c>
      <c r="CE22" s="48">
        <f t="shared" si="83"/>
        <v>10532.34240615849</v>
      </c>
      <c r="CF22" s="46">
        <f t="shared" si="25"/>
        <v>10.303378440807219</v>
      </c>
      <c r="CG22" s="45">
        <f t="shared" si="84"/>
        <v>2.7384090256012072</v>
      </c>
      <c r="CH22" s="46">
        <f t="shared" si="26"/>
        <v>2.6788783946098764E-3</v>
      </c>
      <c r="CI22" s="45">
        <f t="shared" si="85"/>
        <v>70.566694121261889</v>
      </c>
      <c r="CJ22" s="46">
        <f t="shared" si="27"/>
        <v>6.903263555340837E-2</v>
      </c>
      <c r="CK22" s="45">
        <f t="shared" si="86"/>
        <v>20.011450571701129</v>
      </c>
      <c r="CL22" s="46">
        <f t="shared" si="28"/>
        <v>1.9576419037533713E-2</v>
      </c>
      <c r="CM22" s="46">
        <f t="shared" si="29"/>
        <v>0.10228074736647244</v>
      </c>
      <c r="CN22" s="45">
        <f t="shared" si="87"/>
        <v>0.31597027218475471</v>
      </c>
      <c r="CO22" s="45">
        <f t="shared" si="88"/>
        <v>0.1053234240615849</v>
      </c>
      <c r="CP22" s="45">
        <f t="shared" si="89"/>
        <v>0.26330856015396226</v>
      </c>
      <c r="CQ22" s="45">
        <f t="shared" si="90"/>
        <v>5.2661712030792451E-2</v>
      </c>
      <c r="CR22" s="45">
        <f t="shared" si="91"/>
        <v>0.21064684812316981</v>
      </c>
      <c r="CS22" s="45">
        <f t="shared" si="92"/>
        <v>0.15798513609237735</v>
      </c>
      <c r="CT22" s="45">
        <f t="shared" si="93"/>
        <v>0.26330856015396226</v>
      </c>
      <c r="CU22" s="3"/>
      <c r="CV22" s="17" t="s">
        <v>49</v>
      </c>
      <c r="CW22" s="51">
        <f t="shared" si="94"/>
        <v>15405.7</v>
      </c>
      <c r="CX22" s="52">
        <v>15061.6</v>
      </c>
      <c r="CY22" s="52">
        <v>344.1</v>
      </c>
      <c r="CZ22" s="52">
        <f t="shared" si="95"/>
        <v>0.46752717391304349</v>
      </c>
      <c r="DA22" s="52">
        <f t="shared" si="96"/>
        <v>76.981511111111118</v>
      </c>
      <c r="DB22" s="53">
        <f t="shared" si="97"/>
        <v>1.7587333333333337</v>
      </c>
      <c r="DC22" s="52">
        <f t="shared" si="98"/>
        <v>78.740244444444457</v>
      </c>
      <c r="DD22" s="54"/>
      <c r="DE22" s="52">
        <f t="shared" si="99"/>
        <v>2786.5</v>
      </c>
      <c r="DF22" s="52">
        <v>2722.1</v>
      </c>
      <c r="DG22" s="52">
        <v>64.400000000000006</v>
      </c>
      <c r="DH22" s="52">
        <f t="shared" si="100"/>
        <v>8.7500000000000008E-2</v>
      </c>
      <c r="DI22" s="54"/>
      <c r="DJ22" s="55">
        <f t="shared" si="101"/>
        <v>2205.6</v>
      </c>
      <c r="DK22" s="52">
        <v>2144.4</v>
      </c>
      <c r="DL22" s="52">
        <v>61.2</v>
      </c>
      <c r="DM22" s="56"/>
      <c r="DN22" s="55">
        <f t="shared" si="102"/>
        <v>2205.6</v>
      </c>
      <c r="DO22" s="52">
        <v>2144.4</v>
      </c>
      <c r="DP22" s="52">
        <v>61.2</v>
      </c>
      <c r="DQ22" s="56"/>
      <c r="DR22" s="58"/>
      <c r="DS22" s="17" t="s">
        <v>49</v>
      </c>
      <c r="DT22" s="55">
        <f t="shared" si="103"/>
        <v>231.8</v>
      </c>
      <c r="DU22" s="52">
        <v>230</v>
      </c>
      <c r="DV22" s="52">
        <v>1.8</v>
      </c>
      <c r="DW22" s="59">
        <f t="shared" si="104"/>
        <v>2.4456521739130437E-3</v>
      </c>
      <c r="DX22" s="54"/>
      <c r="DY22" s="55">
        <f t="shared" si="105"/>
        <v>131.1</v>
      </c>
      <c r="DZ22" s="52">
        <v>129.4</v>
      </c>
      <c r="EA22" s="52">
        <v>1.7</v>
      </c>
      <c r="EB22" s="54"/>
      <c r="EC22" s="55">
        <f t="shared" si="106"/>
        <v>37.699999999999996</v>
      </c>
      <c r="ED22" s="52">
        <v>35.799999999999997</v>
      </c>
      <c r="EE22" s="52">
        <v>1.9</v>
      </c>
      <c r="EF22" s="52"/>
      <c r="EG22" s="52"/>
      <c r="EH22" s="52"/>
      <c r="EI22" s="52"/>
      <c r="EJ22" s="52"/>
      <c r="EK22" s="52"/>
      <c r="EL22" s="52"/>
      <c r="EM22" s="52"/>
      <c r="EN22" s="2" t="s">
        <v>49</v>
      </c>
      <c r="EO22" s="60">
        <f t="shared" si="30"/>
        <v>2874.0989445028135</v>
      </c>
      <c r="EP22" s="61">
        <f t="shared" si="31"/>
        <v>0.17319461962231747</v>
      </c>
      <c r="EQ22" s="60">
        <f t="shared" si="32"/>
        <v>2026.6240505081109</v>
      </c>
      <c r="ER22" s="61">
        <f t="shared" si="33"/>
        <v>1.7582517885405433</v>
      </c>
      <c r="ES22" s="60">
        <f t="shared" si="34"/>
        <v>16034.160348000942</v>
      </c>
      <c r="ET22" s="61">
        <f t="shared" si="35"/>
        <v>1.0823253404357027</v>
      </c>
      <c r="EU22" s="61">
        <f t="shared" si="36"/>
        <v>81.952375112004816</v>
      </c>
      <c r="EV22" s="61">
        <f t="shared" si="37"/>
        <v>2050.6337379416873</v>
      </c>
      <c r="EW22" s="61">
        <f t="shared" si="107"/>
        <v>2322.8285203207729</v>
      </c>
      <c r="EX22" s="61">
        <f t="shared" si="38"/>
        <v>2310.1615596397228</v>
      </c>
      <c r="EY22" s="61">
        <f t="shared" si="39"/>
        <v>364.93476599707481</v>
      </c>
    </row>
    <row r="23" spans="1:155" ht="6.75" customHeight="1">
      <c r="B23" s="42"/>
      <c r="C23" s="43"/>
      <c r="D23" s="44"/>
      <c r="E23" s="45"/>
      <c r="F23" s="45"/>
      <c r="G23" s="45"/>
      <c r="H23" s="45"/>
      <c r="I23" s="45"/>
      <c r="J23" s="45"/>
      <c r="K23" s="46"/>
      <c r="L23" s="45"/>
      <c r="M23" s="45"/>
      <c r="N23" s="45"/>
      <c r="O23" s="45"/>
      <c r="P23" s="45"/>
      <c r="Q23" s="46"/>
      <c r="R23" s="45"/>
      <c r="S23" s="3"/>
      <c r="U23" s="42"/>
      <c r="V23" s="43"/>
      <c r="W23" s="44"/>
      <c r="X23" s="44"/>
      <c r="Y23" s="45"/>
      <c r="Z23" s="46"/>
      <c r="AA23" s="44"/>
      <c r="AB23" s="46"/>
      <c r="AC23" s="44"/>
      <c r="AD23" s="46"/>
      <c r="AE23" s="46"/>
      <c r="AF23" s="45"/>
      <c r="AG23" s="45"/>
      <c r="AH23" s="45"/>
      <c r="AI23" s="45"/>
      <c r="AJ23" s="45"/>
      <c r="AK23" s="45"/>
      <c r="AL23" s="45"/>
      <c r="AM23" s="3"/>
      <c r="AO23" s="42"/>
      <c r="AP23" s="43"/>
      <c r="AQ23" s="44"/>
      <c r="AR23" s="45"/>
      <c r="AS23" s="44"/>
      <c r="AT23" s="46"/>
      <c r="AU23" s="44"/>
      <c r="AV23" s="46"/>
      <c r="AW23" s="44"/>
      <c r="AX23" s="46"/>
      <c r="AY23" s="45"/>
      <c r="AZ23" s="44"/>
      <c r="BA23" s="45"/>
      <c r="BB23" s="45"/>
      <c r="BC23" s="45"/>
      <c r="BD23" s="45"/>
      <c r="BE23" s="47"/>
      <c r="BF23" s="47"/>
      <c r="BG23" s="3"/>
      <c r="BI23" s="42"/>
      <c r="BJ23" s="43"/>
      <c r="BK23" s="48"/>
      <c r="BL23" s="46"/>
      <c r="BM23" s="46"/>
      <c r="BN23" s="49"/>
      <c r="BO23" s="45"/>
      <c r="BP23" s="49"/>
      <c r="BQ23" s="45"/>
      <c r="BR23" s="46"/>
      <c r="BS23" s="46"/>
      <c r="BT23" s="44"/>
      <c r="BU23" s="45"/>
      <c r="BV23" s="45"/>
      <c r="BW23" s="45"/>
      <c r="BX23" s="45"/>
      <c r="BY23" s="45"/>
      <c r="BZ23" s="45"/>
      <c r="CA23" s="3"/>
      <c r="CC23" s="42"/>
      <c r="CD23" s="43"/>
      <c r="CE23" s="48"/>
      <c r="CF23" s="46"/>
      <c r="CG23" s="45"/>
      <c r="CH23" s="46"/>
      <c r="CI23" s="45"/>
      <c r="CJ23" s="46"/>
      <c r="CK23" s="45"/>
      <c r="CL23" s="46"/>
      <c r="CM23" s="46"/>
      <c r="CN23" s="45"/>
      <c r="CO23" s="45"/>
      <c r="CP23" s="45"/>
      <c r="CQ23" s="45"/>
      <c r="CR23" s="45"/>
      <c r="CS23" s="45"/>
      <c r="CT23" s="45"/>
      <c r="CU23" s="3"/>
      <c r="CW23" s="51"/>
      <c r="CX23" s="62"/>
      <c r="CY23" s="62"/>
      <c r="CZ23" s="52"/>
      <c r="DA23" s="52"/>
      <c r="DB23" s="53"/>
      <c r="DC23" s="52"/>
      <c r="DD23" s="63"/>
      <c r="DE23" s="52"/>
      <c r="DF23" s="62"/>
      <c r="DG23" s="62"/>
      <c r="DH23" s="52"/>
      <c r="DI23" s="63"/>
      <c r="DJ23" s="55"/>
      <c r="DK23" s="62"/>
      <c r="DL23" s="62"/>
      <c r="DM23" s="64"/>
      <c r="DN23" s="55"/>
      <c r="DO23" s="65"/>
      <c r="DP23" s="62"/>
      <c r="DQ23" s="64"/>
      <c r="DR23" s="66"/>
      <c r="DS23" s="1"/>
      <c r="DT23" s="55"/>
      <c r="DU23" s="65"/>
      <c r="DV23" s="62"/>
      <c r="DW23" s="59"/>
      <c r="DX23" s="63"/>
      <c r="DY23" s="55"/>
      <c r="DZ23" s="62"/>
      <c r="EA23" s="62"/>
      <c r="EB23" s="63"/>
      <c r="EC23" s="55"/>
      <c r="ED23" s="62"/>
      <c r="EE23" s="62"/>
      <c r="EF23" s="62"/>
      <c r="EG23" s="62"/>
      <c r="EH23" s="62"/>
      <c r="EI23" s="62"/>
      <c r="EJ23" s="62"/>
      <c r="EK23" s="62"/>
      <c r="EL23" s="62"/>
      <c r="EM23" s="62"/>
      <c r="EN23" s="9"/>
      <c r="EO23" s="60"/>
      <c r="EP23" s="61"/>
      <c r="EQ23" s="60"/>
      <c r="ER23" s="61"/>
      <c r="ES23" s="60"/>
      <c r="ET23" s="61"/>
      <c r="EU23" s="61"/>
      <c r="EV23" s="61"/>
      <c r="EW23" s="61"/>
      <c r="EX23" s="61"/>
      <c r="EY23" s="61"/>
    </row>
    <row r="24" spans="1:155" s="9" customFormat="1" ht="15" customHeight="1">
      <c r="A24" s="2" t="s">
        <v>50</v>
      </c>
      <c r="B24" s="67">
        <f>SUM(B9:B22)</f>
        <v>963353</v>
      </c>
      <c r="C24" s="68">
        <f t="shared" si="40"/>
        <v>1</v>
      </c>
      <c r="D24" s="67">
        <f>SUM(D9:D22)</f>
        <v>0</v>
      </c>
      <c r="E24" s="69">
        <f t="shared" si="0"/>
        <v>0</v>
      </c>
      <c r="F24" s="69">
        <f t="shared" si="1"/>
        <v>0</v>
      </c>
      <c r="G24" s="69">
        <f t="shared" si="42"/>
        <v>0</v>
      </c>
      <c r="H24" s="69">
        <f>SUM(G24*0)</f>
        <v>0</v>
      </c>
      <c r="I24" s="69">
        <f t="shared" si="43"/>
        <v>0</v>
      </c>
      <c r="J24" s="69">
        <f>SUM(I24*0)</f>
        <v>0</v>
      </c>
      <c r="K24" s="70">
        <f>SUM(I24*0.75)/90</f>
        <v>0</v>
      </c>
      <c r="L24" s="69">
        <f t="shared" si="44"/>
        <v>0</v>
      </c>
      <c r="M24" s="69">
        <f t="shared" si="45"/>
        <v>0</v>
      </c>
      <c r="N24" s="69">
        <f t="shared" si="46"/>
        <v>0</v>
      </c>
      <c r="O24" s="69">
        <f t="shared" si="47"/>
        <v>0</v>
      </c>
      <c r="P24" s="69">
        <f t="shared" si="48"/>
        <v>0</v>
      </c>
      <c r="Q24" s="70">
        <f t="shared" si="49"/>
        <v>0</v>
      </c>
      <c r="R24" s="69">
        <f t="shared" si="50"/>
        <v>0</v>
      </c>
      <c r="S24" s="71"/>
      <c r="T24" s="2" t="s">
        <v>50</v>
      </c>
      <c r="U24" s="67">
        <f>SUM(U9:U22)</f>
        <v>963353</v>
      </c>
      <c r="V24" s="68">
        <f t="shared" si="51"/>
        <v>1</v>
      </c>
      <c r="W24" s="44">
        <f t="shared" si="52"/>
        <v>629687.66</v>
      </c>
      <c r="X24" s="72">
        <f t="shared" si="53"/>
        <v>615.99879782608696</v>
      </c>
      <c r="Y24" s="69">
        <f>SUM(W24*0.713)/2000</f>
        <v>224.48365079000001</v>
      </c>
      <c r="Z24" s="70">
        <f>SUM(Y24*0.09)/92</f>
        <v>0.219603571425</v>
      </c>
      <c r="AA24" s="72">
        <f>SUM(W24*18)/2000</f>
        <v>5667.18894</v>
      </c>
      <c r="AB24" s="70">
        <f>SUM(AA24*0.09)/92</f>
        <v>5.5439891804347825</v>
      </c>
      <c r="AC24" s="72">
        <f>SUM(W24*5)/2000</f>
        <v>1574.2191500000001</v>
      </c>
      <c r="AD24" s="70">
        <f>SUM(AC24*0.09)/92</f>
        <v>1.5399969945652174</v>
      </c>
      <c r="AE24" s="70">
        <f>SUM(AC24*0.46)/90</f>
        <v>8.0460089888888895</v>
      </c>
      <c r="AF24" s="69">
        <f>SUM(W24*42.6)/2000</f>
        <v>13412.347158000002</v>
      </c>
      <c r="AG24" s="69">
        <f t="shared" si="54"/>
        <v>749.32831539999995</v>
      </c>
      <c r="AH24" s="69">
        <f t="shared" si="55"/>
        <v>340.03133640000004</v>
      </c>
      <c r="AI24" s="69">
        <f t="shared" si="56"/>
        <v>670.61735789999989</v>
      </c>
      <c r="AJ24" s="69">
        <f t="shared" si="57"/>
        <v>261.32037890000004</v>
      </c>
      <c r="AK24" s="69">
        <f t="shared" si="58"/>
        <v>409.29697900000008</v>
      </c>
      <c r="AL24" s="69">
        <f t="shared" si="59"/>
        <v>314.84383000000003</v>
      </c>
      <c r="AM24" s="71"/>
      <c r="AN24" s="2" t="s">
        <v>50</v>
      </c>
      <c r="AO24" s="67">
        <f>SUM(AO9:AO22)</f>
        <v>963353</v>
      </c>
      <c r="AP24" s="68">
        <f t="shared" si="60"/>
        <v>1</v>
      </c>
      <c r="AQ24" s="44">
        <f t="shared" si="61"/>
        <v>125443.2</v>
      </c>
      <c r="AR24" s="69">
        <f t="shared" si="62"/>
        <v>122.71617391304346</v>
      </c>
      <c r="AS24" s="72">
        <f>SUM(AQ24*5.5)/2000</f>
        <v>344.96879999999999</v>
      </c>
      <c r="AT24" s="70">
        <f>SUM(AS24*0.09)/92</f>
        <v>0.33746947826086954</v>
      </c>
      <c r="AU24" s="72">
        <f>SUM(AQ24*94)/2000</f>
        <v>5895.8303999999998</v>
      </c>
      <c r="AV24" s="70">
        <f>SUM(AU24*0.09)/92</f>
        <v>5.7676601739130433</v>
      </c>
      <c r="AW24" s="72">
        <f>SUM(AQ24*40)/2000</f>
        <v>2508.864</v>
      </c>
      <c r="AX24" s="70">
        <f>SUM(AW24*0.09)/92</f>
        <v>2.4543234782608692</v>
      </c>
      <c r="AY24" s="69">
        <f>SUM(AW24*0.46)/90</f>
        <v>12.823082666666666</v>
      </c>
      <c r="AZ24" s="72">
        <f>SUM(AQ24*0.6)/2000</f>
        <v>37.632959999999997</v>
      </c>
      <c r="BA24" s="69">
        <f t="shared" si="63"/>
        <v>12.544319999999999</v>
      </c>
      <c r="BB24" s="69">
        <f t="shared" si="64"/>
        <v>32.615231999999999</v>
      </c>
      <c r="BC24" s="69">
        <f t="shared" si="65"/>
        <v>6.8993760000000002</v>
      </c>
      <c r="BD24" s="69">
        <f t="shared" si="66"/>
        <v>26.970288</v>
      </c>
      <c r="BE24" s="73">
        <f t="shared" si="67"/>
        <v>20.070912</v>
      </c>
      <c r="BF24" s="47">
        <f t="shared" si="68"/>
        <v>1254.432</v>
      </c>
      <c r="BG24" s="71"/>
      <c r="BH24" s="2" t="s">
        <v>50</v>
      </c>
      <c r="BI24" s="67">
        <f>SUM(BI9:BI22)</f>
        <v>963353</v>
      </c>
      <c r="BJ24" s="68">
        <f>SUM(BI24/963353)</f>
        <v>1</v>
      </c>
      <c r="BK24" s="48">
        <f t="shared" si="70"/>
        <v>4200</v>
      </c>
      <c r="BL24" s="70">
        <f t="shared" si="71"/>
        <v>0.189</v>
      </c>
      <c r="BM24" s="46">
        <f t="shared" si="72"/>
        <v>1.4279999999999999</v>
      </c>
      <c r="BN24" s="74">
        <f>SUM(BM24*0.09)/92</f>
        <v>1.3969565217391304E-3</v>
      </c>
      <c r="BO24" s="45">
        <f t="shared" si="73"/>
        <v>36.54</v>
      </c>
      <c r="BP24" s="74">
        <f>SUM(BO24*0.09)/92</f>
        <v>3.574565217391304E-2</v>
      </c>
      <c r="BQ24" s="45">
        <f t="shared" si="74"/>
        <v>10.122</v>
      </c>
      <c r="BR24" s="70">
        <f>SUM(BQ24*0.09)/92</f>
        <v>9.9019565217391293E-3</v>
      </c>
      <c r="BS24" s="70">
        <f>SUM(BQ24*0.46)/90</f>
        <v>5.1734666666666672E-2</v>
      </c>
      <c r="BT24" s="72">
        <f t="shared" si="75"/>
        <v>89.46</v>
      </c>
      <c r="BU24" s="69">
        <f t="shared" si="76"/>
        <v>4.9139999999999997</v>
      </c>
      <c r="BV24" s="69">
        <f t="shared" si="77"/>
        <v>2.1924000000000001</v>
      </c>
      <c r="BW24" s="69">
        <f t="shared" si="78"/>
        <v>4.41</v>
      </c>
      <c r="BX24" s="69">
        <f t="shared" si="79"/>
        <v>1.68</v>
      </c>
      <c r="BY24" s="69">
        <f t="shared" si="80"/>
        <v>2.73</v>
      </c>
      <c r="BZ24" s="45">
        <f t="shared" si="81"/>
        <v>2.0244</v>
      </c>
      <c r="CA24" s="71"/>
      <c r="CB24" s="2" t="s">
        <v>50</v>
      </c>
      <c r="CC24" s="67">
        <v>963353</v>
      </c>
      <c r="CD24" s="68">
        <f t="shared" si="82"/>
        <v>1</v>
      </c>
      <c r="CE24" s="48">
        <f t="shared" si="83"/>
        <v>70854</v>
      </c>
      <c r="CF24" s="70">
        <f t="shared" si="25"/>
        <v>69.313695652173905</v>
      </c>
      <c r="CG24" s="69">
        <f t="shared" si="84"/>
        <v>18.422040000000003</v>
      </c>
      <c r="CH24" s="70">
        <f>SUM(CG24*0.09)/92</f>
        <v>1.8021560869565217E-2</v>
      </c>
      <c r="CI24" s="69">
        <f t="shared" si="85"/>
        <v>474.72179999999997</v>
      </c>
      <c r="CJ24" s="70">
        <f>SUM(CI24*0.09)/92</f>
        <v>0.46440176086956519</v>
      </c>
      <c r="CK24" s="69">
        <f t="shared" si="86"/>
        <v>134.62260000000001</v>
      </c>
      <c r="CL24" s="70">
        <f>SUM(CK24*0.09)/92</f>
        <v>0.13169602173913045</v>
      </c>
      <c r="CM24" s="70">
        <f>SUM(CK24*0.46)/90</f>
        <v>0.68807106666666673</v>
      </c>
      <c r="CN24" s="69">
        <f t="shared" si="87"/>
        <v>2.1256200000000001</v>
      </c>
      <c r="CO24" s="69">
        <f t="shared" si="88"/>
        <v>0.70853999999999995</v>
      </c>
      <c r="CP24" s="69">
        <f t="shared" si="89"/>
        <v>1.7713500000000002</v>
      </c>
      <c r="CQ24" s="69">
        <f t="shared" si="90"/>
        <v>0.35426999999999997</v>
      </c>
      <c r="CR24" s="69">
        <f t="shared" si="91"/>
        <v>1.4170799999999999</v>
      </c>
      <c r="CS24" s="69">
        <f t="shared" si="92"/>
        <v>1.06281</v>
      </c>
      <c r="CT24" s="69">
        <f t="shared" si="93"/>
        <v>1.7713500000000002</v>
      </c>
      <c r="CU24" s="71"/>
      <c r="CV24" s="2" t="s">
        <v>50</v>
      </c>
      <c r="CW24" s="75">
        <f t="shared" si="94"/>
        <v>73737</v>
      </c>
      <c r="CX24" s="76">
        <f>SUM(CX9:CX23)</f>
        <v>67925.900000000009</v>
      </c>
      <c r="CY24" s="76">
        <f>SUM(CY9:CY23)</f>
        <v>5811.0999999999985</v>
      </c>
      <c r="CZ24" s="77">
        <f t="shared" si="95"/>
        <v>7.895516304347824</v>
      </c>
      <c r="DA24" s="77">
        <f t="shared" si="96"/>
        <v>347.17682222222226</v>
      </c>
      <c r="DB24" s="78">
        <f t="shared" si="97"/>
        <v>29.701177777777769</v>
      </c>
      <c r="DC24" s="77">
        <f t="shared" si="98"/>
        <v>376.87800000000004</v>
      </c>
      <c r="DD24" s="79"/>
      <c r="DE24" s="77">
        <f t="shared" si="99"/>
        <v>13220.400000000001</v>
      </c>
      <c r="DF24" s="76">
        <f>SUM(DF9:DF23)</f>
        <v>12132.500000000002</v>
      </c>
      <c r="DG24" s="76">
        <f>SUM(DG9:DG23)</f>
        <v>1087.8999999999999</v>
      </c>
      <c r="DH24" s="52">
        <f t="shared" si="100"/>
        <v>1.4781249999999999</v>
      </c>
      <c r="DI24" s="79"/>
      <c r="DJ24" s="80">
        <f t="shared" si="101"/>
        <v>10814.500000000002</v>
      </c>
      <c r="DK24" s="76">
        <f>SUM(DK9:DK23)</f>
        <v>9781.3000000000011</v>
      </c>
      <c r="DL24" s="76">
        <f>SUM(DL9:DL23)</f>
        <v>1033.2</v>
      </c>
      <c r="DM24" s="79"/>
      <c r="DN24" s="55">
        <f t="shared" si="102"/>
        <v>10806</v>
      </c>
      <c r="DO24" s="76">
        <f>SUM(DO9:DO23)</f>
        <v>9772.7999999999993</v>
      </c>
      <c r="DP24" s="76">
        <f>SUM(DP9:DP23)</f>
        <v>1033.2</v>
      </c>
      <c r="DQ24" s="79"/>
      <c r="DR24" s="81"/>
      <c r="DS24" s="2" t="s">
        <v>50</v>
      </c>
      <c r="DT24" s="80">
        <f t="shared" si="103"/>
        <v>1135.3</v>
      </c>
      <c r="DU24" s="76">
        <f>SUM(DU9:DU23)</f>
        <v>1105.5999999999999</v>
      </c>
      <c r="DV24" s="76">
        <f>SUM(DV9:DV23)</f>
        <v>29.7</v>
      </c>
      <c r="DW24" s="82">
        <f t="shared" si="104"/>
        <v>4.0353260869565213E-2</v>
      </c>
      <c r="DX24" s="79"/>
      <c r="DY24" s="80">
        <f t="shared" si="105"/>
        <v>604.70000000000005</v>
      </c>
      <c r="DZ24" s="76">
        <f>SUM(DZ9:DZ23)</f>
        <v>575.6</v>
      </c>
      <c r="EA24" s="76">
        <f>SUM(EA9:EA23)</f>
        <v>29.099999999999998</v>
      </c>
      <c r="EB24" s="79"/>
      <c r="EC24" s="80">
        <f t="shared" si="106"/>
        <v>218</v>
      </c>
      <c r="ED24" s="76">
        <f>SUM(ED9:ED23)</f>
        <v>185.3</v>
      </c>
      <c r="EE24" s="76">
        <f>SUM(EE9:EE23)</f>
        <v>32.699999999999996</v>
      </c>
      <c r="EF24" s="76"/>
      <c r="EG24" s="76"/>
      <c r="EH24" s="76"/>
      <c r="EI24" s="76"/>
      <c r="EJ24" s="76"/>
      <c r="EK24" s="76"/>
      <c r="EL24" s="76"/>
      <c r="EM24" s="76"/>
      <c r="EN24" s="2" t="s">
        <v>50</v>
      </c>
      <c r="EO24" s="60">
        <f>SUM(E24,Y24,AS24,BM24,CG24,DE24)</f>
        <v>13809.702490790001</v>
      </c>
      <c r="EP24" s="61">
        <f>SUM(F24,Z24,AT24,BN24,CH24,DH24)</f>
        <v>2.0546165670771739</v>
      </c>
      <c r="EQ24" s="60">
        <f>SUM(G24,AA24,AU24,BO24,CI24,DT24)</f>
        <v>13209.581139999998</v>
      </c>
      <c r="ER24" s="61">
        <f>SUM(H24,AB24,AV24,BP24,CJ24,DW24)</f>
        <v>11.852150028260869</v>
      </c>
      <c r="ES24" s="60">
        <f>SUM(I24,AC24,AW24,BQ24,CK24,CW24)</f>
        <v>77964.827749999997</v>
      </c>
      <c r="ET24" s="61">
        <f>SUM(J24,AD24,AX24,BR24,CL24,CZ24)</f>
        <v>12.03143475543478</v>
      </c>
      <c r="EU24" s="61">
        <f>SUM(K24,AE24,AY24,BS24,CM24,DC24)</f>
        <v>398.48689738888891</v>
      </c>
      <c r="EV24" s="61">
        <f>SUM(L24,AF24,AZ24,BT24,CN24,EC24)</f>
        <v>13759.565738000003</v>
      </c>
      <c r="EW24" s="61">
        <f t="shared" si="107"/>
        <v>11603.128897400002</v>
      </c>
      <c r="EX24" s="61">
        <f>SUM(P24,AI24,BD24,BW24,CR24,DN24)</f>
        <v>11509.4147259</v>
      </c>
      <c r="EY24" s="61">
        <f>SUM(R24,AL24,BF24,BZ24,CT24,DY24)</f>
        <v>2177.7715800000001</v>
      </c>
    </row>
    <row r="25" spans="1:155" ht="15.75" customHeight="1">
      <c r="D25" s="45"/>
      <c r="E25" s="44"/>
      <c r="F25" s="47"/>
      <c r="G25" s="83"/>
      <c r="H25" s="83"/>
      <c r="I25" s="45"/>
      <c r="Q25" s="84"/>
      <c r="R25" s="45"/>
      <c r="S25" s="3"/>
      <c r="W25" s="45"/>
      <c r="X25" s="45"/>
      <c r="Y25" s="45"/>
      <c r="Z25" s="85"/>
      <c r="AB25" s="84"/>
      <c r="AC25" s="45"/>
      <c r="AD25" s="85"/>
      <c r="AE25" s="85"/>
      <c r="AF25" s="47"/>
      <c r="AG25" s="86"/>
      <c r="AH25" s="86"/>
      <c r="AI25" s="47"/>
      <c r="AJ25" s="47"/>
      <c r="AM25" s="3"/>
      <c r="AQ25" s="45"/>
      <c r="AR25" s="45"/>
      <c r="AS25" s="45"/>
      <c r="AT25" s="84"/>
      <c r="AV25" s="84"/>
      <c r="AW25" s="45"/>
      <c r="AX25" s="84"/>
      <c r="BA25" s="5"/>
      <c r="BB25" s="5"/>
      <c r="BG25" s="3"/>
      <c r="BK25" s="45"/>
      <c r="BL25" s="45"/>
      <c r="BM25" s="45"/>
      <c r="BQ25" s="45"/>
      <c r="BU25" s="5"/>
      <c r="BV25" s="5"/>
      <c r="BX25" s="45"/>
      <c r="CA25" s="3"/>
      <c r="CE25" s="45"/>
      <c r="CF25" s="45"/>
      <c r="CG25" s="45"/>
      <c r="CK25" s="45"/>
      <c r="CO25" s="5"/>
      <c r="CP25" s="5"/>
      <c r="CU25" s="3"/>
      <c r="CV25" s="11"/>
      <c r="CW25" s="11"/>
      <c r="CX25" s="11"/>
      <c r="CY25" s="11"/>
      <c r="CZ25" s="62"/>
      <c r="DA25" s="62"/>
      <c r="DB25" s="87"/>
      <c r="DC25" s="88"/>
      <c r="DD25" s="79"/>
      <c r="DE25" s="88"/>
      <c r="DF25" s="89"/>
      <c r="DG25" s="89"/>
      <c r="DH25" s="88"/>
      <c r="DI25" s="79"/>
      <c r="DJ25" s="81"/>
      <c r="DK25" s="62"/>
      <c r="DL25" s="62"/>
      <c r="DM25" s="90"/>
      <c r="DN25" s="91"/>
      <c r="DO25" s="92"/>
      <c r="DP25" s="62"/>
      <c r="DQ25" s="90"/>
      <c r="DR25" s="93"/>
      <c r="DT25" s="91"/>
      <c r="DU25" s="92"/>
      <c r="DV25" s="62"/>
      <c r="DW25" s="88"/>
      <c r="DX25" s="79"/>
      <c r="DY25" s="81"/>
      <c r="DZ25" s="92"/>
      <c r="EA25" s="62"/>
      <c r="EB25" s="90"/>
      <c r="EC25" s="93"/>
      <c r="ED25" s="92"/>
      <c r="EE25" s="62"/>
      <c r="EF25" s="62"/>
      <c r="EG25" s="62"/>
      <c r="EH25" s="62"/>
      <c r="EI25" s="62"/>
      <c r="EJ25" s="62"/>
      <c r="EK25" s="62"/>
      <c r="EL25" s="62"/>
      <c r="EM25" s="62"/>
      <c r="EO25" s="60"/>
      <c r="EP25" s="61"/>
      <c r="EQ25" s="60"/>
      <c r="ES25" s="94"/>
    </row>
    <row r="26" spans="1:155" ht="10.9" customHeight="1">
      <c r="D26" s="1" t="s">
        <v>67</v>
      </c>
      <c r="E26" s="94">
        <f t="shared" ref="E26:R26" si="108">SUM(E24-E27)</f>
        <v>0</v>
      </c>
      <c r="F26" s="47">
        <f t="shared" si="108"/>
        <v>0</v>
      </c>
      <c r="G26" s="94">
        <f t="shared" si="108"/>
        <v>0</v>
      </c>
      <c r="H26" s="94">
        <f t="shared" si="108"/>
        <v>0</v>
      </c>
      <c r="I26" s="94">
        <f t="shared" si="108"/>
        <v>0</v>
      </c>
      <c r="J26" s="94">
        <f t="shared" si="108"/>
        <v>0</v>
      </c>
      <c r="K26" s="94">
        <f t="shared" si="108"/>
        <v>0</v>
      </c>
      <c r="L26" s="94">
        <f t="shared" si="108"/>
        <v>0</v>
      </c>
      <c r="M26" s="94">
        <f t="shared" si="108"/>
        <v>0</v>
      </c>
      <c r="N26" s="95">
        <f t="shared" si="108"/>
        <v>0</v>
      </c>
      <c r="O26" s="94">
        <f t="shared" si="108"/>
        <v>0</v>
      </c>
      <c r="P26" s="94">
        <f t="shared" si="108"/>
        <v>0</v>
      </c>
      <c r="Q26" s="84">
        <f t="shared" si="108"/>
        <v>0</v>
      </c>
      <c r="R26" s="47">
        <f t="shared" si="108"/>
        <v>0</v>
      </c>
      <c r="S26" s="3"/>
      <c r="W26" s="96"/>
      <c r="X26" s="96" t="s">
        <v>67</v>
      </c>
      <c r="Y26" s="46">
        <f>SUM(Y24-Y27)</f>
        <v>193.31282917505104</v>
      </c>
      <c r="Z26" s="46">
        <f t="shared" ref="Z26:AL26" si="109">SUM(Z24-Z27)</f>
        <v>0.18911037636689776</v>
      </c>
      <c r="AA26" s="44">
        <f t="shared" si="109"/>
        <v>4880.2677772102643</v>
      </c>
      <c r="AB26" s="46">
        <f t="shared" si="109"/>
        <v>4.7741749994448242</v>
      </c>
      <c r="AC26" s="44">
        <f t="shared" si="109"/>
        <v>1355.6299381139625</v>
      </c>
      <c r="AD26" s="46">
        <f t="shared" si="109"/>
        <v>1.3261597220680068</v>
      </c>
      <c r="AE26" s="46">
        <f t="shared" si="109"/>
        <v>6.9287752392491413</v>
      </c>
      <c r="AF26" s="45">
        <f t="shared" si="109"/>
        <v>11549.967072730962</v>
      </c>
      <c r="AG26" s="45">
        <f t="shared" si="109"/>
        <v>645.27985054224609</v>
      </c>
      <c r="AH26" s="45">
        <f t="shared" si="109"/>
        <v>292.8160666326159</v>
      </c>
      <c r="AI26" s="45">
        <f t="shared" si="109"/>
        <v>577.4983536365479</v>
      </c>
      <c r="AJ26" s="45">
        <f t="shared" si="109"/>
        <v>225.03456972691779</v>
      </c>
      <c r="AK26" s="45">
        <f t="shared" si="109"/>
        <v>352.46378390963031</v>
      </c>
      <c r="AL26" s="45">
        <f t="shared" si="109"/>
        <v>271.12598762279248</v>
      </c>
      <c r="AM26" s="3"/>
      <c r="AQ26" s="96"/>
      <c r="AR26" s="96" t="s">
        <v>67</v>
      </c>
      <c r="AS26" s="47">
        <f>SUM(AS24-AS27)</f>
        <v>297.06793555093509</v>
      </c>
      <c r="AT26" s="47">
        <f t="shared" ref="AT26:BF26" si="110">SUM(AT24-AT27)</f>
        <v>0.29060993695200171</v>
      </c>
      <c r="AU26" s="47">
        <f t="shared" si="110"/>
        <v>5077.1610803250733</v>
      </c>
      <c r="AV26" s="47">
        <f t="shared" si="110"/>
        <v>4.9667880133614846</v>
      </c>
      <c r="AW26" s="47">
        <f t="shared" si="110"/>
        <v>2160.4940767340736</v>
      </c>
      <c r="AX26" s="47">
        <f t="shared" si="110"/>
        <v>2.1135268141963759</v>
      </c>
      <c r="AY26" s="47">
        <f t="shared" si="110"/>
        <v>11.042525281085265</v>
      </c>
      <c r="AZ26" s="47">
        <f t="shared" si="110"/>
        <v>32.407411151011104</v>
      </c>
      <c r="BA26" s="47">
        <f t="shared" si="110"/>
        <v>10.802470383670368</v>
      </c>
      <c r="BB26" s="47">
        <f>SUM(BB24-BB27)</f>
        <v>28.086422997542954</v>
      </c>
      <c r="BC26" s="47">
        <f t="shared" si="110"/>
        <v>5.9413587110187027</v>
      </c>
      <c r="BD26" s="47">
        <f>SUM(BD24-BD27)</f>
        <v>23.22531132489129</v>
      </c>
      <c r="BE26" s="47">
        <f t="shared" si="110"/>
        <v>17.283952613872589</v>
      </c>
      <c r="BF26" s="47">
        <f t="shared" si="110"/>
        <v>1080.2470383670368</v>
      </c>
      <c r="BG26" s="3"/>
      <c r="BK26" s="97" t="s">
        <v>67</v>
      </c>
      <c r="BL26" s="97"/>
      <c r="BM26" s="94">
        <f>SUM(BM24-BM27)</f>
        <v>1.2297141421680318</v>
      </c>
      <c r="BN26" s="95">
        <f t="shared" ref="BN26:BW26" si="111">SUM(BN24-BN27)</f>
        <v>1.2029812260339443E-3</v>
      </c>
      <c r="BO26" s="94">
        <f t="shared" si="111"/>
        <v>31.46621481429964</v>
      </c>
      <c r="BP26" s="94">
        <f t="shared" si="111"/>
        <v>3.0782166666162687E-2</v>
      </c>
      <c r="BQ26" s="94">
        <f t="shared" si="111"/>
        <v>8.7165031841910494</v>
      </c>
      <c r="BR26" s="94">
        <f t="shared" si="111"/>
        <v>8.5270139845347211E-3</v>
      </c>
      <c r="BS26" s="94">
        <f t="shared" si="111"/>
        <v>4.455101627475426E-2</v>
      </c>
      <c r="BT26" s="94">
        <f t="shared" si="111"/>
        <v>77.037974200526691</v>
      </c>
      <c r="BU26" s="94">
        <f t="shared" si="111"/>
        <v>4.231663371578227</v>
      </c>
      <c r="BV26" s="94">
        <f>SUM(BV24-BV27)</f>
        <v>1.8879728888579783</v>
      </c>
      <c r="BW26" s="94">
        <f t="shared" si="111"/>
        <v>3.7976466155189219</v>
      </c>
      <c r="BX26" s="94">
        <f>SUM(BX24-BX27)</f>
        <v>1.4467225201976845</v>
      </c>
      <c r="BY26" s="94">
        <f>SUM(BY24-BY27)</f>
        <v>2.3509240953212371</v>
      </c>
      <c r="BZ26" s="94">
        <f>SUM(BZ24-BZ27)</f>
        <v>1.7433006368382098</v>
      </c>
      <c r="CA26" s="3"/>
      <c r="CE26" s="96"/>
      <c r="CF26" s="96" t="s">
        <v>67</v>
      </c>
      <c r="CG26" s="45">
        <f>SUM(CG24-CG27)</f>
        <v>15.864035795227712</v>
      </c>
      <c r="CH26" s="45">
        <f t="shared" ref="CH26:CQ26" si="112">SUM(CH24-CH27)</f>
        <v>1.5519165451853195E-2</v>
      </c>
      <c r="CI26" s="45">
        <f t="shared" si="112"/>
        <v>408.80399933856017</v>
      </c>
      <c r="CJ26" s="45">
        <f t="shared" si="112"/>
        <v>0.39991695587467846</v>
      </c>
      <c r="CK26" s="45">
        <f t="shared" si="112"/>
        <v>115.92949234974097</v>
      </c>
      <c r="CL26" s="45">
        <f t="shared" si="112"/>
        <v>0.11340928599431183</v>
      </c>
      <c r="CM26" s="45">
        <f t="shared" si="112"/>
        <v>0.59252851645423166</v>
      </c>
      <c r="CN26" s="45">
        <f t="shared" si="112"/>
        <v>1.8304656686801204</v>
      </c>
      <c r="CO26" s="45">
        <f t="shared" si="112"/>
        <v>0.61015522289337343</v>
      </c>
      <c r="CP26" s="45">
        <f>SUM(CP24-CP27)</f>
        <v>1.525388057233434</v>
      </c>
      <c r="CQ26" s="45">
        <f t="shared" si="112"/>
        <v>0.30507761144668671</v>
      </c>
      <c r="CR26" s="45">
        <f>SUM(CR24-CR27)</f>
        <v>1.2203104457867469</v>
      </c>
      <c r="CS26" s="45">
        <f>SUM(CS24-CS27)</f>
        <v>0.9152328343400602</v>
      </c>
      <c r="CT26" s="45">
        <f>SUM(CT24-CT27)</f>
        <v>1.525388057233434</v>
      </c>
      <c r="CU26" s="3"/>
      <c r="CV26" s="57" t="s">
        <v>67</v>
      </c>
      <c r="CW26" s="98"/>
      <c r="CX26" s="52">
        <f t="shared" ref="CX26:DC26" si="113">SUM(CX24-CX27)</f>
        <v>48995.500000000015</v>
      </c>
      <c r="CY26" s="52">
        <f t="shared" si="113"/>
        <v>1662.9999999999991</v>
      </c>
      <c r="CZ26" s="52">
        <f t="shared" si="113"/>
        <v>2.2595108695652151</v>
      </c>
      <c r="DA26" s="52">
        <f t="shared" si="113"/>
        <v>250.42144444444449</v>
      </c>
      <c r="DB26" s="53">
        <f t="shared" si="113"/>
        <v>8.4997777777777657</v>
      </c>
      <c r="DC26" s="52">
        <f t="shared" si="113"/>
        <v>258.92122222222224</v>
      </c>
      <c r="DD26" s="54"/>
      <c r="DE26" s="52">
        <f>SUM(DE24-DE27)</f>
        <v>9262.2000000000007</v>
      </c>
      <c r="DF26" s="52">
        <f>SUM(DF24-DF27)</f>
        <v>8950.9000000000015</v>
      </c>
      <c r="DG26" s="52">
        <f>SUM(DG24-DG27)</f>
        <v>311.29999999999984</v>
      </c>
      <c r="DH26" s="52">
        <f>SUM(DH24-DH27)</f>
        <v>0.42296195652173907</v>
      </c>
      <c r="DI26" s="54" t="e">
        <f>SUM(#REF!-DI27)</f>
        <v>#REF!</v>
      </c>
      <c r="DJ26" s="52">
        <f>SUM(DJ24-DJ27)</f>
        <v>7364.300000000002</v>
      </c>
      <c r="DK26" s="52">
        <f>SUM(DK24-DK27)</f>
        <v>7068.6000000000013</v>
      </c>
      <c r="DL26" s="52">
        <f>SUM(DL24-DL27)</f>
        <v>295.69999999999993</v>
      </c>
      <c r="DM26" s="54"/>
      <c r="DN26" s="52">
        <f>SUM(DN24-DN27)</f>
        <v>7355.8</v>
      </c>
      <c r="DO26" s="52">
        <f>SUM(DO24-DO27)</f>
        <v>7060.0999999999995</v>
      </c>
      <c r="DP26" s="52">
        <f>SUM(DP24-DP27)</f>
        <v>861</v>
      </c>
      <c r="DQ26" s="54"/>
      <c r="DR26" s="55"/>
      <c r="DS26" s="57" t="s">
        <v>67</v>
      </c>
      <c r="DT26" s="52">
        <f>SUM(DT24-DT27)</f>
        <v>835.89999999999986</v>
      </c>
      <c r="DU26" s="52">
        <f>SUM(DU24-DU27)</f>
        <v>827.39999999999986</v>
      </c>
      <c r="DV26" s="52">
        <f>SUM(DV24-DV27)</f>
        <v>8.4999999999999964</v>
      </c>
      <c r="DW26" s="52">
        <f>SUM(DW24-DW27)</f>
        <v>1.1548913043478257E-2</v>
      </c>
      <c r="DX26" s="54" t="e">
        <f>SUM(#REF!-DX27)</f>
        <v>#REF!</v>
      </c>
      <c r="DY26" s="52">
        <f>SUM(DY24-DY27)</f>
        <v>418.6</v>
      </c>
      <c r="DZ26" s="52">
        <f>SUM(DZ24-DZ27)</f>
        <v>410.3</v>
      </c>
      <c r="EA26" s="52">
        <f>SUM(EA24-EA27)</f>
        <v>8.2999999999999972</v>
      </c>
      <c r="EB26" s="54"/>
      <c r="EC26" s="52">
        <f>SUM(EC24-EC27)</f>
        <v>132.10000000000002</v>
      </c>
      <c r="ED26" s="52">
        <f>SUM(ED24-ED27)</f>
        <v>122.80000000000001</v>
      </c>
      <c r="EE26" s="52">
        <f>SUM(EE24-EE27)</f>
        <v>9.2999999999999972</v>
      </c>
      <c r="EF26" s="52"/>
      <c r="EG26" s="52"/>
      <c r="EH26" s="52"/>
      <c r="EI26" s="52"/>
      <c r="EJ26" s="52"/>
      <c r="EK26" s="52"/>
      <c r="EL26" s="52"/>
      <c r="EM26" s="52"/>
      <c r="EN26" s="98" t="s">
        <v>67</v>
      </c>
      <c r="EO26" s="99">
        <f>SUM(EO24-EO27)</f>
        <v>9769.6745146633839</v>
      </c>
      <c r="EP26" s="52">
        <f t="shared" ref="EP26:EY26" si="114">SUM(EP24-EP27)</f>
        <v>0.91940441651852578</v>
      </c>
      <c r="EQ26" s="99">
        <f t="shared" si="114"/>
        <v>11233.599071688195</v>
      </c>
      <c r="ER26" s="52">
        <f t="shared" si="114"/>
        <v>10.183211048390628</v>
      </c>
      <c r="ES26" s="99">
        <f t="shared" si="114"/>
        <v>54299.270010381966</v>
      </c>
      <c r="ET26" s="52">
        <f t="shared" si="114"/>
        <v>5.8211337058084451</v>
      </c>
      <c r="EU26" s="52">
        <f t="shared" si="114"/>
        <v>277.52960227528564</v>
      </c>
      <c r="EV26" s="52">
        <f t="shared" si="114"/>
        <v>11793.342923751181</v>
      </c>
      <c r="EW26" s="52">
        <f t="shared" si="114"/>
        <v>8043.4233249686022</v>
      </c>
      <c r="EX26" s="52">
        <f t="shared" si="114"/>
        <v>7961.5416220227453</v>
      </c>
      <c r="EY26" s="52">
        <f t="shared" si="114"/>
        <v>1773.2417146839011</v>
      </c>
    </row>
    <row r="27" spans="1:155" ht="12" customHeight="1">
      <c r="B27" s="17"/>
      <c r="D27" s="1" t="s">
        <v>52</v>
      </c>
      <c r="E27" s="95">
        <f>SUM(E10,E14,E15,E16)</f>
        <v>0</v>
      </c>
      <c r="F27" s="95">
        <f t="shared" ref="F27:R27" si="115">SUM(F10,F14,F15,F16)</f>
        <v>0</v>
      </c>
      <c r="G27" s="95">
        <f t="shared" si="115"/>
        <v>0</v>
      </c>
      <c r="H27" s="95">
        <f t="shared" si="115"/>
        <v>0</v>
      </c>
      <c r="I27" s="95">
        <f t="shared" si="115"/>
        <v>0</v>
      </c>
      <c r="J27" s="95">
        <f t="shared" si="115"/>
        <v>0</v>
      </c>
      <c r="K27" s="95">
        <f t="shared" si="115"/>
        <v>0</v>
      </c>
      <c r="L27" s="95">
        <f t="shared" si="115"/>
        <v>0</v>
      </c>
      <c r="M27" s="95">
        <f t="shared" si="115"/>
        <v>0</v>
      </c>
      <c r="N27" s="95">
        <f t="shared" si="115"/>
        <v>0</v>
      </c>
      <c r="O27" s="95">
        <f t="shared" si="115"/>
        <v>0</v>
      </c>
      <c r="P27" s="95">
        <f t="shared" si="115"/>
        <v>0</v>
      </c>
      <c r="Q27" s="95">
        <f t="shared" si="115"/>
        <v>0</v>
      </c>
      <c r="R27" s="95">
        <f t="shared" si="115"/>
        <v>0</v>
      </c>
      <c r="S27" s="3"/>
      <c r="W27" s="96"/>
      <c r="X27" s="96" t="s">
        <v>52</v>
      </c>
      <c r="Y27" s="100">
        <f>SUM(Y10,Y14,Y15,Y16)</f>
        <v>31.170821614948967</v>
      </c>
      <c r="Z27" s="100">
        <f t="shared" ref="Z27:AL27" si="116">SUM(Z10,Z14,Z15,Z16)</f>
        <v>3.0493195058102253E-2</v>
      </c>
      <c r="AA27" s="101">
        <f t="shared" si="116"/>
        <v>786.92116278973549</v>
      </c>
      <c r="AB27" s="100">
        <f t="shared" si="116"/>
        <v>0.76981418098995857</v>
      </c>
      <c r="AC27" s="101">
        <f t="shared" si="116"/>
        <v>218.58921188603765</v>
      </c>
      <c r="AD27" s="100">
        <f t="shared" si="116"/>
        <v>0.21383727249721074</v>
      </c>
      <c r="AE27" s="100">
        <f t="shared" si="116"/>
        <v>1.1172337496397482</v>
      </c>
      <c r="AF27" s="101">
        <f t="shared" si="116"/>
        <v>1862.3800852690408</v>
      </c>
      <c r="AG27" s="101">
        <f t="shared" si="116"/>
        <v>104.04846485775391</v>
      </c>
      <c r="AH27" s="101">
        <f t="shared" si="116"/>
        <v>47.215269767384136</v>
      </c>
      <c r="AI27" s="101">
        <f t="shared" si="116"/>
        <v>93.119004263452027</v>
      </c>
      <c r="AJ27" s="101">
        <f t="shared" si="116"/>
        <v>36.285809173082242</v>
      </c>
      <c r="AK27" s="101">
        <f t="shared" si="116"/>
        <v>56.833195090369792</v>
      </c>
      <c r="AL27" s="101">
        <f t="shared" si="116"/>
        <v>43.717842377207525</v>
      </c>
      <c r="AM27" s="3"/>
      <c r="AQ27" s="96"/>
      <c r="AR27" s="96" t="s">
        <v>52</v>
      </c>
      <c r="AS27" s="45">
        <f>SUM(AS10,AS14,AS15,AS16)</f>
        <v>47.900864449064883</v>
      </c>
      <c r="AT27" s="45">
        <f t="shared" ref="AT27:BF27" si="117">SUM(AT10,AT14,AT15,AT16)</f>
        <v>4.6859541308867811E-2</v>
      </c>
      <c r="AU27" s="45">
        <f t="shared" si="117"/>
        <v>818.66931967492701</v>
      </c>
      <c r="AV27" s="45">
        <f t="shared" si="117"/>
        <v>0.80087216055155896</v>
      </c>
      <c r="AW27" s="45">
        <f t="shared" si="117"/>
        <v>348.36992326592645</v>
      </c>
      <c r="AX27" s="45">
        <f t="shared" si="117"/>
        <v>0.34079666406449322</v>
      </c>
      <c r="AY27" s="45">
        <f t="shared" si="117"/>
        <v>1.7805573855814016</v>
      </c>
      <c r="AZ27" s="45">
        <f t="shared" si="117"/>
        <v>5.2255488489888959</v>
      </c>
      <c r="BA27" s="45">
        <f t="shared" si="117"/>
        <v>1.741849616329632</v>
      </c>
      <c r="BB27" s="45">
        <f>SUM(BB10,BB14,BB15,BB16)</f>
        <v>4.5288090024570433</v>
      </c>
      <c r="BC27" s="45">
        <f t="shared" si="117"/>
        <v>0.95801728898129768</v>
      </c>
      <c r="BD27" s="45">
        <f>SUM(BD10,BD14,BD15,BD16)</f>
        <v>3.7449766751087088</v>
      </c>
      <c r="BE27" s="45">
        <f t="shared" si="117"/>
        <v>2.7869593861274113</v>
      </c>
      <c r="BF27" s="45">
        <f t="shared" si="117"/>
        <v>174.18496163296322</v>
      </c>
      <c r="BG27" s="3"/>
      <c r="BK27" s="21" t="s">
        <v>52</v>
      </c>
      <c r="BL27" s="21"/>
      <c r="BM27" s="95">
        <f>SUM(BM10,BM14,BM15,BM16)</f>
        <v>0.19828585783196817</v>
      </c>
      <c r="BN27" s="102">
        <f t="shared" ref="BN27:BW27" si="118">SUM(BN10,BN14,BN15,BN16)</f>
        <v>1.9397529570518623E-4</v>
      </c>
      <c r="BO27" s="95">
        <f t="shared" si="118"/>
        <v>5.0737851857003609</v>
      </c>
      <c r="BP27" s="95">
        <f t="shared" si="118"/>
        <v>4.9634855077503523E-3</v>
      </c>
      <c r="BQ27" s="95">
        <f t="shared" si="118"/>
        <v>1.4054968158089509</v>
      </c>
      <c r="BR27" s="95">
        <f t="shared" si="118"/>
        <v>1.3749425372044082E-3</v>
      </c>
      <c r="BS27" s="95">
        <f t="shared" si="118"/>
        <v>7.1836503919124155E-3</v>
      </c>
      <c r="BT27" s="95">
        <f t="shared" si="118"/>
        <v>12.422025799473298</v>
      </c>
      <c r="BU27" s="95">
        <f t="shared" si="118"/>
        <v>0.68233662842177267</v>
      </c>
      <c r="BV27" s="95">
        <f>SUM(BV10,BV14,BV15,BV16)</f>
        <v>0.3044271111420217</v>
      </c>
      <c r="BW27" s="95">
        <f t="shared" si="118"/>
        <v>0.61235338448107812</v>
      </c>
      <c r="BX27" s="95">
        <f>SUM(BX10,BX14,BX15,BX16)</f>
        <v>0.23327747980231547</v>
      </c>
      <c r="BY27" s="95">
        <f>SUM(BY10,BY14,BY15,BY16)</f>
        <v>0.37907590467876262</v>
      </c>
      <c r="BZ27" s="95">
        <f>SUM(BZ10,BZ14,BZ15,BZ16)</f>
        <v>0.28109936316179013</v>
      </c>
      <c r="CA27" s="3"/>
      <c r="CE27" s="96"/>
      <c r="CF27" s="96" t="s">
        <v>52</v>
      </c>
      <c r="CG27" s="97">
        <f>SUM(CG10,CG14,CG15,CG16)</f>
        <v>2.5580042047722906</v>
      </c>
      <c r="CH27" s="97">
        <f t="shared" ref="CH27:CT27" si="119">SUM(CH10,CH14,CH15,CH16)</f>
        <v>2.5023954177120231E-3</v>
      </c>
      <c r="CI27" s="97">
        <f t="shared" si="119"/>
        <v>65.917800661439784</v>
      </c>
      <c r="CJ27" s="97">
        <f t="shared" si="119"/>
        <v>6.4484804994886749E-2</v>
      </c>
      <c r="CK27" s="97">
        <f t="shared" si="119"/>
        <v>18.693107650259044</v>
      </c>
      <c r="CL27" s="97">
        <f t="shared" si="119"/>
        <v>1.8286735744818629E-2</v>
      </c>
      <c r="CM27" s="97">
        <f t="shared" si="119"/>
        <v>9.5542550212435115E-2</v>
      </c>
      <c r="CN27" s="97">
        <f t="shared" si="119"/>
        <v>0.29515433131987967</v>
      </c>
      <c r="CO27" s="97">
        <f t="shared" si="119"/>
        <v>9.8384777106626548E-2</v>
      </c>
      <c r="CP27" s="97">
        <f t="shared" si="119"/>
        <v>0.24596194276656635</v>
      </c>
      <c r="CQ27" s="97">
        <f t="shared" si="119"/>
        <v>4.9192388553313274E-2</v>
      </c>
      <c r="CR27" s="97">
        <f t="shared" si="119"/>
        <v>0.1967695542132531</v>
      </c>
      <c r="CS27" s="97">
        <f t="shared" si="119"/>
        <v>0.14757716565993984</v>
      </c>
      <c r="CT27" s="97">
        <f t="shared" si="119"/>
        <v>0.24596194276656635</v>
      </c>
      <c r="CU27" s="3"/>
      <c r="CV27" s="57" t="s">
        <v>52</v>
      </c>
      <c r="CW27" s="57"/>
      <c r="CX27" s="99">
        <f t="shared" ref="CX27:DC27" si="120">SUM(CX10,CX14,CX15,CX16)</f>
        <v>18930.399999999998</v>
      </c>
      <c r="CY27" s="99">
        <f t="shared" si="120"/>
        <v>4148.0999999999995</v>
      </c>
      <c r="CZ27" s="99">
        <f t="shared" si="120"/>
        <v>5.636005434782609</v>
      </c>
      <c r="DA27" s="99">
        <f t="shared" si="120"/>
        <v>96.755377777777781</v>
      </c>
      <c r="DB27" s="53">
        <f t="shared" si="120"/>
        <v>21.201400000000003</v>
      </c>
      <c r="DC27" s="99">
        <f t="shared" si="120"/>
        <v>117.9567777777778</v>
      </c>
      <c r="DD27" s="103"/>
      <c r="DE27" s="99">
        <f t="shared" ref="DE27:DL27" si="121">SUM(DE10,DE14,DE15,DE16)</f>
        <v>3958.2000000000003</v>
      </c>
      <c r="DF27" s="52">
        <f t="shared" si="121"/>
        <v>3181.6000000000004</v>
      </c>
      <c r="DG27" s="52">
        <f t="shared" si="121"/>
        <v>776.6</v>
      </c>
      <c r="DH27" s="52">
        <f t="shared" si="121"/>
        <v>1.0551630434782608</v>
      </c>
      <c r="DI27" s="103">
        <f t="shared" si="121"/>
        <v>0</v>
      </c>
      <c r="DJ27" s="52">
        <f t="shared" si="121"/>
        <v>3450.2</v>
      </c>
      <c r="DK27" s="52">
        <f t="shared" si="121"/>
        <v>2712.7</v>
      </c>
      <c r="DL27" s="52">
        <f t="shared" si="121"/>
        <v>737.50000000000011</v>
      </c>
      <c r="DM27" s="103"/>
      <c r="DN27" s="52">
        <f>SUM(DN10,DN14,DN15,DN16)</f>
        <v>3450.2</v>
      </c>
      <c r="DO27" s="99">
        <f>SUM(DO10,DO14,DO15,DO16)</f>
        <v>2712.7</v>
      </c>
      <c r="DP27" s="52">
        <f>SUM(DP11,DP15,DP16,DP17)</f>
        <v>172.20000000000002</v>
      </c>
      <c r="DQ27" s="103"/>
      <c r="DR27" s="104"/>
      <c r="DS27" s="57" t="s">
        <v>52</v>
      </c>
      <c r="DT27" s="52">
        <f t="shared" ref="DT27:EA27" si="122">SUM(DT10,DT14,DT15,DT16)</f>
        <v>299.40000000000003</v>
      </c>
      <c r="DU27" s="99">
        <f t="shared" si="122"/>
        <v>278.2</v>
      </c>
      <c r="DV27" s="52">
        <f t="shared" si="122"/>
        <v>21.200000000000003</v>
      </c>
      <c r="DW27" s="52">
        <f t="shared" si="122"/>
        <v>2.8804347826086957E-2</v>
      </c>
      <c r="DX27" s="103">
        <f t="shared" si="122"/>
        <v>0</v>
      </c>
      <c r="DY27" s="52">
        <f t="shared" si="122"/>
        <v>186.1</v>
      </c>
      <c r="DZ27" s="99">
        <f t="shared" si="122"/>
        <v>165.3</v>
      </c>
      <c r="EA27" s="52">
        <f t="shared" si="122"/>
        <v>20.8</v>
      </c>
      <c r="EB27" s="103"/>
      <c r="EC27" s="52">
        <f>SUM(EC10,EC14,EC15,EC16)</f>
        <v>85.899999999999991</v>
      </c>
      <c r="ED27" s="99">
        <f>SUM(ED10,ED14,ED15,ED16)</f>
        <v>62.5</v>
      </c>
      <c r="EE27" s="52">
        <f>SUM(EE10,EE14,EE15,EE16)</f>
        <v>23.4</v>
      </c>
      <c r="EF27" s="52"/>
      <c r="EG27" s="52"/>
      <c r="EH27" s="52"/>
      <c r="EI27" s="52"/>
      <c r="EJ27" s="52"/>
      <c r="EK27" s="52"/>
      <c r="EL27" s="52"/>
      <c r="EM27" s="52"/>
      <c r="EN27" s="98" t="s">
        <v>52</v>
      </c>
      <c r="EO27" s="99">
        <f>SUM(EO10,EO14,EO15,EO16)</f>
        <v>4040.0279761266183</v>
      </c>
      <c r="EP27" s="52">
        <f t="shared" ref="EP27:EY27" si="123">SUM(EP10,EP14,EP15,EP16)</f>
        <v>1.1352121505586481</v>
      </c>
      <c r="EQ27" s="99">
        <f t="shared" si="123"/>
        <v>1975.9820683118025</v>
      </c>
      <c r="ER27" s="52">
        <f t="shared" si="123"/>
        <v>1.6689389798702416</v>
      </c>
      <c r="ES27" s="99">
        <f t="shared" si="123"/>
        <v>23665.557739618034</v>
      </c>
      <c r="ET27" s="52">
        <f t="shared" si="123"/>
        <v>6.2103010496263353</v>
      </c>
      <c r="EU27" s="52">
        <f t="shared" si="123"/>
        <v>120.95729511360328</v>
      </c>
      <c r="EV27" s="52">
        <f t="shared" si="123"/>
        <v>1966.2228142488227</v>
      </c>
      <c r="EW27" s="52">
        <f t="shared" si="123"/>
        <v>3559.7055724313991</v>
      </c>
      <c r="EX27" s="52">
        <f t="shared" si="123"/>
        <v>3547.8731038772553</v>
      </c>
      <c r="EY27" s="52">
        <f t="shared" si="123"/>
        <v>404.52986531609906</v>
      </c>
    </row>
    <row r="28" spans="1:155" ht="10.9" customHeight="1">
      <c r="S28" s="3"/>
      <c r="W28" s="17"/>
      <c r="X28" s="17"/>
      <c r="Y28" s="21"/>
      <c r="Z28" s="17"/>
      <c r="AA28" s="21"/>
      <c r="AB28" s="97"/>
      <c r="AC28" s="21"/>
      <c r="AD28" s="21"/>
      <c r="AE28" s="21"/>
      <c r="AF28" s="21"/>
      <c r="AG28" s="21"/>
      <c r="AH28" s="21"/>
      <c r="AM28" s="3"/>
      <c r="AQ28" s="17"/>
      <c r="AR28" s="17"/>
      <c r="AS28" s="21"/>
      <c r="AT28" s="17"/>
      <c r="AU28" s="21"/>
      <c r="AV28" s="97"/>
      <c r="AW28" s="21"/>
      <c r="AX28" s="21"/>
      <c r="AY28" s="21"/>
      <c r="AZ28" s="21"/>
      <c r="BA28" s="21"/>
      <c r="BB28" s="21"/>
      <c r="BG28" s="3"/>
      <c r="BH28" s="20"/>
      <c r="BI28" s="20"/>
      <c r="BJ28" s="20"/>
      <c r="BK28" s="23"/>
      <c r="BL28" s="23"/>
      <c r="BM28" s="105"/>
      <c r="BN28" s="23"/>
      <c r="BO28" s="105"/>
      <c r="BP28" s="106"/>
      <c r="BQ28" s="105"/>
      <c r="BR28" s="105"/>
      <c r="BS28" s="105"/>
      <c r="BT28" s="105"/>
      <c r="BU28" s="105"/>
      <c r="BV28" s="105"/>
      <c r="BW28" s="20"/>
      <c r="BX28" s="20"/>
      <c r="BY28" s="20"/>
      <c r="BZ28" s="20"/>
      <c r="CA28" s="3"/>
      <c r="CB28" s="1" t="s">
        <v>56</v>
      </c>
      <c r="CE28" s="17"/>
      <c r="CF28" s="17"/>
      <c r="CG28" s="21"/>
      <c r="CH28" s="17"/>
      <c r="CI28" s="21"/>
      <c r="CJ28" s="97"/>
      <c r="CK28" s="21"/>
      <c r="CL28" s="21"/>
      <c r="CM28" s="21"/>
      <c r="CN28" s="21"/>
      <c r="CO28" s="21"/>
      <c r="CP28" s="107"/>
      <c r="CR28" s="9"/>
      <c r="CU28" s="3"/>
    </row>
    <row r="29" spans="1:155" ht="10.9" customHeight="1">
      <c r="A29" s="1" t="s">
        <v>56</v>
      </c>
      <c r="S29" s="3"/>
      <c r="T29" s="1" t="s">
        <v>183</v>
      </c>
      <c r="W29" s="17"/>
      <c r="X29" s="17"/>
      <c r="Y29" s="21"/>
      <c r="Z29" s="17"/>
      <c r="AA29" s="108"/>
      <c r="AB29" s="108"/>
      <c r="AC29" s="48"/>
      <c r="AD29" s="48"/>
      <c r="AE29" s="48"/>
      <c r="AF29" s="44"/>
      <c r="AG29" s="109"/>
      <c r="AH29" s="109"/>
      <c r="AM29" s="3"/>
      <c r="AN29" s="1" t="s">
        <v>56</v>
      </c>
      <c r="AQ29" s="17"/>
      <c r="AR29" s="17"/>
      <c r="AS29" s="21"/>
      <c r="AT29" s="17"/>
      <c r="AU29" s="108"/>
      <c r="AV29" s="108"/>
      <c r="AW29" s="48"/>
      <c r="AX29" s="48"/>
      <c r="AY29" s="48"/>
      <c r="AZ29" s="44"/>
      <c r="BA29" s="109"/>
      <c r="BB29" s="109"/>
      <c r="BG29" s="3"/>
      <c r="BH29" s="20"/>
      <c r="BI29" s="20"/>
      <c r="BJ29" s="20"/>
      <c r="BK29" s="23"/>
      <c r="BL29" s="23"/>
      <c r="BM29" s="105"/>
      <c r="BN29" s="23"/>
      <c r="BO29" s="110"/>
      <c r="BP29" s="110"/>
      <c r="BQ29" s="111"/>
      <c r="BR29" s="111"/>
      <c r="BS29" s="111"/>
      <c r="BT29" s="112"/>
      <c r="BU29" s="113"/>
      <c r="BV29" s="113"/>
      <c r="BW29" s="20"/>
      <c r="BX29" s="20"/>
      <c r="BY29" s="20"/>
      <c r="BZ29" s="20"/>
      <c r="CA29" s="3"/>
      <c r="CB29" s="1" t="s">
        <v>57</v>
      </c>
      <c r="CE29" s="17"/>
      <c r="CF29" s="17"/>
      <c r="CG29" s="21"/>
      <c r="CH29" s="17"/>
      <c r="CI29" s="108"/>
      <c r="CJ29" s="108"/>
      <c r="CK29" s="48"/>
      <c r="CL29" s="48"/>
      <c r="CM29" s="48"/>
      <c r="CN29" s="44"/>
      <c r="CO29" s="109"/>
      <c r="CP29" s="114"/>
      <c r="CR29" s="9"/>
      <c r="CU29" s="3"/>
    </row>
    <row r="30" spans="1:155" ht="10.9" customHeight="1">
      <c r="A30" s="1" t="s">
        <v>57</v>
      </c>
      <c r="S30" s="3"/>
      <c r="T30" s="1" t="s">
        <v>57</v>
      </c>
      <c r="Y30" s="21"/>
      <c r="Z30" s="17"/>
      <c r="AA30" s="108"/>
      <c r="AB30" s="108"/>
      <c r="AC30" s="48"/>
      <c r="AD30" s="48"/>
      <c r="AE30" s="48"/>
      <c r="AF30" s="44"/>
      <c r="AG30" s="109"/>
      <c r="AH30" s="109"/>
      <c r="AM30" s="3"/>
      <c r="AN30" s="1" t="s">
        <v>57</v>
      </c>
      <c r="AS30" s="21"/>
      <c r="AT30" s="17"/>
      <c r="AU30" s="108"/>
      <c r="AV30" s="108"/>
      <c r="AW30" s="48"/>
      <c r="AX30" s="48"/>
      <c r="AY30" s="48"/>
      <c r="AZ30" s="44"/>
      <c r="BA30" s="109"/>
      <c r="BB30" s="109"/>
      <c r="BG30" s="3"/>
      <c r="BH30" s="20"/>
      <c r="BI30" s="20"/>
      <c r="BJ30" s="20"/>
      <c r="BK30" s="20"/>
      <c r="BL30" s="20"/>
      <c r="BM30" s="105"/>
      <c r="BN30" s="23"/>
      <c r="BO30" s="110"/>
      <c r="BP30" s="110"/>
      <c r="BQ30" s="111"/>
      <c r="BR30" s="111"/>
      <c r="BS30" s="111"/>
      <c r="BT30" s="112"/>
      <c r="BU30" s="113"/>
      <c r="BV30" s="113"/>
      <c r="BW30" s="20"/>
      <c r="BX30" s="20"/>
      <c r="BY30" s="20"/>
      <c r="BZ30" s="20"/>
      <c r="CA30" s="3"/>
      <c r="CG30" s="21"/>
      <c r="CH30" s="17"/>
      <c r="CI30" s="108"/>
      <c r="CJ30" s="108"/>
      <c r="CK30" s="48"/>
      <c r="CL30" s="48"/>
      <c r="CM30" s="48"/>
      <c r="CN30" s="44"/>
      <c r="CO30" s="109"/>
      <c r="CP30" s="114"/>
      <c r="CR30" s="9"/>
      <c r="CU30" s="3"/>
    </row>
    <row r="31" spans="1:155" ht="10.9" customHeight="1">
      <c r="S31" s="3"/>
      <c r="T31" s="1" t="s">
        <v>103</v>
      </c>
      <c r="W31" s="17"/>
      <c r="X31" s="17"/>
      <c r="Y31" s="21"/>
      <c r="Z31" s="17"/>
      <c r="AA31" s="108"/>
      <c r="AB31" s="108"/>
      <c r="AC31" s="48"/>
      <c r="AD31" s="48"/>
      <c r="AE31" s="48"/>
      <c r="AF31" s="44"/>
      <c r="AG31" s="109"/>
      <c r="AH31" s="109"/>
      <c r="AQ31" s="17"/>
      <c r="AR31" s="17"/>
      <c r="AS31" s="21"/>
      <c r="AT31" s="17"/>
      <c r="AU31" s="108"/>
      <c r="AV31" s="108"/>
      <c r="AW31" s="48"/>
      <c r="AX31" s="48"/>
      <c r="AY31" s="48"/>
      <c r="AZ31" s="44"/>
      <c r="BA31" s="109"/>
      <c r="BB31" s="109"/>
      <c r="BG31" s="3"/>
      <c r="BH31" s="20"/>
      <c r="BI31" s="20"/>
      <c r="BJ31" s="20"/>
      <c r="BK31" s="23"/>
      <c r="BL31" s="23"/>
      <c r="BM31" s="105"/>
      <c r="BN31" s="23"/>
      <c r="BO31" s="110"/>
      <c r="BP31" s="110"/>
      <c r="BQ31" s="111"/>
      <c r="BR31" s="111"/>
      <c r="BS31" s="111"/>
      <c r="BT31" s="112"/>
      <c r="BU31" s="113"/>
      <c r="BV31" s="113"/>
      <c r="BW31" s="20"/>
      <c r="BX31" s="20"/>
      <c r="BY31" s="20"/>
      <c r="BZ31" s="20"/>
      <c r="CA31" s="3"/>
      <c r="CE31" s="17"/>
      <c r="CF31" s="17"/>
      <c r="CG31" s="21"/>
      <c r="CH31" s="17"/>
      <c r="CI31" s="108"/>
      <c r="CJ31" s="108"/>
      <c r="CK31" s="48"/>
      <c r="CL31" s="48"/>
      <c r="CM31" s="48"/>
      <c r="CN31" s="44"/>
      <c r="CO31" s="109"/>
      <c r="CP31" s="114"/>
      <c r="CR31" s="9"/>
      <c r="CU31" s="3"/>
    </row>
    <row r="32" spans="1:155" ht="10.9" customHeight="1">
      <c r="W32" s="17"/>
      <c r="X32" s="17"/>
      <c r="Y32" s="21"/>
      <c r="Z32" s="17"/>
      <c r="AA32" s="108"/>
      <c r="AB32" s="108"/>
      <c r="AC32" s="48"/>
      <c r="AD32" s="48"/>
      <c r="AE32" s="48"/>
      <c r="AF32" s="44"/>
      <c r="AG32" s="109"/>
      <c r="AH32" s="109"/>
      <c r="AQ32" s="17"/>
      <c r="AR32" s="17"/>
      <c r="AS32" s="21"/>
      <c r="AT32" s="17"/>
      <c r="AU32" s="108"/>
      <c r="AV32" s="108"/>
      <c r="AW32" s="48"/>
      <c r="AX32" s="48"/>
      <c r="AY32" s="48"/>
      <c r="AZ32" s="44"/>
      <c r="BA32" s="109"/>
      <c r="BB32" s="109"/>
      <c r="BG32" s="3"/>
      <c r="BH32" s="20"/>
      <c r="BI32" s="20"/>
      <c r="BJ32" s="20"/>
      <c r="BK32" s="23"/>
      <c r="BL32" s="23"/>
      <c r="BM32" s="105"/>
      <c r="BN32" s="23"/>
      <c r="BO32" s="110"/>
      <c r="BP32" s="110"/>
      <c r="BQ32" s="111"/>
      <c r="BR32" s="111"/>
      <c r="BS32" s="111"/>
      <c r="BT32" s="112"/>
      <c r="BU32" s="113"/>
      <c r="BV32" s="113"/>
      <c r="BW32" s="20"/>
      <c r="BX32" s="20"/>
      <c r="BY32" s="20"/>
      <c r="BZ32" s="20"/>
      <c r="CA32" s="3"/>
      <c r="CE32" s="17"/>
      <c r="CF32" s="17"/>
      <c r="CG32" s="21"/>
      <c r="CH32" s="17"/>
      <c r="CI32" s="108"/>
      <c r="CJ32" s="108"/>
      <c r="CL32" s="48"/>
      <c r="CM32" s="48"/>
      <c r="CN32" s="44"/>
      <c r="CO32" s="109"/>
      <c r="CP32" s="114"/>
      <c r="CR32" s="9"/>
      <c r="CU32" s="3"/>
    </row>
    <row r="33" spans="10:150" ht="10.9" customHeight="1">
      <c r="Y33" s="21"/>
      <c r="Z33" s="17"/>
      <c r="AA33" s="108"/>
      <c r="AB33" s="108"/>
      <c r="AC33" s="48"/>
      <c r="AD33" s="48"/>
      <c r="AE33" s="48"/>
      <c r="AF33" s="44"/>
      <c r="AG33" s="109"/>
      <c r="AH33" s="109"/>
      <c r="AS33" s="21"/>
      <c r="AT33" s="17"/>
      <c r="AU33" s="108"/>
      <c r="AV33" s="108"/>
      <c r="AW33" s="48"/>
      <c r="AX33" s="48"/>
      <c r="AY33" s="48"/>
      <c r="AZ33" s="44"/>
      <c r="BA33" s="109"/>
      <c r="BB33" s="109"/>
      <c r="BG33" s="3"/>
      <c r="BH33" s="20"/>
      <c r="BI33" s="20"/>
      <c r="BJ33" s="20"/>
      <c r="BK33" s="20"/>
      <c r="BL33" s="20"/>
      <c r="BM33" s="105"/>
      <c r="BN33" s="23"/>
      <c r="BO33" s="110"/>
      <c r="BP33" s="110"/>
      <c r="BQ33" s="111"/>
      <c r="BR33" s="111"/>
      <c r="BS33" s="111"/>
      <c r="BT33" s="112"/>
      <c r="BU33" s="113"/>
      <c r="BV33" s="113"/>
      <c r="BW33" s="20"/>
      <c r="BX33" s="20"/>
      <c r="BY33" s="20"/>
      <c r="BZ33" s="20"/>
      <c r="CA33" s="3"/>
      <c r="CG33" s="21"/>
      <c r="CH33" s="17"/>
      <c r="CI33" s="108"/>
      <c r="CJ33" s="108"/>
      <c r="CK33" s="48"/>
      <c r="CL33" s="48"/>
      <c r="CM33" s="48"/>
      <c r="CN33" s="44"/>
      <c r="CO33" s="109"/>
      <c r="CP33" s="114"/>
      <c r="CR33" s="9"/>
      <c r="CU33" s="3"/>
    </row>
    <row r="34" spans="10:150" ht="10.9" customHeight="1">
      <c r="V34" s="17"/>
      <c r="W34" s="17"/>
      <c r="X34" s="17"/>
      <c r="Y34" s="21"/>
      <c r="Z34" s="17"/>
      <c r="AA34" s="108"/>
      <c r="AB34" s="108"/>
      <c r="AC34" s="48"/>
      <c r="AD34" s="48"/>
      <c r="AE34" s="48"/>
      <c r="AF34" s="44"/>
      <c r="AG34" s="109"/>
      <c r="AH34" s="109"/>
      <c r="AP34" s="17"/>
      <c r="AQ34" s="17"/>
      <c r="AR34" s="17"/>
      <c r="AS34" s="21"/>
      <c r="AT34" s="17"/>
      <c r="AU34" s="108"/>
      <c r="AV34" s="108"/>
      <c r="AW34" s="48"/>
      <c r="AX34" s="48"/>
      <c r="AY34" s="48"/>
      <c r="AZ34" s="44"/>
      <c r="BA34" s="109"/>
      <c r="BB34" s="109"/>
      <c r="BG34" s="3"/>
      <c r="BH34" s="20"/>
      <c r="BI34" s="20"/>
      <c r="BJ34" s="23"/>
      <c r="BK34" s="23"/>
      <c r="BL34" s="23"/>
      <c r="BM34" s="105"/>
      <c r="BN34" s="23"/>
      <c r="BO34" s="110"/>
      <c r="BP34" s="110"/>
      <c r="BQ34" s="111"/>
      <c r="BR34" s="111"/>
      <c r="BS34" s="111"/>
      <c r="BT34" s="112"/>
      <c r="BU34" s="113"/>
      <c r="BV34" s="113"/>
      <c r="BW34" s="20"/>
      <c r="BX34" s="20"/>
      <c r="BY34" s="20"/>
      <c r="BZ34" s="20"/>
      <c r="CA34" s="3"/>
      <c r="CD34" s="17"/>
      <c r="CE34" s="17"/>
      <c r="CF34" s="17"/>
      <c r="CG34" s="21"/>
      <c r="CH34" s="17"/>
      <c r="CI34" s="108"/>
      <c r="CJ34" s="108"/>
      <c r="CK34" s="48"/>
      <c r="CL34" s="48"/>
      <c r="CM34" s="48"/>
      <c r="CN34" s="44"/>
      <c r="CO34" s="109"/>
      <c r="CP34" s="114"/>
      <c r="CR34" s="9"/>
      <c r="CU34" s="3"/>
    </row>
    <row r="35" spans="10:150" ht="10.9" customHeight="1">
      <c r="V35" s="17"/>
      <c r="W35" s="17"/>
      <c r="X35" s="17"/>
      <c r="Y35" s="21"/>
      <c r="Z35" s="17"/>
      <c r="AA35" s="108"/>
      <c r="AD35" s="48"/>
      <c r="AE35" s="48"/>
      <c r="AF35" s="44"/>
      <c r="AG35" s="109"/>
      <c r="AH35" s="109"/>
      <c r="AP35" s="17"/>
      <c r="AQ35" s="17"/>
      <c r="AR35" s="17"/>
      <c r="AS35" s="21"/>
      <c r="AT35" s="17"/>
      <c r="AU35" s="108"/>
      <c r="AV35" s="108"/>
      <c r="AW35" s="48"/>
      <c r="AX35" s="48"/>
      <c r="AY35" s="48"/>
      <c r="AZ35" s="44"/>
      <c r="BA35" s="109"/>
      <c r="BB35" s="109"/>
      <c r="BG35" s="3"/>
      <c r="BH35" s="20"/>
      <c r="BI35" s="20"/>
      <c r="BJ35" s="23"/>
      <c r="BK35" s="23"/>
      <c r="BL35" s="23"/>
      <c r="BM35" s="105"/>
      <c r="BN35" s="23"/>
      <c r="BO35" s="110"/>
      <c r="BP35" s="110"/>
      <c r="BR35" s="111"/>
      <c r="BS35" s="111"/>
      <c r="BT35" s="112"/>
      <c r="BU35" s="113"/>
      <c r="BV35" s="113"/>
      <c r="BW35" s="20"/>
      <c r="BX35" s="20"/>
      <c r="BY35" s="20"/>
      <c r="BZ35" s="20"/>
      <c r="CA35" s="3"/>
      <c r="CD35" s="17"/>
      <c r="CE35" s="17"/>
      <c r="CF35" s="17"/>
      <c r="CG35" s="21"/>
      <c r="CH35" s="17"/>
      <c r="CI35" s="108"/>
      <c r="CJ35" s="108"/>
      <c r="CK35" s="48"/>
      <c r="CL35" s="48"/>
      <c r="CM35" s="48"/>
      <c r="CN35" s="44"/>
      <c r="CO35" s="109"/>
      <c r="CP35" s="114"/>
      <c r="CR35" s="9"/>
      <c r="CU35" s="3"/>
    </row>
    <row r="36" spans="10:150" ht="10.9" customHeight="1">
      <c r="AP36" s="17"/>
      <c r="AQ36" s="17"/>
      <c r="AR36" s="17"/>
      <c r="AS36" s="21"/>
      <c r="AT36" s="17"/>
      <c r="AU36" s="108"/>
      <c r="AV36" s="108"/>
      <c r="AX36" s="48"/>
      <c r="AY36" s="48"/>
      <c r="AZ36" s="44"/>
      <c r="BA36" s="109"/>
      <c r="BB36" s="109"/>
      <c r="CA36" s="3"/>
      <c r="CD36" s="17"/>
      <c r="CE36" s="17"/>
      <c r="CF36" s="17"/>
      <c r="CG36" s="21"/>
      <c r="CH36" s="17"/>
      <c r="CI36" s="108"/>
      <c r="CJ36" s="108"/>
      <c r="CL36" s="48"/>
      <c r="CM36" s="48"/>
      <c r="CN36" s="44"/>
      <c r="CO36" s="109"/>
      <c r="CP36" s="114"/>
      <c r="CR36" s="9"/>
      <c r="CU36" s="3"/>
    </row>
    <row r="37" spans="10:150" ht="10.9" customHeight="1">
      <c r="J37" s="5" t="s">
        <v>51</v>
      </c>
      <c r="AC37" s="5" t="s">
        <v>104</v>
      </c>
      <c r="AW37" s="5" t="s">
        <v>124</v>
      </c>
      <c r="BQ37" s="19" t="s">
        <v>142</v>
      </c>
      <c r="CA37" s="3"/>
      <c r="CK37" s="48" t="s">
        <v>162</v>
      </c>
      <c r="DE37" s="1" t="s">
        <v>177</v>
      </c>
      <c r="DZ37" s="1" t="s">
        <v>178</v>
      </c>
      <c r="ET37" s="18" t="s">
        <v>206</v>
      </c>
    </row>
  </sheetData>
  <phoneticPr fontId="0" type="noConversion"/>
  <printOptions gridLines="1"/>
  <pageMargins left="0.5" right="0.25" top="0.5" bottom="0.5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257"/>
  <sheetViews>
    <sheetView workbookViewId="0">
      <selection sqref="A1:IV65536"/>
    </sheetView>
  </sheetViews>
  <sheetFormatPr defaultColWidth="9.125" defaultRowHeight="13.5" customHeight="1"/>
  <cols>
    <col min="1" max="1" width="5.625" style="115" customWidth="1"/>
    <col min="2" max="2" width="6.5" style="115" customWidth="1"/>
    <col min="3" max="3" width="10.5" style="115" customWidth="1"/>
    <col min="4" max="4" width="8.5" style="116" customWidth="1"/>
    <col min="5" max="5" width="8.5" style="115" customWidth="1"/>
    <col min="6" max="6" width="7.875" style="115" customWidth="1"/>
    <col min="7" max="7" width="9.5" style="115" customWidth="1"/>
    <col min="8" max="8" width="7.875" style="117" customWidth="1"/>
    <col min="9" max="9" width="8.375" style="117" customWidth="1"/>
    <col min="10" max="10" width="6.5" style="115" customWidth="1"/>
    <col min="11" max="11" width="6.625" style="115" customWidth="1"/>
    <col min="12" max="12" width="1.5" style="115" customWidth="1"/>
    <col min="13" max="13" width="6.5" style="115" customWidth="1"/>
    <col min="14" max="16384" width="9.125" style="115"/>
  </cols>
  <sheetData>
    <row r="1" spans="1:11" ht="13.5" customHeight="1">
      <c r="A1" s="117"/>
      <c r="B1" s="117" t="s">
        <v>508</v>
      </c>
    </row>
    <row r="2" spans="1:11" ht="13.5" customHeight="1">
      <c r="A2" s="118" t="s">
        <v>509</v>
      </c>
      <c r="B2" s="117"/>
    </row>
    <row r="3" spans="1:11" s="151" customFormat="1" ht="51" customHeight="1">
      <c r="A3" s="147" t="s">
        <v>510</v>
      </c>
      <c r="B3" s="147"/>
      <c r="C3" s="147" t="s">
        <v>511</v>
      </c>
      <c r="D3" s="148" t="s">
        <v>512</v>
      </c>
      <c r="E3" s="147" t="s">
        <v>513</v>
      </c>
      <c r="F3" s="147" t="s">
        <v>514</v>
      </c>
      <c r="G3" s="147" t="s">
        <v>515</v>
      </c>
      <c r="H3" s="149" t="s">
        <v>516</v>
      </c>
      <c r="I3" s="149" t="s">
        <v>517</v>
      </c>
      <c r="J3" s="150" t="s">
        <v>518</v>
      </c>
      <c r="K3" s="150" t="s">
        <v>519</v>
      </c>
    </row>
    <row r="4" spans="1:11" ht="13.5" customHeight="1">
      <c r="A4" s="119" t="s">
        <v>467</v>
      </c>
      <c r="B4" s="119" t="s">
        <v>520</v>
      </c>
      <c r="C4" s="119" t="s">
        <v>521</v>
      </c>
      <c r="D4" s="120" t="s">
        <v>133</v>
      </c>
      <c r="E4" s="121">
        <v>993.98954060000017</v>
      </c>
      <c r="F4" s="122">
        <v>7.4499999999999997E-2</v>
      </c>
      <c r="G4" s="121">
        <v>74.052220774700004</v>
      </c>
      <c r="H4" s="123"/>
      <c r="I4" s="123"/>
    </row>
    <row r="5" spans="1:11" ht="13.5" customHeight="1">
      <c r="A5" s="119" t="s">
        <v>467</v>
      </c>
      <c r="B5" s="119" t="s">
        <v>520</v>
      </c>
      <c r="C5" s="119" t="s">
        <v>522</v>
      </c>
      <c r="D5" s="120" t="s">
        <v>133</v>
      </c>
      <c r="E5" s="121">
        <v>2716.9626024000004</v>
      </c>
      <c r="F5" s="122">
        <v>0.1154</v>
      </c>
      <c r="G5" s="121">
        <v>313.53748431696005</v>
      </c>
      <c r="H5" s="123"/>
      <c r="I5" s="123"/>
    </row>
    <row r="6" spans="1:11" ht="13.5" customHeight="1">
      <c r="A6" s="119" t="s">
        <v>467</v>
      </c>
      <c r="B6" s="119" t="s">
        <v>520</v>
      </c>
      <c r="C6" s="119" t="s">
        <v>523</v>
      </c>
      <c r="D6" s="120" t="s">
        <v>133</v>
      </c>
      <c r="E6" s="121">
        <v>872.38277920000007</v>
      </c>
      <c r="F6" s="122">
        <v>7.0400000000000004E-2</v>
      </c>
      <c r="G6" s="121">
        <v>61.415747655680008</v>
      </c>
      <c r="H6" s="123"/>
      <c r="I6" s="123"/>
    </row>
    <row r="7" spans="1:11" ht="13.5" customHeight="1">
      <c r="A7" s="119" t="s">
        <v>467</v>
      </c>
      <c r="B7" s="119" t="s">
        <v>520</v>
      </c>
      <c r="C7" s="119" t="s">
        <v>524</v>
      </c>
      <c r="D7" s="120" t="s">
        <v>133</v>
      </c>
      <c r="E7" s="121">
        <v>292.42739280000001</v>
      </c>
      <c r="F7" s="122">
        <v>5.2200000000000003E-2</v>
      </c>
      <c r="G7" s="121">
        <v>15.264709904160002</v>
      </c>
      <c r="H7" s="123"/>
      <c r="I7" s="123"/>
    </row>
    <row r="8" spans="1:11" ht="13.5" customHeight="1">
      <c r="A8" s="119" t="s">
        <v>467</v>
      </c>
      <c r="B8" s="119" t="s">
        <v>520</v>
      </c>
      <c r="C8" s="119" t="s">
        <v>525</v>
      </c>
      <c r="D8" s="120" t="s">
        <v>133</v>
      </c>
      <c r="E8" s="121">
        <v>8195.6239264000014</v>
      </c>
      <c r="F8" s="122">
        <v>0.1154</v>
      </c>
      <c r="G8" s="121">
        <v>945.77500110656024</v>
      </c>
      <c r="H8" s="123"/>
      <c r="I8" s="123"/>
    </row>
    <row r="9" spans="1:11" ht="13.5" customHeight="1">
      <c r="A9" s="119" t="s">
        <v>467</v>
      </c>
      <c r="B9" s="119" t="s">
        <v>520</v>
      </c>
      <c r="C9" s="119" t="s">
        <v>526</v>
      </c>
      <c r="D9" s="120" t="s">
        <v>133</v>
      </c>
      <c r="E9" s="121">
        <v>2625.3174520000002</v>
      </c>
      <c r="F9" s="122">
        <v>7.0400000000000004E-2</v>
      </c>
      <c r="G9" s="121">
        <v>184.82234862080003</v>
      </c>
      <c r="H9" s="123"/>
      <c r="I9" s="123"/>
    </row>
    <row r="10" spans="1:11" ht="13.5" customHeight="1">
      <c r="A10" s="119" t="s">
        <v>467</v>
      </c>
      <c r="B10" s="119" t="s">
        <v>520</v>
      </c>
      <c r="C10" s="119" t="s">
        <v>527</v>
      </c>
      <c r="D10" s="120" t="s">
        <v>133</v>
      </c>
      <c r="E10" s="121">
        <v>873.92451200000005</v>
      </c>
      <c r="F10" s="122">
        <v>5.2200000000000003E-2</v>
      </c>
      <c r="G10" s="121">
        <v>45.618859526400009</v>
      </c>
      <c r="H10" s="123"/>
      <c r="I10" s="123"/>
    </row>
    <row r="11" spans="1:11" ht="13.5" customHeight="1">
      <c r="A11" s="119" t="s">
        <v>467</v>
      </c>
      <c r="B11" s="119" t="s">
        <v>520</v>
      </c>
      <c r="C11" s="119" t="s">
        <v>528</v>
      </c>
      <c r="D11" s="120" t="s">
        <v>133</v>
      </c>
      <c r="E11" s="121">
        <v>3401.9963200000002</v>
      </c>
      <c r="F11" s="122">
        <v>7.9500000000000005E-3</v>
      </c>
      <c r="G11" s="121">
        <v>27.045870744000002</v>
      </c>
      <c r="H11" s="123"/>
      <c r="I11" s="123"/>
    </row>
    <row r="12" spans="1:11" ht="13.5" customHeight="1">
      <c r="A12" s="119" t="s">
        <v>467</v>
      </c>
      <c r="B12" s="119" t="s">
        <v>520</v>
      </c>
      <c r="C12" s="119" t="s">
        <v>529</v>
      </c>
      <c r="D12" s="120" t="s">
        <v>133</v>
      </c>
      <c r="E12" s="121">
        <v>1517.7479903999999</v>
      </c>
      <c r="F12" s="122">
        <v>9.1800000000000007E-2</v>
      </c>
      <c r="G12" s="121">
        <v>139.32926551872001</v>
      </c>
      <c r="H12" s="123"/>
      <c r="I12" s="123"/>
    </row>
    <row r="13" spans="1:11" ht="13.5" customHeight="1">
      <c r="A13" s="119" t="s">
        <v>467</v>
      </c>
      <c r="B13" s="119" t="s">
        <v>520</v>
      </c>
      <c r="C13" s="119" t="s">
        <v>530</v>
      </c>
      <c r="D13" s="120" t="s">
        <v>133</v>
      </c>
      <c r="E13" s="121">
        <v>210.78022440000004</v>
      </c>
      <c r="F13" s="122">
        <v>7.4499999999999997E-2</v>
      </c>
      <c r="G13" s="121">
        <v>15.703126717800002</v>
      </c>
      <c r="H13" s="123"/>
      <c r="I13" s="123"/>
      <c r="J13" s="124"/>
    </row>
    <row r="14" spans="1:11" ht="13.5" customHeight="1">
      <c r="A14" s="119" t="s">
        <v>467</v>
      </c>
      <c r="B14" s="119" t="s">
        <v>520</v>
      </c>
      <c r="C14" s="119" t="s">
        <v>531</v>
      </c>
      <c r="D14" s="120" t="s">
        <v>133</v>
      </c>
      <c r="E14" s="121">
        <v>232.12559475</v>
      </c>
      <c r="F14" s="122">
        <v>6.2539999999999998E-2</v>
      </c>
      <c r="G14" s="121">
        <v>14.517134695665</v>
      </c>
      <c r="H14" s="125">
        <f>SUM(G4:G14)</f>
        <v>1837.0817695814453</v>
      </c>
      <c r="I14" s="125"/>
      <c r="J14" s="124"/>
      <c r="K14" s="126">
        <f>SUM(H14*0.75)/90</f>
        <v>15.309014746512043</v>
      </c>
    </row>
    <row r="15" spans="1:11" s="117" customFormat="1" ht="13.5" customHeight="1">
      <c r="A15" s="127" t="s">
        <v>467</v>
      </c>
      <c r="B15" s="119" t="s">
        <v>520</v>
      </c>
      <c r="C15" s="127" t="s">
        <v>532</v>
      </c>
      <c r="D15" s="128" t="s">
        <v>133</v>
      </c>
      <c r="E15" s="129">
        <v>837.37820160000001</v>
      </c>
      <c r="F15" s="130">
        <v>0.18</v>
      </c>
      <c r="G15" s="129">
        <v>150.72807628799998</v>
      </c>
      <c r="H15" s="131"/>
      <c r="I15" s="132">
        <v>150.72807628799998</v>
      </c>
      <c r="J15" s="133">
        <f>SUM(G15*0.125)/92</f>
        <v>0.20479358191304345</v>
      </c>
      <c r="K15" s="133">
        <f>SUM(I15*0.75)/90</f>
        <v>1.2560673023999998</v>
      </c>
    </row>
    <row r="16" spans="1:11" s="117" customFormat="1" ht="13.5" customHeight="1">
      <c r="A16" s="127"/>
      <c r="B16" s="119"/>
      <c r="C16" s="127"/>
      <c r="D16" s="128"/>
      <c r="E16" s="129"/>
      <c r="F16" s="130"/>
      <c r="G16" s="129">
        <f>SUM(G4:G15)</f>
        <v>1987.8098458694453</v>
      </c>
      <c r="H16" s="131"/>
      <c r="I16" s="125"/>
      <c r="J16" s="133"/>
      <c r="K16" s="133">
        <f>SUM(K14:K15)</f>
        <v>16.565082048912043</v>
      </c>
    </row>
    <row r="17" spans="1:11" ht="13.5" customHeight="1">
      <c r="A17" s="119" t="s">
        <v>482</v>
      </c>
      <c r="B17" s="119" t="s">
        <v>533</v>
      </c>
      <c r="C17" s="119" t="s">
        <v>521</v>
      </c>
      <c r="D17" s="120" t="s">
        <v>133</v>
      </c>
      <c r="E17" s="121">
        <v>4291.0124999999998</v>
      </c>
      <c r="F17" s="122">
        <v>7.4499999999999997E-2</v>
      </c>
      <c r="G17" s="121">
        <v>319.68043124999997</v>
      </c>
      <c r="H17" s="125"/>
      <c r="I17" s="125"/>
      <c r="J17" s="126"/>
      <c r="K17" s="126"/>
    </row>
    <row r="18" spans="1:11" ht="13.5" customHeight="1">
      <c r="A18" s="119" t="s">
        <v>482</v>
      </c>
      <c r="B18" s="119" t="s">
        <v>533</v>
      </c>
      <c r="C18" s="119" t="s">
        <v>522</v>
      </c>
      <c r="D18" s="120" t="s">
        <v>133</v>
      </c>
      <c r="E18" s="121">
        <v>5794.2374999999993</v>
      </c>
      <c r="F18" s="122">
        <v>0.1154</v>
      </c>
      <c r="G18" s="121">
        <v>668.6550074999999</v>
      </c>
      <c r="H18" s="125"/>
      <c r="I18" s="125"/>
      <c r="J18" s="126"/>
      <c r="K18" s="126"/>
    </row>
    <row r="19" spans="1:11" ht="13.5" customHeight="1">
      <c r="A19" s="119" t="s">
        <v>482</v>
      </c>
      <c r="B19" s="119" t="s">
        <v>533</v>
      </c>
      <c r="C19" s="119" t="s">
        <v>523</v>
      </c>
      <c r="D19" s="120" t="s">
        <v>133</v>
      </c>
      <c r="E19" s="121">
        <v>1879.86</v>
      </c>
      <c r="F19" s="122">
        <v>7.0400000000000004E-2</v>
      </c>
      <c r="G19" s="121">
        <v>132.34214399999999</v>
      </c>
      <c r="H19" s="125"/>
      <c r="I19" s="125"/>
      <c r="J19" s="126"/>
      <c r="K19" s="126"/>
    </row>
    <row r="20" spans="1:11" ht="13.5" customHeight="1">
      <c r="A20" s="119" t="s">
        <v>482</v>
      </c>
      <c r="B20" s="119" t="s">
        <v>533</v>
      </c>
      <c r="C20" s="119" t="s">
        <v>524</v>
      </c>
      <c r="D20" s="120" t="s">
        <v>133</v>
      </c>
      <c r="E20" s="121">
        <v>655.34999999999991</v>
      </c>
      <c r="F20" s="122">
        <v>5.2200000000000003E-2</v>
      </c>
      <c r="G20" s="121">
        <v>34.209269999999997</v>
      </c>
      <c r="H20" s="125"/>
      <c r="I20" s="125"/>
      <c r="J20" s="126"/>
      <c r="K20" s="126"/>
    </row>
    <row r="21" spans="1:11" ht="13.5" customHeight="1">
      <c r="A21" s="119" t="s">
        <v>482</v>
      </c>
      <c r="B21" s="119" t="s">
        <v>533</v>
      </c>
      <c r="C21" s="119" t="s">
        <v>525</v>
      </c>
      <c r="D21" s="120" t="s">
        <v>133</v>
      </c>
      <c r="E21" s="121">
        <v>9224.369999999999</v>
      </c>
      <c r="F21" s="122">
        <v>0.1154</v>
      </c>
      <c r="G21" s="121">
        <v>1064.4922979999999</v>
      </c>
      <c r="H21" s="125"/>
      <c r="I21" s="125"/>
      <c r="J21" s="126"/>
      <c r="K21" s="126"/>
    </row>
    <row r="22" spans="1:11" ht="13.5" customHeight="1">
      <c r="A22" s="119" t="s">
        <v>482</v>
      </c>
      <c r="B22" s="119" t="s">
        <v>533</v>
      </c>
      <c r="C22" s="119" t="s">
        <v>526</v>
      </c>
      <c r="D22" s="120" t="s">
        <v>133</v>
      </c>
      <c r="E22" s="121">
        <v>3045.7199999999993</v>
      </c>
      <c r="F22" s="122">
        <v>7.0400000000000004E-2</v>
      </c>
      <c r="G22" s="121">
        <v>214.41868799999997</v>
      </c>
      <c r="H22" s="125"/>
      <c r="I22" s="125"/>
      <c r="J22" s="126"/>
      <c r="K22" s="126"/>
    </row>
    <row r="23" spans="1:11" ht="13.5" customHeight="1">
      <c r="A23" s="119" t="s">
        <v>482</v>
      </c>
      <c r="B23" s="119" t="s">
        <v>533</v>
      </c>
      <c r="C23" s="119" t="s">
        <v>527</v>
      </c>
      <c r="D23" s="120" t="s">
        <v>133</v>
      </c>
      <c r="E23" s="121">
        <v>1052.1299999999999</v>
      </c>
      <c r="F23" s="122">
        <v>5.2200000000000003E-2</v>
      </c>
      <c r="G23" s="121">
        <v>54.921185999999999</v>
      </c>
      <c r="H23" s="125"/>
      <c r="I23" s="125"/>
      <c r="J23" s="126"/>
      <c r="K23" s="126"/>
    </row>
    <row r="24" spans="1:11" ht="13.5" customHeight="1">
      <c r="A24" s="119" t="s">
        <v>482</v>
      </c>
      <c r="B24" s="119" t="s">
        <v>533</v>
      </c>
      <c r="C24" s="119" t="s">
        <v>528</v>
      </c>
      <c r="D24" s="120" t="s">
        <v>133</v>
      </c>
      <c r="E24" s="121">
        <v>1781</v>
      </c>
      <c r="F24" s="122">
        <v>7.9500000000000005E-3</v>
      </c>
      <c r="G24" s="121">
        <v>14.158950000000001</v>
      </c>
      <c r="H24" s="125"/>
      <c r="I24" s="125"/>
      <c r="J24" s="126"/>
      <c r="K24" s="126"/>
    </row>
    <row r="25" spans="1:11" ht="13.5" customHeight="1">
      <c r="A25" s="119" t="s">
        <v>482</v>
      </c>
      <c r="B25" s="119" t="s">
        <v>533</v>
      </c>
      <c r="C25" s="119" t="s">
        <v>529</v>
      </c>
      <c r="D25" s="120" t="s">
        <v>133</v>
      </c>
      <c r="E25" s="121">
        <v>8032.4999999999991</v>
      </c>
      <c r="F25" s="122">
        <v>9.1800000000000007E-2</v>
      </c>
      <c r="G25" s="121">
        <v>737.38349999999991</v>
      </c>
      <c r="H25" s="125"/>
      <c r="I25" s="125"/>
      <c r="J25" s="126"/>
      <c r="K25" s="126"/>
    </row>
    <row r="26" spans="1:11" ht="13.5" customHeight="1">
      <c r="A26" s="119" t="s">
        <v>482</v>
      </c>
      <c r="B26" s="119" t="s">
        <v>533</v>
      </c>
      <c r="C26" s="119" t="s">
        <v>530</v>
      </c>
      <c r="D26" s="120" t="s">
        <v>133</v>
      </c>
      <c r="E26" s="121">
        <v>6462.3579</v>
      </c>
      <c r="F26" s="122">
        <v>7.4499999999999997E-2</v>
      </c>
      <c r="G26" s="121">
        <v>481.44566354999995</v>
      </c>
      <c r="H26" s="131"/>
      <c r="I26" s="131"/>
      <c r="J26" s="126"/>
      <c r="K26" s="126"/>
    </row>
    <row r="27" spans="1:11" ht="13.5" customHeight="1">
      <c r="A27" s="119" t="s">
        <v>482</v>
      </c>
      <c r="B27" s="119" t="s">
        <v>533</v>
      </c>
      <c r="C27" s="119" t="s">
        <v>531</v>
      </c>
      <c r="D27" s="120" t="s">
        <v>133</v>
      </c>
      <c r="E27" s="121">
        <v>0</v>
      </c>
      <c r="F27" s="122">
        <v>6.2539999999999998E-2</v>
      </c>
      <c r="G27" s="121">
        <v>0</v>
      </c>
      <c r="H27" s="125">
        <f>SUM(G17:G27)</f>
        <v>3721.7071382999998</v>
      </c>
      <c r="I27" s="125"/>
      <c r="J27" s="126"/>
      <c r="K27" s="126">
        <f>SUM(H27*0.75)/90</f>
        <v>31.014226152499997</v>
      </c>
    </row>
    <row r="28" spans="1:11" s="117" customFormat="1" ht="13.5" customHeight="1">
      <c r="A28" s="127" t="s">
        <v>482</v>
      </c>
      <c r="B28" s="119" t="s">
        <v>533</v>
      </c>
      <c r="C28" s="127" t="s">
        <v>532</v>
      </c>
      <c r="D28" s="128" t="s">
        <v>133</v>
      </c>
      <c r="E28" s="129">
        <v>7649.9999999999991</v>
      </c>
      <c r="F28" s="130">
        <v>0.18</v>
      </c>
      <c r="G28" s="129">
        <v>1376.9999999999998</v>
      </c>
      <c r="H28" s="125"/>
      <c r="I28" s="132">
        <v>1376.9999999999998</v>
      </c>
      <c r="J28" s="133">
        <f>SUM(G28*0.125)/92</f>
        <v>1.870923913043478</v>
      </c>
      <c r="K28" s="133">
        <f>SUM(I28*0.75)/90</f>
        <v>11.474999999999998</v>
      </c>
    </row>
    <row r="29" spans="1:11" s="117" customFormat="1" ht="13.5" customHeight="1">
      <c r="A29" s="127"/>
      <c r="B29" s="119"/>
      <c r="C29" s="127"/>
      <c r="D29" s="128"/>
      <c r="E29" s="129"/>
      <c r="F29" s="130"/>
      <c r="G29" s="129">
        <f>SUM(G17:G28)</f>
        <v>5098.7071382999993</v>
      </c>
      <c r="H29" s="125"/>
      <c r="I29" s="125"/>
      <c r="J29" s="133"/>
      <c r="K29" s="133">
        <f>SUM(K27:K28)</f>
        <v>42.489226152499995</v>
      </c>
    </row>
    <row r="30" spans="1:11" ht="13.5" customHeight="1">
      <c r="A30" s="119" t="s">
        <v>484</v>
      </c>
      <c r="B30" s="119" t="s">
        <v>534</v>
      </c>
      <c r="C30" s="119" t="s">
        <v>521</v>
      </c>
      <c r="D30" s="120" t="s">
        <v>133</v>
      </c>
      <c r="E30" s="121">
        <v>4873.6662281999998</v>
      </c>
      <c r="F30" s="122">
        <v>7.4499999999999997E-2</v>
      </c>
      <c r="G30" s="121">
        <v>363.08813400089997</v>
      </c>
      <c r="H30" s="125"/>
      <c r="I30" s="125"/>
      <c r="J30" s="126"/>
      <c r="K30" s="126"/>
    </row>
    <row r="31" spans="1:11" ht="13.5" customHeight="1">
      <c r="A31" s="119" t="s">
        <v>484</v>
      </c>
      <c r="B31" s="119" t="s">
        <v>534</v>
      </c>
      <c r="C31" s="119" t="s">
        <v>522</v>
      </c>
      <c r="D31" s="120" t="s">
        <v>133</v>
      </c>
      <c r="E31" s="121">
        <v>2414.3558399999997</v>
      </c>
      <c r="F31" s="122">
        <v>0.1154</v>
      </c>
      <c r="G31" s="121">
        <v>278.61666393599995</v>
      </c>
      <c r="H31" s="125"/>
      <c r="I31" s="125"/>
      <c r="J31" s="126"/>
      <c r="K31" s="126"/>
    </row>
    <row r="32" spans="1:11" ht="13.5" customHeight="1">
      <c r="A32" s="119" t="s">
        <v>484</v>
      </c>
      <c r="B32" s="119" t="s">
        <v>534</v>
      </c>
      <c r="C32" s="119" t="s">
        <v>523</v>
      </c>
      <c r="D32" s="120" t="s">
        <v>133</v>
      </c>
      <c r="E32" s="121">
        <v>774.18022439999993</v>
      </c>
      <c r="F32" s="122">
        <v>7.0400000000000004E-2</v>
      </c>
      <c r="G32" s="121">
        <v>54.502287797759998</v>
      </c>
      <c r="H32" s="125"/>
      <c r="I32" s="125"/>
      <c r="J32" s="126"/>
      <c r="K32" s="126"/>
    </row>
    <row r="33" spans="1:11" ht="13.5" customHeight="1">
      <c r="A33" s="119" t="s">
        <v>484</v>
      </c>
      <c r="B33" s="119" t="s">
        <v>534</v>
      </c>
      <c r="C33" s="119" t="s">
        <v>524</v>
      </c>
      <c r="D33" s="120" t="s">
        <v>133</v>
      </c>
      <c r="E33" s="121">
        <v>257.66060099999999</v>
      </c>
      <c r="F33" s="122">
        <v>5.2200000000000003E-2</v>
      </c>
      <c r="G33" s="121">
        <v>13.4498833722</v>
      </c>
      <c r="H33" s="125"/>
      <c r="I33" s="125"/>
      <c r="J33" s="126"/>
      <c r="K33" s="126"/>
    </row>
    <row r="34" spans="1:11" ht="13.5" customHeight="1">
      <c r="A34" s="119" t="s">
        <v>484</v>
      </c>
      <c r="B34" s="119" t="s">
        <v>534</v>
      </c>
      <c r="C34" s="119" t="s">
        <v>525</v>
      </c>
      <c r="D34" s="120" t="s">
        <v>133</v>
      </c>
      <c r="E34" s="121">
        <v>18676.030076399999</v>
      </c>
      <c r="F34" s="122">
        <v>0.1154</v>
      </c>
      <c r="G34" s="121">
        <v>2155.2138708165598</v>
      </c>
      <c r="H34" s="125"/>
      <c r="I34" s="125"/>
      <c r="J34" s="126"/>
      <c r="K34" s="126"/>
    </row>
    <row r="35" spans="1:11" ht="13.5" customHeight="1">
      <c r="A35" s="119" t="s">
        <v>484</v>
      </c>
      <c r="B35" s="119" t="s">
        <v>534</v>
      </c>
      <c r="C35" s="119" t="s">
        <v>526</v>
      </c>
      <c r="D35" s="120" t="s">
        <v>133</v>
      </c>
      <c r="E35" s="121">
        <v>5987.7450312000001</v>
      </c>
      <c r="F35" s="122">
        <v>7.0400000000000004E-2</v>
      </c>
      <c r="G35" s="121">
        <v>421.53725019648004</v>
      </c>
      <c r="H35" s="125"/>
      <c r="I35" s="125"/>
      <c r="J35" s="126"/>
      <c r="K35" s="126"/>
    </row>
    <row r="36" spans="1:11" ht="13.5" customHeight="1">
      <c r="A36" s="119" t="s">
        <v>484</v>
      </c>
      <c r="B36" s="119" t="s">
        <v>534</v>
      </c>
      <c r="C36" s="119" t="s">
        <v>527</v>
      </c>
      <c r="D36" s="120" t="s">
        <v>133</v>
      </c>
      <c r="E36" s="121">
        <v>1996.4010312</v>
      </c>
      <c r="F36" s="122">
        <v>5.2200000000000003E-2</v>
      </c>
      <c r="G36" s="121">
        <v>104.21213382864001</v>
      </c>
      <c r="H36" s="125"/>
      <c r="I36" s="125"/>
      <c r="J36" s="126"/>
      <c r="K36" s="126"/>
    </row>
    <row r="37" spans="1:11" ht="13.5" customHeight="1">
      <c r="A37" s="119" t="s">
        <v>484</v>
      </c>
      <c r="B37" s="119" t="s">
        <v>534</v>
      </c>
      <c r="C37" s="119" t="s">
        <v>528</v>
      </c>
      <c r="D37" s="120" t="s">
        <v>133</v>
      </c>
      <c r="E37" s="121">
        <v>10300.72559</v>
      </c>
      <c r="F37" s="122">
        <v>7.9500000000000005E-3</v>
      </c>
      <c r="G37" s="121">
        <v>81.890768440500011</v>
      </c>
      <c r="H37" s="125"/>
      <c r="I37" s="125"/>
      <c r="J37" s="126"/>
      <c r="K37" s="126"/>
    </row>
    <row r="38" spans="1:11" ht="13.5" customHeight="1">
      <c r="A38" s="119" t="s">
        <v>484</v>
      </c>
      <c r="B38" s="119" t="s">
        <v>534</v>
      </c>
      <c r="C38" s="119" t="s">
        <v>529</v>
      </c>
      <c r="D38" s="120" t="s">
        <v>133</v>
      </c>
      <c r="E38" s="121">
        <v>659.20711679999999</v>
      </c>
      <c r="F38" s="122">
        <v>9.1800000000000007E-2</v>
      </c>
      <c r="G38" s="121">
        <v>60.515213322240001</v>
      </c>
      <c r="H38" s="125"/>
      <c r="I38" s="125"/>
      <c r="J38" s="126"/>
      <c r="K38" s="126"/>
    </row>
    <row r="39" spans="1:11" ht="13.5" customHeight="1">
      <c r="A39" s="119" t="s">
        <v>484</v>
      </c>
      <c r="B39" s="119" t="s">
        <v>534</v>
      </c>
      <c r="C39" s="119" t="s">
        <v>530</v>
      </c>
      <c r="D39" s="120" t="s">
        <v>133</v>
      </c>
      <c r="E39" s="121">
        <v>582.87571739999998</v>
      </c>
      <c r="F39" s="122">
        <v>7.4499999999999997E-2</v>
      </c>
      <c r="G39" s="121">
        <v>43.424240946299996</v>
      </c>
      <c r="H39" s="125"/>
      <c r="I39" s="125"/>
      <c r="J39" s="126"/>
      <c r="K39" s="126"/>
    </row>
    <row r="40" spans="1:11" ht="13.5" customHeight="1">
      <c r="A40" s="119" t="s">
        <v>484</v>
      </c>
      <c r="B40" s="119" t="s">
        <v>534</v>
      </c>
      <c r="C40" s="119" t="s">
        <v>531</v>
      </c>
      <c r="D40" s="120" t="s">
        <v>133</v>
      </c>
      <c r="E40" s="121">
        <v>1862.3354931000001</v>
      </c>
      <c r="F40" s="122">
        <v>6.2539999999999998E-2</v>
      </c>
      <c r="G40" s="121">
        <v>116.470461738474</v>
      </c>
      <c r="H40" s="125">
        <f>SUM(G30:G40)</f>
        <v>3692.9209083960536</v>
      </c>
      <c r="I40" s="125"/>
      <c r="J40" s="126"/>
      <c r="K40" s="126">
        <f>SUM(H40*0.75)/90</f>
        <v>30.774340903300445</v>
      </c>
    </row>
    <row r="41" spans="1:11" s="117" customFormat="1" ht="13.5" customHeight="1">
      <c r="A41" s="127" t="s">
        <v>484</v>
      </c>
      <c r="B41" s="119" t="s">
        <v>534</v>
      </c>
      <c r="C41" s="127" t="s">
        <v>532</v>
      </c>
      <c r="D41" s="128" t="s">
        <v>133</v>
      </c>
      <c r="E41" s="129">
        <v>365.65394759999998</v>
      </c>
      <c r="F41" s="130">
        <v>0.18</v>
      </c>
      <c r="G41" s="129">
        <v>65.817710567999995</v>
      </c>
      <c r="H41" s="125"/>
      <c r="I41" s="132">
        <v>65.817710567999995</v>
      </c>
      <c r="J41" s="133">
        <f>SUM(G41*0.125)/92</f>
        <v>8.9426237184782598E-2</v>
      </c>
      <c r="K41" s="133">
        <f>SUM(I41*0.75)/90</f>
        <v>0.54848092139999993</v>
      </c>
    </row>
    <row r="42" spans="1:11" s="117" customFormat="1" ht="13.5" customHeight="1">
      <c r="A42" s="127"/>
      <c r="B42" s="119"/>
      <c r="C42" s="127"/>
      <c r="D42" s="128"/>
      <c r="E42" s="129"/>
      <c r="F42" s="130"/>
      <c r="G42" s="129">
        <f>SUM(G30:G41)</f>
        <v>3758.7386189640538</v>
      </c>
      <c r="H42" s="125"/>
      <c r="I42" s="125"/>
      <c r="J42" s="133"/>
      <c r="K42" s="133">
        <f>SUM(K40:K41)</f>
        <v>31.322821824700444</v>
      </c>
    </row>
    <row r="43" spans="1:11" ht="13.5" customHeight="1">
      <c r="A43" s="119" t="s">
        <v>486</v>
      </c>
      <c r="B43" s="119" t="s">
        <v>39</v>
      </c>
      <c r="C43" s="119" t="s">
        <v>521</v>
      </c>
      <c r="D43" s="120" t="s">
        <v>133</v>
      </c>
      <c r="E43" s="121">
        <v>71.367281800000001</v>
      </c>
      <c r="F43" s="122">
        <v>7.4499999999999997E-2</v>
      </c>
      <c r="G43" s="121">
        <v>5.3168624940999996</v>
      </c>
      <c r="H43" s="125"/>
      <c r="I43" s="125"/>
      <c r="J43" s="126"/>
      <c r="K43" s="126"/>
    </row>
    <row r="44" spans="1:11" ht="13.5" customHeight="1">
      <c r="A44" s="119" t="s">
        <v>486</v>
      </c>
      <c r="B44" s="119" t="s">
        <v>39</v>
      </c>
      <c r="C44" s="119" t="s">
        <v>522</v>
      </c>
      <c r="D44" s="120" t="s">
        <v>133</v>
      </c>
      <c r="E44" s="121">
        <v>191.72929799999997</v>
      </c>
      <c r="F44" s="122">
        <v>0.1154</v>
      </c>
      <c r="G44" s="121">
        <v>22.125560989199997</v>
      </c>
      <c r="H44" s="125"/>
      <c r="I44" s="125"/>
      <c r="J44" s="126"/>
      <c r="K44" s="126"/>
    </row>
    <row r="45" spans="1:11" ht="13.5" customHeight="1">
      <c r="A45" s="119" t="s">
        <v>486</v>
      </c>
      <c r="B45" s="119" t="s">
        <v>39</v>
      </c>
      <c r="C45" s="119" t="s">
        <v>523</v>
      </c>
      <c r="D45" s="120" t="s">
        <v>133</v>
      </c>
      <c r="E45" s="121">
        <v>61.402691000000004</v>
      </c>
      <c r="F45" s="122">
        <v>7.0400000000000004E-2</v>
      </c>
      <c r="G45" s="121">
        <v>4.3227494464000005</v>
      </c>
      <c r="H45" s="125"/>
      <c r="I45" s="125"/>
      <c r="J45" s="126"/>
      <c r="K45" s="126"/>
    </row>
    <row r="46" spans="1:11" ht="13.5" customHeight="1">
      <c r="A46" s="119" t="s">
        <v>486</v>
      </c>
      <c r="B46" s="119" t="s">
        <v>39</v>
      </c>
      <c r="C46" s="119" t="s">
        <v>524</v>
      </c>
      <c r="D46" s="120" t="s">
        <v>133</v>
      </c>
      <c r="E46" s="121">
        <v>19.4407444</v>
      </c>
      <c r="F46" s="122">
        <v>5.2200000000000003E-2</v>
      </c>
      <c r="G46" s="121">
        <v>1.01480685768</v>
      </c>
      <c r="H46" s="125"/>
      <c r="I46" s="125"/>
      <c r="J46" s="126"/>
      <c r="K46" s="126"/>
    </row>
    <row r="47" spans="1:11" ht="13.5" customHeight="1">
      <c r="A47" s="119" t="s">
        <v>486</v>
      </c>
      <c r="B47" s="119" t="s">
        <v>39</v>
      </c>
      <c r="C47" s="119" t="s">
        <v>525</v>
      </c>
      <c r="D47" s="120" t="s">
        <v>133</v>
      </c>
      <c r="E47" s="121">
        <v>575.82262639999999</v>
      </c>
      <c r="F47" s="122">
        <v>0.1154</v>
      </c>
      <c r="G47" s="121">
        <v>66.449931086559999</v>
      </c>
      <c r="H47" s="125"/>
      <c r="I47" s="125"/>
      <c r="J47" s="126"/>
      <c r="K47" s="126"/>
    </row>
    <row r="48" spans="1:11" ht="13.5" customHeight="1">
      <c r="A48" s="119" t="s">
        <v>486</v>
      </c>
      <c r="B48" s="119" t="s">
        <v>39</v>
      </c>
      <c r="C48" s="119" t="s">
        <v>526</v>
      </c>
      <c r="D48" s="120" t="s">
        <v>133</v>
      </c>
      <c r="E48" s="121">
        <v>184.23284879999997</v>
      </c>
      <c r="F48" s="122">
        <v>7.0400000000000004E-2</v>
      </c>
      <c r="G48" s="121">
        <v>12.969992555519999</v>
      </c>
      <c r="H48" s="125"/>
      <c r="I48" s="125"/>
      <c r="J48" s="126"/>
      <c r="K48" s="126"/>
    </row>
    <row r="49" spans="1:11" ht="13.5" customHeight="1">
      <c r="A49" s="119" t="s">
        <v>486</v>
      </c>
      <c r="B49" s="119" t="s">
        <v>39</v>
      </c>
      <c r="C49" s="119" t="s">
        <v>527</v>
      </c>
      <c r="D49" s="120" t="s">
        <v>133</v>
      </c>
      <c r="E49" s="121">
        <v>61.925342399999998</v>
      </c>
      <c r="F49" s="122">
        <v>5.2200000000000003E-2</v>
      </c>
      <c r="G49" s="121">
        <v>3.2325028732800001</v>
      </c>
      <c r="H49" s="125"/>
      <c r="I49" s="125"/>
      <c r="J49" s="126"/>
      <c r="K49" s="126"/>
    </row>
    <row r="50" spans="1:11" ht="13.5" customHeight="1">
      <c r="A50" s="119" t="s">
        <v>486</v>
      </c>
      <c r="B50" s="119" t="s">
        <v>39</v>
      </c>
      <c r="C50" s="119" t="s">
        <v>528</v>
      </c>
      <c r="D50" s="120" t="s">
        <v>133</v>
      </c>
      <c r="E50" s="121">
        <v>239.60031000000001</v>
      </c>
      <c r="F50" s="122">
        <v>7.9500000000000005E-3</v>
      </c>
      <c r="G50" s="121">
        <v>1.9048224645000003</v>
      </c>
      <c r="H50" s="125"/>
      <c r="I50" s="125"/>
      <c r="J50" s="126"/>
      <c r="K50" s="126"/>
    </row>
    <row r="51" spans="1:11" ht="13.5" customHeight="1">
      <c r="A51" s="119" t="s">
        <v>486</v>
      </c>
      <c r="B51" s="119" t="s">
        <v>39</v>
      </c>
      <c r="C51" s="119" t="s">
        <v>529</v>
      </c>
      <c r="D51" s="120" t="s">
        <v>133</v>
      </c>
      <c r="E51" s="121">
        <v>4750.073006399999</v>
      </c>
      <c r="F51" s="122">
        <v>9.1800000000000007E-2</v>
      </c>
      <c r="G51" s="121">
        <v>436.05670198751994</v>
      </c>
      <c r="H51" s="125"/>
      <c r="I51" s="125"/>
      <c r="J51" s="126"/>
      <c r="K51" s="126"/>
    </row>
    <row r="52" spans="1:11" ht="13.5" customHeight="1">
      <c r="A52" s="119" t="s">
        <v>486</v>
      </c>
      <c r="B52" s="119" t="s">
        <v>39</v>
      </c>
      <c r="C52" s="119" t="s">
        <v>530</v>
      </c>
      <c r="D52" s="120" t="s">
        <v>133</v>
      </c>
      <c r="E52" s="121">
        <v>14.083272600000001</v>
      </c>
      <c r="F52" s="122">
        <v>7.4499999999999997E-2</v>
      </c>
      <c r="G52" s="121">
        <v>1.0492038087</v>
      </c>
      <c r="H52" s="125"/>
      <c r="I52" s="125"/>
      <c r="J52" s="126"/>
      <c r="K52" s="126"/>
    </row>
    <row r="53" spans="1:11" ht="13.5" customHeight="1">
      <c r="A53" s="119" t="s">
        <v>486</v>
      </c>
      <c r="B53" s="119" t="s">
        <v>39</v>
      </c>
      <c r="C53" s="119" t="s">
        <v>531</v>
      </c>
      <c r="D53" s="120" t="s">
        <v>133</v>
      </c>
      <c r="E53" s="121">
        <v>18.349147800000001</v>
      </c>
      <c r="F53" s="122">
        <v>6.2539999999999998E-2</v>
      </c>
      <c r="G53" s="121">
        <v>1.1475557034120001</v>
      </c>
      <c r="H53" s="125">
        <f>SUM(G43:G53)</f>
        <v>555.59069026687189</v>
      </c>
      <c r="I53" s="125"/>
      <c r="J53" s="126"/>
      <c r="K53" s="126">
        <f>SUM(H53*0.75)/90</f>
        <v>4.6299224188905992</v>
      </c>
    </row>
    <row r="54" spans="1:11" s="117" customFormat="1" ht="13.5" customHeight="1">
      <c r="A54" s="127" t="s">
        <v>486</v>
      </c>
      <c r="B54" s="119" t="s">
        <v>39</v>
      </c>
      <c r="C54" s="127" t="s">
        <v>532</v>
      </c>
      <c r="D54" s="128" t="s">
        <v>133</v>
      </c>
      <c r="E54" s="129">
        <v>2637.6033527999998</v>
      </c>
      <c r="F54" s="130">
        <v>0.18</v>
      </c>
      <c r="G54" s="129">
        <v>474.76860350399994</v>
      </c>
      <c r="H54" s="125"/>
      <c r="I54" s="132">
        <v>474.76860350399994</v>
      </c>
      <c r="J54" s="133">
        <f>SUM(G54*0.125)/92</f>
        <v>0.64506603736956514</v>
      </c>
      <c r="K54" s="133">
        <f>SUM(I54*0.75)/90</f>
        <v>3.9564050291999995</v>
      </c>
    </row>
    <row r="55" spans="1:11" s="117" customFormat="1" ht="13.5" customHeight="1">
      <c r="A55" s="127"/>
      <c r="B55" s="119"/>
      <c r="C55" s="127"/>
      <c r="D55" s="128"/>
      <c r="E55" s="129"/>
      <c r="F55" s="130"/>
      <c r="G55" s="129">
        <f>SUM(G43:G54)</f>
        <v>1030.3592937708718</v>
      </c>
      <c r="H55" s="125"/>
      <c r="I55" s="125"/>
      <c r="J55" s="133"/>
      <c r="K55" s="133">
        <f>SUM(K53:K54)</f>
        <v>8.5863274480905982</v>
      </c>
    </row>
    <row r="56" spans="1:11" ht="13.5" customHeight="1">
      <c r="A56" s="119" t="s">
        <v>488</v>
      </c>
      <c r="B56" s="119" t="s">
        <v>40</v>
      </c>
      <c r="C56" s="119" t="s">
        <v>521</v>
      </c>
      <c r="D56" s="120" t="s">
        <v>133</v>
      </c>
      <c r="E56" s="121">
        <v>17454.833400000003</v>
      </c>
      <c r="F56" s="122">
        <v>7.4499999999999997E-2</v>
      </c>
      <c r="G56" s="121">
        <v>1300.3850883000002</v>
      </c>
      <c r="H56" s="125"/>
      <c r="I56" s="125"/>
      <c r="J56" s="126"/>
      <c r="K56" s="126"/>
    </row>
    <row r="57" spans="1:11" ht="13.5" customHeight="1">
      <c r="A57" s="119" t="s">
        <v>488</v>
      </c>
      <c r="B57" s="119" t="s">
        <v>40</v>
      </c>
      <c r="C57" s="119" t="s">
        <v>522</v>
      </c>
      <c r="D57" s="120" t="s">
        <v>133</v>
      </c>
      <c r="E57" s="121">
        <v>23561.176650000001</v>
      </c>
      <c r="F57" s="122">
        <v>0.1154</v>
      </c>
      <c r="G57" s="121">
        <v>2718.9597854100002</v>
      </c>
      <c r="H57" s="125"/>
      <c r="I57" s="125"/>
      <c r="J57" s="126"/>
      <c r="K57" s="126"/>
    </row>
    <row r="58" spans="1:11" ht="13.5" customHeight="1">
      <c r="A58" s="119" t="s">
        <v>488</v>
      </c>
      <c r="B58" s="119" t="s">
        <v>40</v>
      </c>
      <c r="C58" s="119" t="s">
        <v>523</v>
      </c>
      <c r="D58" s="120" t="s">
        <v>133</v>
      </c>
      <c r="E58" s="121">
        <v>7658.2344000000003</v>
      </c>
      <c r="F58" s="122">
        <v>7.0400000000000004E-2</v>
      </c>
      <c r="G58" s="121">
        <v>539.13970176000009</v>
      </c>
      <c r="H58" s="125"/>
      <c r="I58" s="125"/>
      <c r="J58" s="126"/>
      <c r="K58" s="126"/>
    </row>
    <row r="59" spans="1:11" ht="13.5" customHeight="1">
      <c r="A59" s="119" t="s">
        <v>488</v>
      </c>
      <c r="B59" s="119" t="s">
        <v>40</v>
      </c>
      <c r="C59" s="119" t="s">
        <v>524</v>
      </c>
      <c r="D59" s="120" t="s">
        <v>133</v>
      </c>
      <c r="E59" s="121">
        <v>2663.6983200000004</v>
      </c>
      <c r="F59" s="122">
        <v>5.2200000000000003E-2</v>
      </c>
      <c r="G59" s="121">
        <v>139.04505230400002</v>
      </c>
      <c r="H59" s="125"/>
      <c r="I59" s="125"/>
      <c r="J59" s="126"/>
      <c r="K59" s="126"/>
    </row>
    <row r="60" spans="1:11" ht="13.5" customHeight="1">
      <c r="A60" s="119" t="s">
        <v>488</v>
      </c>
      <c r="B60" s="119" t="s">
        <v>40</v>
      </c>
      <c r="C60" s="119" t="s">
        <v>525</v>
      </c>
      <c r="D60" s="120" t="s">
        <v>133</v>
      </c>
      <c r="E60" s="121">
        <v>37526.772780000007</v>
      </c>
      <c r="F60" s="122">
        <v>0.1154</v>
      </c>
      <c r="G60" s="121">
        <v>4330.5895788120006</v>
      </c>
      <c r="H60" s="125"/>
      <c r="I60" s="125"/>
      <c r="J60" s="126"/>
      <c r="K60" s="126"/>
    </row>
    <row r="61" spans="1:11" ht="13.5" customHeight="1">
      <c r="A61" s="119" t="s">
        <v>488</v>
      </c>
      <c r="B61" s="119" t="s">
        <v>40</v>
      </c>
      <c r="C61" s="119" t="s">
        <v>526</v>
      </c>
      <c r="D61" s="120" t="s">
        <v>133</v>
      </c>
      <c r="E61" s="121">
        <v>12393.15552</v>
      </c>
      <c r="F61" s="122">
        <v>7.0400000000000004E-2</v>
      </c>
      <c r="G61" s="121">
        <v>872.47814860800008</v>
      </c>
      <c r="H61" s="125"/>
      <c r="I61" s="125"/>
      <c r="J61" s="126"/>
      <c r="K61" s="126"/>
    </row>
    <row r="62" spans="1:11" ht="13.5" customHeight="1">
      <c r="A62" s="119" t="s">
        <v>488</v>
      </c>
      <c r="B62" s="119" t="s">
        <v>40</v>
      </c>
      <c r="C62" s="119" t="s">
        <v>527</v>
      </c>
      <c r="D62" s="120" t="s">
        <v>133</v>
      </c>
      <c r="E62" s="121">
        <v>4283.6468400000003</v>
      </c>
      <c r="F62" s="122">
        <v>5.2200000000000003E-2</v>
      </c>
      <c r="G62" s="121">
        <v>223.60636504800004</v>
      </c>
      <c r="H62" s="125"/>
      <c r="I62" s="125"/>
      <c r="J62" s="126"/>
      <c r="K62" s="126"/>
    </row>
    <row r="63" spans="1:11" ht="13.5" customHeight="1">
      <c r="A63" s="119" t="s">
        <v>488</v>
      </c>
      <c r="B63" s="119" t="s">
        <v>40</v>
      </c>
      <c r="C63" s="119" t="s">
        <v>528</v>
      </c>
      <c r="D63" s="120" t="s">
        <v>133</v>
      </c>
      <c r="E63" s="121">
        <v>4126</v>
      </c>
      <c r="F63" s="122">
        <v>7.9500000000000005E-3</v>
      </c>
      <c r="G63" s="121">
        <v>32.801700000000004</v>
      </c>
      <c r="H63" s="125"/>
      <c r="I63" s="125"/>
      <c r="J63" s="126"/>
      <c r="K63" s="126"/>
    </row>
    <row r="64" spans="1:11" ht="13.5" customHeight="1">
      <c r="A64" s="119" t="s">
        <v>488</v>
      </c>
      <c r="B64" s="119" t="s">
        <v>40</v>
      </c>
      <c r="C64" s="119" t="s">
        <v>529</v>
      </c>
      <c r="D64" s="120" t="s">
        <v>133</v>
      </c>
      <c r="E64" s="121">
        <v>598.17240000000004</v>
      </c>
      <c r="F64" s="122">
        <v>9.1800000000000007E-2</v>
      </c>
      <c r="G64" s="121">
        <v>54.912226320000009</v>
      </c>
      <c r="H64" s="125"/>
      <c r="I64" s="125"/>
      <c r="J64" s="126"/>
      <c r="K64" s="126"/>
    </row>
    <row r="65" spans="1:11" ht="13.5" customHeight="1">
      <c r="A65" s="119" t="s">
        <v>488</v>
      </c>
      <c r="B65" s="119" t="s">
        <v>40</v>
      </c>
      <c r="C65" s="119" t="s">
        <v>530</v>
      </c>
      <c r="D65" s="120" t="s">
        <v>133</v>
      </c>
      <c r="E65" s="121">
        <v>20975.737184400004</v>
      </c>
      <c r="F65" s="122">
        <v>7.4499999999999997E-2</v>
      </c>
      <c r="G65" s="121">
        <v>1562.6924202378002</v>
      </c>
      <c r="H65" s="125"/>
      <c r="I65" s="125"/>
      <c r="J65" s="126"/>
      <c r="K65" s="126"/>
    </row>
    <row r="66" spans="1:11" ht="13.5" customHeight="1">
      <c r="A66" s="119" t="s">
        <v>488</v>
      </c>
      <c r="B66" s="119" t="s">
        <v>40</v>
      </c>
      <c r="C66" s="119" t="s">
        <v>531</v>
      </c>
      <c r="D66" s="120" t="s">
        <v>133</v>
      </c>
      <c r="E66" s="121">
        <v>0</v>
      </c>
      <c r="F66" s="122">
        <v>6.2539999999999998E-2</v>
      </c>
      <c r="G66" s="121">
        <v>0</v>
      </c>
      <c r="H66" s="125">
        <f>SUM(G56:G66)</f>
        <v>11774.6100667998</v>
      </c>
      <c r="I66" s="125"/>
      <c r="J66" s="126"/>
      <c r="K66" s="126">
        <f>SUM(H66*0.75)/90</f>
        <v>98.121750556665006</v>
      </c>
    </row>
    <row r="67" spans="1:11" s="117" customFormat="1" ht="13.5" customHeight="1">
      <c r="A67" s="127" t="s">
        <v>488</v>
      </c>
      <c r="B67" s="119" t="s">
        <v>40</v>
      </c>
      <c r="C67" s="127" t="s">
        <v>532</v>
      </c>
      <c r="D67" s="128" t="s">
        <v>133</v>
      </c>
      <c r="E67" s="129">
        <v>585.96480000000008</v>
      </c>
      <c r="F67" s="130">
        <v>0.18</v>
      </c>
      <c r="G67" s="129">
        <v>105.47366400000001</v>
      </c>
      <c r="H67" s="125"/>
      <c r="I67" s="132">
        <v>105.47366400000001</v>
      </c>
      <c r="J67" s="133">
        <f>SUM(G67*0.125)/92</f>
        <v>0.1433066086956522</v>
      </c>
      <c r="K67" s="133">
        <f>SUM(I67*0.75)/90</f>
        <v>0.87894720000000015</v>
      </c>
    </row>
    <row r="68" spans="1:11" s="117" customFormat="1" ht="13.5" customHeight="1">
      <c r="A68" s="127"/>
      <c r="B68" s="119"/>
      <c r="C68" s="127"/>
      <c r="D68" s="128"/>
      <c r="E68" s="129"/>
      <c r="F68" s="130"/>
      <c r="G68" s="129">
        <f>SUM(G56:G67)</f>
        <v>11880.083730799799</v>
      </c>
      <c r="H68" s="125"/>
      <c r="I68" s="125"/>
      <c r="J68" s="133"/>
      <c r="K68" s="133">
        <f>SUM(K66:K67)</f>
        <v>99.000697756665005</v>
      </c>
    </row>
    <row r="69" spans="1:11" ht="13.5" customHeight="1">
      <c r="A69" s="119" t="s">
        <v>490</v>
      </c>
      <c r="B69" s="119" t="s">
        <v>535</v>
      </c>
      <c r="C69" s="119" t="s">
        <v>521</v>
      </c>
      <c r="D69" s="120" t="s">
        <v>133</v>
      </c>
      <c r="E69" s="121">
        <v>2325.7644</v>
      </c>
      <c r="F69" s="122">
        <v>7.4499999999999997E-2</v>
      </c>
      <c r="G69" s="121">
        <v>173.26944779999999</v>
      </c>
      <c r="H69" s="125"/>
      <c r="I69" s="125"/>
      <c r="J69" s="126"/>
      <c r="K69" s="126"/>
    </row>
    <row r="70" spans="1:11" ht="13.5" customHeight="1">
      <c r="A70" s="119" t="s">
        <v>490</v>
      </c>
      <c r="B70" s="119" t="s">
        <v>535</v>
      </c>
      <c r="C70" s="119" t="s">
        <v>522</v>
      </c>
      <c r="D70" s="120" t="s">
        <v>133</v>
      </c>
      <c r="E70" s="121">
        <v>3141.3087</v>
      </c>
      <c r="F70" s="122">
        <v>0.1154</v>
      </c>
      <c r="G70" s="121">
        <v>362.50702397999999</v>
      </c>
      <c r="H70" s="125"/>
      <c r="I70" s="125"/>
      <c r="J70" s="126"/>
      <c r="K70" s="126"/>
    </row>
    <row r="71" spans="1:11" ht="13.5" customHeight="1">
      <c r="A71" s="119" t="s">
        <v>490</v>
      </c>
      <c r="B71" s="119" t="s">
        <v>535</v>
      </c>
      <c r="C71" s="119" t="s">
        <v>523</v>
      </c>
      <c r="D71" s="120" t="s">
        <v>133</v>
      </c>
      <c r="E71" s="121">
        <v>1018.8578399999999</v>
      </c>
      <c r="F71" s="122">
        <v>7.0400000000000004E-2</v>
      </c>
      <c r="G71" s="121">
        <v>71.727591935999996</v>
      </c>
      <c r="H71" s="125"/>
      <c r="I71" s="125"/>
      <c r="J71" s="126"/>
      <c r="K71" s="126"/>
    </row>
    <row r="72" spans="1:11" ht="13.5" customHeight="1">
      <c r="A72" s="119" t="s">
        <v>490</v>
      </c>
      <c r="B72" s="119" t="s">
        <v>535</v>
      </c>
      <c r="C72" s="119" t="s">
        <v>524</v>
      </c>
      <c r="D72" s="120" t="s">
        <v>133</v>
      </c>
      <c r="E72" s="121">
        <v>355.22615999999994</v>
      </c>
      <c r="F72" s="122">
        <v>5.2200000000000003E-2</v>
      </c>
      <c r="G72" s="121">
        <v>18.542805551999997</v>
      </c>
      <c r="H72" s="125"/>
      <c r="I72" s="125"/>
      <c r="J72" s="126"/>
      <c r="K72" s="126"/>
    </row>
    <row r="73" spans="1:11" ht="13.5" customHeight="1">
      <c r="A73" s="119" t="s">
        <v>490</v>
      </c>
      <c r="B73" s="119" t="s">
        <v>535</v>
      </c>
      <c r="C73" s="119" t="s">
        <v>525</v>
      </c>
      <c r="D73" s="120" t="s">
        <v>133</v>
      </c>
      <c r="E73" s="121">
        <v>4997.0854799999997</v>
      </c>
      <c r="F73" s="122">
        <v>0.1154</v>
      </c>
      <c r="G73" s="121">
        <v>576.66366439199999</v>
      </c>
      <c r="H73" s="125"/>
      <c r="I73" s="125"/>
      <c r="J73" s="126"/>
      <c r="K73" s="126"/>
    </row>
    <row r="74" spans="1:11" ht="13.5" customHeight="1">
      <c r="A74" s="119" t="s">
        <v>490</v>
      </c>
      <c r="B74" s="119" t="s">
        <v>535</v>
      </c>
      <c r="C74" s="119" t="s">
        <v>526</v>
      </c>
      <c r="D74" s="120" t="s">
        <v>133</v>
      </c>
      <c r="E74" s="121">
        <v>1651.4454000000001</v>
      </c>
      <c r="F74" s="122">
        <v>7.0400000000000004E-2</v>
      </c>
      <c r="G74" s="121">
        <v>116.26175616</v>
      </c>
      <c r="H74" s="125"/>
      <c r="I74" s="125"/>
      <c r="J74" s="126"/>
      <c r="K74" s="126"/>
    </row>
    <row r="75" spans="1:11" ht="13.5" customHeight="1">
      <c r="A75" s="119" t="s">
        <v>490</v>
      </c>
      <c r="B75" s="119" t="s">
        <v>535</v>
      </c>
      <c r="C75" s="119" t="s">
        <v>527</v>
      </c>
      <c r="D75" s="120" t="s">
        <v>133</v>
      </c>
      <c r="E75" s="121">
        <v>570.4993199999999</v>
      </c>
      <c r="F75" s="122">
        <v>5.2200000000000003E-2</v>
      </c>
      <c r="G75" s="121">
        <v>29.780064503999995</v>
      </c>
      <c r="H75" s="125"/>
      <c r="I75" s="125"/>
      <c r="J75" s="126"/>
      <c r="K75" s="126"/>
    </row>
    <row r="76" spans="1:11" ht="13.5" customHeight="1">
      <c r="A76" s="119" t="s">
        <v>490</v>
      </c>
      <c r="B76" s="119" t="s">
        <v>535</v>
      </c>
      <c r="C76" s="119" t="s">
        <v>528</v>
      </c>
      <c r="D76" s="120" t="s">
        <v>133</v>
      </c>
      <c r="E76" s="121">
        <v>947</v>
      </c>
      <c r="F76" s="122">
        <v>7.9500000000000005E-3</v>
      </c>
      <c r="G76" s="121">
        <v>7.5286500000000007</v>
      </c>
      <c r="H76" s="125"/>
      <c r="I76" s="125"/>
      <c r="J76" s="126"/>
      <c r="K76" s="126"/>
    </row>
    <row r="77" spans="1:11" ht="13.5" customHeight="1">
      <c r="A77" s="119" t="s">
        <v>490</v>
      </c>
      <c r="B77" s="119" t="s">
        <v>535</v>
      </c>
      <c r="C77" s="119" t="s">
        <v>529</v>
      </c>
      <c r="D77" s="120" t="s">
        <v>133</v>
      </c>
      <c r="E77" s="121">
        <v>11132.625</v>
      </c>
      <c r="F77" s="122">
        <v>9.1800000000000007E-2</v>
      </c>
      <c r="G77" s="121">
        <v>1021.9749750000001</v>
      </c>
      <c r="H77" s="125"/>
      <c r="I77" s="125"/>
      <c r="J77" s="126"/>
      <c r="K77" s="126"/>
    </row>
    <row r="78" spans="1:11" ht="13.5" customHeight="1">
      <c r="A78" s="119" t="s">
        <v>490</v>
      </c>
      <c r="B78" s="119" t="s">
        <v>535</v>
      </c>
      <c r="C78" s="119" t="s">
        <v>530</v>
      </c>
      <c r="D78" s="120" t="s">
        <v>133</v>
      </c>
      <c r="E78" s="121">
        <v>3494.7434616</v>
      </c>
      <c r="F78" s="122">
        <v>7.4499999999999997E-2</v>
      </c>
      <c r="G78" s="121">
        <v>260.3583878892</v>
      </c>
      <c r="H78" s="125"/>
      <c r="I78" s="125"/>
      <c r="J78" s="126"/>
      <c r="K78" s="126"/>
    </row>
    <row r="79" spans="1:11" ht="13.5" customHeight="1">
      <c r="A79" s="119" t="s">
        <v>490</v>
      </c>
      <c r="B79" s="119" t="s">
        <v>535</v>
      </c>
      <c r="C79" s="119" t="s">
        <v>531</v>
      </c>
      <c r="D79" s="120" t="s">
        <v>133</v>
      </c>
      <c r="E79" s="121">
        <v>0</v>
      </c>
      <c r="F79" s="122">
        <v>6.2539999999999998E-2</v>
      </c>
      <c r="G79" s="121">
        <v>0</v>
      </c>
      <c r="H79" s="125">
        <f>SUM(G69:G79)</f>
        <v>2638.6143672131998</v>
      </c>
      <c r="I79" s="125"/>
      <c r="J79" s="126"/>
      <c r="K79" s="126">
        <f>SUM(H79*0.75)/90</f>
        <v>21.988453060109997</v>
      </c>
    </row>
    <row r="80" spans="1:11" s="117" customFormat="1" ht="13.5" customHeight="1">
      <c r="A80" s="127" t="s">
        <v>490</v>
      </c>
      <c r="B80" s="119" t="s">
        <v>535</v>
      </c>
      <c r="C80" s="127" t="s">
        <v>532</v>
      </c>
      <c r="D80" s="128" t="s">
        <v>133</v>
      </c>
      <c r="E80" s="129">
        <v>10595.714400000001</v>
      </c>
      <c r="F80" s="130">
        <v>0.18</v>
      </c>
      <c r="G80" s="129">
        <v>1907.2285920000002</v>
      </c>
      <c r="H80" s="125"/>
      <c r="I80" s="132">
        <v>1907.2285920000002</v>
      </c>
      <c r="J80" s="133">
        <f>SUM(G80*0.125)/92</f>
        <v>2.5913431956521742</v>
      </c>
      <c r="K80" s="133">
        <f>SUM(I80*0.75)/90</f>
        <v>15.893571600000001</v>
      </c>
    </row>
    <row r="81" spans="1:11" s="117" customFormat="1" ht="13.5" customHeight="1">
      <c r="A81" s="127"/>
      <c r="B81" s="119"/>
      <c r="C81" s="127"/>
      <c r="D81" s="128"/>
      <c r="E81" s="129"/>
      <c r="F81" s="130"/>
      <c r="G81" s="129">
        <f>SUM(G69:G80)</f>
        <v>4545.8429592131997</v>
      </c>
      <c r="H81" s="125"/>
      <c r="I81" s="125"/>
      <c r="J81" s="133"/>
      <c r="K81" s="133">
        <f>SUM(K79:K80)</f>
        <v>37.882024660109998</v>
      </c>
    </row>
    <row r="82" spans="1:11" ht="13.5" customHeight="1">
      <c r="A82" s="119" t="s">
        <v>492</v>
      </c>
      <c r="B82" s="119" t="s">
        <v>536</v>
      </c>
      <c r="C82" s="119" t="s">
        <v>521</v>
      </c>
      <c r="D82" s="120" t="s">
        <v>133</v>
      </c>
      <c r="E82" s="121">
        <v>13319.4879</v>
      </c>
      <c r="F82" s="122">
        <v>7.4499999999999997E-2</v>
      </c>
      <c r="G82" s="121">
        <v>992.30184854999993</v>
      </c>
      <c r="H82" s="125"/>
      <c r="I82" s="125"/>
      <c r="J82" s="126"/>
      <c r="K82" s="126"/>
    </row>
    <row r="83" spans="1:11" ht="13.5" customHeight="1">
      <c r="A83" s="119" t="s">
        <v>492</v>
      </c>
      <c r="B83" s="119" t="s">
        <v>536</v>
      </c>
      <c r="C83" s="119" t="s">
        <v>522</v>
      </c>
      <c r="D83" s="120" t="s">
        <v>133</v>
      </c>
      <c r="E83" s="121">
        <v>17982.018100000001</v>
      </c>
      <c r="F83" s="122">
        <v>0.1154</v>
      </c>
      <c r="G83" s="121">
        <v>2075.1248887400002</v>
      </c>
      <c r="H83" s="125"/>
      <c r="I83" s="125"/>
      <c r="J83" s="126"/>
      <c r="K83" s="126"/>
    </row>
    <row r="84" spans="1:11" ht="13.5" customHeight="1">
      <c r="A84" s="119" t="s">
        <v>492</v>
      </c>
      <c r="B84" s="119" t="s">
        <v>536</v>
      </c>
      <c r="C84" s="119" t="s">
        <v>523</v>
      </c>
      <c r="D84" s="120" t="s">
        <v>133</v>
      </c>
      <c r="E84" s="121">
        <v>5845.2508799999996</v>
      </c>
      <c r="F84" s="122">
        <v>7.0400000000000004E-2</v>
      </c>
      <c r="G84" s="121">
        <v>411.50566195199997</v>
      </c>
      <c r="H84" s="125"/>
      <c r="I84" s="125"/>
      <c r="J84" s="126"/>
      <c r="K84" s="126"/>
    </row>
    <row r="85" spans="1:11" ht="13.5" customHeight="1">
      <c r="A85" s="119" t="s">
        <v>492</v>
      </c>
      <c r="B85" s="119" t="s">
        <v>536</v>
      </c>
      <c r="C85" s="119" t="s">
        <v>524</v>
      </c>
      <c r="D85" s="120" t="s">
        <v>133</v>
      </c>
      <c r="E85" s="121">
        <v>2034.28944</v>
      </c>
      <c r="F85" s="122">
        <v>5.2200000000000003E-2</v>
      </c>
      <c r="G85" s="121">
        <v>106.18990876800001</v>
      </c>
      <c r="H85" s="125"/>
      <c r="I85" s="125"/>
      <c r="J85" s="126"/>
      <c r="K85" s="126"/>
    </row>
    <row r="86" spans="1:11" ht="13.5" customHeight="1">
      <c r="A86" s="119" t="s">
        <v>492</v>
      </c>
      <c r="B86" s="119" t="s">
        <v>536</v>
      </c>
      <c r="C86" s="119" t="s">
        <v>525</v>
      </c>
      <c r="D86" s="120" t="s">
        <v>133</v>
      </c>
      <c r="E86" s="121">
        <v>28638.47208</v>
      </c>
      <c r="F86" s="122">
        <v>0.1154</v>
      </c>
      <c r="G86" s="121">
        <v>3304.8796780319999</v>
      </c>
      <c r="H86" s="125"/>
      <c r="I86" s="125"/>
      <c r="J86" s="126"/>
      <c r="K86" s="126"/>
    </row>
    <row r="87" spans="1:11" ht="13.5" customHeight="1">
      <c r="A87" s="119" t="s">
        <v>492</v>
      </c>
      <c r="B87" s="119" t="s">
        <v>536</v>
      </c>
      <c r="C87" s="119" t="s">
        <v>526</v>
      </c>
      <c r="D87" s="120" t="s">
        <v>133</v>
      </c>
      <c r="E87" s="121">
        <v>9455.3496799999994</v>
      </c>
      <c r="F87" s="122">
        <v>7.0400000000000004E-2</v>
      </c>
      <c r="G87" s="121">
        <v>665.65661747199999</v>
      </c>
      <c r="H87" s="125"/>
      <c r="I87" s="125"/>
      <c r="J87" s="126"/>
      <c r="K87" s="126"/>
    </row>
    <row r="88" spans="1:11" ht="13.5" customHeight="1">
      <c r="A88" s="119" t="s">
        <v>492</v>
      </c>
      <c r="B88" s="119" t="s">
        <v>536</v>
      </c>
      <c r="C88" s="119" t="s">
        <v>527</v>
      </c>
      <c r="D88" s="120" t="s">
        <v>133</v>
      </c>
      <c r="E88" s="121">
        <v>3269.0764799999997</v>
      </c>
      <c r="F88" s="122">
        <v>5.2200000000000003E-2</v>
      </c>
      <c r="G88" s="121">
        <v>170.64579225599999</v>
      </c>
      <c r="H88" s="125"/>
      <c r="I88" s="125"/>
      <c r="J88" s="126"/>
      <c r="K88" s="126"/>
    </row>
    <row r="89" spans="1:11" ht="13.5" customHeight="1">
      <c r="A89" s="119" t="s">
        <v>492</v>
      </c>
      <c r="B89" s="119" t="s">
        <v>536</v>
      </c>
      <c r="C89" s="119" t="s">
        <v>528</v>
      </c>
      <c r="D89" s="120" t="s">
        <v>133</v>
      </c>
      <c r="E89" s="121">
        <v>5533</v>
      </c>
      <c r="F89" s="122">
        <v>7.9500000000000005E-3</v>
      </c>
      <c r="G89" s="121">
        <v>43.987349999999999</v>
      </c>
      <c r="H89" s="125"/>
      <c r="I89" s="125"/>
      <c r="J89" s="126"/>
      <c r="K89" s="126"/>
    </row>
    <row r="90" spans="1:11" ht="13.5" customHeight="1">
      <c r="A90" s="119" t="s">
        <v>492</v>
      </c>
      <c r="B90" s="119" t="s">
        <v>536</v>
      </c>
      <c r="C90" s="119" t="s">
        <v>529</v>
      </c>
      <c r="D90" s="120" t="s">
        <v>133</v>
      </c>
      <c r="E90" s="121">
        <v>1468.222</v>
      </c>
      <c r="F90" s="122">
        <v>9.1800000000000007E-2</v>
      </c>
      <c r="G90" s="121">
        <v>134.7827796</v>
      </c>
      <c r="H90" s="125"/>
      <c r="I90" s="125"/>
      <c r="J90" s="126"/>
      <c r="K90" s="126"/>
    </row>
    <row r="91" spans="1:11" ht="13.5" customHeight="1">
      <c r="A91" s="119" t="s">
        <v>492</v>
      </c>
      <c r="B91" s="119" t="s">
        <v>536</v>
      </c>
      <c r="C91" s="119" t="s">
        <v>530</v>
      </c>
      <c r="D91" s="120" t="s">
        <v>133</v>
      </c>
      <c r="E91" s="121">
        <v>19414.173658399999</v>
      </c>
      <c r="F91" s="122">
        <v>7.4499999999999997E-2</v>
      </c>
      <c r="G91" s="121">
        <v>1446.3559375507998</v>
      </c>
      <c r="H91" s="125"/>
      <c r="I91" s="125"/>
      <c r="J91" s="126"/>
      <c r="K91" s="126"/>
    </row>
    <row r="92" spans="1:11" ht="13.5" customHeight="1">
      <c r="A92" s="119" t="s">
        <v>492</v>
      </c>
      <c r="B92" s="119" t="s">
        <v>536</v>
      </c>
      <c r="C92" s="119" t="s">
        <v>531</v>
      </c>
      <c r="D92" s="120" t="s">
        <v>133</v>
      </c>
      <c r="E92" s="121">
        <v>0</v>
      </c>
      <c r="F92" s="122">
        <v>6.2539999999999998E-2</v>
      </c>
      <c r="G92" s="121">
        <v>0</v>
      </c>
      <c r="H92" s="125">
        <f>SUM(G82:G92)</f>
        <v>9351.4304629208</v>
      </c>
      <c r="I92" s="125"/>
      <c r="J92" s="126"/>
      <c r="K92" s="126">
        <f>SUM(H92*0.75)/90</f>
        <v>77.92858719100667</v>
      </c>
    </row>
    <row r="93" spans="1:11" s="117" customFormat="1" ht="13.5" customHeight="1">
      <c r="A93" s="127" t="s">
        <v>492</v>
      </c>
      <c r="B93" s="119" t="s">
        <v>536</v>
      </c>
      <c r="C93" s="127" t="s">
        <v>532</v>
      </c>
      <c r="D93" s="128" t="s">
        <v>133</v>
      </c>
      <c r="E93" s="129">
        <v>1406.5319999999999</v>
      </c>
      <c r="F93" s="130">
        <v>0.18</v>
      </c>
      <c r="G93" s="129">
        <v>253.17575999999997</v>
      </c>
      <c r="H93" s="125"/>
      <c r="I93" s="132">
        <v>253.17575999999997</v>
      </c>
      <c r="J93" s="133">
        <f>SUM(G93*0.125)/92</f>
        <v>0.34398880434782603</v>
      </c>
      <c r="K93" s="133">
        <f>SUM(I93*0.75)/90</f>
        <v>2.1097979999999996</v>
      </c>
    </row>
    <row r="94" spans="1:11" s="117" customFormat="1" ht="13.5" customHeight="1">
      <c r="A94" s="127"/>
      <c r="B94" s="119"/>
      <c r="C94" s="127"/>
      <c r="D94" s="128"/>
      <c r="E94" s="129"/>
      <c r="F94" s="130"/>
      <c r="G94" s="129">
        <f>SUM(G82:G93)</f>
        <v>9604.6062229208001</v>
      </c>
      <c r="H94" s="125"/>
      <c r="I94" s="125"/>
      <c r="J94" s="133"/>
      <c r="K94" s="133">
        <f>SUM(K92:K93)</f>
        <v>80.038385191006668</v>
      </c>
    </row>
    <row r="95" spans="1:11" ht="13.5" customHeight="1">
      <c r="A95" s="119" t="s">
        <v>494</v>
      </c>
      <c r="B95" s="119" t="s">
        <v>537</v>
      </c>
      <c r="C95" s="119" t="s">
        <v>521</v>
      </c>
      <c r="D95" s="120" t="s">
        <v>133</v>
      </c>
      <c r="E95" s="121">
        <v>4201.7460000000001</v>
      </c>
      <c r="F95" s="122">
        <v>7.4499999999999997E-2</v>
      </c>
      <c r="G95" s="121">
        <v>313.03007700000001</v>
      </c>
      <c r="H95" s="125"/>
      <c r="I95" s="125"/>
      <c r="J95" s="126"/>
      <c r="K95" s="126"/>
    </row>
    <row r="96" spans="1:11" ht="13.5" customHeight="1">
      <c r="A96" s="119" t="s">
        <v>494</v>
      </c>
      <c r="B96" s="119" t="s">
        <v>537</v>
      </c>
      <c r="C96" s="119" t="s">
        <v>522</v>
      </c>
      <c r="D96" s="120" t="s">
        <v>133</v>
      </c>
      <c r="E96" s="121">
        <v>5671.5220000000008</v>
      </c>
      <c r="F96" s="122">
        <v>0.1154</v>
      </c>
      <c r="G96" s="121">
        <v>654.4936388000001</v>
      </c>
      <c r="H96" s="125"/>
      <c r="I96" s="125"/>
      <c r="J96" s="126"/>
      <c r="K96" s="126"/>
    </row>
    <row r="97" spans="1:11" ht="13.5" customHeight="1">
      <c r="A97" s="119" t="s">
        <v>494</v>
      </c>
      <c r="B97" s="119" t="s">
        <v>537</v>
      </c>
      <c r="C97" s="119" t="s">
        <v>523</v>
      </c>
      <c r="D97" s="120" t="s">
        <v>133</v>
      </c>
      <c r="E97" s="121">
        <v>1843.9007999999999</v>
      </c>
      <c r="F97" s="122">
        <v>7.0400000000000004E-2</v>
      </c>
      <c r="G97" s="121">
        <v>129.81061632000001</v>
      </c>
      <c r="H97" s="125"/>
      <c r="I97" s="125"/>
      <c r="J97" s="126"/>
      <c r="K97" s="126"/>
    </row>
    <row r="98" spans="1:11" ht="13.5" customHeight="1">
      <c r="A98" s="119" t="s">
        <v>494</v>
      </c>
      <c r="B98" s="119" t="s">
        <v>537</v>
      </c>
      <c r="C98" s="119" t="s">
        <v>524</v>
      </c>
      <c r="D98" s="120" t="s">
        <v>133</v>
      </c>
      <c r="E98" s="121">
        <v>642.3112000000001</v>
      </c>
      <c r="F98" s="122">
        <v>5.2200000000000003E-2</v>
      </c>
      <c r="G98" s="121">
        <v>33.52864464000001</v>
      </c>
      <c r="H98" s="125"/>
      <c r="I98" s="125"/>
      <c r="J98" s="126"/>
      <c r="K98" s="126"/>
    </row>
    <row r="99" spans="1:11" ht="13.5" customHeight="1">
      <c r="A99" s="119" t="s">
        <v>494</v>
      </c>
      <c r="B99" s="119" t="s">
        <v>537</v>
      </c>
      <c r="C99" s="119" t="s">
        <v>525</v>
      </c>
      <c r="D99" s="120" t="s">
        <v>133</v>
      </c>
      <c r="E99" s="121">
        <v>9034.1118000000006</v>
      </c>
      <c r="F99" s="122">
        <v>0.1154</v>
      </c>
      <c r="G99" s="121">
        <v>1042.5365017200002</v>
      </c>
      <c r="H99" s="125"/>
      <c r="I99" s="125"/>
      <c r="J99" s="126"/>
      <c r="K99" s="126"/>
    </row>
    <row r="100" spans="1:11" ht="13.5" customHeight="1">
      <c r="A100" s="119" t="s">
        <v>494</v>
      </c>
      <c r="B100" s="119" t="s">
        <v>537</v>
      </c>
      <c r="C100" s="119" t="s">
        <v>526</v>
      </c>
      <c r="D100" s="120" t="s">
        <v>133</v>
      </c>
      <c r="E100" s="121">
        <v>2982.9772000000003</v>
      </c>
      <c r="F100" s="122">
        <v>7.0400000000000004E-2</v>
      </c>
      <c r="G100" s="121">
        <v>210.00159488000003</v>
      </c>
      <c r="H100" s="125"/>
      <c r="I100" s="125"/>
      <c r="J100" s="126"/>
      <c r="K100" s="126"/>
    </row>
    <row r="101" spans="1:11" ht="13.5" customHeight="1">
      <c r="A101" s="119" t="s">
        <v>494</v>
      </c>
      <c r="B101" s="119" t="s">
        <v>537</v>
      </c>
      <c r="C101" s="119" t="s">
        <v>527</v>
      </c>
      <c r="D101" s="120" t="s">
        <v>133</v>
      </c>
      <c r="E101" s="121">
        <v>1029.7975999999999</v>
      </c>
      <c r="F101" s="122">
        <v>5.2200000000000003E-2</v>
      </c>
      <c r="G101" s="121">
        <v>53.755434719999997</v>
      </c>
      <c r="H101" s="125"/>
      <c r="I101" s="125"/>
      <c r="J101" s="126"/>
      <c r="K101" s="126"/>
    </row>
    <row r="102" spans="1:11" ht="13.5" customHeight="1">
      <c r="A102" s="119" t="s">
        <v>494</v>
      </c>
      <c r="B102" s="119" t="s">
        <v>537</v>
      </c>
      <c r="C102" s="119" t="s">
        <v>528</v>
      </c>
      <c r="D102" s="120" t="s">
        <v>133</v>
      </c>
      <c r="E102" s="121">
        <v>1827</v>
      </c>
      <c r="F102" s="122">
        <v>7.9500000000000005E-3</v>
      </c>
      <c r="G102" s="121">
        <v>14.524650000000001</v>
      </c>
      <c r="H102" s="125"/>
      <c r="I102" s="125"/>
      <c r="J102" s="126"/>
      <c r="K102" s="126"/>
    </row>
    <row r="103" spans="1:11" ht="13.5" customHeight="1">
      <c r="A103" s="119" t="s">
        <v>494</v>
      </c>
      <c r="B103" s="119" t="s">
        <v>537</v>
      </c>
      <c r="C103" s="119" t="s">
        <v>529</v>
      </c>
      <c r="D103" s="120" t="s">
        <v>133</v>
      </c>
      <c r="E103" s="121">
        <v>3549.1750000000002</v>
      </c>
      <c r="F103" s="122">
        <v>9.1800000000000007E-2</v>
      </c>
      <c r="G103" s="121">
        <v>325.81426500000003</v>
      </c>
      <c r="H103" s="125"/>
      <c r="I103" s="125"/>
      <c r="J103" s="126"/>
      <c r="K103" s="126"/>
    </row>
    <row r="104" spans="1:11" ht="13.5" customHeight="1">
      <c r="A104" s="119" t="s">
        <v>494</v>
      </c>
      <c r="B104" s="119" t="s">
        <v>537</v>
      </c>
      <c r="C104" s="119" t="s">
        <v>530</v>
      </c>
      <c r="D104" s="120" t="s">
        <v>133</v>
      </c>
      <c r="E104" s="121">
        <v>5921.889752000001</v>
      </c>
      <c r="F104" s="122">
        <v>7.4499999999999997E-2</v>
      </c>
      <c r="G104" s="121">
        <v>441.18078652400004</v>
      </c>
      <c r="H104" s="125"/>
      <c r="I104" s="125"/>
      <c r="J104" s="126"/>
      <c r="K104" s="126"/>
    </row>
    <row r="105" spans="1:11" ht="13.5" customHeight="1">
      <c r="A105" s="119" t="s">
        <v>494</v>
      </c>
      <c r="B105" s="119" t="s">
        <v>537</v>
      </c>
      <c r="C105" s="119" t="s">
        <v>531</v>
      </c>
      <c r="D105" s="120" t="s">
        <v>133</v>
      </c>
      <c r="E105" s="121">
        <v>0</v>
      </c>
      <c r="F105" s="122">
        <v>6.2539999999999998E-2</v>
      </c>
      <c r="G105" s="121">
        <v>0</v>
      </c>
      <c r="H105" s="125">
        <f>SUM(G95:G105)</f>
        <v>3218.6762096040002</v>
      </c>
      <c r="I105" s="125"/>
      <c r="J105" s="126"/>
      <c r="K105" s="126">
        <f>SUM(H105*0.75)/90</f>
        <v>26.822301746700003</v>
      </c>
    </row>
    <row r="106" spans="1:11" s="117" customFormat="1" ht="13.5" customHeight="1">
      <c r="A106" s="127" t="s">
        <v>494</v>
      </c>
      <c r="B106" s="119" t="s">
        <v>537</v>
      </c>
      <c r="C106" s="127" t="s">
        <v>532</v>
      </c>
      <c r="D106" s="128" t="s">
        <v>133</v>
      </c>
      <c r="E106" s="129">
        <v>3392.8920000000003</v>
      </c>
      <c r="F106" s="130">
        <v>0.18</v>
      </c>
      <c r="G106" s="129">
        <v>610.72055999999998</v>
      </c>
      <c r="H106" s="125"/>
      <c r="I106" s="132">
        <v>610.72055999999998</v>
      </c>
      <c r="J106" s="133">
        <f>SUM(G106*0.125)/92</f>
        <v>0.82978336956521737</v>
      </c>
      <c r="K106" s="133">
        <f>SUM(I106*0.75)/90</f>
        <v>5.0893379999999997</v>
      </c>
    </row>
    <row r="107" spans="1:11" s="117" customFormat="1" ht="13.5" customHeight="1">
      <c r="A107" s="127"/>
      <c r="B107" s="119"/>
      <c r="C107" s="127"/>
      <c r="D107" s="128"/>
      <c r="E107" s="129"/>
      <c r="F107" s="130"/>
      <c r="G107" s="129">
        <f>SUM(G95:G106)</f>
        <v>3829.3967696039999</v>
      </c>
      <c r="H107" s="125"/>
      <c r="I107" s="125"/>
      <c r="J107" s="133"/>
      <c r="K107" s="133">
        <f>SUM(K105:K106)</f>
        <v>31.911639746700004</v>
      </c>
    </row>
    <row r="108" spans="1:11" ht="13.5" customHeight="1">
      <c r="A108" s="119" t="s">
        <v>496</v>
      </c>
      <c r="B108" s="119" t="s">
        <v>538</v>
      </c>
      <c r="C108" s="119" t="s">
        <v>521</v>
      </c>
      <c r="D108" s="120" t="s">
        <v>133</v>
      </c>
      <c r="E108" s="121">
        <v>22287.3235776</v>
      </c>
      <c r="F108" s="122">
        <v>7.4499999999999997E-2</v>
      </c>
      <c r="G108" s="121">
        <v>1660.4056065312</v>
      </c>
      <c r="H108" s="125"/>
      <c r="I108" s="125"/>
      <c r="J108" s="126"/>
      <c r="K108" s="126"/>
    </row>
    <row r="109" spans="1:11" ht="13.5" customHeight="1">
      <c r="A109" s="119" t="s">
        <v>496</v>
      </c>
      <c r="B109" s="119" t="s">
        <v>538</v>
      </c>
      <c r="C109" s="119" t="s">
        <v>522</v>
      </c>
      <c r="D109" s="120" t="s">
        <v>133</v>
      </c>
      <c r="E109" s="121">
        <v>12512.616652799999</v>
      </c>
      <c r="F109" s="122">
        <v>0.1154</v>
      </c>
      <c r="G109" s="121">
        <v>1443.9559617331199</v>
      </c>
      <c r="H109" s="125"/>
      <c r="I109" s="125"/>
      <c r="J109" s="126"/>
      <c r="K109" s="126"/>
    </row>
    <row r="110" spans="1:11" ht="13.5" customHeight="1">
      <c r="A110" s="119" t="s">
        <v>496</v>
      </c>
      <c r="B110" s="119" t="s">
        <v>538</v>
      </c>
      <c r="C110" s="119" t="s">
        <v>523</v>
      </c>
      <c r="D110" s="120" t="s">
        <v>133</v>
      </c>
      <c r="E110" s="121">
        <v>4015.0307520000001</v>
      </c>
      <c r="F110" s="122">
        <v>7.0400000000000004E-2</v>
      </c>
      <c r="G110" s="121">
        <v>282.65816494080002</v>
      </c>
      <c r="H110" s="125"/>
      <c r="I110" s="125"/>
      <c r="J110" s="126"/>
      <c r="K110" s="126"/>
    </row>
    <row r="111" spans="1:11" ht="13.5" customHeight="1">
      <c r="A111" s="119" t="s">
        <v>496</v>
      </c>
      <c r="B111" s="119" t="s">
        <v>538</v>
      </c>
      <c r="C111" s="119" t="s">
        <v>524</v>
      </c>
      <c r="D111" s="120" t="s">
        <v>133</v>
      </c>
      <c r="E111" s="121">
        <v>1338.7729536000002</v>
      </c>
      <c r="F111" s="122">
        <v>5.2200000000000003E-2</v>
      </c>
      <c r="G111" s="121">
        <v>69.883948177920018</v>
      </c>
      <c r="H111" s="125"/>
      <c r="I111" s="125"/>
      <c r="J111" s="126"/>
      <c r="K111" s="126"/>
    </row>
    <row r="112" spans="1:11" ht="13.5" customHeight="1">
      <c r="A112" s="119" t="s">
        <v>496</v>
      </c>
      <c r="B112" s="119" t="s">
        <v>538</v>
      </c>
      <c r="C112" s="119" t="s">
        <v>525</v>
      </c>
      <c r="D112" s="120" t="s">
        <v>133</v>
      </c>
      <c r="E112" s="121">
        <v>20360.609395200001</v>
      </c>
      <c r="F112" s="122">
        <v>0.1154</v>
      </c>
      <c r="G112" s="121">
        <v>2349.6143242060803</v>
      </c>
      <c r="H112" s="125"/>
      <c r="I112" s="125"/>
      <c r="J112" s="126"/>
      <c r="K112" s="126"/>
    </row>
    <row r="113" spans="1:11" ht="13.5" customHeight="1">
      <c r="A113" s="119" t="s">
        <v>496</v>
      </c>
      <c r="B113" s="119" t="s">
        <v>538</v>
      </c>
      <c r="C113" s="119" t="s">
        <v>526</v>
      </c>
      <c r="D113" s="120" t="s">
        <v>133</v>
      </c>
      <c r="E113" s="121">
        <v>6526.9709567999998</v>
      </c>
      <c r="F113" s="122">
        <v>7.0400000000000004E-2</v>
      </c>
      <c r="G113" s="121">
        <v>459.49875535872002</v>
      </c>
      <c r="H113" s="125"/>
      <c r="I113" s="125"/>
      <c r="J113" s="126"/>
      <c r="K113" s="126"/>
    </row>
    <row r="114" spans="1:11" ht="13.5" customHeight="1">
      <c r="A114" s="119" t="s">
        <v>496</v>
      </c>
      <c r="B114" s="119" t="s">
        <v>538</v>
      </c>
      <c r="C114" s="119" t="s">
        <v>527</v>
      </c>
      <c r="D114" s="120" t="s">
        <v>133</v>
      </c>
      <c r="E114" s="121">
        <v>2176.6565375999999</v>
      </c>
      <c r="F114" s="122">
        <v>5.2200000000000003E-2</v>
      </c>
      <c r="G114" s="121">
        <v>113.62147126272001</v>
      </c>
      <c r="H114" s="125"/>
      <c r="I114" s="125"/>
      <c r="J114" s="126"/>
      <c r="K114" s="126"/>
    </row>
    <row r="115" spans="1:11" ht="13.5" customHeight="1">
      <c r="A115" s="119" t="s">
        <v>496</v>
      </c>
      <c r="B115" s="119" t="s">
        <v>538</v>
      </c>
      <c r="C115" s="119" t="s">
        <v>528</v>
      </c>
      <c r="D115" s="120" t="s">
        <v>133</v>
      </c>
      <c r="E115" s="121">
        <v>10163.751910000001</v>
      </c>
      <c r="F115" s="122">
        <v>7.9500000000000005E-3</v>
      </c>
      <c r="G115" s="121">
        <v>80.801827684500012</v>
      </c>
      <c r="H115" s="125"/>
      <c r="I115" s="125"/>
      <c r="J115" s="126"/>
      <c r="K115" s="126"/>
    </row>
    <row r="116" spans="1:11" ht="13.5" customHeight="1">
      <c r="A116" s="119" t="s">
        <v>496</v>
      </c>
      <c r="B116" s="119" t="s">
        <v>538</v>
      </c>
      <c r="C116" s="119" t="s">
        <v>529</v>
      </c>
      <c r="D116" s="120" t="s">
        <v>133</v>
      </c>
      <c r="E116" s="121">
        <v>381.94778880000001</v>
      </c>
      <c r="F116" s="122">
        <v>9.1800000000000007E-2</v>
      </c>
      <c r="G116" s="121">
        <v>35.06280701184</v>
      </c>
      <c r="H116" s="125"/>
      <c r="I116" s="125"/>
      <c r="J116" s="126"/>
      <c r="K116" s="126"/>
    </row>
    <row r="117" spans="1:11" ht="13.5" customHeight="1">
      <c r="A117" s="119" t="s">
        <v>496</v>
      </c>
      <c r="B117" s="119" t="s">
        <v>538</v>
      </c>
      <c r="C117" s="119" t="s">
        <v>530</v>
      </c>
      <c r="D117" s="120" t="s">
        <v>133</v>
      </c>
      <c r="E117" s="121">
        <v>2221.9909631999999</v>
      </c>
      <c r="F117" s="122">
        <v>7.4499999999999997E-2</v>
      </c>
      <c r="G117" s="121">
        <v>165.53832675839999</v>
      </c>
      <c r="H117" s="125"/>
      <c r="I117" s="125"/>
      <c r="J117" s="126"/>
      <c r="K117" s="126"/>
    </row>
    <row r="118" spans="1:11" ht="13.5" customHeight="1">
      <c r="A118" s="119" t="s">
        <v>496</v>
      </c>
      <c r="B118" s="119" t="s">
        <v>538</v>
      </c>
      <c r="C118" s="119" t="s">
        <v>531</v>
      </c>
      <c r="D118" s="120" t="s">
        <v>133</v>
      </c>
      <c r="E118" s="121">
        <v>6650.508797550001</v>
      </c>
      <c r="F118" s="122">
        <v>6.2539999999999998E-2</v>
      </c>
      <c r="G118" s="121">
        <v>415.92282019877706</v>
      </c>
      <c r="H118" s="125">
        <f>SUM(G108:G118)</f>
        <v>7076.9640138640762</v>
      </c>
      <c r="I118" s="125"/>
      <c r="J118" s="126"/>
      <c r="K118" s="126">
        <f>SUM(H118*0.75)/90</f>
        <v>58.97470011553397</v>
      </c>
    </row>
    <row r="119" spans="1:11" s="117" customFormat="1" ht="13.5" customHeight="1">
      <c r="A119" s="127" t="s">
        <v>496</v>
      </c>
      <c r="B119" s="119" t="s">
        <v>538</v>
      </c>
      <c r="C119" s="127" t="s">
        <v>532</v>
      </c>
      <c r="D119" s="128" t="s">
        <v>133</v>
      </c>
      <c r="E119" s="129">
        <v>215.88353280000001</v>
      </c>
      <c r="F119" s="130">
        <v>0.18</v>
      </c>
      <c r="G119" s="129">
        <v>38.859035904000002</v>
      </c>
      <c r="H119" s="125"/>
      <c r="I119" s="132">
        <v>38.859035904000002</v>
      </c>
      <c r="J119" s="133">
        <f>SUM(G119*0.125)/92</f>
        <v>5.2797603130434786E-2</v>
      </c>
      <c r="K119" s="133">
        <f>SUM(I119*0.75)/90</f>
        <v>0.32382529920000003</v>
      </c>
    </row>
    <row r="120" spans="1:11" s="117" customFormat="1" ht="13.5" customHeight="1">
      <c r="A120" s="127"/>
      <c r="B120" s="119"/>
      <c r="C120" s="127"/>
      <c r="D120" s="128"/>
      <c r="E120" s="129"/>
      <c r="F120" s="130"/>
      <c r="G120" s="129">
        <f>SUM(G108:G119)</f>
        <v>7115.8230497680761</v>
      </c>
      <c r="H120" s="125"/>
      <c r="I120" s="125"/>
      <c r="J120" s="133"/>
      <c r="K120" s="133">
        <f>SUM(K118:K119)</f>
        <v>59.298525414733973</v>
      </c>
    </row>
    <row r="121" spans="1:11" ht="13.5" customHeight="1">
      <c r="A121" s="119" t="s">
        <v>498</v>
      </c>
      <c r="B121" s="119" t="s">
        <v>539</v>
      </c>
      <c r="C121" s="119" t="s">
        <v>521</v>
      </c>
      <c r="D121" s="120" t="s">
        <v>133</v>
      </c>
      <c r="E121" s="121">
        <v>43.040471800000006</v>
      </c>
      <c r="F121" s="122">
        <v>7.4499999999999997E-2</v>
      </c>
      <c r="G121" s="121">
        <v>3.2065151491000004</v>
      </c>
      <c r="H121" s="125"/>
      <c r="I121" s="125"/>
      <c r="J121" s="126"/>
      <c r="K121" s="126"/>
    </row>
    <row r="122" spans="1:11" ht="13.5" customHeight="1">
      <c r="A122" s="119" t="s">
        <v>498</v>
      </c>
      <c r="B122" s="119" t="s">
        <v>539</v>
      </c>
      <c r="C122" s="119" t="s">
        <v>522</v>
      </c>
      <c r="D122" s="120" t="s">
        <v>133</v>
      </c>
      <c r="E122" s="121">
        <v>117.34500840000001</v>
      </c>
      <c r="F122" s="122">
        <v>0.1154</v>
      </c>
      <c r="G122" s="121">
        <v>13.541613969360002</v>
      </c>
      <c r="H122" s="125"/>
      <c r="I122" s="125"/>
      <c r="J122" s="126"/>
      <c r="K122" s="126"/>
    </row>
    <row r="123" spans="1:11" ht="13.5" customHeight="1">
      <c r="A123" s="119" t="s">
        <v>498</v>
      </c>
      <c r="B123" s="119" t="s">
        <v>539</v>
      </c>
      <c r="C123" s="119" t="s">
        <v>523</v>
      </c>
      <c r="D123" s="120" t="s">
        <v>133</v>
      </c>
      <c r="E123" s="121">
        <v>39.913030600000006</v>
      </c>
      <c r="F123" s="122">
        <v>7.0400000000000004E-2</v>
      </c>
      <c r="G123" s="121">
        <v>2.8098773542400006</v>
      </c>
      <c r="H123" s="125"/>
      <c r="I123" s="125"/>
      <c r="J123" s="126"/>
      <c r="K123" s="126"/>
    </row>
    <row r="124" spans="1:11" ht="13.5" customHeight="1">
      <c r="A124" s="119" t="s">
        <v>498</v>
      </c>
      <c r="B124" s="119" t="s">
        <v>539</v>
      </c>
      <c r="C124" s="119" t="s">
        <v>524</v>
      </c>
      <c r="D124" s="120" t="s">
        <v>133</v>
      </c>
      <c r="E124" s="121">
        <v>12.178654400000001</v>
      </c>
      <c r="F124" s="122">
        <v>5.2200000000000003E-2</v>
      </c>
      <c r="G124" s="121">
        <v>0.63572575968000011</v>
      </c>
      <c r="H124" s="125"/>
      <c r="I124" s="125"/>
      <c r="J124" s="126"/>
      <c r="K124" s="126"/>
    </row>
    <row r="125" spans="1:11" ht="13.5" customHeight="1">
      <c r="A125" s="119" t="s">
        <v>498</v>
      </c>
      <c r="B125" s="119" t="s">
        <v>539</v>
      </c>
      <c r="C125" s="119" t="s">
        <v>525</v>
      </c>
      <c r="D125" s="120" t="s">
        <v>133</v>
      </c>
      <c r="E125" s="121">
        <v>363.05738000000002</v>
      </c>
      <c r="F125" s="122">
        <v>0.1154</v>
      </c>
      <c r="G125" s="121">
        <v>41.896821652000007</v>
      </c>
      <c r="H125" s="125"/>
      <c r="I125" s="125"/>
      <c r="J125" s="126"/>
      <c r="K125" s="126"/>
    </row>
    <row r="126" spans="1:11" ht="13.5" customHeight="1">
      <c r="A126" s="119" t="s">
        <v>498</v>
      </c>
      <c r="B126" s="119" t="s">
        <v>539</v>
      </c>
      <c r="C126" s="119" t="s">
        <v>526</v>
      </c>
      <c r="D126" s="120" t="s">
        <v>133</v>
      </c>
      <c r="E126" s="121">
        <v>113.870936</v>
      </c>
      <c r="F126" s="122">
        <v>7.0400000000000004E-2</v>
      </c>
      <c r="G126" s="121">
        <v>8.016513894400001</v>
      </c>
      <c r="H126" s="125"/>
      <c r="I126" s="125"/>
      <c r="J126" s="126"/>
      <c r="K126" s="126"/>
    </row>
    <row r="127" spans="1:11" ht="13.5" customHeight="1">
      <c r="A127" s="119" t="s">
        <v>498</v>
      </c>
      <c r="B127" s="119" t="s">
        <v>539</v>
      </c>
      <c r="C127" s="119" t="s">
        <v>527</v>
      </c>
      <c r="D127" s="120" t="s">
        <v>133</v>
      </c>
      <c r="E127" s="121">
        <v>38.574361600000003</v>
      </c>
      <c r="F127" s="122">
        <v>5.2200000000000003E-2</v>
      </c>
      <c r="G127" s="121">
        <v>2.0135816755200002</v>
      </c>
      <c r="H127" s="125"/>
      <c r="I127" s="125"/>
      <c r="J127" s="126"/>
      <c r="K127" s="126"/>
    </row>
    <row r="128" spans="1:11" ht="13.5" customHeight="1">
      <c r="A128" s="119" t="s">
        <v>498</v>
      </c>
      <c r="B128" s="119" t="s">
        <v>539</v>
      </c>
      <c r="C128" s="119" t="s">
        <v>528</v>
      </c>
      <c r="D128" s="120" t="s">
        <v>133</v>
      </c>
      <c r="E128" s="121">
        <v>146.79817</v>
      </c>
      <c r="F128" s="122">
        <v>7.9500000000000005E-3</v>
      </c>
      <c r="G128" s="121">
        <v>1.1670454515000002</v>
      </c>
      <c r="H128" s="125"/>
      <c r="I128" s="125"/>
      <c r="J128" s="126"/>
      <c r="K128" s="126"/>
    </row>
    <row r="129" spans="1:11" ht="13.5" customHeight="1">
      <c r="A129" s="119" t="s">
        <v>498</v>
      </c>
      <c r="B129" s="119" t="s">
        <v>539</v>
      </c>
      <c r="C129" s="119" t="s">
        <v>529</v>
      </c>
      <c r="D129" s="120" t="s">
        <v>133</v>
      </c>
      <c r="E129" s="121">
        <v>3689.6977008000003</v>
      </c>
      <c r="F129" s="122">
        <v>9.1800000000000007E-2</v>
      </c>
      <c r="G129" s="121">
        <v>338.71424893344005</v>
      </c>
      <c r="H129" s="125"/>
      <c r="I129" s="125"/>
      <c r="J129" s="126"/>
      <c r="K129" s="126"/>
    </row>
    <row r="130" spans="1:11" ht="13.5" customHeight="1">
      <c r="A130" s="119" t="s">
        <v>498</v>
      </c>
      <c r="B130" s="119" t="s">
        <v>539</v>
      </c>
      <c r="C130" s="119" t="s">
        <v>530</v>
      </c>
      <c r="D130" s="120" t="s">
        <v>133</v>
      </c>
      <c r="E130" s="121">
        <v>8.7265698</v>
      </c>
      <c r="F130" s="122">
        <v>7.4499999999999997E-2</v>
      </c>
      <c r="G130" s="121">
        <v>0.65012945010000001</v>
      </c>
      <c r="H130" s="125"/>
      <c r="I130" s="125"/>
      <c r="J130" s="126"/>
      <c r="K130" s="126"/>
    </row>
    <row r="131" spans="1:11" ht="13.5" customHeight="1">
      <c r="A131" s="119" t="s">
        <v>498</v>
      </c>
      <c r="B131" s="119" t="s">
        <v>539</v>
      </c>
      <c r="C131" s="119" t="s">
        <v>531</v>
      </c>
      <c r="D131" s="120" t="s">
        <v>133</v>
      </c>
      <c r="E131" s="121">
        <v>10.212790050000001</v>
      </c>
      <c r="F131" s="122">
        <v>6.2539999999999998E-2</v>
      </c>
      <c r="G131" s="121">
        <v>0.63870788972699999</v>
      </c>
      <c r="H131" s="125">
        <f>SUM(G121:G131)</f>
        <v>413.2907811790671</v>
      </c>
      <c r="I131" s="125"/>
      <c r="J131" s="126"/>
      <c r="K131" s="126">
        <f>SUM(H131*0.75)/90</f>
        <v>3.4440898431588924</v>
      </c>
    </row>
    <row r="132" spans="1:11" s="117" customFormat="1" ht="13.5" customHeight="1">
      <c r="A132" s="127" t="s">
        <v>498</v>
      </c>
      <c r="B132" s="119" t="s">
        <v>539</v>
      </c>
      <c r="C132" s="127" t="s">
        <v>532</v>
      </c>
      <c r="D132" s="128" t="s">
        <v>133</v>
      </c>
      <c r="E132" s="129">
        <v>2041.1093664000002</v>
      </c>
      <c r="F132" s="130">
        <v>0.18</v>
      </c>
      <c r="G132" s="129">
        <v>367.39968595200003</v>
      </c>
      <c r="H132" s="125"/>
      <c r="I132" s="132">
        <v>367.39968595200003</v>
      </c>
      <c r="J132" s="133">
        <f>SUM(G132*0.125)/92</f>
        <v>0.4991843559130435</v>
      </c>
      <c r="K132" s="133">
        <f>SUM(I132*0.75)/90</f>
        <v>3.0616640496</v>
      </c>
    </row>
    <row r="133" spans="1:11" s="117" customFormat="1" ht="13.5" customHeight="1">
      <c r="A133" s="127"/>
      <c r="B133" s="119"/>
      <c r="C133" s="127"/>
      <c r="D133" s="128"/>
      <c r="E133" s="129"/>
      <c r="F133" s="130"/>
      <c r="G133" s="129">
        <f>SUM(G121:G132)</f>
        <v>780.69046713106718</v>
      </c>
      <c r="H133" s="125"/>
      <c r="I133" s="125"/>
      <c r="J133" s="133"/>
      <c r="K133" s="133">
        <f>SUM(K131:K132)</f>
        <v>6.5057538927588929</v>
      </c>
    </row>
    <row r="134" spans="1:11" ht="13.5" customHeight="1">
      <c r="A134" s="119" t="s">
        <v>500</v>
      </c>
      <c r="B134" s="119" t="s">
        <v>540</v>
      </c>
      <c r="C134" s="119" t="s">
        <v>521</v>
      </c>
      <c r="D134" s="120" t="s">
        <v>133</v>
      </c>
      <c r="E134" s="121">
        <v>7817.8087106999992</v>
      </c>
      <c r="F134" s="122">
        <v>7.4499999999999997E-2</v>
      </c>
      <c r="G134" s="121">
        <v>582.42674894714992</v>
      </c>
      <c r="H134" s="125"/>
      <c r="I134" s="125"/>
      <c r="J134" s="126"/>
      <c r="K134" s="126"/>
    </row>
    <row r="135" spans="1:11" ht="13.5" customHeight="1">
      <c r="A135" s="119" t="s">
        <v>500</v>
      </c>
      <c r="B135" s="119" t="s">
        <v>540</v>
      </c>
      <c r="C135" s="119" t="s">
        <v>522</v>
      </c>
      <c r="D135" s="120" t="s">
        <v>133</v>
      </c>
      <c r="E135" s="121">
        <v>4389.3233496000003</v>
      </c>
      <c r="F135" s="122">
        <v>0.1154</v>
      </c>
      <c r="G135" s="121">
        <v>506.52791454384004</v>
      </c>
      <c r="H135" s="125"/>
      <c r="I135" s="125"/>
      <c r="J135" s="126"/>
      <c r="K135" s="126"/>
    </row>
    <row r="136" spans="1:11" ht="13.5" customHeight="1">
      <c r="A136" s="119" t="s">
        <v>500</v>
      </c>
      <c r="B136" s="119" t="s">
        <v>540</v>
      </c>
      <c r="C136" s="119" t="s">
        <v>523</v>
      </c>
      <c r="D136" s="120" t="s">
        <v>133</v>
      </c>
      <c r="E136" s="121">
        <v>1407.2022663</v>
      </c>
      <c r="F136" s="122">
        <v>7.0400000000000004E-2</v>
      </c>
      <c r="G136" s="121">
        <v>99.067039547520011</v>
      </c>
      <c r="H136" s="125"/>
      <c r="I136" s="125"/>
      <c r="J136" s="126"/>
      <c r="K136" s="126"/>
    </row>
    <row r="137" spans="1:11" ht="13.5" customHeight="1">
      <c r="A137" s="119" t="s">
        <v>500</v>
      </c>
      <c r="B137" s="119" t="s">
        <v>540</v>
      </c>
      <c r="C137" s="119" t="s">
        <v>524</v>
      </c>
      <c r="D137" s="120" t="s">
        <v>133</v>
      </c>
      <c r="E137" s="121">
        <v>469.81965120000001</v>
      </c>
      <c r="F137" s="122">
        <v>5.2200000000000003E-2</v>
      </c>
      <c r="G137" s="121">
        <v>24.524585792640003</v>
      </c>
      <c r="H137" s="125"/>
      <c r="I137" s="125"/>
      <c r="J137" s="126"/>
      <c r="K137" s="126"/>
    </row>
    <row r="138" spans="1:11" ht="13.5" customHeight="1">
      <c r="A138" s="119" t="s">
        <v>500</v>
      </c>
      <c r="B138" s="119" t="s">
        <v>540</v>
      </c>
      <c r="C138" s="119" t="s">
        <v>525</v>
      </c>
      <c r="D138" s="120" t="s">
        <v>133</v>
      </c>
      <c r="E138" s="121">
        <v>7143.2320679999993</v>
      </c>
      <c r="F138" s="122">
        <v>0.1154</v>
      </c>
      <c r="G138" s="121">
        <v>824.32898064719996</v>
      </c>
      <c r="H138" s="125"/>
      <c r="I138" s="125"/>
      <c r="J138" s="126"/>
      <c r="K138" s="126"/>
    </row>
    <row r="139" spans="1:11" ht="13.5" customHeight="1">
      <c r="A139" s="119" t="s">
        <v>500</v>
      </c>
      <c r="B139" s="119" t="s">
        <v>540</v>
      </c>
      <c r="C139" s="119" t="s">
        <v>526</v>
      </c>
      <c r="D139" s="120" t="s">
        <v>133</v>
      </c>
      <c r="E139" s="121">
        <v>2290.3984571999999</v>
      </c>
      <c r="F139" s="122">
        <v>7.0400000000000004E-2</v>
      </c>
      <c r="G139" s="121">
        <v>161.24405138688002</v>
      </c>
      <c r="H139" s="125"/>
      <c r="I139" s="125"/>
      <c r="J139" s="126"/>
      <c r="K139" s="126"/>
    </row>
    <row r="140" spans="1:11" ht="13.5" customHeight="1">
      <c r="A140" s="119" t="s">
        <v>500</v>
      </c>
      <c r="B140" s="119" t="s">
        <v>540</v>
      </c>
      <c r="C140" s="119" t="s">
        <v>527</v>
      </c>
      <c r="D140" s="120" t="s">
        <v>133</v>
      </c>
      <c r="E140" s="121">
        <v>762.26419919999989</v>
      </c>
      <c r="F140" s="122">
        <v>5.2200000000000003E-2</v>
      </c>
      <c r="G140" s="121">
        <v>39.790191198239995</v>
      </c>
      <c r="H140" s="125"/>
      <c r="I140" s="125"/>
      <c r="J140" s="126"/>
      <c r="K140" s="126"/>
    </row>
    <row r="141" spans="1:11" ht="13.5" customHeight="1">
      <c r="A141" s="119" t="s">
        <v>500</v>
      </c>
      <c r="B141" s="119" t="s">
        <v>540</v>
      </c>
      <c r="C141" s="119" t="s">
        <v>528</v>
      </c>
      <c r="D141" s="120" t="s">
        <v>133</v>
      </c>
      <c r="E141" s="121">
        <v>4529.1398099999997</v>
      </c>
      <c r="F141" s="122">
        <v>7.9500000000000005E-3</v>
      </c>
      <c r="G141" s="121">
        <v>36.006661489499997</v>
      </c>
      <c r="H141" s="125"/>
      <c r="I141" s="125"/>
      <c r="J141" s="126"/>
      <c r="K141" s="126"/>
    </row>
    <row r="142" spans="1:11" ht="13.5" customHeight="1">
      <c r="A142" s="119" t="s">
        <v>500</v>
      </c>
      <c r="B142" s="119" t="s">
        <v>540</v>
      </c>
      <c r="C142" s="119" t="s">
        <v>529</v>
      </c>
      <c r="D142" s="120" t="s">
        <v>133</v>
      </c>
      <c r="E142" s="121">
        <v>332.24383439999997</v>
      </c>
      <c r="F142" s="122">
        <v>9.1800000000000007E-2</v>
      </c>
      <c r="G142" s="121">
        <v>30.499983997919998</v>
      </c>
      <c r="H142" s="125"/>
      <c r="I142" s="125"/>
      <c r="J142" s="126"/>
      <c r="K142" s="126"/>
    </row>
    <row r="143" spans="1:11" ht="13.5" customHeight="1">
      <c r="A143" s="119" t="s">
        <v>500</v>
      </c>
      <c r="B143" s="119" t="s">
        <v>540</v>
      </c>
      <c r="C143" s="119" t="s">
        <v>530</v>
      </c>
      <c r="D143" s="120" t="s">
        <v>133</v>
      </c>
      <c r="E143" s="121">
        <v>615.4403724</v>
      </c>
      <c r="F143" s="122">
        <v>7.4499999999999997E-2</v>
      </c>
      <c r="G143" s="121">
        <v>45.850307743799995</v>
      </c>
      <c r="H143" s="125"/>
      <c r="I143" s="125"/>
      <c r="J143" s="126"/>
      <c r="K143" s="126"/>
    </row>
    <row r="144" spans="1:11" ht="13.5" customHeight="1">
      <c r="A144" s="119" t="s">
        <v>500</v>
      </c>
      <c r="B144" s="119" t="s">
        <v>540</v>
      </c>
      <c r="C144" s="119" t="s">
        <v>531</v>
      </c>
      <c r="D144" s="120" t="s">
        <v>133</v>
      </c>
      <c r="E144" s="121">
        <v>2953.7617126499999</v>
      </c>
      <c r="F144" s="122">
        <v>6.2539999999999998E-2</v>
      </c>
      <c r="G144" s="121">
        <v>184.728257509131</v>
      </c>
      <c r="H144" s="125">
        <f>SUM(G134:G144)</f>
        <v>2534.9947228038204</v>
      </c>
      <c r="I144" s="125"/>
      <c r="J144" s="126"/>
      <c r="K144" s="126">
        <f>SUM(H144*0.75)/90</f>
        <v>21.124956023365172</v>
      </c>
    </row>
    <row r="145" spans="1:11" s="117" customFormat="1" ht="13.5" customHeight="1">
      <c r="A145" s="127" t="s">
        <v>500</v>
      </c>
      <c r="B145" s="119" t="s">
        <v>540</v>
      </c>
      <c r="C145" s="127" t="s">
        <v>532</v>
      </c>
      <c r="D145" s="128" t="s">
        <v>133</v>
      </c>
      <c r="E145" s="129">
        <v>183.60843479999997</v>
      </c>
      <c r="F145" s="130">
        <v>0.18</v>
      </c>
      <c r="G145" s="129">
        <v>33.049518263999992</v>
      </c>
      <c r="H145" s="125"/>
      <c r="I145" s="132">
        <v>33.049518263999992</v>
      </c>
      <c r="J145" s="133">
        <f>SUM(G145*0.125)/92</f>
        <v>4.4904236771739117E-2</v>
      </c>
      <c r="K145" s="133">
        <f>SUM(I145*0.75)/90</f>
        <v>0.27541265219999994</v>
      </c>
    </row>
    <row r="146" spans="1:11" s="117" customFormat="1" ht="13.5" customHeight="1">
      <c r="A146" s="127"/>
      <c r="B146" s="119"/>
      <c r="C146" s="127"/>
      <c r="D146" s="128"/>
      <c r="E146" s="129"/>
      <c r="F146" s="130"/>
      <c r="G146" s="129">
        <f>SUM(G134:G145)</f>
        <v>2568.0442410678206</v>
      </c>
      <c r="H146" s="125"/>
      <c r="I146" s="125"/>
      <c r="J146" s="133"/>
      <c r="K146" s="133">
        <f>SUM(K144:K145)</f>
        <v>21.400368675565172</v>
      </c>
    </row>
    <row r="147" spans="1:11" ht="13.5" customHeight="1">
      <c r="A147" s="119" t="s">
        <v>502</v>
      </c>
      <c r="B147" s="119" t="s">
        <v>541</v>
      </c>
      <c r="C147" s="119" t="s">
        <v>521</v>
      </c>
      <c r="D147" s="120" t="s">
        <v>133</v>
      </c>
      <c r="E147" s="121">
        <v>5647.8557138999995</v>
      </c>
      <c r="F147" s="122">
        <v>7.4499999999999997E-2</v>
      </c>
      <c r="G147" s="121">
        <v>420.76525068554997</v>
      </c>
      <c r="H147" s="125"/>
      <c r="I147" s="125"/>
      <c r="J147" s="126"/>
      <c r="K147" s="126"/>
    </row>
    <row r="148" spans="1:11" ht="13.5" customHeight="1">
      <c r="A148" s="119" t="s">
        <v>502</v>
      </c>
      <c r="B148" s="119" t="s">
        <v>541</v>
      </c>
      <c r="C148" s="119" t="s">
        <v>522</v>
      </c>
      <c r="D148" s="120" t="s">
        <v>133</v>
      </c>
      <c r="E148" s="121">
        <v>3171.1102931999999</v>
      </c>
      <c r="F148" s="122">
        <v>0.1154</v>
      </c>
      <c r="G148" s="121">
        <v>365.94612783527998</v>
      </c>
      <c r="H148" s="125"/>
      <c r="I148" s="125"/>
      <c r="J148" s="126"/>
      <c r="K148" s="126"/>
    </row>
    <row r="149" spans="1:11" ht="13.5" customHeight="1">
      <c r="A149" s="119" t="s">
        <v>502</v>
      </c>
      <c r="B149" s="119" t="s">
        <v>541</v>
      </c>
      <c r="C149" s="119" t="s">
        <v>523</v>
      </c>
      <c r="D149" s="120" t="s">
        <v>133</v>
      </c>
      <c r="E149" s="121">
        <v>1017.0601611</v>
      </c>
      <c r="F149" s="122">
        <v>7.0400000000000004E-2</v>
      </c>
      <c r="G149" s="121">
        <v>71.601035341439996</v>
      </c>
      <c r="H149" s="125"/>
      <c r="I149" s="125"/>
      <c r="J149" s="126"/>
      <c r="K149" s="126"/>
    </row>
    <row r="150" spans="1:11" ht="13.5" customHeight="1">
      <c r="A150" s="119" t="s">
        <v>502</v>
      </c>
      <c r="B150" s="119" t="s">
        <v>541</v>
      </c>
      <c r="C150" s="119" t="s">
        <v>524</v>
      </c>
      <c r="D150" s="120" t="s">
        <v>133</v>
      </c>
      <c r="E150" s="121">
        <v>339.02005370000001</v>
      </c>
      <c r="F150" s="122">
        <v>5.2200000000000003E-2</v>
      </c>
      <c r="G150" s="121">
        <v>17.696846803140001</v>
      </c>
      <c r="H150" s="125"/>
      <c r="I150" s="125"/>
      <c r="J150" s="126"/>
      <c r="K150" s="126"/>
    </row>
    <row r="151" spans="1:11" ht="13.5" customHeight="1">
      <c r="A151" s="119" t="s">
        <v>502</v>
      </c>
      <c r="B151" s="119" t="s">
        <v>541</v>
      </c>
      <c r="C151" s="119" t="s">
        <v>525</v>
      </c>
      <c r="D151" s="120" t="s">
        <v>133</v>
      </c>
      <c r="E151" s="121">
        <v>5158.9760770000003</v>
      </c>
      <c r="F151" s="122">
        <v>0.1154</v>
      </c>
      <c r="G151" s="121">
        <v>595.34583928580003</v>
      </c>
      <c r="H151" s="125"/>
      <c r="I151" s="125"/>
      <c r="J151" s="126"/>
      <c r="K151" s="126"/>
    </row>
    <row r="152" spans="1:11" ht="13.5" customHeight="1">
      <c r="A152" s="119" t="s">
        <v>502</v>
      </c>
      <c r="B152" s="119" t="s">
        <v>541</v>
      </c>
      <c r="C152" s="119" t="s">
        <v>526</v>
      </c>
      <c r="D152" s="120" t="s">
        <v>133</v>
      </c>
      <c r="E152" s="121">
        <v>1653.1356375999999</v>
      </c>
      <c r="F152" s="122">
        <v>7.0400000000000004E-2</v>
      </c>
      <c r="G152" s="121">
        <v>116.38074888704</v>
      </c>
      <c r="H152" s="125"/>
      <c r="I152" s="125"/>
      <c r="J152" s="126"/>
      <c r="K152" s="126"/>
    </row>
    <row r="153" spans="1:11" ht="13.5" customHeight="1">
      <c r="A153" s="119" t="s">
        <v>502</v>
      </c>
      <c r="B153" s="119" t="s">
        <v>541</v>
      </c>
      <c r="C153" s="119" t="s">
        <v>527</v>
      </c>
      <c r="D153" s="120" t="s">
        <v>133</v>
      </c>
      <c r="E153" s="121">
        <v>549.80877079999993</v>
      </c>
      <c r="F153" s="122">
        <v>5.2200000000000003E-2</v>
      </c>
      <c r="G153" s="121">
        <v>28.700017835759997</v>
      </c>
      <c r="H153" s="125"/>
      <c r="I153" s="125"/>
      <c r="J153" s="126"/>
      <c r="K153" s="126"/>
    </row>
    <row r="154" spans="1:11" ht="13.5" customHeight="1">
      <c r="A154" s="119" t="s">
        <v>502</v>
      </c>
      <c r="B154" s="119" t="s">
        <v>541</v>
      </c>
      <c r="C154" s="119" t="s">
        <v>528</v>
      </c>
      <c r="D154" s="120" t="s">
        <v>133</v>
      </c>
      <c r="E154" s="121">
        <v>3127.5761899999998</v>
      </c>
      <c r="F154" s="122">
        <v>7.9500000000000005E-3</v>
      </c>
      <c r="G154" s="121">
        <v>24.864230710499999</v>
      </c>
      <c r="H154" s="125"/>
      <c r="I154" s="125"/>
      <c r="J154" s="126"/>
      <c r="K154" s="126"/>
    </row>
    <row r="155" spans="1:11" ht="13.5" customHeight="1">
      <c r="A155" s="119" t="s">
        <v>502</v>
      </c>
      <c r="B155" s="119" t="s">
        <v>541</v>
      </c>
      <c r="C155" s="119" t="s">
        <v>529</v>
      </c>
      <c r="D155" s="120" t="s">
        <v>133</v>
      </c>
      <c r="E155" s="121">
        <v>764.50152600000001</v>
      </c>
      <c r="F155" s="122">
        <v>9.1800000000000007E-2</v>
      </c>
      <c r="G155" s="121">
        <v>70.181240086800003</v>
      </c>
      <c r="H155" s="125"/>
      <c r="I155" s="125"/>
      <c r="J155" s="126"/>
      <c r="K155" s="126"/>
    </row>
    <row r="156" spans="1:11" ht="13.5" customHeight="1">
      <c r="A156" s="119" t="s">
        <v>502</v>
      </c>
      <c r="B156" s="119" t="s">
        <v>541</v>
      </c>
      <c r="C156" s="119" t="s">
        <v>530</v>
      </c>
      <c r="D156" s="120" t="s">
        <v>133</v>
      </c>
      <c r="E156" s="121">
        <v>457.28991390000004</v>
      </c>
      <c r="F156" s="122">
        <v>7.4499999999999997E-2</v>
      </c>
      <c r="G156" s="121">
        <v>34.068098585550004</v>
      </c>
      <c r="H156" s="125"/>
      <c r="I156" s="125"/>
      <c r="J156" s="126"/>
      <c r="K156" s="126"/>
    </row>
    <row r="157" spans="1:11" ht="13.5" customHeight="1">
      <c r="A157" s="119" t="s">
        <v>502</v>
      </c>
      <c r="B157" s="119" t="s">
        <v>541</v>
      </c>
      <c r="C157" s="119" t="s">
        <v>531</v>
      </c>
      <c r="D157" s="120" t="s">
        <v>133</v>
      </c>
      <c r="E157" s="121">
        <v>2074.3506612000001</v>
      </c>
      <c r="F157" s="122">
        <v>6.2539999999999998E-2</v>
      </c>
      <c r="G157" s="121">
        <v>129.72989035144801</v>
      </c>
      <c r="H157" s="125">
        <f>SUM(G147:G157)</f>
        <v>1875.2793264083077</v>
      </c>
      <c r="I157" s="125"/>
      <c r="J157" s="126"/>
      <c r="K157" s="126">
        <f>SUM(H157*0.75)/90</f>
        <v>15.627327720069232</v>
      </c>
    </row>
    <row r="158" spans="1:11" s="117" customFormat="1" ht="13.5" customHeight="1">
      <c r="A158" s="127" t="s">
        <v>502</v>
      </c>
      <c r="B158" s="119" t="s">
        <v>541</v>
      </c>
      <c r="C158" s="127" t="s">
        <v>532</v>
      </c>
      <c r="D158" s="128" t="s">
        <v>133</v>
      </c>
      <c r="E158" s="129">
        <v>427.22144099999997</v>
      </c>
      <c r="F158" s="130">
        <v>0.18</v>
      </c>
      <c r="G158" s="129">
        <v>76.899859379999995</v>
      </c>
      <c r="H158" s="125"/>
      <c r="I158" s="132">
        <v>76.899859379999995</v>
      </c>
      <c r="J158" s="133">
        <f>SUM(G158*0.125)/92</f>
        <v>0.10448350459239129</v>
      </c>
      <c r="K158" s="133">
        <f>SUM(I158*0.75)/90</f>
        <v>0.64083216149999989</v>
      </c>
    </row>
    <row r="159" spans="1:11" s="117" customFormat="1" ht="13.5" customHeight="1">
      <c r="A159" s="127"/>
      <c r="B159" s="119"/>
      <c r="C159" s="127"/>
      <c r="D159" s="128"/>
      <c r="E159" s="129"/>
      <c r="F159" s="130"/>
      <c r="G159" s="129">
        <f>SUM(G147:G158)</f>
        <v>1952.1791857883077</v>
      </c>
      <c r="H159" s="125"/>
      <c r="I159" s="125"/>
      <c r="J159" s="133"/>
      <c r="K159" s="133">
        <f>SUM(K157:K158)</f>
        <v>16.268159881569233</v>
      </c>
    </row>
    <row r="160" spans="1:11" ht="13.5" customHeight="1">
      <c r="A160" s="119" t="s">
        <v>504</v>
      </c>
      <c r="B160" s="119" t="s">
        <v>542</v>
      </c>
      <c r="C160" s="119" t="s">
        <v>521</v>
      </c>
      <c r="D160" s="120" t="s">
        <v>133</v>
      </c>
      <c r="E160" s="121">
        <v>13280.737258800002</v>
      </c>
      <c r="F160" s="122">
        <v>7.4499999999999997E-2</v>
      </c>
      <c r="G160" s="121">
        <v>989.41492578060013</v>
      </c>
      <c r="H160" s="125"/>
      <c r="I160" s="125"/>
      <c r="J160" s="126"/>
      <c r="K160" s="126"/>
    </row>
    <row r="161" spans="1:11" ht="13.5" customHeight="1">
      <c r="A161" s="119" t="s">
        <v>504</v>
      </c>
      <c r="B161" s="119" t="s">
        <v>542</v>
      </c>
      <c r="C161" s="119" t="s">
        <v>522</v>
      </c>
      <c r="D161" s="120" t="s">
        <v>133</v>
      </c>
      <c r="E161" s="121">
        <v>7455.6801336000008</v>
      </c>
      <c r="F161" s="122">
        <v>0.1154</v>
      </c>
      <c r="G161" s="121">
        <v>860.38548741744012</v>
      </c>
      <c r="H161" s="125"/>
      <c r="I161" s="125"/>
      <c r="J161" s="126"/>
      <c r="K161" s="126"/>
    </row>
    <row r="162" spans="1:11" ht="13.5" customHeight="1">
      <c r="A162" s="119" t="s">
        <v>504</v>
      </c>
      <c r="B162" s="119" t="s">
        <v>542</v>
      </c>
      <c r="C162" s="119" t="s">
        <v>523</v>
      </c>
      <c r="D162" s="120" t="s">
        <v>133</v>
      </c>
      <c r="E162" s="121">
        <v>2392.5080388000001</v>
      </c>
      <c r="F162" s="122">
        <v>7.0400000000000004E-2</v>
      </c>
      <c r="G162" s="121">
        <v>168.43256593152003</v>
      </c>
      <c r="H162" s="125"/>
      <c r="I162" s="125"/>
      <c r="J162" s="126"/>
      <c r="K162" s="126"/>
    </row>
    <row r="163" spans="1:11" ht="13.5" customHeight="1">
      <c r="A163" s="119" t="s">
        <v>504</v>
      </c>
      <c r="B163" s="119" t="s">
        <v>542</v>
      </c>
      <c r="C163" s="119" t="s">
        <v>524</v>
      </c>
      <c r="D163" s="120" t="s">
        <v>133</v>
      </c>
      <c r="E163" s="121">
        <v>798.12092480000013</v>
      </c>
      <c r="F163" s="122">
        <v>5.2200000000000003E-2</v>
      </c>
      <c r="G163" s="121">
        <v>41.661912274560009</v>
      </c>
      <c r="H163" s="125"/>
      <c r="I163" s="125"/>
      <c r="J163" s="126"/>
      <c r="K163" s="126"/>
    </row>
    <row r="164" spans="1:11" ht="13.5" customHeight="1">
      <c r="A164" s="119" t="s">
        <v>504</v>
      </c>
      <c r="B164" s="119" t="s">
        <v>542</v>
      </c>
      <c r="C164" s="119" t="s">
        <v>525</v>
      </c>
      <c r="D164" s="120" t="s">
        <v>133</v>
      </c>
      <c r="E164" s="121">
        <v>12131.259050400002</v>
      </c>
      <c r="F164" s="122">
        <v>0.1154</v>
      </c>
      <c r="G164" s="121">
        <v>1399.9472944161603</v>
      </c>
      <c r="H164" s="125"/>
      <c r="I164" s="125"/>
      <c r="J164" s="126"/>
      <c r="K164" s="126"/>
    </row>
    <row r="165" spans="1:11" ht="13.5" customHeight="1">
      <c r="A165" s="119" t="s">
        <v>504</v>
      </c>
      <c r="B165" s="119" t="s">
        <v>542</v>
      </c>
      <c r="C165" s="119" t="s">
        <v>526</v>
      </c>
      <c r="D165" s="120" t="s">
        <v>133</v>
      </c>
      <c r="E165" s="121">
        <v>3889.9987983999999</v>
      </c>
      <c r="F165" s="122">
        <v>7.0400000000000004E-2</v>
      </c>
      <c r="G165" s="121">
        <v>273.85591540735999</v>
      </c>
      <c r="H165" s="125"/>
      <c r="I165" s="125"/>
      <c r="J165" s="126"/>
      <c r="K165" s="126"/>
    </row>
    <row r="166" spans="1:11" ht="13.5" customHeight="1">
      <c r="A166" s="119" t="s">
        <v>504</v>
      </c>
      <c r="B166" s="119" t="s">
        <v>542</v>
      </c>
      <c r="C166" s="119" t="s">
        <v>527</v>
      </c>
      <c r="D166" s="120" t="s">
        <v>133</v>
      </c>
      <c r="E166" s="121">
        <v>1295.4849608</v>
      </c>
      <c r="F166" s="122">
        <v>5.2200000000000003E-2</v>
      </c>
      <c r="G166" s="121">
        <v>67.624314953760006</v>
      </c>
      <c r="H166" s="125"/>
      <c r="I166" s="125"/>
      <c r="J166" s="126"/>
      <c r="K166" s="126"/>
    </row>
    <row r="167" spans="1:11" ht="13.5" customHeight="1">
      <c r="A167" s="119" t="s">
        <v>504</v>
      </c>
      <c r="B167" s="119" t="s">
        <v>542</v>
      </c>
      <c r="C167" s="119" t="s">
        <v>528</v>
      </c>
      <c r="D167" s="120" t="s">
        <v>133</v>
      </c>
      <c r="E167" s="121">
        <v>4965.5808400000005</v>
      </c>
      <c r="F167" s="122">
        <v>7.9500000000000005E-3</v>
      </c>
      <c r="G167" s="121">
        <v>39.47636767800001</v>
      </c>
      <c r="H167" s="125"/>
      <c r="I167" s="125"/>
      <c r="J167" s="126"/>
      <c r="K167" s="126"/>
    </row>
    <row r="168" spans="1:11" ht="13.5" customHeight="1">
      <c r="A168" s="119" t="s">
        <v>504</v>
      </c>
      <c r="B168" s="119" t="s">
        <v>542</v>
      </c>
      <c r="C168" s="119" t="s">
        <v>529</v>
      </c>
      <c r="D168" s="120" t="s">
        <v>133</v>
      </c>
      <c r="E168" s="121">
        <v>65.420172000000008</v>
      </c>
      <c r="F168" s="122">
        <v>9.1800000000000007E-2</v>
      </c>
      <c r="G168" s="121">
        <v>6.0055717896000012</v>
      </c>
      <c r="H168" s="125"/>
      <c r="I168" s="125"/>
      <c r="J168" s="126"/>
      <c r="K168" s="126"/>
    </row>
    <row r="169" spans="1:11" ht="13.5" customHeight="1">
      <c r="A169" s="119" t="s">
        <v>504</v>
      </c>
      <c r="B169" s="119" t="s">
        <v>542</v>
      </c>
      <c r="C169" s="119" t="s">
        <v>530</v>
      </c>
      <c r="D169" s="120" t="s">
        <v>133</v>
      </c>
      <c r="E169" s="121">
        <v>1564.7410926</v>
      </c>
      <c r="F169" s="122">
        <v>7.4499999999999997E-2</v>
      </c>
      <c r="G169" s="121">
        <v>116.5732113987</v>
      </c>
      <c r="H169" s="125"/>
      <c r="I169" s="125"/>
      <c r="J169" s="126"/>
      <c r="K169" s="126"/>
    </row>
    <row r="170" spans="1:11" ht="13.5" customHeight="1">
      <c r="A170" s="119" t="s">
        <v>504</v>
      </c>
      <c r="B170" s="119" t="s">
        <v>542</v>
      </c>
      <c r="C170" s="119" t="s">
        <v>531</v>
      </c>
      <c r="D170" s="120" t="s">
        <v>133</v>
      </c>
      <c r="E170" s="121">
        <v>3353.1720322500005</v>
      </c>
      <c r="F170" s="122">
        <v>6.2539999999999998E-2</v>
      </c>
      <c r="G170" s="121">
        <v>209.70737889691503</v>
      </c>
      <c r="H170" s="125">
        <f>SUM(G160:G170)</f>
        <v>4173.0849459446154</v>
      </c>
      <c r="I170" s="125"/>
      <c r="J170" s="126"/>
      <c r="K170" s="126">
        <f>SUM(H170*0.75)/90</f>
        <v>34.775707882871799</v>
      </c>
    </row>
    <row r="171" spans="1:11" s="117" customFormat="1" ht="13.5" customHeight="1">
      <c r="A171" s="127" t="s">
        <v>504</v>
      </c>
      <c r="B171" s="119" t="s">
        <v>542</v>
      </c>
      <c r="C171" s="127" t="s">
        <v>532</v>
      </c>
      <c r="D171" s="128" t="s">
        <v>133</v>
      </c>
      <c r="E171" s="129">
        <v>32.710086000000004</v>
      </c>
      <c r="F171" s="130">
        <v>0.18</v>
      </c>
      <c r="G171" s="129">
        <v>5.8878154800000004</v>
      </c>
      <c r="H171" s="125"/>
      <c r="I171" s="132">
        <v>5.8878154800000004</v>
      </c>
      <c r="J171" s="133">
        <f>SUM(G171*0.125)/92</f>
        <v>7.9997492934782612E-3</v>
      </c>
      <c r="K171" s="133">
        <f>SUM(I171*0.75)/90</f>
        <v>4.9065129000000006E-2</v>
      </c>
    </row>
    <row r="172" spans="1:11" s="117" customFormat="1" ht="13.5" customHeight="1">
      <c r="A172" s="127"/>
      <c r="B172" s="119"/>
      <c r="C172" s="127"/>
      <c r="D172" s="128"/>
      <c r="E172" s="129"/>
      <c r="F172" s="130"/>
      <c r="G172" s="129">
        <f>SUM(G160:G171)</f>
        <v>4178.9727614246158</v>
      </c>
      <c r="H172" s="125"/>
      <c r="I172" s="125"/>
      <c r="J172" s="133"/>
      <c r="K172" s="133">
        <f>SUM(K170:K171)</f>
        <v>34.824773011871798</v>
      </c>
    </row>
    <row r="173" spans="1:11" ht="13.5" customHeight="1">
      <c r="A173" s="119" t="s">
        <v>506</v>
      </c>
      <c r="B173" s="119" t="s">
        <v>543</v>
      </c>
      <c r="C173" s="119" t="s">
        <v>521</v>
      </c>
      <c r="D173" s="120" t="s">
        <v>133</v>
      </c>
      <c r="E173" s="121">
        <v>21620.146499999999</v>
      </c>
      <c r="F173" s="122">
        <v>7.4499999999999997E-2</v>
      </c>
      <c r="G173" s="121">
        <v>1610.7009142499999</v>
      </c>
      <c r="H173" s="125"/>
      <c r="I173" s="125"/>
      <c r="J173" s="126"/>
      <c r="K173" s="126"/>
    </row>
    <row r="174" spans="1:11" ht="13.5" customHeight="1">
      <c r="A174" s="119" t="s">
        <v>506</v>
      </c>
      <c r="B174" s="119" t="s">
        <v>543</v>
      </c>
      <c r="C174" s="119" t="s">
        <v>522</v>
      </c>
      <c r="D174" s="120" t="s">
        <v>133</v>
      </c>
      <c r="E174" s="121">
        <v>29185.711650000001</v>
      </c>
      <c r="F174" s="122">
        <v>0.1154</v>
      </c>
      <c r="G174" s="121">
        <v>3368.0311244100003</v>
      </c>
      <c r="H174" s="125"/>
      <c r="I174" s="125"/>
      <c r="J174" s="126"/>
      <c r="K174" s="126"/>
    </row>
    <row r="175" spans="1:11" ht="13.5" customHeight="1">
      <c r="A175" s="119" t="s">
        <v>506</v>
      </c>
      <c r="B175" s="119" t="s">
        <v>543</v>
      </c>
      <c r="C175" s="119" t="s">
        <v>523</v>
      </c>
      <c r="D175" s="120" t="s">
        <v>133</v>
      </c>
      <c r="E175" s="121">
        <v>9483.1419600000008</v>
      </c>
      <c r="F175" s="122">
        <v>7.0400000000000004E-2</v>
      </c>
      <c r="G175" s="121">
        <v>667.61319398400008</v>
      </c>
      <c r="H175" s="125"/>
      <c r="I175" s="125"/>
      <c r="J175" s="126"/>
      <c r="K175" s="126"/>
    </row>
    <row r="176" spans="1:11" ht="13.5" customHeight="1">
      <c r="A176" s="119" t="s">
        <v>506</v>
      </c>
      <c r="B176" s="119" t="s">
        <v>543</v>
      </c>
      <c r="C176" s="119" t="s">
        <v>524</v>
      </c>
      <c r="D176" s="120" t="s">
        <v>133</v>
      </c>
      <c r="E176" s="121">
        <v>3298.9597200000003</v>
      </c>
      <c r="F176" s="122">
        <v>5.2200000000000003E-2</v>
      </c>
      <c r="G176" s="121">
        <v>172.20569738400002</v>
      </c>
      <c r="H176" s="125"/>
      <c r="I176" s="125"/>
      <c r="J176" s="126"/>
      <c r="K176" s="126"/>
    </row>
    <row r="177" spans="1:11" ht="13.5" customHeight="1">
      <c r="A177" s="119" t="s">
        <v>506</v>
      </c>
      <c r="B177" s="119" t="s">
        <v>543</v>
      </c>
      <c r="C177" s="119" t="s">
        <v>525</v>
      </c>
      <c r="D177" s="120" t="s">
        <v>133</v>
      </c>
      <c r="E177" s="121">
        <v>46483.37442</v>
      </c>
      <c r="F177" s="122">
        <v>0.1154</v>
      </c>
      <c r="G177" s="121">
        <v>5364.1814080680006</v>
      </c>
      <c r="H177" s="125"/>
      <c r="I177" s="125"/>
      <c r="J177" s="126"/>
      <c r="K177" s="126"/>
    </row>
    <row r="178" spans="1:11" ht="13.5" customHeight="1">
      <c r="A178" s="119" t="s">
        <v>506</v>
      </c>
      <c r="B178" s="119" t="s">
        <v>543</v>
      </c>
      <c r="C178" s="119" t="s">
        <v>526</v>
      </c>
      <c r="D178" s="120" t="s">
        <v>133</v>
      </c>
      <c r="E178" s="121">
        <v>15350.60124</v>
      </c>
      <c r="F178" s="122">
        <v>7.0400000000000004E-2</v>
      </c>
      <c r="G178" s="121">
        <v>1080.682327296</v>
      </c>
      <c r="H178" s="125"/>
      <c r="I178" s="125"/>
      <c r="J178" s="126"/>
      <c r="K178" s="126"/>
    </row>
    <row r="179" spans="1:11" ht="13.5" customHeight="1">
      <c r="A179" s="119" t="s">
        <v>506</v>
      </c>
      <c r="B179" s="119" t="s">
        <v>543</v>
      </c>
      <c r="C179" s="119" t="s">
        <v>527</v>
      </c>
      <c r="D179" s="120" t="s">
        <v>133</v>
      </c>
      <c r="E179" s="121">
        <v>5305.8229199999996</v>
      </c>
      <c r="F179" s="122">
        <v>5.2200000000000003E-2</v>
      </c>
      <c r="G179" s="121">
        <v>276.963956424</v>
      </c>
      <c r="H179" s="125"/>
      <c r="I179" s="125"/>
      <c r="J179" s="126"/>
      <c r="K179" s="126"/>
    </row>
    <row r="180" spans="1:11" ht="13.5" customHeight="1">
      <c r="A180" s="119" t="s">
        <v>506</v>
      </c>
      <c r="B180" s="119" t="s">
        <v>543</v>
      </c>
      <c r="C180" s="119" t="s">
        <v>528</v>
      </c>
      <c r="D180" s="120" t="s">
        <v>133</v>
      </c>
      <c r="E180" s="121">
        <v>9339</v>
      </c>
      <c r="F180" s="122">
        <v>7.9500000000000005E-3</v>
      </c>
      <c r="G180" s="121">
        <v>74.245050000000006</v>
      </c>
      <c r="H180" s="125"/>
      <c r="I180" s="125"/>
      <c r="J180" s="126"/>
      <c r="K180" s="126"/>
    </row>
    <row r="181" spans="1:11" ht="13.5" customHeight="1">
      <c r="A181" s="119" t="s">
        <v>506</v>
      </c>
      <c r="B181" s="119" t="s">
        <v>543</v>
      </c>
      <c r="C181" s="119" t="s">
        <v>529</v>
      </c>
      <c r="D181" s="120" t="s">
        <v>133</v>
      </c>
      <c r="E181" s="121">
        <v>2013.9966000000002</v>
      </c>
      <c r="F181" s="122">
        <v>9.1800000000000007E-2</v>
      </c>
      <c r="G181" s="121">
        <v>184.88488788000004</v>
      </c>
      <c r="H181" s="125"/>
      <c r="I181" s="125"/>
      <c r="J181" s="126"/>
      <c r="K181" s="126"/>
    </row>
    <row r="182" spans="1:11" ht="13.5" customHeight="1">
      <c r="A182" s="119" t="s">
        <v>506</v>
      </c>
      <c r="B182" s="119" t="s">
        <v>543</v>
      </c>
      <c r="C182" s="119" t="s">
        <v>530</v>
      </c>
      <c r="D182" s="120" t="s">
        <v>133</v>
      </c>
      <c r="E182" s="121">
        <v>30364.042329000004</v>
      </c>
      <c r="F182" s="122">
        <v>7.4499999999999997E-2</v>
      </c>
      <c r="G182" s="121">
        <v>2262.1211535105003</v>
      </c>
      <c r="H182" s="125"/>
      <c r="I182" s="125"/>
      <c r="J182" s="126"/>
      <c r="K182" s="126"/>
    </row>
    <row r="183" spans="1:11" ht="13.5" customHeight="1">
      <c r="A183" s="119" t="s">
        <v>506</v>
      </c>
      <c r="B183" s="119" t="s">
        <v>543</v>
      </c>
      <c r="C183" s="119" t="s">
        <v>531</v>
      </c>
      <c r="D183" s="120" t="s">
        <v>133</v>
      </c>
      <c r="E183" s="121">
        <v>0</v>
      </c>
      <c r="F183" s="122">
        <v>6.2539999999999998E-2</v>
      </c>
      <c r="G183" s="121">
        <v>0</v>
      </c>
      <c r="H183" s="125">
        <f>SUM(G173:G182)</f>
        <v>15061.629713206501</v>
      </c>
      <c r="I183" s="125"/>
      <c r="J183" s="126"/>
      <c r="K183" s="126">
        <f>SUM(H183*0.75)/90</f>
        <v>125.51358094338751</v>
      </c>
    </row>
    <row r="184" spans="1:11" s="117" customFormat="1" ht="13.5" customHeight="1">
      <c r="A184" s="127" t="s">
        <v>506</v>
      </c>
      <c r="B184" s="119" t="s">
        <v>543</v>
      </c>
      <c r="C184" s="127" t="s">
        <v>532</v>
      </c>
      <c r="D184" s="128" t="s">
        <v>133</v>
      </c>
      <c r="E184" s="129">
        <v>1911.7512000000002</v>
      </c>
      <c r="F184" s="130">
        <v>0.18</v>
      </c>
      <c r="G184" s="129">
        <v>344.11521600000003</v>
      </c>
      <c r="H184" s="125"/>
      <c r="I184" s="132">
        <v>344.11521599999998</v>
      </c>
      <c r="J184" s="133">
        <f>SUM(G184*0.125)/92</f>
        <v>0.46754784782608699</v>
      </c>
      <c r="K184" s="133">
        <f>SUM(I184*0.75)/90</f>
        <v>2.8676268</v>
      </c>
    </row>
    <row r="185" spans="1:11" ht="13.5" customHeight="1">
      <c r="A185" s="119"/>
      <c r="B185" s="134" t="s">
        <v>12</v>
      </c>
      <c r="C185" s="119"/>
      <c r="D185" s="120"/>
      <c r="E185" s="121"/>
      <c r="F185" s="121"/>
      <c r="G185" s="129">
        <f>SUM(G173:G184)</f>
        <v>15405.744929206501</v>
      </c>
      <c r="H185" s="125"/>
      <c r="I185" s="125"/>
      <c r="J185" s="126"/>
      <c r="K185" s="133">
        <f>SUM(K183:K184)</f>
        <v>128.38120774338751</v>
      </c>
    </row>
    <row r="186" spans="1:11" ht="13.5" customHeight="1">
      <c r="A186" s="119"/>
      <c r="B186" s="135" t="s">
        <v>544</v>
      </c>
      <c r="C186" s="119"/>
      <c r="D186" s="120"/>
      <c r="E186" s="121"/>
      <c r="F186" s="121"/>
      <c r="H186" s="125">
        <f>SUM(H14:H183)</f>
        <v>67925.875116488547</v>
      </c>
      <c r="I186" s="115"/>
      <c r="K186" s="133">
        <f>SUM(H186*0.75)/90</f>
        <v>566.04895930407122</v>
      </c>
    </row>
    <row r="187" spans="1:11" s="143" customFormat="1" ht="13.5" customHeight="1">
      <c r="A187" s="136"/>
      <c r="B187" s="137" t="s">
        <v>545</v>
      </c>
      <c r="C187" s="136"/>
      <c r="D187" s="138"/>
      <c r="E187" s="139"/>
      <c r="F187" s="139"/>
      <c r="G187" s="140"/>
      <c r="H187" s="141"/>
      <c r="I187" s="141">
        <f>SUM(I14:I184)</f>
        <v>5811.1240973399999</v>
      </c>
      <c r="J187" s="142">
        <f>SUM(J13:J184)</f>
        <v>7.895549045298913</v>
      </c>
      <c r="K187" s="142">
        <f>SUM(I187*0.75)/90</f>
        <v>48.426034144500008</v>
      </c>
    </row>
    <row r="188" spans="1:11" ht="13.5" customHeight="1">
      <c r="A188" s="119"/>
      <c r="B188" s="135" t="s">
        <v>546</v>
      </c>
      <c r="C188" s="119"/>
      <c r="D188" s="120"/>
      <c r="E188" s="121"/>
      <c r="F188" s="121"/>
      <c r="G188" s="132">
        <f>SUM(G16,G29,G42,G55,G68,G81,G94,G107,G120,G133,G146,G159,G172,G185)</f>
        <v>73736.99921382856</v>
      </c>
      <c r="H188" s="125"/>
      <c r="I188" s="125"/>
      <c r="J188" s="133">
        <f>SUM(J186:J187)</f>
        <v>7.895549045298913</v>
      </c>
      <c r="K188" s="133">
        <f>SUM(K186:K187)</f>
        <v>614.47499344857124</v>
      </c>
    </row>
    <row r="189" spans="1:11" ht="13.5" customHeight="1">
      <c r="A189" s="119" t="s">
        <v>467</v>
      </c>
      <c r="B189" s="119" t="s">
        <v>520</v>
      </c>
      <c r="C189" s="119" t="s">
        <v>521</v>
      </c>
      <c r="D189" s="120" t="s">
        <v>70</v>
      </c>
      <c r="E189" s="121">
        <v>993.98954060000017</v>
      </c>
      <c r="F189" s="122">
        <v>8.9999999999999998E-4</v>
      </c>
      <c r="G189" s="121">
        <v>0.89459058654000012</v>
      </c>
      <c r="H189" s="125"/>
      <c r="I189" s="125"/>
      <c r="J189" s="126"/>
      <c r="K189" s="126"/>
    </row>
    <row r="190" spans="1:11" ht="13.5" customHeight="1">
      <c r="A190" s="119" t="s">
        <v>467</v>
      </c>
      <c r="B190" s="119" t="s">
        <v>520</v>
      </c>
      <c r="C190" s="119" t="s">
        <v>522</v>
      </c>
      <c r="D190" s="120" t="s">
        <v>70</v>
      </c>
      <c r="E190" s="121">
        <v>2716.9626024000004</v>
      </c>
      <c r="F190" s="122">
        <v>8.4999999999999995E-4</v>
      </c>
      <c r="G190" s="121">
        <v>2.3094182120400002</v>
      </c>
      <c r="H190" s="125"/>
      <c r="I190" s="125"/>
      <c r="J190" s="126"/>
      <c r="K190" s="126"/>
    </row>
    <row r="191" spans="1:11" ht="13.5" customHeight="1">
      <c r="A191" s="119" t="s">
        <v>467</v>
      </c>
      <c r="B191" s="119" t="s">
        <v>520</v>
      </c>
      <c r="C191" s="119" t="s">
        <v>523</v>
      </c>
      <c r="D191" s="120" t="s">
        <v>70</v>
      </c>
      <c r="E191" s="121">
        <v>872.38277920000007</v>
      </c>
      <c r="F191" s="122">
        <v>4.4999999999999999E-4</v>
      </c>
      <c r="G191" s="121">
        <v>0.39257225064000001</v>
      </c>
      <c r="H191" s="125"/>
      <c r="I191" s="125"/>
      <c r="J191" s="126"/>
      <c r="K191" s="126"/>
    </row>
    <row r="192" spans="1:11" ht="13.5" customHeight="1">
      <c r="A192" s="119" t="s">
        <v>467</v>
      </c>
      <c r="B192" s="119" t="s">
        <v>520</v>
      </c>
      <c r="C192" s="119" t="s">
        <v>524</v>
      </c>
      <c r="D192" s="120" t="s">
        <v>70</v>
      </c>
      <c r="E192" s="121">
        <v>292.42739280000001</v>
      </c>
      <c r="F192" s="122">
        <v>4.4999999999999999E-4</v>
      </c>
      <c r="G192" s="121">
        <v>0.13159232675999999</v>
      </c>
      <c r="H192" s="125"/>
      <c r="I192" s="125"/>
      <c r="J192" s="126"/>
      <c r="K192" s="126"/>
    </row>
    <row r="193" spans="1:11" ht="13.5" customHeight="1">
      <c r="A193" s="119" t="s">
        <v>467</v>
      </c>
      <c r="B193" s="119" t="s">
        <v>520</v>
      </c>
      <c r="C193" s="119" t="s">
        <v>525</v>
      </c>
      <c r="D193" s="120" t="s">
        <v>70</v>
      </c>
      <c r="E193" s="121">
        <v>8195.6239264000014</v>
      </c>
      <c r="F193" s="122">
        <v>8.4999999999999995E-4</v>
      </c>
      <c r="G193" s="121">
        <v>6.9662803374400006</v>
      </c>
      <c r="H193" s="125"/>
      <c r="I193" s="125"/>
      <c r="J193" s="126"/>
      <c r="K193" s="126"/>
    </row>
    <row r="194" spans="1:11" ht="13.5" customHeight="1">
      <c r="A194" s="119" t="s">
        <v>467</v>
      </c>
      <c r="B194" s="119" t="s">
        <v>520</v>
      </c>
      <c r="C194" s="119" t="s">
        <v>526</v>
      </c>
      <c r="D194" s="120" t="s">
        <v>70</v>
      </c>
      <c r="E194" s="121">
        <v>2625.3174520000002</v>
      </c>
      <c r="F194" s="122">
        <v>4.4999999999999999E-4</v>
      </c>
      <c r="G194" s="121">
        <v>1.1813928534</v>
      </c>
      <c r="H194" s="125"/>
      <c r="I194" s="125"/>
      <c r="J194" s="126"/>
      <c r="K194" s="126"/>
    </row>
    <row r="195" spans="1:11" ht="13.5" customHeight="1">
      <c r="A195" s="119" t="s">
        <v>467</v>
      </c>
      <c r="B195" s="119" t="s">
        <v>520</v>
      </c>
      <c r="C195" s="119" t="s">
        <v>527</v>
      </c>
      <c r="D195" s="120" t="s">
        <v>70</v>
      </c>
      <c r="E195" s="121">
        <v>873.92451200000005</v>
      </c>
      <c r="F195" s="122">
        <v>4.4999999999999999E-4</v>
      </c>
      <c r="G195" s="121">
        <v>0.39326603040000002</v>
      </c>
      <c r="H195" s="125"/>
      <c r="I195" s="125"/>
      <c r="J195" s="126"/>
      <c r="K195" s="126"/>
    </row>
    <row r="196" spans="1:11" ht="13.5" customHeight="1">
      <c r="A196" s="119" t="s">
        <v>467</v>
      </c>
      <c r="B196" s="119" t="s">
        <v>520</v>
      </c>
      <c r="C196" s="119" t="s">
        <v>528</v>
      </c>
      <c r="D196" s="120" t="s">
        <v>70</v>
      </c>
      <c r="E196" s="121">
        <v>3401.9963200000002</v>
      </c>
      <c r="F196" s="122">
        <v>1.4999999999999999E-4</v>
      </c>
      <c r="G196" s="121">
        <v>0.51029944799999993</v>
      </c>
      <c r="H196" s="125"/>
      <c r="I196" s="125"/>
      <c r="J196" s="126"/>
      <c r="K196" s="126"/>
    </row>
    <row r="197" spans="1:11" ht="13.5" customHeight="1">
      <c r="A197" s="119" t="s">
        <v>467</v>
      </c>
      <c r="B197" s="119" t="s">
        <v>520</v>
      </c>
      <c r="C197" s="119" t="s">
        <v>529</v>
      </c>
      <c r="D197" s="120" t="s">
        <v>70</v>
      </c>
      <c r="E197" s="121">
        <v>1517.7479903999999</v>
      </c>
      <c r="F197" s="122">
        <v>8.9999999999999998E-4</v>
      </c>
      <c r="G197" s="121">
        <v>1.3659731913599999</v>
      </c>
      <c r="H197" s="125"/>
      <c r="I197" s="125"/>
      <c r="J197" s="126"/>
      <c r="K197" s="126"/>
    </row>
    <row r="198" spans="1:11" ht="13.5" customHeight="1">
      <c r="A198" s="119" t="s">
        <v>467</v>
      </c>
      <c r="B198" s="119" t="s">
        <v>520</v>
      </c>
      <c r="C198" s="119" t="s">
        <v>530</v>
      </c>
      <c r="D198" s="120" t="s">
        <v>70</v>
      </c>
      <c r="E198" s="121">
        <v>210.78022440000004</v>
      </c>
      <c r="F198" s="122">
        <v>8.9999999999999998E-4</v>
      </c>
      <c r="G198" s="121">
        <v>0.18970220196000004</v>
      </c>
      <c r="H198" s="125">
        <f>SUM(G189:G198)</f>
        <v>14.335087438539999</v>
      </c>
      <c r="I198" s="125"/>
      <c r="J198" s="126"/>
      <c r="K198" s="126"/>
    </row>
    <row r="199" spans="1:11" s="117" customFormat="1" ht="13.5" customHeight="1">
      <c r="A199" s="127" t="s">
        <v>467</v>
      </c>
      <c r="B199" s="119" t="s">
        <v>520</v>
      </c>
      <c r="C199" s="127" t="s">
        <v>532</v>
      </c>
      <c r="D199" s="128" t="s">
        <v>70</v>
      </c>
      <c r="E199" s="129">
        <v>837.37820160000001</v>
      </c>
      <c r="F199" s="130">
        <v>8.9999999999999998E-4</v>
      </c>
      <c r="G199" s="129">
        <v>0.75364038144000001</v>
      </c>
      <c r="H199" s="125"/>
      <c r="I199" s="132">
        <v>0.75364038144000001</v>
      </c>
      <c r="J199" s="133"/>
      <c r="K199" s="133"/>
    </row>
    <row r="200" spans="1:11" s="117" customFormat="1" ht="13.5" customHeight="1">
      <c r="A200" s="127"/>
      <c r="B200" s="119"/>
      <c r="C200" s="127"/>
      <c r="D200" s="128"/>
      <c r="E200" s="129"/>
      <c r="F200" s="130"/>
      <c r="G200" s="129">
        <f>SUM(G189:G199)</f>
        <v>15.088727819979999</v>
      </c>
      <c r="H200" s="125"/>
      <c r="I200" s="125"/>
      <c r="J200" s="133"/>
      <c r="K200" s="133"/>
    </row>
    <row r="201" spans="1:11" ht="13.5" customHeight="1">
      <c r="A201" s="119" t="s">
        <v>482</v>
      </c>
      <c r="B201" s="119" t="s">
        <v>533</v>
      </c>
      <c r="C201" s="119" t="s">
        <v>521</v>
      </c>
      <c r="D201" s="120" t="s">
        <v>70</v>
      </c>
      <c r="E201" s="121">
        <v>4291.0124999999998</v>
      </c>
      <c r="F201" s="122">
        <v>8.9999999999999998E-4</v>
      </c>
      <c r="G201" s="121">
        <v>3.8619112499999999</v>
      </c>
      <c r="H201" s="125"/>
      <c r="I201" s="125"/>
      <c r="J201" s="126"/>
      <c r="K201" s="126"/>
    </row>
    <row r="202" spans="1:11" ht="13.5" customHeight="1">
      <c r="A202" s="119" t="s">
        <v>482</v>
      </c>
      <c r="B202" s="119" t="s">
        <v>533</v>
      </c>
      <c r="C202" s="119" t="s">
        <v>522</v>
      </c>
      <c r="D202" s="120" t="s">
        <v>70</v>
      </c>
      <c r="E202" s="121">
        <v>5794.2374999999993</v>
      </c>
      <c r="F202" s="122">
        <v>8.4999999999999995E-4</v>
      </c>
      <c r="G202" s="121">
        <v>4.9251018749999993</v>
      </c>
      <c r="H202" s="125"/>
      <c r="I202" s="125"/>
      <c r="J202" s="126"/>
      <c r="K202" s="126"/>
    </row>
    <row r="203" spans="1:11" ht="13.5" customHeight="1">
      <c r="A203" s="119" t="s">
        <v>482</v>
      </c>
      <c r="B203" s="119" t="s">
        <v>533</v>
      </c>
      <c r="C203" s="119" t="s">
        <v>523</v>
      </c>
      <c r="D203" s="120" t="s">
        <v>70</v>
      </c>
      <c r="E203" s="121">
        <v>1879.86</v>
      </c>
      <c r="F203" s="122">
        <v>4.4999999999999999E-4</v>
      </c>
      <c r="G203" s="121">
        <v>0.84593699999999994</v>
      </c>
      <c r="H203" s="125"/>
      <c r="I203" s="125"/>
      <c r="J203" s="126"/>
      <c r="K203" s="126"/>
    </row>
    <row r="204" spans="1:11" ht="13.5" customHeight="1">
      <c r="A204" s="119" t="s">
        <v>482</v>
      </c>
      <c r="B204" s="119" t="s">
        <v>533</v>
      </c>
      <c r="C204" s="119" t="s">
        <v>524</v>
      </c>
      <c r="D204" s="120" t="s">
        <v>70</v>
      </c>
      <c r="E204" s="121">
        <v>655.34999999999991</v>
      </c>
      <c r="F204" s="122">
        <v>4.4999999999999999E-4</v>
      </c>
      <c r="G204" s="121">
        <v>0.29490749999999993</v>
      </c>
      <c r="H204" s="125"/>
      <c r="I204" s="125"/>
      <c r="J204" s="126"/>
      <c r="K204" s="126"/>
    </row>
    <row r="205" spans="1:11" ht="13.5" customHeight="1">
      <c r="A205" s="119" t="s">
        <v>482</v>
      </c>
      <c r="B205" s="119" t="s">
        <v>533</v>
      </c>
      <c r="C205" s="119" t="s">
        <v>525</v>
      </c>
      <c r="D205" s="120" t="s">
        <v>70</v>
      </c>
      <c r="E205" s="121">
        <v>9224.369999999999</v>
      </c>
      <c r="F205" s="122">
        <v>8.4999999999999995E-4</v>
      </c>
      <c r="G205" s="121">
        <v>7.8407144999999989</v>
      </c>
      <c r="H205" s="125"/>
      <c r="I205" s="125"/>
      <c r="J205" s="126"/>
      <c r="K205" s="126"/>
    </row>
    <row r="206" spans="1:11" ht="13.5" customHeight="1">
      <c r="A206" s="119" t="s">
        <v>482</v>
      </c>
      <c r="B206" s="119" t="s">
        <v>533</v>
      </c>
      <c r="C206" s="119" t="s">
        <v>526</v>
      </c>
      <c r="D206" s="120" t="s">
        <v>70</v>
      </c>
      <c r="E206" s="121">
        <v>3045.7199999999993</v>
      </c>
      <c r="F206" s="122">
        <v>4.4999999999999999E-4</v>
      </c>
      <c r="G206" s="121">
        <v>1.3705739999999997</v>
      </c>
      <c r="H206" s="125"/>
      <c r="I206" s="125"/>
      <c r="J206" s="126"/>
      <c r="K206" s="126"/>
    </row>
    <row r="207" spans="1:11" ht="13.5" customHeight="1">
      <c r="A207" s="119" t="s">
        <v>482</v>
      </c>
      <c r="B207" s="119" t="s">
        <v>533</v>
      </c>
      <c r="C207" s="119" t="s">
        <v>527</v>
      </c>
      <c r="D207" s="120" t="s">
        <v>70</v>
      </c>
      <c r="E207" s="121">
        <v>1052.1299999999999</v>
      </c>
      <c r="F207" s="122">
        <v>4.4999999999999999E-4</v>
      </c>
      <c r="G207" s="121">
        <v>0.47345849999999995</v>
      </c>
      <c r="H207" s="125"/>
      <c r="I207" s="125"/>
      <c r="J207" s="126"/>
      <c r="K207" s="126"/>
    </row>
    <row r="208" spans="1:11" ht="13.5" customHeight="1">
      <c r="A208" s="119" t="s">
        <v>482</v>
      </c>
      <c r="B208" s="119" t="s">
        <v>533</v>
      </c>
      <c r="C208" s="119" t="s">
        <v>528</v>
      </c>
      <c r="D208" s="120" t="s">
        <v>70</v>
      </c>
      <c r="E208" s="121">
        <v>1781</v>
      </c>
      <c r="F208" s="122">
        <v>1.4999999999999999E-4</v>
      </c>
      <c r="G208" s="121">
        <v>0.26715</v>
      </c>
      <c r="H208" s="125"/>
      <c r="I208" s="125"/>
      <c r="J208" s="126"/>
      <c r="K208" s="126"/>
    </row>
    <row r="209" spans="1:11" ht="13.5" customHeight="1">
      <c r="A209" s="119" t="s">
        <v>482</v>
      </c>
      <c r="B209" s="119" t="s">
        <v>533</v>
      </c>
      <c r="C209" s="119" t="s">
        <v>529</v>
      </c>
      <c r="D209" s="120" t="s">
        <v>70</v>
      </c>
      <c r="E209" s="121">
        <v>8032.4999999999991</v>
      </c>
      <c r="F209" s="122">
        <v>8.9999999999999998E-4</v>
      </c>
      <c r="G209" s="121">
        <v>7.2292499999999986</v>
      </c>
      <c r="H209" s="125"/>
      <c r="I209" s="125"/>
      <c r="J209" s="126"/>
      <c r="K209" s="126"/>
    </row>
    <row r="210" spans="1:11" ht="13.5" customHeight="1">
      <c r="A210" s="119" t="s">
        <v>482</v>
      </c>
      <c r="B210" s="119" t="s">
        <v>533</v>
      </c>
      <c r="C210" s="119" t="s">
        <v>530</v>
      </c>
      <c r="D210" s="120" t="s">
        <v>70</v>
      </c>
      <c r="E210" s="121">
        <v>6462.3579</v>
      </c>
      <c r="F210" s="122">
        <v>8.9999999999999998E-4</v>
      </c>
      <c r="G210" s="121">
        <v>5.8161221100000002</v>
      </c>
      <c r="H210" s="125">
        <f>SUM(G201:G210)</f>
        <v>32.925126734999999</v>
      </c>
      <c r="I210" s="125"/>
      <c r="J210" s="126"/>
      <c r="K210" s="126"/>
    </row>
    <row r="211" spans="1:11" s="117" customFormat="1" ht="13.5" customHeight="1">
      <c r="A211" s="127" t="s">
        <v>482</v>
      </c>
      <c r="B211" s="119" t="s">
        <v>533</v>
      </c>
      <c r="C211" s="127" t="s">
        <v>532</v>
      </c>
      <c r="D211" s="128" t="s">
        <v>70</v>
      </c>
      <c r="E211" s="129">
        <v>7649.9999999999991</v>
      </c>
      <c r="F211" s="130">
        <v>8.9999999999999998E-4</v>
      </c>
      <c r="G211" s="129">
        <v>6.8849999999999989</v>
      </c>
      <c r="H211" s="125"/>
      <c r="I211" s="132">
        <v>6.8849999999999989</v>
      </c>
      <c r="J211" s="133"/>
      <c r="K211" s="133"/>
    </row>
    <row r="212" spans="1:11" s="117" customFormat="1" ht="13.5" customHeight="1">
      <c r="A212" s="127"/>
      <c r="B212" s="119"/>
      <c r="C212" s="127"/>
      <c r="D212" s="128"/>
      <c r="E212" s="129"/>
      <c r="F212" s="130"/>
      <c r="G212" s="129">
        <f>SUM(G201:G211)</f>
        <v>39.810126734999997</v>
      </c>
      <c r="H212" s="125"/>
      <c r="I212" s="125"/>
      <c r="J212" s="133"/>
      <c r="K212" s="133"/>
    </row>
    <row r="213" spans="1:11" ht="13.5" customHeight="1">
      <c r="A213" s="119" t="s">
        <v>484</v>
      </c>
      <c r="B213" s="119" t="s">
        <v>534</v>
      </c>
      <c r="C213" s="119" t="s">
        <v>521</v>
      </c>
      <c r="D213" s="120" t="s">
        <v>70</v>
      </c>
      <c r="E213" s="121">
        <v>4873.6662281999998</v>
      </c>
      <c r="F213" s="122">
        <v>8.9999999999999998E-4</v>
      </c>
      <c r="G213" s="121">
        <v>4.3862996053799996</v>
      </c>
      <c r="H213" s="125"/>
      <c r="I213" s="125"/>
      <c r="J213" s="126"/>
      <c r="K213" s="126"/>
    </row>
    <row r="214" spans="1:11" ht="13.5" customHeight="1">
      <c r="A214" s="119" t="s">
        <v>484</v>
      </c>
      <c r="B214" s="119" t="s">
        <v>534</v>
      </c>
      <c r="C214" s="119" t="s">
        <v>522</v>
      </c>
      <c r="D214" s="120" t="s">
        <v>70</v>
      </c>
      <c r="E214" s="121">
        <v>2414.3558399999997</v>
      </c>
      <c r="F214" s="122">
        <v>8.4999999999999995E-4</v>
      </c>
      <c r="G214" s="121">
        <v>2.0522024639999996</v>
      </c>
      <c r="H214" s="125"/>
      <c r="I214" s="125"/>
      <c r="J214" s="126"/>
      <c r="K214" s="126"/>
    </row>
    <row r="215" spans="1:11" ht="13.5" customHeight="1">
      <c r="A215" s="119" t="s">
        <v>484</v>
      </c>
      <c r="B215" s="119" t="s">
        <v>534</v>
      </c>
      <c r="C215" s="119" t="s">
        <v>523</v>
      </c>
      <c r="D215" s="120" t="s">
        <v>70</v>
      </c>
      <c r="E215" s="121">
        <v>774.18022439999993</v>
      </c>
      <c r="F215" s="122">
        <v>4.4999999999999999E-4</v>
      </c>
      <c r="G215" s="121">
        <v>0.34838110097999997</v>
      </c>
      <c r="H215" s="125"/>
      <c r="I215" s="125"/>
      <c r="J215" s="126"/>
      <c r="K215" s="126"/>
    </row>
    <row r="216" spans="1:11" ht="13.5" customHeight="1">
      <c r="A216" s="119" t="s">
        <v>484</v>
      </c>
      <c r="B216" s="119" t="s">
        <v>534</v>
      </c>
      <c r="C216" s="119" t="s">
        <v>524</v>
      </c>
      <c r="D216" s="120" t="s">
        <v>70</v>
      </c>
      <c r="E216" s="121">
        <v>257.66060099999999</v>
      </c>
      <c r="F216" s="122">
        <v>4.4999999999999999E-4</v>
      </c>
      <c r="G216" s="121">
        <v>0.11594727044999999</v>
      </c>
      <c r="H216" s="125"/>
      <c r="I216" s="125"/>
      <c r="J216" s="126"/>
      <c r="K216" s="126"/>
    </row>
    <row r="217" spans="1:11" ht="13.5" customHeight="1">
      <c r="A217" s="119" t="s">
        <v>484</v>
      </c>
      <c r="B217" s="119" t="s">
        <v>534</v>
      </c>
      <c r="C217" s="119" t="s">
        <v>525</v>
      </c>
      <c r="D217" s="120" t="s">
        <v>70</v>
      </c>
      <c r="E217" s="121">
        <v>18676.030076399999</v>
      </c>
      <c r="F217" s="122">
        <v>8.4999999999999995E-4</v>
      </c>
      <c r="G217" s="121">
        <v>15.874625564939997</v>
      </c>
      <c r="H217" s="125"/>
      <c r="I217" s="125"/>
      <c r="J217" s="126"/>
      <c r="K217" s="126"/>
    </row>
    <row r="218" spans="1:11" ht="13.5" customHeight="1">
      <c r="A218" s="119" t="s">
        <v>484</v>
      </c>
      <c r="B218" s="119" t="s">
        <v>534</v>
      </c>
      <c r="C218" s="119" t="s">
        <v>526</v>
      </c>
      <c r="D218" s="120" t="s">
        <v>70</v>
      </c>
      <c r="E218" s="121">
        <v>5987.7450312000001</v>
      </c>
      <c r="F218" s="122">
        <v>4.4999999999999999E-4</v>
      </c>
      <c r="G218" s="121">
        <v>2.6944852640399999</v>
      </c>
      <c r="H218" s="125"/>
      <c r="I218" s="125"/>
      <c r="J218" s="126"/>
      <c r="K218" s="126"/>
    </row>
    <row r="219" spans="1:11" ht="13.5" customHeight="1">
      <c r="A219" s="119" t="s">
        <v>484</v>
      </c>
      <c r="B219" s="119" t="s">
        <v>534</v>
      </c>
      <c r="C219" s="119" t="s">
        <v>527</v>
      </c>
      <c r="D219" s="120" t="s">
        <v>70</v>
      </c>
      <c r="E219" s="121">
        <v>1996.4010312</v>
      </c>
      <c r="F219" s="122">
        <v>4.4999999999999999E-4</v>
      </c>
      <c r="G219" s="121">
        <v>0.89838046403999994</v>
      </c>
      <c r="H219" s="125"/>
      <c r="I219" s="125"/>
      <c r="J219" s="126"/>
      <c r="K219" s="126"/>
    </row>
    <row r="220" spans="1:11" ht="13.5" customHeight="1">
      <c r="A220" s="119" t="s">
        <v>484</v>
      </c>
      <c r="B220" s="119" t="s">
        <v>534</v>
      </c>
      <c r="C220" s="119" t="s">
        <v>528</v>
      </c>
      <c r="D220" s="120" t="s">
        <v>70</v>
      </c>
      <c r="E220" s="121">
        <v>10300.72559</v>
      </c>
      <c r="F220" s="122">
        <v>1.4999999999999999E-4</v>
      </c>
      <c r="G220" s="121">
        <v>1.5451088384999998</v>
      </c>
      <c r="H220" s="125"/>
      <c r="I220" s="125"/>
      <c r="J220" s="126"/>
      <c r="K220" s="126"/>
    </row>
    <row r="221" spans="1:11" ht="13.5" customHeight="1">
      <c r="A221" s="119" t="s">
        <v>484</v>
      </c>
      <c r="B221" s="119" t="s">
        <v>534</v>
      </c>
      <c r="C221" s="119" t="s">
        <v>529</v>
      </c>
      <c r="D221" s="120" t="s">
        <v>70</v>
      </c>
      <c r="E221" s="121">
        <v>659.20711679999999</v>
      </c>
      <c r="F221" s="122">
        <v>8.9999999999999998E-4</v>
      </c>
      <c r="G221" s="121">
        <v>0.59328640511999997</v>
      </c>
      <c r="H221" s="125"/>
      <c r="I221" s="125"/>
      <c r="J221" s="126"/>
      <c r="K221" s="126"/>
    </row>
    <row r="222" spans="1:11" ht="13.5" customHeight="1">
      <c r="A222" s="119" t="s">
        <v>484</v>
      </c>
      <c r="B222" s="119" t="s">
        <v>534</v>
      </c>
      <c r="C222" s="119" t="s">
        <v>530</v>
      </c>
      <c r="D222" s="120" t="s">
        <v>70</v>
      </c>
      <c r="E222" s="121">
        <v>582.87571739999998</v>
      </c>
      <c r="F222" s="122">
        <v>8.9999999999999998E-4</v>
      </c>
      <c r="G222" s="121">
        <v>0.52458814566</v>
      </c>
      <c r="H222" s="125">
        <f>SUM(G213:G222)</f>
        <v>29.033305123109997</v>
      </c>
      <c r="I222" s="125"/>
      <c r="J222" s="126"/>
      <c r="K222" s="126"/>
    </row>
    <row r="223" spans="1:11" s="117" customFormat="1" ht="13.5" customHeight="1">
      <c r="A223" s="127" t="s">
        <v>484</v>
      </c>
      <c r="B223" s="119" t="s">
        <v>534</v>
      </c>
      <c r="C223" s="127" t="s">
        <v>532</v>
      </c>
      <c r="D223" s="128" t="s">
        <v>70</v>
      </c>
      <c r="E223" s="129">
        <v>365.65394759999998</v>
      </c>
      <c r="F223" s="130">
        <v>8.9999999999999998E-4</v>
      </c>
      <c r="G223" s="129">
        <v>0.32908855283999999</v>
      </c>
      <c r="H223" s="125"/>
      <c r="I223" s="132">
        <v>0.32908855283999999</v>
      </c>
      <c r="J223" s="133"/>
      <c r="K223" s="133"/>
    </row>
    <row r="224" spans="1:11" s="117" customFormat="1" ht="13.5" customHeight="1">
      <c r="A224" s="127"/>
      <c r="B224" s="119"/>
      <c r="C224" s="127"/>
      <c r="D224" s="128"/>
      <c r="E224" s="129"/>
      <c r="F224" s="130"/>
      <c r="G224" s="129">
        <f>SUM(G213:G223)</f>
        <v>29.362393675949995</v>
      </c>
      <c r="H224" s="125"/>
      <c r="I224" s="125"/>
      <c r="J224" s="133"/>
      <c r="K224" s="133"/>
    </row>
    <row r="225" spans="1:11" ht="13.5" customHeight="1">
      <c r="A225" s="119" t="s">
        <v>486</v>
      </c>
      <c r="B225" s="119" t="s">
        <v>39</v>
      </c>
      <c r="C225" s="119" t="s">
        <v>521</v>
      </c>
      <c r="D225" s="120" t="s">
        <v>70</v>
      </c>
      <c r="E225" s="121">
        <v>71.367281800000001</v>
      </c>
      <c r="F225" s="122">
        <v>8.9999999999999998E-4</v>
      </c>
      <c r="G225" s="121">
        <v>6.4230553620000005E-2</v>
      </c>
      <c r="H225" s="125"/>
      <c r="I225" s="125"/>
      <c r="J225" s="126"/>
      <c r="K225" s="126"/>
    </row>
    <row r="226" spans="1:11" ht="13.5" customHeight="1">
      <c r="A226" s="119" t="s">
        <v>486</v>
      </c>
      <c r="B226" s="119" t="s">
        <v>39</v>
      </c>
      <c r="C226" s="119" t="s">
        <v>522</v>
      </c>
      <c r="D226" s="120" t="s">
        <v>70</v>
      </c>
      <c r="E226" s="121">
        <v>191.72929799999997</v>
      </c>
      <c r="F226" s="122">
        <v>8.4999999999999995E-4</v>
      </c>
      <c r="G226" s="121">
        <v>0.16296990329999997</v>
      </c>
      <c r="H226" s="125"/>
      <c r="I226" s="125"/>
      <c r="J226" s="126"/>
      <c r="K226" s="126"/>
    </row>
    <row r="227" spans="1:11" ht="13.5" customHeight="1">
      <c r="A227" s="119" t="s">
        <v>486</v>
      </c>
      <c r="B227" s="119" t="s">
        <v>39</v>
      </c>
      <c r="C227" s="119" t="s">
        <v>523</v>
      </c>
      <c r="D227" s="120" t="s">
        <v>70</v>
      </c>
      <c r="E227" s="121">
        <v>61.402691000000004</v>
      </c>
      <c r="F227" s="122">
        <v>4.4999999999999999E-4</v>
      </c>
      <c r="G227" s="121">
        <v>2.7631210950000002E-2</v>
      </c>
      <c r="H227" s="125"/>
      <c r="I227" s="125"/>
      <c r="J227" s="126"/>
      <c r="K227" s="126"/>
    </row>
    <row r="228" spans="1:11" ht="13.5" customHeight="1">
      <c r="A228" s="119" t="s">
        <v>486</v>
      </c>
      <c r="B228" s="119" t="s">
        <v>39</v>
      </c>
      <c r="C228" s="119" t="s">
        <v>524</v>
      </c>
      <c r="D228" s="120" t="s">
        <v>70</v>
      </c>
      <c r="E228" s="121">
        <v>19.4407444</v>
      </c>
      <c r="F228" s="122">
        <v>4.4999999999999999E-4</v>
      </c>
      <c r="G228" s="121">
        <v>8.7483349799999995E-3</v>
      </c>
      <c r="H228" s="125"/>
      <c r="I228" s="125"/>
      <c r="J228" s="126"/>
      <c r="K228" s="126"/>
    </row>
    <row r="229" spans="1:11" ht="13.5" customHeight="1">
      <c r="A229" s="119" t="s">
        <v>486</v>
      </c>
      <c r="B229" s="119" t="s">
        <v>39</v>
      </c>
      <c r="C229" s="119" t="s">
        <v>525</v>
      </c>
      <c r="D229" s="120" t="s">
        <v>70</v>
      </c>
      <c r="E229" s="121">
        <v>575.82262639999999</v>
      </c>
      <c r="F229" s="122">
        <v>8.4999999999999995E-4</v>
      </c>
      <c r="G229" s="121">
        <v>0.48944923243999994</v>
      </c>
      <c r="H229" s="125"/>
      <c r="I229" s="125"/>
      <c r="J229" s="126"/>
      <c r="K229" s="126"/>
    </row>
    <row r="230" spans="1:11" ht="13.5" customHeight="1">
      <c r="A230" s="119" t="s">
        <v>486</v>
      </c>
      <c r="B230" s="119" t="s">
        <v>39</v>
      </c>
      <c r="C230" s="119" t="s">
        <v>526</v>
      </c>
      <c r="D230" s="120" t="s">
        <v>70</v>
      </c>
      <c r="E230" s="121">
        <v>184.23284879999997</v>
      </c>
      <c r="F230" s="122">
        <v>4.4999999999999999E-4</v>
      </c>
      <c r="G230" s="121">
        <v>8.2904781959999979E-2</v>
      </c>
      <c r="H230" s="125"/>
      <c r="I230" s="125"/>
      <c r="J230" s="126"/>
      <c r="K230" s="126"/>
    </row>
    <row r="231" spans="1:11" ht="13.5" customHeight="1">
      <c r="A231" s="119" t="s">
        <v>486</v>
      </c>
      <c r="B231" s="119" t="s">
        <v>39</v>
      </c>
      <c r="C231" s="119" t="s">
        <v>527</v>
      </c>
      <c r="D231" s="120" t="s">
        <v>70</v>
      </c>
      <c r="E231" s="121">
        <v>61.925342399999998</v>
      </c>
      <c r="F231" s="122">
        <v>4.4999999999999999E-4</v>
      </c>
      <c r="G231" s="121">
        <v>2.7866404079999997E-2</v>
      </c>
      <c r="H231" s="125"/>
      <c r="I231" s="125"/>
      <c r="J231" s="126"/>
      <c r="K231" s="126"/>
    </row>
    <row r="232" spans="1:11" ht="13.5" customHeight="1">
      <c r="A232" s="119" t="s">
        <v>486</v>
      </c>
      <c r="B232" s="119" t="s">
        <v>39</v>
      </c>
      <c r="C232" s="119" t="s">
        <v>528</v>
      </c>
      <c r="D232" s="120" t="s">
        <v>70</v>
      </c>
      <c r="E232" s="121">
        <v>239.60031000000001</v>
      </c>
      <c r="F232" s="122">
        <v>1.4999999999999999E-4</v>
      </c>
      <c r="G232" s="121">
        <v>3.5940046499999996E-2</v>
      </c>
      <c r="H232" s="125"/>
      <c r="I232" s="125"/>
      <c r="J232" s="126"/>
      <c r="K232" s="126"/>
    </row>
    <row r="233" spans="1:11" ht="13.5" customHeight="1">
      <c r="A233" s="119" t="s">
        <v>486</v>
      </c>
      <c r="B233" s="119" t="s">
        <v>39</v>
      </c>
      <c r="C233" s="119" t="s">
        <v>529</v>
      </c>
      <c r="D233" s="120" t="s">
        <v>70</v>
      </c>
      <c r="E233" s="121">
        <v>4750.073006399999</v>
      </c>
      <c r="F233" s="122">
        <v>8.9999999999999998E-4</v>
      </c>
      <c r="G233" s="121">
        <v>4.2750657057599994</v>
      </c>
      <c r="H233" s="125"/>
      <c r="I233" s="125"/>
      <c r="J233" s="126"/>
      <c r="K233" s="126"/>
    </row>
    <row r="234" spans="1:11" ht="13.5" customHeight="1">
      <c r="A234" s="119" t="s">
        <v>486</v>
      </c>
      <c r="B234" s="119" t="s">
        <v>39</v>
      </c>
      <c r="C234" s="119" t="s">
        <v>530</v>
      </c>
      <c r="D234" s="120" t="s">
        <v>70</v>
      </c>
      <c r="E234" s="121">
        <v>14.083272600000001</v>
      </c>
      <c r="F234" s="122">
        <v>8.9999999999999998E-4</v>
      </c>
      <c r="G234" s="121">
        <v>1.267494534E-2</v>
      </c>
      <c r="H234" s="125">
        <f>SUM(G225:G234)</f>
        <v>5.1874811189299992</v>
      </c>
      <c r="I234" s="125"/>
      <c r="J234" s="126"/>
      <c r="K234" s="126"/>
    </row>
    <row r="235" spans="1:11" s="117" customFormat="1" ht="13.5" customHeight="1">
      <c r="A235" s="127" t="s">
        <v>486</v>
      </c>
      <c r="B235" s="119" t="s">
        <v>39</v>
      </c>
      <c r="C235" s="127" t="s">
        <v>532</v>
      </c>
      <c r="D235" s="128" t="s">
        <v>70</v>
      </c>
      <c r="E235" s="129">
        <v>2637.6033527999998</v>
      </c>
      <c r="F235" s="130">
        <v>8.9999999999999998E-4</v>
      </c>
      <c r="G235" s="129">
        <v>2.3738430175199996</v>
      </c>
      <c r="H235" s="125"/>
      <c r="I235" s="132">
        <v>2.3738430175199996</v>
      </c>
      <c r="J235" s="133"/>
      <c r="K235" s="133"/>
    </row>
    <row r="236" spans="1:11" s="117" customFormat="1" ht="13.5" customHeight="1">
      <c r="A236" s="127"/>
      <c r="B236" s="119"/>
      <c r="C236" s="127"/>
      <c r="D236" s="128"/>
      <c r="E236" s="129"/>
      <c r="F236" s="130"/>
      <c r="G236" s="129">
        <f>SUM(G225:G235)</f>
        <v>7.5613241364499988</v>
      </c>
      <c r="H236" s="125"/>
      <c r="I236" s="125"/>
      <c r="J236" s="133"/>
      <c r="K236" s="133"/>
    </row>
    <row r="237" spans="1:11" ht="13.5" customHeight="1">
      <c r="A237" s="119" t="s">
        <v>488</v>
      </c>
      <c r="B237" s="119" t="s">
        <v>40</v>
      </c>
      <c r="C237" s="119" t="s">
        <v>521</v>
      </c>
      <c r="D237" s="120" t="s">
        <v>70</v>
      </c>
      <c r="E237" s="121">
        <v>17454.833400000003</v>
      </c>
      <c r="F237" s="122">
        <v>8.9999999999999998E-4</v>
      </c>
      <c r="G237" s="121">
        <v>15.709350060000002</v>
      </c>
      <c r="H237" s="125"/>
      <c r="I237" s="125"/>
      <c r="J237" s="126"/>
      <c r="K237" s="126"/>
    </row>
    <row r="238" spans="1:11" ht="13.5" customHeight="1">
      <c r="A238" s="119" t="s">
        <v>488</v>
      </c>
      <c r="B238" s="119" t="s">
        <v>40</v>
      </c>
      <c r="C238" s="119" t="s">
        <v>522</v>
      </c>
      <c r="D238" s="120" t="s">
        <v>70</v>
      </c>
      <c r="E238" s="121">
        <v>23561.176650000001</v>
      </c>
      <c r="F238" s="122">
        <v>8.4999999999999995E-4</v>
      </c>
      <c r="G238" s="121">
        <v>20.027000152500001</v>
      </c>
      <c r="H238" s="125"/>
      <c r="I238" s="125"/>
      <c r="J238" s="126"/>
      <c r="K238" s="126"/>
    </row>
    <row r="239" spans="1:11" ht="13.5" customHeight="1">
      <c r="A239" s="119" t="s">
        <v>488</v>
      </c>
      <c r="B239" s="119" t="s">
        <v>40</v>
      </c>
      <c r="C239" s="119" t="s">
        <v>523</v>
      </c>
      <c r="D239" s="120" t="s">
        <v>70</v>
      </c>
      <c r="E239" s="121">
        <v>7658.2344000000003</v>
      </c>
      <c r="F239" s="122">
        <v>4.4999999999999999E-4</v>
      </c>
      <c r="G239" s="121">
        <v>3.4462054800000002</v>
      </c>
      <c r="H239" s="125"/>
      <c r="I239" s="125"/>
      <c r="J239" s="126"/>
      <c r="K239" s="126"/>
    </row>
    <row r="240" spans="1:11" ht="13.5" customHeight="1">
      <c r="A240" s="119" t="s">
        <v>488</v>
      </c>
      <c r="B240" s="119" t="s">
        <v>40</v>
      </c>
      <c r="C240" s="119" t="s">
        <v>524</v>
      </c>
      <c r="D240" s="120" t="s">
        <v>70</v>
      </c>
      <c r="E240" s="121">
        <v>2663.6983200000004</v>
      </c>
      <c r="F240" s="122">
        <v>4.4999999999999999E-4</v>
      </c>
      <c r="G240" s="121">
        <v>1.1986642440000002</v>
      </c>
      <c r="H240" s="125"/>
      <c r="I240" s="125"/>
      <c r="J240" s="126"/>
      <c r="K240" s="126"/>
    </row>
    <row r="241" spans="1:11" ht="13.5" customHeight="1">
      <c r="A241" s="119" t="s">
        <v>488</v>
      </c>
      <c r="B241" s="119" t="s">
        <v>40</v>
      </c>
      <c r="C241" s="119" t="s">
        <v>525</v>
      </c>
      <c r="D241" s="120" t="s">
        <v>70</v>
      </c>
      <c r="E241" s="121">
        <v>37526.772780000007</v>
      </c>
      <c r="F241" s="122">
        <v>8.4999999999999995E-4</v>
      </c>
      <c r="G241" s="121">
        <v>31.897756863000005</v>
      </c>
      <c r="H241" s="125"/>
      <c r="I241" s="125"/>
      <c r="J241" s="126"/>
      <c r="K241" s="126"/>
    </row>
    <row r="242" spans="1:11" ht="13.5" customHeight="1">
      <c r="A242" s="119" t="s">
        <v>488</v>
      </c>
      <c r="B242" s="119" t="s">
        <v>40</v>
      </c>
      <c r="C242" s="119" t="s">
        <v>526</v>
      </c>
      <c r="D242" s="120" t="s">
        <v>70</v>
      </c>
      <c r="E242" s="121">
        <v>12393.15552</v>
      </c>
      <c r="F242" s="122">
        <v>4.4999999999999999E-4</v>
      </c>
      <c r="G242" s="121">
        <v>5.5769199839999999</v>
      </c>
      <c r="H242" s="125"/>
      <c r="I242" s="125"/>
      <c r="J242" s="126"/>
      <c r="K242" s="126"/>
    </row>
    <row r="243" spans="1:11" ht="13.5" customHeight="1">
      <c r="A243" s="119" t="s">
        <v>488</v>
      </c>
      <c r="B243" s="119" t="s">
        <v>40</v>
      </c>
      <c r="C243" s="119" t="s">
        <v>527</v>
      </c>
      <c r="D243" s="120" t="s">
        <v>70</v>
      </c>
      <c r="E243" s="121">
        <v>4283.6468400000003</v>
      </c>
      <c r="F243" s="122">
        <v>4.4999999999999999E-4</v>
      </c>
      <c r="G243" s="121">
        <v>1.9276410780000002</v>
      </c>
      <c r="H243" s="125"/>
      <c r="I243" s="125"/>
      <c r="J243" s="126"/>
      <c r="K243" s="126"/>
    </row>
    <row r="244" spans="1:11" ht="13.5" customHeight="1">
      <c r="A244" s="119" t="s">
        <v>488</v>
      </c>
      <c r="B244" s="119" t="s">
        <v>40</v>
      </c>
      <c r="C244" s="119" t="s">
        <v>528</v>
      </c>
      <c r="D244" s="120" t="s">
        <v>70</v>
      </c>
      <c r="E244" s="121">
        <v>4126</v>
      </c>
      <c r="F244" s="122">
        <v>1.4999999999999999E-4</v>
      </c>
      <c r="G244" s="121">
        <v>0.61889999999999989</v>
      </c>
      <c r="H244" s="125"/>
      <c r="I244" s="125"/>
      <c r="J244" s="126"/>
      <c r="K244" s="126"/>
    </row>
    <row r="245" spans="1:11" ht="13.5" customHeight="1">
      <c r="A245" s="119" t="s">
        <v>488</v>
      </c>
      <c r="B245" s="119" t="s">
        <v>40</v>
      </c>
      <c r="C245" s="119" t="s">
        <v>529</v>
      </c>
      <c r="D245" s="120" t="s">
        <v>70</v>
      </c>
      <c r="E245" s="121">
        <v>598.17240000000004</v>
      </c>
      <c r="F245" s="122">
        <v>8.9999999999999998E-4</v>
      </c>
      <c r="G245" s="121">
        <v>0.53835516000000005</v>
      </c>
      <c r="H245" s="125"/>
      <c r="I245" s="125"/>
      <c r="J245" s="126"/>
      <c r="K245" s="126"/>
    </row>
    <row r="246" spans="1:11" ht="13.5" customHeight="1">
      <c r="A246" s="119" t="s">
        <v>488</v>
      </c>
      <c r="B246" s="119" t="s">
        <v>40</v>
      </c>
      <c r="C246" s="119" t="s">
        <v>530</v>
      </c>
      <c r="D246" s="120" t="s">
        <v>70</v>
      </c>
      <c r="E246" s="121">
        <v>20975.737184400004</v>
      </c>
      <c r="F246" s="122">
        <v>8.9999999999999998E-4</v>
      </c>
      <c r="G246" s="121">
        <v>18.878163465960004</v>
      </c>
      <c r="H246" s="125">
        <f>SUM(G237:G246)</f>
        <v>99.818956487459999</v>
      </c>
      <c r="I246" s="125"/>
      <c r="J246" s="126"/>
      <c r="K246" s="126"/>
    </row>
    <row r="247" spans="1:11" s="117" customFormat="1" ht="13.5" customHeight="1">
      <c r="A247" s="127" t="s">
        <v>488</v>
      </c>
      <c r="B247" s="119" t="s">
        <v>40</v>
      </c>
      <c r="C247" s="127" t="s">
        <v>532</v>
      </c>
      <c r="D247" s="128" t="s">
        <v>70</v>
      </c>
      <c r="E247" s="129">
        <v>585.96480000000008</v>
      </c>
      <c r="F247" s="130">
        <v>8.9999999999999998E-4</v>
      </c>
      <c r="G247" s="129">
        <v>0.52736832000000011</v>
      </c>
      <c r="H247" s="125"/>
      <c r="I247" s="132">
        <v>0.52736832000000011</v>
      </c>
      <c r="J247" s="133"/>
      <c r="K247" s="133"/>
    </row>
    <row r="248" spans="1:11" s="117" customFormat="1" ht="13.5" customHeight="1">
      <c r="A248" s="127"/>
      <c r="B248" s="119"/>
      <c r="C248" s="127"/>
      <c r="D248" s="128"/>
      <c r="E248" s="129"/>
      <c r="F248" s="130"/>
      <c r="G248" s="129">
        <f>SUM(G237:G247)</f>
        <v>100.34632480745999</v>
      </c>
      <c r="H248" s="125"/>
      <c r="I248" s="125"/>
      <c r="J248" s="133"/>
      <c r="K248" s="133"/>
    </row>
    <row r="249" spans="1:11" ht="13.5" customHeight="1">
      <c r="A249" s="119" t="s">
        <v>490</v>
      </c>
      <c r="B249" s="119" t="s">
        <v>535</v>
      </c>
      <c r="C249" s="119" t="s">
        <v>521</v>
      </c>
      <c r="D249" s="120" t="s">
        <v>70</v>
      </c>
      <c r="E249" s="121">
        <v>2325.7644</v>
      </c>
      <c r="F249" s="122">
        <v>8.9999999999999998E-4</v>
      </c>
      <c r="G249" s="121">
        <v>2.0931879599999998</v>
      </c>
      <c r="H249" s="125"/>
      <c r="I249" s="125"/>
      <c r="J249" s="126"/>
      <c r="K249" s="126"/>
    </row>
    <row r="250" spans="1:11" ht="13.5" customHeight="1">
      <c r="A250" s="119" t="s">
        <v>490</v>
      </c>
      <c r="B250" s="119" t="s">
        <v>535</v>
      </c>
      <c r="C250" s="119" t="s">
        <v>522</v>
      </c>
      <c r="D250" s="120" t="s">
        <v>70</v>
      </c>
      <c r="E250" s="121">
        <v>3141.3087</v>
      </c>
      <c r="F250" s="122">
        <v>8.4999999999999995E-4</v>
      </c>
      <c r="G250" s="121">
        <v>2.6701123949999999</v>
      </c>
      <c r="H250" s="125"/>
      <c r="I250" s="125"/>
      <c r="J250" s="126"/>
      <c r="K250" s="126"/>
    </row>
    <row r="251" spans="1:11" ht="13.5" customHeight="1">
      <c r="A251" s="119" t="s">
        <v>490</v>
      </c>
      <c r="B251" s="119" t="s">
        <v>535</v>
      </c>
      <c r="C251" s="119" t="s">
        <v>523</v>
      </c>
      <c r="D251" s="120" t="s">
        <v>70</v>
      </c>
      <c r="E251" s="121">
        <v>1018.8578399999999</v>
      </c>
      <c r="F251" s="122">
        <v>4.4999999999999999E-4</v>
      </c>
      <c r="G251" s="121">
        <v>0.45848602799999993</v>
      </c>
      <c r="H251" s="125"/>
      <c r="I251" s="125"/>
      <c r="J251" s="126"/>
      <c r="K251" s="126"/>
    </row>
    <row r="252" spans="1:11" ht="13.5" customHeight="1">
      <c r="A252" s="119" t="s">
        <v>490</v>
      </c>
      <c r="B252" s="119" t="s">
        <v>535</v>
      </c>
      <c r="C252" s="119" t="s">
        <v>524</v>
      </c>
      <c r="D252" s="120" t="s">
        <v>70</v>
      </c>
      <c r="E252" s="121">
        <v>355.22615999999994</v>
      </c>
      <c r="F252" s="122">
        <v>4.4999999999999999E-4</v>
      </c>
      <c r="G252" s="121">
        <v>0.15985177199999998</v>
      </c>
      <c r="H252" s="125"/>
      <c r="I252" s="125"/>
      <c r="J252" s="126"/>
      <c r="K252" s="126"/>
    </row>
    <row r="253" spans="1:11" ht="13.5" customHeight="1">
      <c r="A253" s="119" t="s">
        <v>490</v>
      </c>
      <c r="B253" s="119" t="s">
        <v>535</v>
      </c>
      <c r="C253" s="119" t="s">
        <v>525</v>
      </c>
      <c r="D253" s="120" t="s">
        <v>70</v>
      </c>
      <c r="E253" s="121">
        <v>4997.0854799999997</v>
      </c>
      <c r="F253" s="122">
        <v>8.4999999999999995E-4</v>
      </c>
      <c r="G253" s="121">
        <v>4.2475226579999994</v>
      </c>
      <c r="H253" s="125"/>
      <c r="I253" s="125"/>
      <c r="J253" s="126"/>
      <c r="K253" s="126"/>
    </row>
    <row r="254" spans="1:11" ht="13.5" customHeight="1">
      <c r="A254" s="119" t="s">
        <v>490</v>
      </c>
      <c r="B254" s="119" t="s">
        <v>535</v>
      </c>
      <c r="C254" s="119" t="s">
        <v>526</v>
      </c>
      <c r="D254" s="120" t="s">
        <v>70</v>
      </c>
      <c r="E254" s="121">
        <v>1651.4454000000001</v>
      </c>
      <c r="F254" s="122">
        <v>4.4999999999999999E-4</v>
      </c>
      <c r="G254" s="121">
        <v>0.74315043000000003</v>
      </c>
      <c r="H254" s="125"/>
      <c r="I254" s="125"/>
      <c r="J254" s="126"/>
      <c r="K254" s="126"/>
    </row>
    <row r="255" spans="1:11" ht="13.5" customHeight="1">
      <c r="A255" s="119" t="s">
        <v>490</v>
      </c>
      <c r="B255" s="119" t="s">
        <v>535</v>
      </c>
      <c r="C255" s="119" t="s">
        <v>527</v>
      </c>
      <c r="D255" s="120" t="s">
        <v>70</v>
      </c>
      <c r="E255" s="121">
        <v>570.4993199999999</v>
      </c>
      <c r="F255" s="122">
        <v>4.4999999999999999E-4</v>
      </c>
      <c r="G255" s="121">
        <v>0.25672469399999992</v>
      </c>
      <c r="H255" s="125"/>
      <c r="I255" s="125"/>
      <c r="J255" s="126"/>
      <c r="K255" s="126"/>
    </row>
    <row r="256" spans="1:11" ht="13.5" customHeight="1">
      <c r="A256" s="119" t="s">
        <v>490</v>
      </c>
      <c r="B256" s="119" t="s">
        <v>535</v>
      </c>
      <c r="C256" s="119" t="s">
        <v>528</v>
      </c>
      <c r="D256" s="120" t="s">
        <v>70</v>
      </c>
      <c r="E256" s="121">
        <v>947</v>
      </c>
      <c r="F256" s="122">
        <v>1.4999999999999999E-4</v>
      </c>
      <c r="G256" s="121">
        <v>0.14204999999999998</v>
      </c>
      <c r="H256" s="125"/>
      <c r="I256" s="125"/>
      <c r="J256" s="126"/>
      <c r="K256" s="126"/>
    </row>
    <row r="257" spans="1:11" ht="13.5" customHeight="1">
      <c r="A257" s="119" t="s">
        <v>490</v>
      </c>
      <c r="B257" s="119" t="s">
        <v>535</v>
      </c>
      <c r="C257" s="119" t="s">
        <v>529</v>
      </c>
      <c r="D257" s="120" t="s">
        <v>70</v>
      </c>
      <c r="E257" s="121">
        <v>11132.625</v>
      </c>
      <c r="F257" s="122">
        <v>8.9999999999999998E-4</v>
      </c>
      <c r="G257" s="121">
        <v>10.0193625</v>
      </c>
      <c r="H257" s="125"/>
      <c r="I257" s="125"/>
      <c r="J257" s="126"/>
      <c r="K257" s="126"/>
    </row>
    <row r="258" spans="1:11" ht="13.5" customHeight="1">
      <c r="A258" s="119" t="s">
        <v>490</v>
      </c>
      <c r="B258" s="119" t="s">
        <v>535</v>
      </c>
      <c r="C258" s="119" t="s">
        <v>530</v>
      </c>
      <c r="D258" s="120" t="s">
        <v>70</v>
      </c>
      <c r="E258" s="121">
        <v>3494.7434616</v>
      </c>
      <c r="F258" s="122">
        <v>8.9999999999999998E-4</v>
      </c>
      <c r="G258" s="121">
        <v>3.1452691154400001</v>
      </c>
      <c r="H258" s="125">
        <f>SUM(G249:G258)</f>
        <v>23.93571755244</v>
      </c>
      <c r="I258" s="125"/>
      <c r="J258" s="126"/>
      <c r="K258" s="126"/>
    </row>
    <row r="259" spans="1:11" s="117" customFormat="1" ht="13.5" customHeight="1">
      <c r="A259" s="127" t="s">
        <v>490</v>
      </c>
      <c r="B259" s="119" t="s">
        <v>535</v>
      </c>
      <c r="C259" s="127" t="s">
        <v>532</v>
      </c>
      <c r="D259" s="128" t="s">
        <v>70</v>
      </c>
      <c r="E259" s="129">
        <v>10595.714400000001</v>
      </c>
      <c r="F259" s="130">
        <v>8.9999999999999998E-4</v>
      </c>
      <c r="G259" s="129">
        <v>9.5361429600000012</v>
      </c>
      <c r="H259" s="125"/>
      <c r="I259" s="132">
        <v>9.5361429600000012</v>
      </c>
      <c r="J259" s="133"/>
      <c r="K259" s="133"/>
    </row>
    <row r="260" spans="1:11" s="117" customFormat="1" ht="13.5" customHeight="1">
      <c r="A260" s="127"/>
      <c r="B260" s="119"/>
      <c r="C260" s="127"/>
      <c r="D260" s="128"/>
      <c r="E260" s="129"/>
      <c r="F260" s="130"/>
      <c r="G260" s="129">
        <f>SUM(G249:G259)</f>
        <v>33.471860512440003</v>
      </c>
      <c r="H260" s="125"/>
      <c r="I260" s="125"/>
      <c r="J260" s="133"/>
      <c r="K260" s="133"/>
    </row>
    <row r="261" spans="1:11" ht="13.5" customHeight="1">
      <c r="A261" s="119" t="s">
        <v>492</v>
      </c>
      <c r="B261" s="119" t="s">
        <v>536</v>
      </c>
      <c r="C261" s="119" t="s">
        <v>521</v>
      </c>
      <c r="D261" s="120" t="s">
        <v>70</v>
      </c>
      <c r="E261" s="121">
        <v>13319.4879</v>
      </c>
      <c r="F261" s="122">
        <v>8.9999999999999998E-4</v>
      </c>
      <c r="G261" s="121">
        <v>11.98753911</v>
      </c>
      <c r="H261" s="125"/>
      <c r="I261" s="125"/>
      <c r="J261" s="126"/>
      <c r="K261" s="126"/>
    </row>
    <row r="262" spans="1:11" ht="13.5" customHeight="1">
      <c r="A262" s="119" t="s">
        <v>492</v>
      </c>
      <c r="B262" s="119" t="s">
        <v>536</v>
      </c>
      <c r="C262" s="119" t="s">
        <v>522</v>
      </c>
      <c r="D262" s="120" t="s">
        <v>70</v>
      </c>
      <c r="E262" s="121">
        <v>17982.018100000001</v>
      </c>
      <c r="F262" s="122">
        <v>8.4999999999999995E-4</v>
      </c>
      <c r="G262" s="121">
        <v>15.284715385</v>
      </c>
      <c r="H262" s="125"/>
      <c r="I262" s="125"/>
      <c r="J262" s="126"/>
      <c r="K262" s="126"/>
    </row>
    <row r="263" spans="1:11" ht="13.5" customHeight="1">
      <c r="A263" s="119" t="s">
        <v>492</v>
      </c>
      <c r="B263" s="119" t="s">
        <v>536</v>
      </c>
      <c r="C263" s="119" t="s">
        <v>523</v>
      </c>
      <c r="D263" s="120" t="s">
        <v>70</v>
      </c>
      <c r="E263" s="121">
        <v>5845.2508799999996</v>
      </c>
      <c r="F263" s="122">
        <v>4.4999999999999999E-4</v>
      </c>
      <c r="G263" s="121">
        <v>2.6303628959999998</v>
      </c>
      <c r="H263" s="125"/>
      <c r="I263" s="125"/>
      <c r="J263" s="126"/>
      <c r="K263" s="126"/>
    </row>
    <row r="264" spans="1:11" ht="13.5" customHeight="1">
      <c r="A264" s="119" t="s">
        <v>492</v>
      </c>
      <c r="B264" s="119" t="s">
        <v>536</v>
      </c>
      <c r="C264" s="119" t="s">
        <v>524</v>
      </c>
      <c r="D264" s="120" t="s">
        <v>70</v>
      </c>
      <c r="E264" s="121">
        <v>2034.28944</v>
      </c>
      <c r="F264" s="122">
        <v>4.4999999999999999E-4</v>
      </c>
      <c r="G264" s="121">
        <v>0.91543024799999995</v>
      </c>
      <c r="H264" s="125"/>
      <c r="I264" s="125"/>
      <c r="J264" s="126"/>
      <c r="K264" s="126"/>
    </row>
    <row r="265" spans="1:11" ht="13.5" customHeight="1">
      <c r="A265" s="119" t="s">
        <v>492</v>
      </c>
      <c r="B265" s="119" t="s">
        <v>536</v>
      </c>
      <c r="C265" s="119" t="s">
        <v>525</v>
      </c>
      <c r="D265" s="120" t="s">
        <v>70</v>
      </c>
      <c r="E265" s="121">
        <v>28638.47208</v>
      </c>
      <c r="F265" s="122">
        <v>8.4999999999999995E-4</v>
      </c>
      <c r="G265" s="121">
        <v>24.342701267999999</v>
      </c>
      <c r="H265" s="125"/>
      <c r="I265" s="125"/>
      <c r="J265" s="126"/>
      <c r="K265" s="126"/>
    </row>
    <row r="266" spans="1:11" ht="13.5" customHeight="1">
      <c r="A266" s="119" t="s">
        <v>492</v>
      </c>
      <c r="B266" s="119" t="s">
        <v>536</v>
      </c>
      <c r="C266" s="119" t="s">
        <v>526</v>
      </c>
      <c r="D266" s="120" t="s">
        <v>70</v>
      </c>
      <c r="E266" s="121">
        <v>9455.3496799999994</v>
      </c>
      <c r="F266" s="122">
        <v>4.4999999999999999E-4</v>
      </c>
      <c r="G266" s="121">
        <v>4.2549073559999995</v>
      </c>
      <c r="H266" s="125"/>
      <c r="I266" s="125"/>
      <c r="J266" s="126"/>
      <c r="K266" s="126"/>
    </row>
    <row r="267" spans="1:11" ht="13.5" customHeight="1">
      <c r="A267" s="119" t="s">
        <v>492</v>
      </c>
      <c r="B267" s="119" t="s">
        <v>536</v>
      </c>
      <c r="C267" s="119" t="s">
        <v>527</v>
      </c>
      <c r="D267" s="120" t="s">
        <v>70</v>
      </c>
      <c r="E267" s="121">
        <v>3269.0764799999997</v>
      </c>
      <c r="F267" s="122">
        <v>4.4999999999999999E-4</v>
      </c>
      <c r="G267" s="121">
        <v>1.4710844159999998</v>
      </c>
      <c r="H267" s="125"/>
      <c r="I267" s="125"/>
      <c r="J267" s="126"/>
      <c r="K267" s="126"/>
    </row>
    <row r="268" spans="1:11" ht="13.5" customHeight="1">
      <c r="A268" s="119" t="s">
        <v>492</v>
      </c>
      <c r="B268" s="119" t="s">
        <v>536</v>
      </c>
      <c r="C268" s="119" t="s">
        <v>528</v>
      </c>
      <c r="D268" s="120" t="s">
        <v>70</v>
      </c>
      <c r="E268" s="121">
        <v>5533</v>
      </c>
      <c r="F268" s="122">
        <v>1.4999999999999999E-4</v>
      </c>
      <c r="G268" s="121">
        <v>0.82994999999999997</v>
      </c>
      <c r="H268" s="125"/>
      <c r="I268" s="125"/>
      <c r="J268" s="126"/>
      <c r="K268" s="126"/>
    </row>
    <row r="269" spans="1:11" ht="13.5" customHeight="1">
      <c r="A269" s="119" t="s">
        <v>492</v>
      </c>
      <c r="B269" s="119" t="s">
        <v>536</v>
      </c>
      <c r="C269" s="119" t="s">
        <v>529</v>
      </c>
      <c r="D269" s="120" t="s">
        <v>70</v>
      </c>
      <c r="E269" s="121">
        <v>1468.222</v>
      </c>
      <c r="F269" s="122">
        <v>8.9999999999999998E-4</v>
      </c>
      <c r="G269" s="121">
        <v>1.3213998</v>
      </c>
      <c r="H269" s="125"/>
      <c r="I269" s="125"/>
      <c r="J269" s="126"/>
      <c r="K269" s="126"/>
    </row>
    <row r="270" spans="1:11" ht="13.5" customHeight="1">
      <c r="A270" s="119" t="s">
        <v>492</v>
      </c>
      <c r="B270" s="119" t="s">
        <v>536</v>
      </c>
      <c r="C270" s="119" t="s">
        <v>530</v>
      </c>
      <c r="D270" s="120" t="s">
        <v>70</v>
      </c>
      <c r="E270" s="121">
        <v>19414.173658399999</v>
      </c>
      <c r="F270" s="122">
        <v>8.9999999999999998E-4</v>
      </c>
      <c r="G270" s="121">
        <v>17.47275629256</v>
      </c>
      <c r="H270" s="125">
        <f>SUM(G261:G270)</f>
        <v>80.510846771559983</v>
      </c>
      <c r="I270" s="125"/>
      <c r="J270" s="126"/>
      <c r="K270" s="126"/>
    </row>
    <row r="271" spans="1:11" s="117" customFormat="1" ht="13.5" customHeight="1">
      <c r="A271" s="127" t="s">
        <v>492</v>
      </c>
      <c r="B271" s="119" t="s">
        <v>536</v>
      </c>
      <c r="C271" s="127" t="s">
        <v>532</v>
      </c>
      <c r="D271" s="128" t="s">
        <v>70</v>
      </c>
      <c r="E271" s="129">
        <v>1406.5319999999999</v>
      </c>
      <c r="F271" s="130">
        <v>8.9999999999999998E-4</v>
      </c>
      <c r="G271" s="129">
        <v>1.2658787999999999</v>
      </c>
      <c r="H271" s="125"/>
      <c r="I271" s="132">
        <v>1.2658787999999999</v>
      </c>
      <c r="J271" s="133"/>
      <c r="K271" s="133"/>
    </row>
    <row r="272" spans="1:11" s="117" customFormat="1" ht="13.5" customHeight="1">
      <c r="A272" s="127"/>
      <c r="B272" s="119"/>
      <c r="C272" s="127"/>
      <c r="D272" s="128"/>
      <c r="E272" s="129"/>
      <c r="F272" s="130"/>
      <c r="G272" s="129">
        <f>SUM(G261:G271)</f>
        <v>81.776725571559979</v>
      </c>
      <c r="H272" s="125"/>
      <c r="I272" s="125"/>
      <c r="J272" s="133"/>
      <c r="K272" s="133"/>
    </row>
    <row r="273" spans="1:11" ht="13.5" customHeight="1">
      <c r="A273" s="119" t="s">
        <v>494</v>
      </c>
      <c r="B273" s="119" t="s">
        <v>537</v>
      </c>
      <c r="C273" s="119" t="s">
        <v>521</v>
      </c>
      <c r="D273" s="120" t="s">
        <v>70</v>
      </c>
      <c r="E273" s="121">
        <v>4201.7460000000001</v>
      </c>
      <c r="F273" s="122">
        <v>8.9999999999999998E-4</v>
      </c>
      <c r="G273" s="121">
        <v>3.7815713999999998</v>
      </c>
      <c r="H273" s="125"/>
      <c r="I273" s="125"/>
      <c r="J273" s="126"/>
      <c r="K273" s="126"/>
    </row>
    <row r="274" spans="1:11" ht="13.5" customHeight="1">
      <c r="A274" s="119" t="s">
        <v>494</v>
      </c>
      <c r="B274" s="119" t="s">
        <v>537</v>
      </c>
      <c r="C274" s="119" t="s">
        <v>522</v>
      </c>
      <c r="D274" s="120" t="s">
        <v>70</v>
      </c>
      <c r="E274" s="121">
        <v>5671.5220000000008</v>
      </c>
      <c r="F274" s="122">
        <v>8.4999999999999995E-4</v>
      </c>
      <c r="G274" s="121">
        <v>4.8207937000000003</v>
      </c>
      <c r="H274" s="125"/>
      <c r="I274" s="125"/>
      <c r="J274" s="126"/>
      <c r="K274" s="126"/>
    </row>
    <row r="275" spans="1:11" ht="13.5" customHeight="1">
      <c r="A275" s="119" t="s">
        <v>494</v>
      </c>
      <c r="B275" s="119" t="s">
        <v>537</v>
      </c>
      <c r="C275" s="119" t="s">
        <v>523</v>
      </c>
      <c r="D275" s="120" t="s">
        <v>70</v>
      </c>
      <c r="E275" s="121">
        <v>1843.9007999999999</v>
      </c>
      <c r="F275" s="122">
        <v>4.4999999999999999E-4</v>
      </c>
      <c r="G275" s="121">
        <v>0.82975535999999994</v>
      </c>
      <c r="H275" s="125"/>
      <c r="I275" s="125"/>
      <c r="J275" s="126"/>
      <c r="K275" s="126"/>
    </row>
    <row r="276" spans="1:11" ht="13.5" customHeight="1">
      <c r="A276" s="119" t="s">
        <v>494</v>
      </c>
      <c r="B276" s="119" t="s">
        <v>537</v>
      </c>
      <c r="C276" s="119" t="s">
        <v>524</v>
      </c>
      <c r="D276" s="120" t="s">
        <v>70</v>
      </c>
      <c r="E276" s="121">
        <v>642.3112000000001</v>
      </c>
      <c r="F276" s="122">
        <v>4.4999999999999999E-4</v>
      </c>
      <c r="G276" s="121">
        <v>0.28904004000000005</v>
      </c>
      <c r="H276" s="125"/>
      <c r="I276" s="125"/>
      <c r="J276" s="126"/>
      <c r="K276" s="126"/>
    </row>
    <row r="277" spans="1:11" ht="13.5" customHeight="1">
      <c r="A277" s="119" t="s">
        <v>494</v>
      </c>
      <c r="B277" s="119" t="s">
        <v>537</v>
      </c>
      <c r="C277" s="119" t="s">
        <v>525</v>
      </c>
      <c r="D277" s="120" t="s">
        <v>70</v>
      </c>
      <c r="E277" s="121">
        <v>9034.1118000000006</v>
      </c>
      <c r="F277" s="122">
        <v>8.4999999999999995E-4</v>
      </c>
      <c r="G277" s="121">
        <v>7.6789950300000003</v>
      </c>
      <c r="H277" s="125"/>
      <c r="I277" s="125"/>
      <c r="J277" s="126"/>
      <c r="K277" s="126"/>
    </row>
    <row r="278" spans="1:11" ht="13.5" customHeight="1">
      <c r="A278" s="119" t="s">
        <v>494</v>
      </c>
      <c r="B278" s="119" t="s">
        <v>537</v>
      </c>
      <c r="C278" s="119" t="s">
        <v>526</v>
      </c>
      <c r="D278" s="120" t="s">
        <v>70</v>
      </c>
      <c r="E278" s="121">
        <v>2982.9772000000003</v>
      </c>
      <c r="F278" s="122">
        <v>4.4999999999999999E-4</v>
      </c>
      <c r="G278" s="121">
        <v>1.3423397400000001</v>
      </c>
      <c r="H278" s="125"/>
      <c r="I278" s="125"/>
      <c r="J278" s="126"/>
      <c r="K278" s="126"/>
    </row>
    <row r="279" spans="1:11" ht="13.5" customHeight="1">
      <c r="A279" s="119" t="s">
        <v>494</v>
      </c>
      <c r="B279" s="119" t="s">
        <v>537</v>
      </c>
      <c r="C279" s="119" t="s">
        <v>527</v>
      </c>
      <c r="D279" s="120" t="s">
        <v>70</v>
      </c>
      <c r="E279" s="121">
        <v>1029.7975999999999</v>
      </c>
      <c r="F279" s="122">
        <v>4.4999999999999999E-4</v>
      </c>
      <c r="G279" s="121">
        <v>0.46340891999999995</v>
      </c>
      <c r="H279" s="125"/>
      <c r="I279" s="125"/>
      <c r="J279" s="126"/>
      <c r="K279" s="126"/>
    </row>
    <row r="280" spans="1:11" ht="13.5" customHeight="1">
      <c r="A280" s="119" t="s">
        <v>494</v>
      </c>
      <c r="B280" s="119" t="s">
        <v>537</v>
      </c>
      <c r="C280" s="119" t="s">
        <v>528</v>
      </c>
      <c r="D280" s="120" t="s">
        <v>70</v>
      </c>
      <c r="E280" s="121">
        <v>1827</v>
      </c>
      <c r="F280" s="122">
        <v>1.4999999999999999E-4</v>
      </c>
      <c r="G280" s="121">
        <v>0.27404999999999996</v>
      </c>
      <c r="H280" s="125"/>
      <c r="I280" s="125"/>
      <c r="J280" s="126"/>
      <c r="K280" s="126"/>
    </row>
    <row r="281" spans="1:11" ht="13.5" customHeight="1">
      <c r="A281" s="119" t="s">
        <v>494</v>
      </c>
      <c r="B281" s="119" t="s">
        <v>537</v>
      </c>
      <c r="C281" s="119" t="s">
        <v>529</v>
      </c>
      <c r="D281" s="120" t="s">
        <v>70</v>
      </c>
      <c r="E281" s="121">
        <v>3549.1750000000002</v>
      </c>
      <c r="F281" s="122">
        <v>8.9999999999999998E-4</v>
      </c>
      <c r="G281" s="121">
        <v>3.1942575</v>
      </c>
      <c r="H281" s="125"/>
      <c r="I281" s="125"/>
      <c r="J281" s="126"/>
      <c r="K281" s="126"/>
    </row>
    <row r="282" spans="1:11" ht="13.5" customHeight="1">
      <c r="A282" s="119" t="s">
        <v>494</v>
      </c>
      <c r="B282" s="119" t="s">
        <v>537</v>
      </c>
      <c r="C282" s="119" t="s">
        <v>530</v>
      </c>
      <c r="D282" s="120" t="s">
        <v>70</v>
      </c>
      <c r="E282" s="121">
        <v>5921.889752000001</v>
      </c>
      <c r="F282" s="122">
        <v>8.9999999999999998E-4</v>
      </c>
      <c r="G282" s="121">
        <v>5.3297007768000011</v>
      </c>
      <c r="H282" s="125">
        <f>SUM(G273:G282)</f>
        <v>28.003912466799996</v>
      </c>
      <c r="I282" s="125"/>
      <c r="J282" s="126"/>
      <c r="K282" s="126"/>
    </row>
    <row r="283" spans="1:11" s="117" customFormat="1" ht="13.5" customHeight="1">
      <c r="A283" s="127" t="s">
        <v>494</v>
      </c>
      <c r="B283" s="119" t="s">
        <v>537</v>
      </c>
      <c r="C283" s="127" t="s">
        <v>532</v>
      </c>
      <c r="D283" s="128" t="s">
        <v>70</v>
      </c>
      <c r="E283" s="129">
        <v>3392.8920000000003</v>
      </c>
      <c r="F283" s="130">
        <v>8.9999999999999998E-4</v>
      </c>
      <c r="G283" s="129">
        <v>3.0536028000000002</v>
      </c>
      <c r="H283" s="125"/>
      <c r="I283" s="132">
        <v>3.0536028000000002</v>
      </c>
      <c r="J283" s="133"/>
      <c r="K283" s="133"/>
    </row>
    <row r="284" spans="1:11" s="117" customFormat="1" ht="13.5" customHeight="1">
      <c r="A284" s="127"/>
      <c r="B284" s="119"/>
      <c r="C284" s="127"/>
      <c r="D284" s="128"/>
      <c r="E284" s="129"/>
      <c r="F284" s="130"/>
      <c r="G284" s="129">
        <f>SUM(G273:G283)</f>
        <v>31.057515266799996</v>
      </c>
      <c r="H284" s="125"/>
      <c r="I284" s="125"/>
      <c r="J284" s="133"/>
      <c r="K284" s="133"/>
    </row>
    <row r="285" spans="1:11" ht="13.5" customHeight="1">
      <c r="A285" s="119" t="s">
        <v>496</v>
      </c>
      <c r="B285" s="119" t="s">
        <v>538</v>
      </c>
      <c r="C285" s="119" t="s">
        <v>521</v>
      </c>
      <c r="D285" s="120" t="s">
        <v>70</v>
      </c>
      <c r="E285" s="121">
        <v>22287.3235776</v>
      </c>
      <c r="F285" s="122">
        <v>8.9999999999999998E-4</v>
      </c>
      <c r="G285" s="121">
        <v>20.05859121984</v>
      </c>
      <c r="H285" s="125"/>
      <c r="I285" s="125"/>
      <c r="J285" s="126"/>
      <c r="K285" s="126"/>
    </row>
    <row r="286" spans="1:11" ht="13.5" customHeight="1">
      <c r="A286" s="119" t="s">
        <v>496</v>
      </c>
      <c r="B286" s="119" t="s">
        <v>538</v>
      </c>
      <c r="C286" s="119" t="s">
        <v>522</v>
      </c>
      <c r="D286" s="120" t="s">
        <v>70</v>
      </c>
      <c r="E286" s="121">
        <v>12512.616652799999</v>
      </c>
      <c r="F286" s="122">
        <v>8.4999999999999995E-4</v>
      </c>
      <c r="G286" s="121">
        <v>10.635724154879998</v>
      </c>
      <c r="H286" s="125"/>
      <c r="I286" s="125"/>
      <c r="J286" s="126"/>
      <c r="K286" s="126"/>
    </row>
    <row r="287" spans="1:11" ht="13.5" customHeight="1">
      <c r="A287" s="119" t="s">
        <v>496</v>
      </c>
      <c r="B287" s="119" t="s">
        <v>538</v>
      </c>
      <c r="C287" s="119" t="s">
        <v>523</v>
      </c>
      <c r="D287" s="120" t="s">
        <v>70</v>
      </c>
      <c r="E287" s="121">
        <v>4015.0307520000001</v>
      </c>
      <c r="F287" s="122">
        <v>4.4999999999999999E-4</v>
      </c>
      <c r="G287" s="121">
        <v>1.8067638384</v>
      </c>
      <c r="H287" s="125"/>
      <c r="I287" s="125"/>
      <c r="J287" s="126"/>
      <c r="K287" s="126"/>
    </row>
    <row r="288" spans="1:11" ht="13.5" customHeight="1">
      <c r="A288" s="119" t="s">
        <v>496</v>
      </c>
      <c r="B288" s="119" t="s">
        <v>538</v>
      </c>
      <c r="C288" s="119" t="s">
        <v>524</v>
      </c>
      <c r="D288" s="120" t="s">
        <v>70</v>
      </c>
      <c r="E288" s="121">
        <v>1338.7729536000002</v>
      </c>
      <c r="F288" s="122">
        <v>4.4999999999999999E-4</v>
      </c>
      <c r="G288" s="121">
        <v>0.60244782912000006</v>
      </c>
      <c r="H288" s="125"/>
      <c r="I288" s="125"/>
      <c r="J288" s="126"/>
      <c r="K288" s="126"/>
    </row>
    <row r="289" spans="1:11" ht="13.5" customHeight="1">
      <c r="A289" s="119" t="s">
        <v>496</v>
      </c>
      <c r="B289" s="119" t="s">
        <v>538</v>
      </c>
      <c r="C289" s="119" t="s">
        <v>525</v>
      </c>
      <c r="D289" s="120" t="s">
        <v>70</v>
      </c>
      <c r="E289" s="121">
        <v>20360.609395200001</v>
      </c>
      <c r="F289" s="122">
        <v>8.4999999999999995E-4</v>
      </c>
      <c r="G289" s="121">
        <v>17.306517985919999</v>
      </c>
      <c r="H289" s="125"/>
      <c r="I289" s="125"/>
      <c r="J289" s="126"/>
      <c r="K289" s="126"/>
    </row>
    <row r="290" spans="1:11" ht="13.5" customHeight="1">
      <c r="A290" s="119" t="s">
        <v>496</v>
      </c>
      <c r="B290" s="119" t="s">
        <v>538</v>
      </c>
      <c r="C290" s="119" t="s">
        <v>526</v>
      </c>
      <c r="D290" s="120" t="s">
        <v>70</v>
      </c>
      <c r="E290" s="121">
        <v>6526.9709567999998</v>
      </c>
      <c r="F290" s="122">
        <v>4.4999999999999999E-4</v>
      </c>
      <c r="G290" s="121">
        <v>2.9371369305599999</v>
      </c>
      <c r="H290" s="125"/>
      <c r="I290" s="125"/>
      <c r="J290" s="126"/>
      <c r="K290" s="126"/>
    </row>
    <row r="291" spans="1:11" ht="13.5" customHeight="1">
      <c r="A291" s="119" t="s">
        <v>496</v>
      </c>
      <c r="B291" s="119" t="s">
        <v>538</v>
      </c>
      <c r="C291" s="119" t="s">
        <v>527</v>
      </c>
      <c r="D291" s="120" t="s">
        <v>70</v>
      </c>
      <c r="E291" s="121">
        <v>2176.6565375999999</v>
      </c>
      <c r="F291" s="122">
        <v>4.4999999999999999E-4</v>
      </c>
      <c r="G291" s="121">
        <v>0.97949544191999993</v>
      </c>
      <c r="H291" s="125"/>
      <c r="I291" s="125"/>
      <c r="J291" s="126"/>
      <c r="K291" s="126"/>
    </row>
    <row r="292" spans="1:11" ht="13.5" customHeight="1">
      <c r="A292" s="119" t="s">
        <v>496</v>
      </c>
      <c r="B292" s="119" t="s">
        <v>538</v>
      </c>
      <c r="C292" s="119" t="s">
        <v>528</v>
      </c>
      <c r="D292" s="120" t="s">
        <v>70</v>
      </c>
      <c r="E292" s="121">
        <v>10163.751910000001</v>
      </c>
      <c r="F292" s="122">
        <v>1.4999999999999999E-4</v>
      </c>
      <c r="G292" s="121">
        <v>1.5245627865</v>
      </c>
      <c r="H292" s="125"/>
      <c r="I292" s="125"/>
      <c r="J292" s="126"/>
      <c r="K292" s="126"/>
    </row>
    <row r="293" spans="1:11" ht="13.5" customHeight="1">
      <c r="A293" s="119" t="s">
        <v>496</v>
      </c>
      <c r="B293" s="119" t="s">
        <v>538</v>
      </c>
      <c r="C293" s="119" t="s">
        <v>529</v>
      </c>
      <c r="D293" s="120" t="s">
        <v>70</v>
      </c>
      <c r="E293" s="121">
        <v>381.94778880000001</v>
      </c>
      <c r="F293" s="122">
        <v>8.9999999999999998E-4</v>
      </c>
      <c r="G293" s="121">
        <v>0.34375300992000002</v>
      </c>
      <c r="H293" s="125"/>
      <c r="I293" s="125"/>
      <c r="J293" s="126"/>
      <c r="K293" s="126"/>
    </row>
    <row r="294" spans="1:11" ht="13.5" customHeight="1">
      <c r="A294" s="119" t="s">
        <v>496</v>
      </c>
      <c r="B294" s="119" t="s">
        <v>538</v>
      </c>
      <c r="C294" s="119" t="s">
        <v>530</v>
      </c>
      <c r="D294" s="120" t="s">
        <v>70</v>
      </c>
      <c r="E294" s="121">
        <v>2221.9909631999999</v>
      </c>
      <c r="F294" s="122">
        <v>8.9999999999999998E-4</v>
      </c>
      <c r="G294" s="121">
        <v>1.9997918668799999</v>
      </c>
      <c r="H294" s="125">
        <f>SUM(G285:G294)</f>
        <v>58.194785063940003</v>
      </c>
      <c r="I294" s="125"/>
      <c r="J294" s="126"/>
      <c r="K294" s="126"/>
    </row>
    <row r="295" spans="1:11" s="117" customFormat="1" ht="13.5" customHeight="1">
      <c r="A295" s="127" t="s">
        <v>496</v>
      </c>
      <c r="B295" s="119" t="s">
        <v>538</v>
      </c>
      <c r="C295" s="127" t="s">
        <v>532</v>
      </c>
      <c r="D295" s="128" t="s">
        <v>70</v>
      </c>
      <c r="E295" s="129">
        <v>215.88353280000001</v>
      </c>
      <c r="F295" s="130">
        <v>8.9999999999999998E-4</v>
      </c>
      <c r="G295" s="129">
        <v>0.19429517952</v>
      </c>
      <c r="H295" s="125"/>
      <c r="I295" s="132">
        <v>0.19429517952</v>
      </c>
      <c r="J295" s="133"/>
      <c r="K295" s="133"/>
    </row>
    <row r="296" spans="1:11" s="117" customFormat="1" ht="13.5" customHeight="1">
      <c r="A296" s="127"/>
      <c r="B296" s="119"/>
      <c r="C296" s="127"/>
      <c r="D296" s="128"/>
      <c r="E296" s="129"/>
      <c r="F296" s="130"/>
      <c r="G296" s="129">
        <f>SUM(G285:G295)</f>
        <v>58.38908024346</v>
      </c>
      <c r="H296" s="125"/>
      <c r="I296" s="125"/>
      <c r="J296" s="133"/>
      <c r="K296" s="133"/>
    </row>
    <row r="297" spans="1:11" ht="13.5" customHeight="1">
      <c r="A297" s="119" t="s">
        <v>498</v>
      </c>
      <c r="B297" s="119" t="s">
        <v>539</v>
      </c>
      <c r="C297" s="119" t="s">
        <v>521</v>
      </c>
      <c r="D297" s="120" t="s">
        <v>70</v>
      </c>
      <c r="E297" s="121">
        <v>43.040471800000006</v>
      </c>
      <c r="F297" s="122">
        <v>8.9999999999999998E-4</v>
      </c>
      <c r="G297" s="121">
        <v>3.8736424620000001E-2</v>
      </c>
      <c r="H297" s="125"/>
      <c r="I297" s="125"/>
      <c r="J297" s="126"/>
      <c r="K297" s="126"/>
    </row>
    <row r="298" spans="1:11" ht="13.5" customHeight="1">
      <c r="A298" s="119" t="s">
        <v>498</v>
      </c>
      <c r="B298" s="119" t="s">
        <v>539</v>
      </c>
      <c r="C298" s="119" t="s">
        <v>522</v>
      </c>
      <c r="D298" s="120" t="s">
        <v>70</v>
      </c>
      <c r="E298" s="121">
        <v>117.34500840000001</v>
      </c>
      <c r="F298" s="122">
        <v>8.4999999999999995E-4</v>
      </c>
      <c r="G298" s="121">
        <v>9.974325714E-2</v>
      </c>
      <c r="H298" s="125"/>
      <c r="I298" s="125"/>
      <c r="J298" s="126"/>
      <c r="K298" s="126"/>
    </row>
    <row r="299" spans="1:11" ht="13.5" customHeight="1">
      <c r="A299" s="119" t="s">
        <v>498</v>
      </c>
      <c r="B299" s="119" t="s">
        <v>539</v>
      </c>
      <c r="C299" s="119" t="s">
        <v>523</v>
      </c>
      <c r="D299" s="120" t="s">
        <v>70</v>
      </c>
      <c r="E299" s="121">
        <v>39.913030600000006</v>
      </c>
      <c r="F299" s="122">
        <v>4.4999999999999999E-4</v>
      </c>
      <c r="G299" s="121">
        <v>1.7960863770000002E-2</v>
      </c>
      <c r="H299" s="125"/>
      <c r="I299" s="125"/>
      <c r="J299" s="126"/>
      <c r="K299" s="126"/>
    </row>
    <row r="300" spans="1:11" ht="13.5" customHeight="1">
      <c r="A300" s="119" t="s">
        <v>498</v>
      </c>
      <c r="B300" s="119" t="s">
        <v>539</v>
      </c>
      <c r="C300" s="119" t="s">
        <v>524</v>
      </c>
      <c r="D300" s="120" t="s">
        <v>70</v>
      </c>
      <c r="E300" s="121">
        <v>12.178654400000001</v>
      </c>
      <c r="F300" s="122">
        <v>4.4999999999999999E-4</v>
      </c>
      <c r="G300" s="121">
        <v>5.4803944800000002E-3</v>
      </c>
      <c r="H300" s="125"/>
      <c r="I300" s="125"/>
      <c r="J300" s="126"/>
      <c r="K300" s="126"/>
    </row>
    <row r="301" spans="1:11" ht="13.5" customHeight="1">
      <c r="A301" s="119" t="s">
        <v>498</v>
      </c>
      <c r="B301" s="119" t="s">
        <v>539</v>
      </c>
      <c r="C301" s="119" t="s">
        <v>525</v>
      </c>
      <c r="D301" s="120" t="s">
        <v>70</v>
      </c>
      <c r="E301" s="121">
        <v>363.05738000000002</v>
      </c>
      <c r="F301" s="122">
        <v>8.4999999999999995E-4</v>
      </c>
      <c r="G301" s="121">
        <v>0.30859877299999999</v>
      </c>
      <c r="H301" s="125"/>
      <c r="I301" s="125"/>
      <c r="J301" s="126"/>
      <c r="K301" s="126"/>
    </row>
    <row r="302" spans="1:11" ht="13.5" customHeight="1">
      <c r="A302" s="119" t="s">
        <v>498</v>
      </c>
      <c r="B302" s="119" t="s">
        <v>539</v>
      </c>
      <c r="C302" s="119" t="s">
        <v>526</v>
      </c>
      <c r="D302" s="120" t="s">
        <v>70</v>
      </c>
      <c r="E302" s="121">
        <v>113.870936</v>
      </c>
      <c r="F302" s="122">
        <v>4.4999999999999999E-4</v>
      </c>
      <c r="G302" s="121">
        <v>5.1241921199999999E-2</v>
      </c>
      <c r="H302" s="125"/>
      <c r="I302" s="125"/>
      <c r="J302" s="126"/>
      <c r="K302" s="126"/>
    </row>
    <row r="303" spans="1:11" ht="13.5" customHeight="1">
      <c r="A303" s="119" t="s">
        <v>498</v>
      </c>
      <c r="B303" s="119" t="s">
        <v>539</v>
      </c>
      <c r="C303" s="119" t="s">
        <v>527</v>
      </c>
      <c r="D303" s="120" t="s">
        <v>70</v>
      </c>
      <c r="E303" s="121">
        <v>38.574361600000003</v>
      </c>
      <c r="F303" s="122">
        <v>4.4999999999999999E-4</v>
      </c>
      <c r="G303" s="121">
        <v>1.7358462720000002E-2</v>
      </c>
      <c r="H303" s="125"/>
      <c r="I303" s="125"/>
      <c r="J303" s="126"/>
      <c r="K303" s="126"/>
    </row>
    <row r="304" spans="1:11" ht="13.5" customHeight="1">
      <c r="A304" s="119" t="s">
        <v>498</v>
      </c>
      <c r="B304" s="119" t="s">
        <v>539</v>
      </c>
      <c r="C304" s="119" t="s">
        <v>528</v>
      </c>
      <c r="D304" s="120" t="s">
        <v>70</v>
      </c>
      <c r="E304" s="121">
        <v>146.79817</v>
      </c>
      <c r="F304" s="122">
        <v>1.4999999999999999E-4</v>
      </c>
      <c r="G304" s="121">
        <v>2.2019725499999997E-2</v>
      </c>
      <c r="H304" s="125"/>
      <c r="I304" s="125"/>
      <c r="J304" s="126"/>
      <c r="K304" s="126"/>
    </row>
    <row r="305" spans="1:11" ht="13.5" customHeight="1">
      <c r="A305" s="119" t="s">
        <v>498</v>
      </c>
      <c r="B305" s="119" t="s">
        <v>539</v>
      </c>
      <c r="C305" s="119" t="s">
        <v>529</v>
      </c>
      <c r="D305" s="120" t="s">
        <v>70</v>
      </c>
      <c r="E305" s="121">
        <v>3689.6977008000003</v>
      </c>
      <c r="F305" s="122">
        <v>8.9999999999999998E-4</v>
      </c>
      <c r="G305" s="121">
        <v>3.3207279307200004</v>
      </c>
      <c r="H305" s="125"/>
      <c r="I305" s="125"/>
      <c r="J305" s="126"/>
      <c r="K305" s="126"/>
    </row>
    <row r="306" spans="1:11" ht="13.5" customHeight="1">
      <c r="A306" s="119" t="s">
        <v>498</v>
      </c>
      <c r="B306" s="119" t="s">
        <v>539</v>
      </c>
      <c r="C306" s="119" t="s">
        <v>530</v>
      </c>
      <c r="D306" s="120" t="s">
        <v>70</v>
      </c>
      <c r="E306" s="121">
        <v>8.7265698</v>
      </c>
      <c r="F306" s="122">
        <v>8.9999999999999998E-4</v>
      </c>
      <c r="G306" s="121">
        <v>7.8539128199999995E-3</v>
      </c>
      <c r="H306" s="125">
        <f>SUM(G297:G306)</f>
        <v>3.8897216659700002</v>
      </c>
      <c r="I306" s="125"/>
      <c r="J306" s="126"/>
      <c r="K306" s="126"/>
    </row>
    <row r="307" spans="1:11" s="117" customFormat="1" ht="13.5" customHeight="1">
      <c r="A307" s="127" t="s">
        <v>498</v>
      </c>
      <c r="B307" s="119" t="s">
        <v>539</v>
      </c>
      <c r="C307" s="127" t="s">
        <v>532</v>
      </c>
      <c r="D307" s="128" t="s">
        <v>70</v>
      </c>
      <c r="E307" s="129">
        <v>2041.1093664000002</v>
      </c>
      <c r="F307" s="130">
        <v>8.9999999999999998E-4</v>
      </c>
      <c r="G307" s="129">
        <v>1.8369984297600002</v>
      </c>
      <c r="H307" s="125"/>
      <c r="I307" s="132">
        <v>1.8369984297600002</v>
      </c>
      <c r="J307" s="133"/>
      <c r="K307" s="133"/>
    </row>
    <row r="308" spans="1:11" s="117" customFormat="1" ht="13.5" customHeight="1">
      <c r="A308" s="127"/>
      <c r="B308" s="119"/>
      <c r="C308" s="127"/>
      <c r="D308" s="128"/>
      <c r="E308" s="129"/>
      <c r="F308" s="130"/>
      <c r="G308" s="129">
        <f>SUM(G297:G307)</f>
        <v>5.7267200957300002</v>
      </c>
      <c r="H308" s="125"/>
      <c r="I308" s="125"/>
      <c r="J308" s="133"/>
      <c r="K308" s="133"/>
    </row>
    <row r="309" spans="1:11" ht="13.5" customHeight="1">
      <c r="A309" s="119" t="s">
        <v>500</v>
      </c>
      <c r="B309" s="119" t="s">
        <v>540</v>
      </c>
      <c r="C309" s="119" t="s">
        <v>521</v>
      </c>
      <c r="D309" s="120" t="s">
        <v>70</v>
      </c>
      <c r="E309" s="121">
        <v>7817.8087106999992</v>
      </c>
      <c r="F309" s="122">
        <v>8.9999999999999998E-4</v>
      </c>
      <c r="G309" s="121">
        <v>7.0360278396299991</v>
      </c>
      <c r="H309" s="125"/>
      <c r="I309" s="125"/>
      <c r="J309" s="126"/>
      <c r="K309" s="126"/>
    </row>
    <row r="310" spans="1:11" ht="13.5" customHeight="1">
      <c r="A310" s="119" t="s">
        <v>500</v>
      </c>
      <c r="B310" s="119" t="s">
        <v>540</v>
      </c>
      <c r="C310" s="119" t="s">
        <v>522</v>
      </c>
      <c r="D310" s="120" t="s">
        <v>70</v>
      </c>
      <c r="E310" s="121">
        <v>4389.3233496000003</v>
      </c>
      <c r="F310" s="122">
        <v>8.4999999999999995E-4</v>
      </c>
      <c r="G310" s="121">
        <v>3.7309248471599998</v>
      </c>
      <c r="H310" s="125"/>
      <c r="I310" s="125"/>
      <c r="J310" s="126"/>
      <c r="K310" s="126"/>
    </row>
    <row r="311" spans="1:11" ht="13.5" customHeight="1">
      <c r="A311" s="119" t="s">
        <v>500</v>
      </c>
      <c r="B311" s="119" t="s">
        <v>540</v>
      </c>
      <c r="C311" s="119" t="s">
        <v>523</v>
      </c>
      <c r="D311" s="120" t="s">
        <v>70</v>
      </c>
      <c r="E311" s="121">
        <v>1407.2022663</v>
      </c>
      <c r="F311" s="122">
        <v>4.4999999999999999E-4</v>
      </c>
      <c r="G311" s="121">
        <v>0.63324101983500003</v>
      </c>
      <c r="H311" s="125"/>
      <c r="I311" s="125"/>
      <c r="J311" s="126"/>
      <c r="K311" s="126"/>
    </row>
    <row r="312" spans="1:11" ht="13.5" customHeight="1">
      <c r="A312" s="119" t="s">
        <v>500</v>
      </c>
      <c r="B312" s="119" t="s">
        <v>540</v>
      </c>
      <c r="C312" s="119" t="s">
        <v>524</v>
      </c>
      <c r="D312" s="120" t="s">
        <v>70</v>
      </c>
      <c r="E312" s="121">
        <v>469.81965120000001</v>
      </c>
      <c r="F312" s="122">
        <v>4.4999999999999999E-4</v>
      </c>
      <c r="G312" s="121">
        <v>0.21141884304</v>
      </c>
      <c r="H312" s="125"/>
      <c r="I312" s="125"/>
      <c r="J312" s="126"/>
      <c r="K312" s="126"/>
    </row>
    <row r="313" spans="1:11" ht="13.5" customHeight="1">
      <c r="A313" s="119" t="s">
        <v>500</v>
      </c>
      <c r="B313" s="119" t="s">
        <v>540</v>
      </c>
      <c r="C313" s="119" t="s">
        <v>525</v>
      </c>
      <c r="D313" s="120" t="s">
        <v>70</v>
      </c>
      <c r="E313" s="121">
        <v>7143.2320679999993</v>
      </c>
      <c r="F313" s="122">
        <v>8.4999999999999995E-4</v>
      </c>
      <c r="G313" s="121">
        <v>6.0717472577999994</v>
      </c>
      <c r="H313" s="125"/>
      <c r="I313" s="125"/>
      <c r="J313" s="126"/>
      <c r="K313" s="126"/>
    </row>
    <row r="314" spans="1:11" ht="13.5" customHeight="1">
      <c r="A314" s="119" t="s">
        <v>500</v>
      </c>
      <c r="B314" s="119" t="s">
        <v>540</v>
      </c>
      <c r="C314" s="119" t="s">
        <v>526</v>
      </c>
      <c r="D314" s="120" t="s">
        <v>70</v>
      </c>
      <c r="E314" s="121">
        <v>2290.3984571999999</v>
      </c>
      <c r="F314" s="122">
        <v>4.4999999999999999E-4</v>
      </c>
      <c r="G314" s="121">
        <v>1.0306793057399999</v>
      </c>
      <c r="H314" s="125"/>
      <c r="I314" s="125"/>
      <c r="J314" s="126"/>
      <c r="K314" s="126"/>
    </row>
    <row r="315" spans="1:11" ht="13.5" customHeight="1">
      <c r="A315" s="119" t="s">
        <v>500</v>
      </c>
      <c r="B315" s="119" t="s">
        <v>540</v>
      </c>
      <c r="C315" s="119" t="s">
        <v>527</v>
      </c>
      <c r="D315" s="120" t="s">
        <v>70</v>
      </c>
      <c r="E315" s="121">
        <v>762.26419919999989</v>
      </c>
      <c r="F315" s="122">
        <v>4.4999999999999999E-4</v>
      </c>
      <c r="G315" s="121">
        <v>0.34301888963999994</v>
      </c>
      <c r="H315" s="125"/>
      <c r="I315" s="125"/>
      <c r="J315" s="126"/>
      <c r="K315" s="126"/>
    </row>
    <row r="316" spans="1:11" ht="13.5" customHeight="1">
      <c r="A316" s="119" t="s">
        <v>500</v>
      </c>
      <c r="B316" s="119" t="s">
        <v>540</v>
      </c>
      <c r="C316" s="119" t="s">
        <v>528</v>
      </c>
      <c r="D316" s="120" t="s">
        <v>70</v>
      </c>
      <c r="E316" s="121">
        <v>4529.1398099999997</v>
      </c>
      <c r="F316" s="122">
        <v>1.4999999999999999E-4</v>
      </c>
      <c r="G316" s="121">
        <v>0.67937097149999992</v>
      </c>
      <c r="H316" s="125"/>
      <c r="I316" s="125"/>
      <c r="J316" s="126"/>
      <c r="K316" s="126"/>
    </row>
    <row r="317" spans="1:11" ht="13.5" customHeight="1">
      <c r="A317" s="119" t="s">
        <v>500</v>
      </c>
      <c r="B317" s="119" t="s">
        <v>540</v>
      </c>
      <c r="C317" s="119" t="s">
        <v>529</v>
      </c>
      <c r="D317" s="120" t="s">
        <v>70</v>
      </c>
      <c r="E317" s="121">
        <v>332.24383439999997</v>
      </c>
      <c r="F317" s="122">
        <v>8.9999999999999998E-4</v>
      </c>
      <c r="G317" s="121">
        <v>0.29901945095999999</v>
      </c>
      <c r="H317" s="125"/>
      <c r="I317" s="125"/>
      <c r="J317" s="126"/>
      <c r="K317" s="126"/>
    </row>
    <row r="318" spans="1:11" ht="13.5" customHeight="1">
      <c r="A318" s="119" t="s">
        <v>500</v>
      </c>
      <c r="B318" s="119" t="s">
        <v>540</v>
      </c>
      <c r="C318" s="119" t="s">
        <v>530</v>
      </c>
      <c r="D318" s="120" t="s">
        <v>70</v>
      </c>
      <c r="E318" s="121">
        <v>615.4403724</v>
      </c>
      <c r="F318" s="122">
        <v>8.9999999999999998E-4</v>
      </c>
      <c r="G318" s="121">
        <v>0.55389633516000003</v>
      </c>
      <c r="H318" s="125">
        <f>SUM(G309:G318)</f>
        <v>20.589344760465</v>
      </c>
      <c r="I318" s="125"/>
      <c r="J318" s="126"/>
      <c r="K318" s="126"/>
    </row>
    <row r="319" spans="1:11" s="117" customFormat="1" ht="13.5" customHeight="1">
      <c r="A319" s="127" t="s">
        <v>500</v>
      </c>
      <c r="B319" s="119" t="s">
        <v>540</v>
      </c>
      <c r="C319" s="127" t="s">
        <v>532</v>
      </c>
      <c r="D319" s="128" t="s">
        <v>70</v>
      </c>
      <c r="E319" s="129">
        <v>183.60843479999997</v>
      </c>
      <c r="F319" s="130">
        <v>8.9999999999999998E-4</v>
      </c>
      <c r="G319" s="129">
        <v>0.16524759131999997</v>
      </c>
      <c r="H319" s="125"/>
      <c r="I319" s="132">
        <v>0.16524759131999997</v>
      </c>
      <c r="J319" s="133"/>
      <c r="K319" s="133"/>
    </row>
    <row r="320" spans="1:11" s="117" customFormat="1" ht="13.5" customHeight="1">
      <c r="A320" s="127"/>
      <c r="B320" s="119"/>
      <c r="C320" s="127"/>
      <c r="D320" s="128"/>
      <c r="E320" s="129"/>
      <c r="F320" s="130"/>
      <c r="G320" s="129">
        <f>SUM(G309:G319)</f>
        <v>20.754592351785</v>
      </c>
      <c r="H320" s="125"/>
      <c r="I320" s="125"/>
      <c r="J320" s="133"/>
      <c r="K320" s="133"/>
    </row>
    <row r="321" spans="1:11" ht="13.5" customHeight="1">
      <c r="A321" s="119" t="s">
        <v>502</v>
      </c>
      <c r="B321" s="119" t="s">
        <v>541</v>
      </c>
      <c r="C321" s="119" t="s">
        <v>521</v>
      </c>
      <c r="D321" s="120" t="s">
        <v>70</v>
      </c>
      <c r="E321" s="121">
        <v>5647.8557138999995</v>
      </c>
      <c r="F321" s="122">
        <v>8.9999999999999998E-4</v>
      </c>
      <c r="G321" s="121">
        <v>5.0830701425099996</v>
      </c>
      <c r="H321" s="125"/>
      <c r="I321" s="125"/>
      <c r="J321" s="126"/>
      <c r="K321" s="126"/>
    </row>
    <row r="322" spans="1:11" ht="13.5" customHeight="1">
      <c r="A322" s="119" t="s">
        <v>502</v>
      </c>
      <c r="B322" s="119" t="s">
        <v>541</v>
      </c>
      <c r="C322" s="119" t="s">
        <v>522</v>
      </c>
      <c r="D322" s="120" t="s">
        <v>70</v>
      </c>
      <c r="E322" s="121">
        <v>3171.1102931999999</v>
      </c>
      <c r="F322" s="122">
        <v>8.4999999999999995E-4</v>
      </c>
      <c r="G322" s="121">
        <v>2.6954437492199999</v>
      </c>
      <c r="H322" s="125"/>
      <c r="I322" s="125"/>
      <c r="J322" s="126"/>
      <c r="K322" s="126"/>
    </row>
    <row r="323" spans="1:11" ht="13.5" customHeight="1">
      <c r="A323" s="119" t="s">
        <v>502</v>
      </c>
      <c r="B323" s="119" t="s">
        <v>541</v>
      </c>
      <c r="C323" s="119" t="s">
        <v>523</v>
      </c>
      <c r="D323" s="120" t="s">
        <v>70</v>
      </c>
      <c r="E323" s="121">
        <v>1017.0601611</v>
      </c>
      <c r="F323" s="122">
        <v>4.4999999999999999E-4</v>
      </c>
      <c r="G323" s="121">
        <v>0.45767707249499995</v>
      </c>
      <c r="H323" s="125"/>
      <c r="I323" s="125"/>
      <c r="J323" s="126"/>
      <c r="K323" s="126"/>
    </row>
    <row r="324" spans="1:11" ht="13.5" customHeight="1">
      <c r="A324" s="119" t="s">
        <v>502</v>
      </c>
      <c r="B324" s="119" t="s">
        <v>541</v>
      </c>
      <c r="C324" s="119" t="s">
        <v>524</v>
      </c>
      <c r="D324" s="120" t="s">
        <v>70</v>
      </c>
      <c r="E324" s="121">
        <v>339.02005370000001</v>
      </c>
      <c r="F324" s="122">
        <v>4.4999999999999999E-4</v>
      </c>
      <c r="G324" s="121">
        <v>0.152559024165</v>
      </c>
      <c r="H324" s="125"/>
      <c r="I324" s="125"/>
      <c r="J324" s="126"/>
      <c r="K324" s="126"/>
    </row>
    <row r="325" spans="1:11" ht="13.5" customHeight="1">
      <c r="A325" s="119" t="s">
        <v>502</v>
      </c>
      <c r="B325" s="119" t="s">
        <v>541</v>
      </c>
      <c r="C325" s="119" t="s">
        <v>525</v>
      </c>
      <c r="D325" s="120" t="s">
        <v>70</v>
      </c>
      <c r="E325" s="121">
        <v>5158.9760770000003</v>
      </c>
      <c r="F325" s="122">
        <v>8.4999999999999995E-4</v>
      </c>
      <c r="G325" s="121">
        <v>4.38512966545</v>
      </c>
      <c r="H325" s="125"/>
      <c r="I325" s="125"/>
      <c r="J325" s="126"/>
      <c r="K325" s="126"/>
    </row>
    <row r="326" spans="1:11" ht="13.5" customHeight="1">
      <c r="A326" s="119" t="s">
        <v>502</v>
      </c>
      <c r="B326" s="119" t="s">
        <v>541</v>
      </c>
      <c r="C326" s="119" t="s">
        <v>526</v>
      </c>
      <c r="D326" s="120" t="s">
        <v>70</v>
      </c>
      <c r="E326" s="121">
        <v>1653.1356375999999</v>
      </c>
      <c r="F326" s="122">
        <v>4.4999999999999999E-4</v>
      </c>
      <c r="G326" s="121">
        <v>0.74391103691999994</v>
      </c>
      <c r="H326" s="125"/>
      <c r="I326" s="125"/>
      <c r="J326" s="126"/>
      <c r="K326" s="126"/>
    </row>
    <row r="327" spans="1:11" ht="13.5" customHeight="1">
      <c r="A327" s="119" t="s">
        <v>502</v>
      </c>
      <c r="B327" s="119" t="s">
        <v>541</v>
      </c>
      <c r="C327" s="119" t="s">
        <v>527</v>
      </c>
      <c r="D327" s="120" t="s">
        <v>70</v>
      </c>
      <c r="E327" s="121">
        <v>549.80877079999993</v>
      </c>
      <c r="F327" s="122">
        <v>4.4999999999999999E-4</v>
      </c>
      <c r="G327" s="121">
        <v>0.24741394685999996</v>
      </c>
      <c r="H327" s="125"/>
      <c r="I327" s="125"/>
      <c r="J327" s="126"/>
      <c r="K327" s="126"/>
    </row>
    <row r="328" spans="1:11" ht="13.5" customHeight="1">
      <c r="A328" s="119" t="s">
        <v>502</v>
      </c>
      <c r="B328" s="119" t="s">
        <v>541</v>
      </c>
      <c r="C328" s="119" t="s">
        <v>528</v>
      </c>
      <c r="D328" s="120" t="s">
        <v>70</v>
      </c>
      <c r="E328" s="121">
        <v>3127.5761899999998</v>
      </c>
      <c r="F328" s="122">
        <v>1.4999999999999999E-4</v>
      </c>
      <c r="G328" s="121">
        <v>0.46913642849999992</v>
      </c>
      <c r="H328" s="125"/>
      <c r="I328" s="125"/>
      <c r="J328" s="126"/>
      <c r="K328" s="126"/>
    </row>
    <row r="329" spans="1:11" ht="13.5" customHeight="1">
      <c r="A329" s="119" t="s">
        <v>502</v>
      </c>
      <c r="B329" s="119" t="s">
        <v>541</v>
      </c>
      <c r="C329" s="119" t="s">
        <v>529</v>
      </c>
      <c r="D329" s="120" t="s">
        <v>70</v>
      </c>
      <c r="E329" s="121">
        <v>764.50152600000001</v>
      </c>
      <c r="F329" s="122">
        <v>8.9999999999999998E-4</v>
      </c>
      <c r="G329" s="121">
        <v>0.6880513734</v>
      </c>
      <c r="H329" s="125"/>
      <c r="I329" s="125"/>
      <c r="J329" s="126"/>
      <c r="K329" s="126"/>
    </row>
    <row r="330" spans="1:11" ht="13.5" customHeight="1">
      <c r="A330" s="119" t="s">
        <v>502</v>
      </c>
      <c r="B330" s="119" t="s">
        <v>541</v>
      </c>
      <c r="C330" s="119" t="s">
        <v>530</v>
      </c>
      <c r="D330" s="120" t="s">
        <v>70</v>
      </c>
      <c r="E330" s="121">
        <v>457.28991390000004</v>
      </c>
      <c r="F330" s="122">
        <v>8.9999999999999998E-4</v>
      </c>
      <c r="G330" s="121">
        <v>0.41156092251000004</v>
      </c>
      <c r="H330" s="125">
        <f>SUM(G321:G330)</f>
        <v>15.333953362030002</v>
      </c>
      <c r="I330" s="125"/>
      <c r="J330" s="126"/>
      <c r="K330" s="126"/>
    </row>
    <row r="331" spans="1:11" s="117" customFormat="1" ht="13.5" customHeight="1">
      <c r="A331" s="127" t="s">
        <v>502</v>
      </c>
      <c r="B331" s="119" t="s">
        <v>541</v>
      </c>
      <c r="C331" s="127" t="s">
        <v>532</v>
      </c>
      <c r="D331" s="128" t="s">
        <v>70</v>
      </c>
      <c r="E331" s="129">
        <v>427.22144099999997</v>
      </c>
      <c r="F331" s="130">
        <v>8.9999999999999998E-4</v>
      </c>
      <c r="G331" s="129">
        <v>0.38449929689999995</v>
      </c>
      <c r="H331" s="125"/>
      <c r="I331" s="132">
        <v>0.38449929689999995</v>
      </c>
      <c r="J331" s="133"/>
      <c r="K331" s="133"/>
    </row>
    <row r="332" spans="1:11" s="117" customFormat="1" ht="13.5" customHeight="1">
      <c r="A332" s="127"/>
      <c r="B332" s="119"/>
      <c r="C332" s="127"/>
      <c r="D332" s="128"/>
      <c r="E332" s="129"/>
      <c r="F332" s="130"/>
      <c r="G332" s="129">
        <f>SUM(G321:G331)</f>
        <v>15.718452658930001</v>
      </c>
      <c r="H332" s="125"/>
      <c r="I332" s="125"/>
      <c r="J332" s="133"/>
      <c r="K332" s="133"/>
    </row>
    <row r="333" spans="1:11" ht="13.5" customHeight="1">
      <c r="A333" s="119" t="s">
        <v>504</v>
      </c>
      <c r="B333" s="119" t="s">
        <v>542</v>
      </c>
      <c r="C333" s="119" t="s">
        <v>521</v>
      </c>
      <c r="D333" s="120" t="s">
        <v>70</v>
      </c>
      <c r="E333" s="121">
        <v>13280.737258800002</v>
      </c>
      <c r="F333" s="122">
        <v>8.9999999999999998E-4</v>
      </c>
      <c r="G333" s="121">
        <v>11.952663532920001</v>
      </c>
      <c r="H333" s="125"/>
      <c r="I333" s="125"/>
      <c r="J333" s="126"/>
      <c r="K333" s="126"/>
    </row>
    <row r="334" spans="1:11" ht="13.5" customHeight="1">
      <c r="A334" s="119" t="s">
        <v>504</v>
      </c>
      <c r="B334" s="119" t="s">
        <v>542</v>
      </c>
      <c r="C334" s="119" t="s">
        <v>522</v>
      </c>
      <c r="D334" s="120" t="s">
        <v>70</v>
      </c>
      <c r="E334" s="121">
        <v>7455.6801336000008</v>
      </c>
      <c r="F334" s="122">
        <v>8.4999999999999995E-4</v>
      </c>
      <c r="G334" s="121">
        <v>6.3373281135599999</v>
      </c>
      <c r="H334" s="125"/>
      <c r="I334" s="125"/>
      <c r="J334" s="126"/>
      <c r="K334" s="126"/>
    </row>
    <row r="335" spans="1:11" ht="13.5" customHeight="1">
      <c r="A335" s="119" t="s">
        <v>504</v>
      </c>
      <c r="B335" s="119" t="s">
        <v>542</v>
      </c>
      <c r="C335" s="119" t="s">
        <v>523</v>
      </c>
      <c r="D335" s="120" t="s">
        <v>70</v>
      </c>
      <c r="E335" s="121">
        <v>2392.5080388000001</v>
      </c>
      <c r="F335" s="122">
        <v>4.4999999999999999E-4</v>
      </c>
      <c r="G335" s="121">
        <v>1.0766286174599999</v>
      </c>
      <c r="H335" s="125"/>
      <c r="I335" s="125"/>
      <c r="J335" s="126"/>
      <c r="K335" s="126"/>
    </row>
    <row r="336" spans="1:11" ht="13.5" customHeight="1">
      <c r="A336" s="119" t="s">
        <v>504</v>
      </c>
      <c r="B336" s="119" t="s">
        <v>542</v>
      </c>
      <c r="C336" s="119" t="s">
        <v>524</v>
      </c>
      <c r="D336" s="120" t="s">
        <v>70</v>
      </c>
      <c r="E336" s="121">
        <v>798.12092480000013</v>
      </c>
      <c r="F336" s="122">
        <v>4.4999999999999999E-4</v>
      </c>
      <c r="G336" s="121">
        <v>0.35915441616000005</v>
      </c>
      <c r="H336" s="125"/>
      <c r="I336" s="125"/>
      <c r="J336" s="126"/>
      <c r="K336" s="126"/>
    </row>
    <row r="337" spans="1:11" ht="13.5" customHeight="1">
      <c r="A337" s="119" t="s">
        <v>504</v>
      </c>
      <c r="B337" s="119" t="s">
        <v>542</v>
      </c>
      <c r="C337" s="119" t="s">
        <v>525</v>
      </c>
      <c r="D337" s="120" t="s">
        <v>70</v>
      </c>
      <c r="E337" s="121">
        <v>12131.259050400002</v>
      </c>
      <c r="F337" s="122">
        <v>8.4999999999999995E-4</v>
      </c>
      <c r="G337" s="121">
        <v>10.311570192840001</v>
      </c>
      <c r="H337" s="125"/>
      <c r="I337" s="125"/>
      <c r="J337" s="126"/>
      <c r="K337" s="126"/>
    </row>
    <row r="338" spans="1:11" ht="13.5" customHeight="1">
      <c r="A338" s="119" t="s">
        <v>504</v>
      </c>
      <c r="B338" s="119" t="s">
        <v>542</v>
      </c>
      <c r="C338" s="119" t="s">
        <v>526</v>
      </c>
      <c r="D338" s="120" t="s">
        <v>70</v>
      </c>
      <c r="E338" s="121">
        <v>3889.9987983999999</v>
      </c>
      <c r="F338" s="122">
        <v>4.4999999999999999E-4</v>
      </c>
      <c r="G338" s="121">
        <v>1.7504994592799998</v>
      </c>
      <c r="H338" s="125"/>
      <c r="I338" s="125"/>
      <c r="J338" s="126"/>
      <c r="K338" s="126"/>
    </row>
    <row r="339" spans="1:11" ht="13.5" customHeight="1">
      <c r="A339" s="119" t="s">
        <v>504</v>
      </c>
      <c r="B339" s="119" t="s">
        <v>542</v>
      </c>
      <c r="C339" s="119" t="s">
        <v>527</v>
      </c>
      <c r="D339" s="120" t="s">
        <v>70</v>
      </c>
      <c r="E339" s="121">
        <v>1295.4849608</v>
      </c>
      <c r="F339" s="122">
        <v>4.4999999999999999E-4</v>
      </c>
      <c r="G339" s="121">
        <v>0.58296823235999995</v>
      </c>
      <c r="H339" s="125"/>
      <c r="I339" s="125"/>
      <c r="J339" s="126"/>
      <c r="K339" s="126"/>
    </row>
    <row r="340" spans="1:11" ht="13.5" customHeight="1">
      <c r="A340" s="119" t="s">
        <v>504</v>
      </c>
      <c r="B340" s="119" t="s">
        <v>542</v>
      </c>
      <c r="C340" s="119" t="s">
        <v>528</v>
      </c>
      <c r="D340" s="120" t="s">
        <v>70</v>
      </c>
      <c r="E340" s="121">
        <v>4965.5808400000005</v>
      </c>
      <c r="F340" s="122">
        <v>1.4999999999999999E-4</v>
      </c>
      <c r="G340" s="121">
        <v>0.74483712599999996</v>
      </c>
      <c r="H340" s="125"/>
      <c r="I340" s="125"/>
      <c r="J340" s="126"/>
      <c r="K340" s="126"/>
    </row>
    <row r="341" spans="1:11" ht="13.5" customHeight="1">
      <c r="A341" s="119" t="s">
        <v>504</v>
      </c>
      <c r="B341" s="119" t="s">
        <v>542</v>
      </c>
      <c r="C341" s="119" t="s">
        <v>529</v>
      </c>
      <c r="D341" s="120" t="s">
        <v>70</v>
      </c>
      <c r="E341" s="121">
        <v>65.420172000000008</v>
      </c>
      <c r="F341" s="122">
        <v>8.9999999999999998E-4</v>
      </c>
      <c r="G341" s="121">
        <v>5.8878154800000006E-2</v>
      </c>
      <c r="H341" s="125"/>
      <c r="I341" s="125"/>
      <c r="J341" s="126"/>
      <c r="K341" s="126"/>
    </row>
    <row r="342" spans="1:11" ht="13.5" customHeight="1">
      <c r="A342" s="119" t="s">
        <v>504</v>
      </c>
      <c r="B342" s="119" t="s">
        <v>542</v>
      </c>
      <c r="C342" s="119" t="s">
        <v>530</v>
      </c>
      <c r="D342" s="120" t="s">
        <v>70</v>
      </c>
      <c r="E342" s="121">
        <v>1564.7410926</v>
      </c>
      <c r="F342" s="122">
        <v>8.9999999999999998E-4</v>
      </c>
      <c r="G342" s="121">
        <v>1.4082669833399999</v>
      </c>
      <c r="H342" s="125">
        <f>SUM(G333:G342)</f>
        <v>34.582794828719997</v>
      </c>
      <c r="I342" s="125"/>
      <c r="J342" s="126"/>
      <c r="K342" s="126"/>
    </row>
    <row r="343" spans="1:11" s="117" customFormat="1" ht="13.5" customHeight="1">
      <c r="A343" s="127" t="s">
        <v>504</v>
      </c>
      <c r="B343" s="119" t="s">
        <v>542</v>
      </c>
      <c r="C343" s="127" t="s">
        <v>532</v>
      </c>
      <c r="D343" s="128" t="s">
        <v>70</v>
      </c>
      <c r="E343" s="129">
        <v>32.710086000000004</v>
      </c>
      <c r="F343" s="130">
        <v>8.9999999999999998E-4</v>
      </c>
      <c r="G343" s="129">
        <v>2.9439077400000003E-2</v>
      </c>
      <c r="H343" s="125"/>
      <c r="I343" s="132">
        <v>2.9439077400000003E-2</v>
      </c>
      <c r="J343" s="133"/>
      <c r="K343" s="133"/>
    </row>
    <row r="344" spans="1:11" s="117" customFormat="1" ht="13.5" customHeight="1">
      <c r="A344" s="127"/>
      <c r="B344" s="144"/>
      <c r="C344" s="127"/>
      <c r="D344" s="128"/>
      <c r="E344" s="129"/>
      <c r="F344" s="130"/>
      <c r="G344" s="129">
        <f>SUM(G333:G343)</f>
        <v>34.612233906119997</v>
      </c>
      <c r="H344" s="125"/>
      <c r="I344" s="125"/>
      <c r="J344" s="133"/>
      <c r="K344" s="133"/>
    </row>
    <row r="345" spans="1:11" ht="13.5" customHeight="1">
      <c r="A345" s="119" t="s">
        <v>506</v>
      </c>
      <c r="B345" s="115" t="s">
        <v>543</v>
      </c>
      <c r="C345" s="119" t="s">
        <v>521</v>
      </c>
      <c r="D345" s="120" t="s">
        <v>70</v>
      </c>
      <c r="E345" s="121">
        <v>21620.146499999999</v>
      </c>
      <c r="F345" s="122">
        <v>8.9999999999999998E-4</v>
      </c>
      <c r="G345" s="121">
        <v>19.458131849999997</v>
      </c>
      <c r="H345" s="125"/>
      <c r="I345" s="125"/>
      <c r="J345" s="126"/>
      <c r="K345" s="126"/>
    </row>
    <row r="346" spans="1:11" ht="13.5" customHeight="1">
      <c r="A346" s="119" t="s">
        <v>506</v>
      </c>
      <c r="B346" s="115" t="s">
        <v>543</v>
      </c>
      <c r="C346" s="119" t="s">
        <v>522</v>
      </c>
      <c r="D346" s="120" t="s">
        <v>70</v>
      </c>
      <c r="E346" s="121">
        <v>29185.711650000001</v>
      </c>
      <c r="F346" s="122">
        <v>8.4999999999999995E-4</v>
      </c>
      <c r="G346" s="121">
        <v>24.807854902500001</v>
      </c>
      <c r="H346" s="125"/>
      <c r="I346" s="125"/>
      <c r="J346" s="126"/>
      <c r="K346" s="126"/>
    </row>
    <row r="347" spans="1:11" ht="13.5" customHeight="1">
      <c r="A347" s="119" t="s">
        <v>506</v>
      </c>
      <c r="B347" s="115" t="s">
        <v>543</v>
      </c>
      <c r="C347" s="119" t="s">
        <v>523</v>
      </c>
      <c r="D347" s="120" t="s">
        <v>70</v>
      </c>
      <c r="E347" s="121">
        <v>9483.1419600000008</v>
      </c>
      <c r="F347" s="122">
        <v>4.4999999999999999E-4</v>
      </c>
      <c r="G347" s="121">
        <v>4.2674138820000005</v>
      </c>
      <c r="H347" s="125"/>
      <c r="I347" s="125"/>
      <c r="J347" s="126"/>
      <c r="K347" s="126"/>
    </row>
    <row r="348" spans="1:11" ht="13.5" customHeight="1">
      <c r="A348" s="119" t="s">
        <v>506</v>
      </c>
      <c r="B348" s="115" t="s">
        <v>543</v>
      </c>
      <c r="C348" s="119" t="s">
        <v>524</v>
      </c>
      <c r="D348" s="120" t="s">
        <v>70</v>
      </c>
      <c r="E348" s="121">
        <v>3298.9597200000003</v>
      </c>
      <c r="F348" s="122">
        <v>4.4999999999999999E-4</v>
      </c>
      <c r="G348" s="121">
        <v>1.4845318740000002</v>
      </c>
      <c r="H348" s="125"/>
      <c r="I348" s="125"/>
      <c r="J348" s="126"/>
      <c r="K348" s="126"/>
    </row>
    <row r="349" spans="1:11" ht="13.5" customHeight="1">
      <c r="A349" s="119" t="s">
        <v>506</v>
      </c>
      <c r="B349" s="115" t="s">
        <v>543</v>
      </c>
      <c r="C349" s="119" t="s">
        <v>525</v>
      </c>
      <c r="D349" s="120" t="s">
        <v>70</v>
      </c>
      <c r="E349" s="121">
        <v>46483.37442</v>
      </c>
      <c r="F349" s="122">
        <v>8.4999999999999995E-4</v>
      </c>
      <c r="G349" s="121">
        <v>39.510868256999998</v>
      </c>
      <c r="H349" s="125"/>
      <c r="I349" s="125"/>
      <c r="J349" s="126"/>
      <c r="K349" s="126"/>
    </row>
    <row r="350" spans="1:11" ht="13.5" customHeight="1">
      <c r="A350" s="119" t="s">
        <v>506</v>
      </c>
      <c r="B350" s="115" t="s">
        <v>543</v>
      </c>
      <c r="C350" s="119" t="s">
        <v>526</v>
      </c>
      <c r="D350" s="120" t="s">
        <v>70</v>
      </c>
      <c r="E350" s="121">
        <v>15350.60124</v>
      </c>
      <c r="F350" s="122">
        <v>4.4999999999999999E-4</v>
      </c>
      <c r="G350" s="121">
        <v>6.9077705580000002</v>
      </c>
      <c r="H350" s="125"/>
      <c r="I350" s="125"/>
      <c r="J350" s="126"/>
      <c r="K350" s="126"/>
    </row>
    <row r="351" spans="1:11" ht="13.5" customHeight="1">
      <c r="A351" s="119" t="s">
        <v>506</v>
      </c>
      <c r="B351" s="115" t="s">
        <v>543</v>
      </c>
      <c r="C351" s="119" t="s">
        <v>527</v>
      </c>
      <c r="D351" s="120" t="s">
        <v>70</v>
      </c>
      <c r="E351" s="121">
        <v>5305.8229199999996</v>
      </c>
      <c r="F351" s="122">
        <v>4.4999999999999999E-4</v>
      </c>
      <c r="G351" s="121">
        <v>2.3876203139999999</v>
      </c>
      <c r="H351" s="125"/>
      <c r="I351" s="125"/>
      <c r="J351" s="126"/>
      <c r="K351" s="126"/>
    </row>
    <row r="352" spans="1:11" ht="13.5" customHeight="1">
      <c r="A352" s="119" t="s">
        <v>506</v>
      </c>
      <c r="B352" s="115" t="s">
        <v>543</v>
      </c>
      <c r="C352" s="119" t="s">
        <v>528</v>
      </c>
      <c r="D352" s="120" t="s">
        <v>70</v>
      </c>
      <c r="E352" s="121">
        <v>9339</v>
      </c>
      <c r="F352" s="122">
        <v>1.4999999999999999E-4</v>
      </c>
      <c r="G352" s="121">
        <v>1.4008499999999999</v>
      </c>
      <c r="H352" s="125"/>
      <c r="I352" s="125"/>
      <c r="J352" s="126"/>
      <c r="K352" s="126"/>
    </row>
    <row r="353" spans="1:11" ht="13.5" customHeight="1">
      <c r="A353" s="119" t="s">
        <v>506</v>
      </c>
      <c r="B353" s="115" t="s">
        <v>543</v>
      </c>
      <c r="C353" s="119" t="s">
        <v>529</v>
      </c>
      <c r="D353" s="120" t="s">
        <v>70</v>
      </c>
      <c r="E353" s="121">
        <v>2013.9966000000002</v>
      </c>
      <c r="F353" s="122">
        <v>8.9999999999999998E-4</v>
      </c>
      <c r="G353" s="121">
        <v>1.8125969400000002</v>
      </c>
      <c r="H353" s="125"/>
      <c r="I353" s="125"/>
      <c r="J353" s="126"/>
      <c r="K353" s="126"/>
    </row>
    <row r="354" spans="1:11" ht="13.5" customHeight="1">
      <c r="A354" s="119" t="s">
        <v>506</v>
      </c>
      <c r="B354" s="115" t="s">
        <v>543</v>
      </c>
      <c r="C354" s="119" t="s">
        <v>530</v>
      </c>
      <c r="D354" s="120" t="s">
        <v>70</v>
      </c>
      <c r="E354" s="121">
        <v>30364.042329000004</v>
      </c>
      <c r="F354" s="122">
        <v>8.9999999999999998E-4</v>
      </c>
      <c r="G354" s="121">
        <v>27.327638096100003</v>
      </c>
      <c r="H354" s="125">
        <f>SUM(G345:G354)</f>
        <v>129.36527667360002</v>
      </c>
      <c r="I354" s="125"/>
      <c r="J354" s="126"/>
      <c r="K354" s="126"/>
    </row>
    <row r="355" spans="1:11" s="117" customFormat="1" ht="13.5" customHeight="1">
      <c r="A355" s="127" t="s">
        <v>506</v>
      </c>
      <c r="B355" s="115" t="s">
        <v>543</v>
      </c>
      <c r="C355" s="127" t="s">
        <v>532</v>
      </c>
      <c r="D355" s="128" t="s">
        <v>70</v>
      </c>
      <c r="E355" s="129">
        <v>1911.7512000000002</v>
      </c>
      <c r="F355" s="130">
        <v>8.9999999999999998E-4</v>
      </c>
      <c r="G355" s="129">
        <v>1.7205760800000001</v>
      </c>
      <c r="H355" s="125"/>
      <c r="I355" s="132">
        <v>1.7205760800000001</v>
      </c>
      <c r="J355" s="133"/>
      <c r="K355" s="133"/>
    </row>
    <row r="356" spans="1:11" ht="13.5" customHeight="1">
      <c r="A356" s="119"/>
      <c r="B356" s="135" t="s">
        <v>12</v>
      </c>
      <c r="C356" s="119"/>
      <c r="D356" s="120"/>
      <c r="E356" s="121"/>
      <c r="F356" s="122"/>
      <c r="G356" s="129">
        <f>SUM(G345:G355)</f>
        <v>131.08585275360002</v>
      </c>
      <c r="H356" s="131"/>
      <c r="I356" s="131"/>
      <c r="J356" s="126"/>
      <c r="K356" s="126"/>
    </row>
    <row r="357" spans="1:11" ht="13.5" customHeight="1">
      <c r="A357" s="119"/>
      <c r="B357" s="127" t="s">
        <v>50</v>
      </c>
      <c r="C357" s="119"/>
      <c r="D357" s="120"/>
      <c r="E357" s="121"/>
      <c r="F357" s="122"/>
      <c r="G357" s="129">
        <f>SUM(G189:G356)/2</f>
        <v>604.76193053526515</v>
      </c>
      <c r="H357" s="125">
        <f>SUM(H198:H354)</f>
        <v>575.706310048565</v>
      </c>
      <c r="I357" s="125">
        <f>SUM(I198:I355)</f>
        <v>29.055620486700001</v>
      </c>
      <c r="J357" s="126"/>
      <c r="K357" s="126"/>
    </row>
    <row r="358" spans="1:11" ht="13.5" customHeight="1">
      <c r="A358" s="119" t="s">
        <v>467</v>
      </c>
      <c r="B358" s="119" t="s">
        <v>520</v>
      </c>
      <c r="C358" s="119" t="s">
        <v>521</v>
      </c>
      <c r="D358" s="120" t="s">
        <v>84</v>
      </c>
      <c r="E358" s="121">
        <v>993.98954060000017</v>
      </c>
      <c r="F358" s="122">
        <v>1.2999999999999999E-3</v>
      </c>
      <c r="G358" s="121">
        <v>1.2921864027800001</v>
      </c>
      <c r="H358" s="125"/>
      <c r="I358" s="125"/>
      <c r="J358" s="126"/>
      <c r="K358" s="126"/>
    </row>
    <row r="359" spans="1:11" ht="13.5" customHeight="1">
      <c r="A359" s="119" t="s">
        <v>467</v>
      </c>
      <c r="B359" s="119" t="s">
        <v>520</v>
      </c>
      <c r="C359" s="119" t="s">
        <v>522</v>
      </c>
      <c r="D359" s="120" t="s">
        <v>84</v>
      </c>
      <c r="E359" s="121">
        <v>2716.9626024000004</v>
      </c>
      <c r="F359" s="122">
        <v>1.4E-3</v>
      </c>
      <c r="G359" s="121">
        <v>3.8037476433600004</v>
      </c>
      <c r="H359" s="125"/>
      <c r="I359" s="125"/>
      <c r="J359" s="126"/>
      <c r="K359" s="126"/>
    </row>
    <row r="360" spans="1:11" ht="13.5" customHeight="1">
      <c r="A360" s="119" t="s">
        <v>467</v>
      </c>
      <c r="B360" s="119" t="s">
        <v>520</v>
      </c>
      <c r="C360" s="119" t="s">
        <v>523</v>
      </c>
      <c r="D360" s="120" t="s">
        <v>84</v>
      </c>
      <c r="E360" s="121">
        <v>872.38277920000007</v>
      </c>
      <c r="F360" s="122">
        <v>1.14E-3</v>
      </c>
      <c r="G360" s="121">
        <v>0.99451636828800005</v>
      </c>
      <c r="H360" s="125"/>
      <c r="I360" s="125"/>
      <c r="J360" s="126"/>
      <c r="K360" s="126"/>
    </row>
    <row r="361" spans="1:11" ht="13.5" customHeight="1">
      <c r="A361" s="119" t="s">
        <v>467</v>
      </c>
      <c r="B361" s="119" t="s">
        <v>520</v>
      </c>
      <c r="C361" s="119" t="s">
        <v>524</v>
      </c>
      <c r="D361" s="120" t="s">
        <v>84</v>
      </c>
      <c r="E361" s="121">
        <v>292.42739280000001</v>
      </c>
      <c r="F361" s="122">
        <v>1E-3</v>
      </c>
      <c r="G361" s="121">
        <v>0.29242739280000002</v>
      </c>
      <c r="H361" s="125"/>
      <c r="I361" s="125"/>
      <c r="J361" s="126"/>
      <c r="K361" s="126"/>
    </row>
    <row r="362" spans="1:11" ht="13.5" customHeight="1">
      <c r="A362" s="119" t="s">
        <v>467</v>
      </c>
      <c r="B362" s="119" t="s">
        <v>520</v>
      </c>
      <c r="C362" s="119" t="s">
        <v>525</v>
      </c>
      <c r="D362" s="120" t="s">
        <v>84</v>
      </c>
      <c r="E362" s="121">
        <v>8195.6239264000014</v>
      </c>
      <c r="F362" s="122">
        <v>1.4E-3</v>
      </c>
      <c r="G362" s="121">
        <v>11.473873496960001</v>
      </c>
      <c r="H362" s="125"/>
      <c r="I362" s="125"/>
      <c r="J362" s="126"/>
      <c r="K362" s="126"/>
    </row>
    <row r="363" spans="1:11" ht="13.5" customHeight="1">
      <c r="A363" s="119" t="s">
        <v>467</v>
      </c>
      <c r="B363" s="119" t="s">
        <v>520</v>
      </c>
      <c r="C363" s="119" t="s">
        <v>526</v>
      </c>
      <c r="D363" s="120" t="s">
        <v>84</v>
      </c>
      <c r="E363" s="121">
        <v>2625.3174520000002</v>
      </c>
      <c r="F363" s="122">
        <v>1.14E-3</v>
      </c>
      <c r="G363" s="121">
        <v>2.9928618952800004</v>
      </c>
      <c r="H363" s="125"/>
      <c r="I363" s="125"/>
      <c r="J363" s="126"/>
      <c r="K363" s="126"/>
    </row>
    <row r="364" spans="1:11" ht="13.5" customHeight="1">
      <c r="A364" s="119" t="s">
        <v>467</v>
      </c>
      <c r="B364" s="119" t="s">
        <v>520</v>
      </c>
      <c r="C364" s="119" t="s">
        <v>527</v>
      </c>
      <c r="D364" s="120" t="s">
        <v>84</v>
      </c>
      <c r="E364" s="121">
        <v>873.92451200000005</v>
      </c>
      <c r="F364" s="122">
        <v>1E-3</v>
      </c>
      <c r="G364" s="121">
        <v>0.8739245120000001</v>
      </c>
      <c r="H364" s="125"/>
      <c r="I364" s="125"/>
      <c r="J364" s="126"/>
      <c r="K364" s="126"/>
    </row>
    <row r="365" spans="1:11" ht="13.5" customHeight="1">
      <c r="A365" s="119" t="s">
        <v>467</v>
      </c>
      <c r="B365" s="119" t="s">
        <v>520</v>
      </c>
      <c r="C365" s="119" t="s">
        <v>528</v>
      </c>
      <c r="D365" s="120" t="s">
        <v>84</v>
      </c>
      <c r="E365" s="121">
        <v>3401.9963200000002</v>
      </c>
      <c r="F365" s="122">
        <v>1.9E-3</v>
      </c>
      <c r="G365" s="121">
        <v>6.4637930080000006</v>
      </c>
      <c r="H365" s="125"/>
      <c r="I365" s="125"/>
      <c r="J365" s="126"/>
      <c r="K365" s="126"/>
    </row>
    <row r="366" spans="1:11" ht="13.5" customHeight="1">
      <c r="A366" s="119" t="s">
        <v>467</v>
      </c>
      <c r="B366" s="119" t="s">
        <v>520</v>
      </c>
      <c r="C366" s="119" t="s">
        <v>529</v>
      </c>
      <c r="D366" s="120" t="s">
        <v>84</v>
      </c>
      <c r="E366" s="121">
        <v>1517.7479903999999</v>
      </c>
      <c r="F366" s="122">
        <v>9.2066470218694896E-4</v>
      </c>
      <c r="G366" s="121">
        <v>1.3973370015764561</v>
      </c>
      <c r="H366" s="125"/>
      <c r="I366" s="125"/>
      <c r="J366" s="126"/>
      <c r="K366" s="126"/>
    </row>
    <row r="367" spans="1:11" ht="13.5" customHeight="1">
      <c r="A367" s="119" t="s">
        <v>467</v>
      </c>
      <c r="B367" s="119" t="s">
        <v>520</v>
      </c>
      <c r="C367" s="119" t="s">
        <v>530</v>
      </c>
      <c r="D367" s="120" t="s">
        <v>84</v>
      </c>
      <c r="E367" s="121">
        <v>210.78022440000004</v>
      </c>
      <c r="F367" s="122">
        <v>1.2999999999999999E-3</v>
      </c>
      <c r="G367" s="121">
        <v>0.27401429172000002</v>
      </c>
      <c r="H367" s="125"/>
      <c r="I367" s="125"/>
      <c r="J367" s="126"/>
      <c r="K367" s="126"/>
    </row>
    <row r="368" spans="1:11" ht="13.5" customHeight="1">
      <c r="A368" s="119" t="s">
        <v>467</v>
      </c>
      <c r="B368" s="119" t="s">
        <v>520</v>
      </c>
      <c r="C368" s="119" t="s">
        <v>531</v>
      </c>
      <c r="D368" s="120" t="s">
        <v>84</v>
      </c>
      <c r="E368" s="121">
        <v>232.12559475</v>
      </c>
      <c r="F368" s="122">
        <v>3.8419999999999999E-3</v>
      </c>
      <c r="G368" s="121">
        <v>0.89182653502950004</v>
      </c>
      <c r="H368" s="125">
        <f>SUM(G358:G368)</f>
        <v>30.750508547793959</v>
      </c>
      <c r="I368" s="125"/>
      <c r="J368" s="126"/>
      <c r="K368" s="126"/>
    </row>
    <row r="369" spans="1:11" s="117" customFormat="1" ht="13.5" customHeight="1">
      <c r="A369" s="127" t="s">
        <v>467</v>
      </c>
      <c r="B369" s="119" t="s">
        <v>520</v>
      </c>
      <c r="C369" s="127" t="s">
        <v>532</v>
      </c>
      <c r="D369" s="128" t="s">
        <v>84</v>
      </c>
      <c r="E369" s="129">
        <v>837.37820160000001</v>
      </c>
      <c r="F369" s="130">
        <v>9.2066470218694896E-4</v>
      </c>
      <c r="G369" s="129">
        <v>0.77094455259390693</v>
      </c>
      <c r="H369" s="125"/>
      <c r="I369" s="132">
        <v>0.77094455259390693</v>
      </c>
      <c r="J369" s="133">
        <f>SUM(G369*0.125)/92</f>
        <v>1.047479011676504E-3</v>
      </c>
      <c r="K369" s="133"/>
    </row>
    <row r="370" spans="1:11" s="117" customFormat="1" ht="13.5" customHeight="1">
      <c r="A370" s="127"/>
      <c r="B370" s="119"/>
      <c r="C370" s="127"/>
      <c r="D370" s="128"/>
      <c r="E370" s="129"/>
      <c r="F370" s="130"/>
      <c r="G370" s="129">
        <f>SUM(G358:G369)</f>
        <v>31.521453100387866</v>
      </c>
      <c r="H370" s="125"/>
      <c r="I370" s="125"/>
      <c r="J370" s="133"/>
      <c r="K370" s="133"/>
    </row>
    <row r="371" spans="1:11" ht="13.5" customHeight="1">
      <c r="A371" s="119" t="s">
        <v>482</v>
      </c>
      <c r="B371" s="119" t="s">
        <v>533</v>
      </c>
      <c r="C371" s="119" t="s">
        <v>521</v>
      </c>
      <c r="D371" s="120" t="s">
        <v>84</v>
      </c>
      <c r="E371" s="121">
        <v>4291.0124999999998</v>
      </c>
      <c r="F371" s="122">
        <v>1.2999999999999999E-3</v>
      </c>
      <c r="G371" s="121">
        <v>5.5783162499999994</v>
      </c>
      <c r="H371" s="125"/>
      <c r="I371" s="125"/>
      <c r="J371" s="126"/>
      <c r="K371" s="126"/>
    </row>
    <row r="372" spans="1:11" ht="13.5" customHeight="1">
      <c r="A372" s="119" t="s">
        <v>482</v>
      </c>
      <c r="B372" s="119" t="s">
        <v>533</v>
      </c>
      <c r="C372" s="119" t="s">
        <v>522</v>
      </c>
      <c r="D372" s="120" t="s">
        <v>84</v>
      </c>
      <c r="E372" s="121">
        <v>5794.2374999999993</v>
      </c>
      <c r="F372" s="122">
        <v>1.4E-3</v>
      </c>
      <c r="G372" s="121">
        <v>8.1119324999999982</v>
      </c>
      <c r="H372" s="125"/>
      <c r="I372" s="125"/>
      <c r="J372" s="126"/>
      <c r="K372" s="126"/>
    </row>
    <row r="373" spans="1:11" ht="13.5" customHeight="1">
      <c r="A373" s="119" t="s">
        <v>482</v>
      </c>
      <c r="B373" s="119" t="s">
        <v>533</v>
      </c>
      <c r="C373" s="119" t="s">
        <v>523</v>
      </c>
      <c r="D373" s="120" t="s">
        <v>84</v>
      </c>
      <c r="E373" s="121">
        <v>1879.86</v>
      </c>
      <c r="F373" s="122">
        <v>1.14E-3</v>
      </c>
      <c r="G373" s="121">
        <v>2.1430403999999998</v>
      </c>
      <c r="H373" s="125"/>
      <c r="I373" s="125"/>
      <c r="J373" s="126"/>
      <c r="K373" s="126"/>
    </row>
    <row r="374" spans="1:11" ht="13.5" customHeight="1">
      <c r="A374" s="119" t="s">
        <v>482</v>
      </c>
      <c r="B374" s="119" t="s">
        <v>533</v>
      </c>
      <c r="C374" s="119" t="s">
        <v>524</v>
      </c>
      <c r="D374" s="120" t="s">
        <v>84</v>
      </c>
      <c r="E374" s="121">
        <v>655.34999999999991</v>
      </c>
      <c r="F374" s="122">
        <v>1E-3</v>
      </c>
      <c r="G374" s="121">
        <v>0.65534999999999988</v>
      </c>
      <c r="H374" s="125"/>
      <c r="I374" s="125"/>
      <c r="J374" s="126"/>
      <c r="K374" s="126"/>
    </row>
    <row r="375" spans="1:11" ht="13.5" customHeight="1">
      <c r="A375" s="119" t="s">
        <v>482</v>
      </c>
      <c r="B375" s="119" t="s">
        <v>533</v>
      </c>
      <c r="C375" s="119" t="s">
        <v>525</v>
      </c>
      <c r="D375" s="120" t="s">
        <v>84</v>
      </c>
      <c r="E375" s="121">
        <v>9224.369999999999</v>
      </c>
      <c r="F375" s="122">
        <v>1.4E-3</v>
      </c>
      <c r="G375" s="121">
        <v>12.914117999999998</v>
      </c>
      <c r="H375" s="125"/>
      <c r="I375" s="125"/>
      <c r="J375" s="126"/>
      <c r="K375" s="126"/>
    </row>
    <row r="376" spans="1:11" ht="13.5" customHeight="1">
      <c r="A376" s="119" t="s">
        <v>482</v>
      </c>
      <c r="B376" s="119" t="s">
        <v>533</v>
      </c>
      <c r="C376" s="119" t="s">
        <v>526</v>
      </c>
      <c r="D376" s="120" t="s">
        <v>84</v>
      </c>
      <c r="E376" s="121">
        <v>3045.7199999999993</v>
      </c>
      <c r="F376" s="122">
        <v>1.14E-3</v>
      </c>
      <c r="G376" s="121">
        <v>3.472120799999999</v>
      </c>
      <c r="H376" s="125"/>
      <c r="I376" s="125"/>
      <c r="J376" s="126"/>
      <c r="K376" s="126"/>
    </row>
    <row r="377" spans="1:11" ht="13.5" customHeight="1">
      <c r="A377" s="119" t="s">
        <v>482</v>
      </c>
      <c r="B377" s="119" t="s">
        <v>533</v>
      </c>
      <c r="C377" s="119" t="s">
        <v>527</v>
      </c>
      <c r="D377" s="120" t="s">
        <v>84</v>
      </c>
      <c r="E377" s="121">
        <v>1052.1299999999999</v>
      </c>
      <c r="F377" s="122">
        <v>1E-3</v>
      </c>
      <c r="G377" s="121">
        <v>1.05213</v>
      </c>
      <c r="H377" s="125"/>
      <c r="I377" s="125"/>
      <c r="J377" s="126"/>
      <c r="K377" s="126"/>
    </row>
    <row r="378" spans="1:11" ht="13.5" customHeight="1">
      <c r="A378" s="119" t="s">
        <v>482</v>
      </c>
      <c r="B378" s="119" t="s">
        <v>533</v>
      </c>
      <c r="C378" s="119" t="s">
        <v>528</v>
      </c>
      <c r="D378" s="120" t="s">
        <v>84</v>
      </c>
      <c r="E378" s="121">
        <v>1781</v>
      </c>
      <c r="F378" s="122">
        <v>1.9E-3</v>
      </c>
      <c r="G378" s="121">
        <v>3.3839000000000001</v>
      </c>
      <c r="H378" s="125"/>
      <c r="I378" s="125"/>
      <c r="J378" s="126"/>
      <c r="K378" s="126"/>
    </row>
    <row r="379" spans="1:11" ht="13.5" customHeight="1">
      <c r="A379" s="119" t="s">
        <v>482</v>
      </c>
      <c r="B379" s="119" t="s">
        <v>533</v>
      </c>
      <c r="C379" s="119" t="s">
        <v>529</v>
      </c>
      <c r="D379" s="120" t="s">
        <v>84</v>
      </c>
      <c r="E379" s="121">
        <v>8032.4999999999991</v>
      </c>
      <c r="F379" s="122">
        <v>9.2066470218694896E-4</v>
      </c>
      <c r="G379" s="121">
        <v>7.3952392203166664</v>
      </c>
      <c r="H379" s="125"/>
      <c r="I379" s="125"/>
      <c r="J379" s="126"/>
      <c r="K379" s="126"/>
    </row>
    <row r="380" spans="1:11" ht="13.5" customHeight="1">
      <c r="A380" s="119" t="s">
        <v>482</v>
      </c>
      <c r="B380" s="119" t="s">
        <v>533</v>
      </c>
      <c r="C380" s="119" t="s">
        <v>530</v>
      </c>
      <c r="D380" s="120" t="s">
        <v>84</v>
      </c>
      <c r="E380" s="121">
        <v>6462.3579</v>
      </c>
      <c r="F380" s="122">
        <v>1.2999999999999999E-3</v>
      </c>
      <c r="G380" s="121">
        <v>8.4010652700000001</v>
      </c>
      <c r="H380" s="125"/>
      <c r="I380" s="125"/>
      <c r="J380" s="126"/>
      <c r="K380" s="126"/>
    </row>
    <row r="381" spans="1:11" ht="13.5" customHeight="1">
      <c r="A381" s="119" t="s">
        <v>482</v>
      </c>
      <c r="B381" s="119" t="s">
        <v>533</v>
      </c>
      <c r="C381" s="119" t="s">
        <v>531</v>
      </c>
      <c r="D381" s="120" t="s">
        <v>84</v>
      </c>
      <c r="E381" s="121">
        <v>0</v>
      </c>
      <c r="F381" s="122">
        <v>3.8419999999999999E-3</v>
      </c>
      <c r="G381" s="121">
        <v>0</v>
      </c>
      <c r="H381" s="125">
        <f>SUM(G371:G381)</f>
        <v>53.107212440316658</v>
      </c>
      <c r="I381" s="125"/>
      <c r="J381" s="126"/>
      <c r="K381" s="126"/>
    </row>
    <row r="382" spans="1:11" s="117" customFormat="1" ht="13.5" customHeight="1">
      <c r="A382" s="127" t="s">
        <v>482</v>
      </c>
      <c r="B382" s="119" t="s">
        <v>533</v>
      </c>
      <c r="C382" s="127" t="s">
        <v>532</v>
      </c>
      <c r="D382" s="128" t="s">
        <v>84</v>
      </c>
      <c r="E382" s="129">
        <v>7649.9999999999991</v>
      </c>
      <c r="F382" s="130">
        <v>9.2066470218694896E-4</v>
      </c>
      <c r="G382" s="129">
        <v>7.0430849717301589</v>
      </c>
      <c r="H382" s="125"/>
      <c r="I382" s="132">
        <v>7.0430849717301589</v>
      </c>
      <c r="J382" s="133">
        <f>SUM(G382*0.125)/92</f>
        <v>9.5694089289811938E-3</v>
      </c>
      <c r="K382" s="133"/>
    </row>
    <row r="383" spans="1:11" s="117" customFormat="1" ht="13.5" customHeight="1">
      <c r="A383" s="127"/>
      <c r="B383" s="119"/>
      <c r="C383" s="127"/>
      <c r="D383" s="128"/>
      <c r="E383" s="129"/>
      <c r="F383" s="130"/>
      <c r="G383" s="129">
        <f>SUM(G371:G382)</f>
        <v>60.150297412046818</v>
      </c>
      <c r="H383" s="125"/>
      <c r="I383" s="125"/>
      <c r="J383" s="133"/>
      <c r="K383" s="133"/>
    </row>
    <row r="384" spans="1:11" ht="13.5" customHeight="1">
      <c r="A384" s="119" t="s">
        <v>484</v>
      </c>
      <c r="B384" s="119" t="s">
        <v>534</v>
      </c>
      <c r="C384" s="119" t="s">
        <v>521</v>
      </c>
      <c r="D384" s="120" t="s">
        <v>84</v>
      </c>
      <c r="E384" s="121">
        <v>4873.6662281999998</v>
      </c>
      <c r="F384" s="122">
        <v>1.2999999999999999E-3</v>
      </c>
      <c r="G384" s="121">
        <v>6.3357660966599996</v>
      </c>
      <c r="H384" s="125"/>
      <c r="I384" s="125"/>
      <c r="J384" s="126"/>
      <c r="K384" s="126"/>
    </row>
    <row r="385" spans="1:11" ht="13.5" customHeight="1">
      <c r="A385" s="119" t="s">
        <v>484</v>
      </c>
      <c r="B385" s="119" t="s">
        <v>534</v>
      </c>
      <c r="C385" s="119" t="s">
        <v>522</v>
      </c>
      <c r="D385" s="120" t="s">
        <v>84</v>
      </c>
      <c r="E385" s="121">
        <v>2414.3558399999997</v>
      </c>
      <c r="F385" s="122">
        <v>1.4E-3</v>
      </c>
      <c r="G385" s="121">
        <v>3.3800981759999997</v>
      </c>
      <c r="H385" s="125"/>
      <c r="I385" s="125"/>
      <c r="J385" s="126"/>
      <c r="K385" s="126"/>
    </row>
    <row r="386" spans="1:11" ht="13.5" customHeight="1">
      <c r="A386" s="119" t="s">
        <v>484</v>
      </c>
      <c r="B386" s="119" t="s">
        <v>534</v>
      </c>
      <c r="C386" s="119" t="s">
        <v>523</v>
      </c>
      <c r="D386" s="120" t="s">
        <v>84</v>
      </c>
      <c r="E386" s="121">
        <v>774.18022439999993</v>
      </c>
      <c r="F386" s="122">
        <v>1.14E-3</v>
      </c>
      <c r="G386" s="121">
        <v>0.88256545581599988</v>
      </c>
      <c r="H386" s="125"/>
      <c r="I386" s="125"/>
      <c r="J386" s="126"/>
      <c r="K386" s="126"/>
    </row>
    <row r="387" spans="1:11" ht="13.5" customHeight="1">
      <c r="A387" s="119" t="s">
        <v>484</v>
      </c>
      <c r="B387" s="119" t="s">
        <v>534</v>
      </c>
      <c r="C387" s="119" t="s">
        <v>524</v>
      </c>
      <c r="D387" s="120" t="s">
        <v>84</v>
      </c>
      <c r="E387" s="121">
        <v>257.66060099999999</v>
      </c>
      <c r="F387" s="122">
        <v>1E-3</v>
      </c>
      <c r="G387" s="121">
        <v>0.25766060099999999</v>
      </c>
      <c r="H387" s="125"/>
      <c r="I387" s="125"/>
      <c r="J387" s="126"/>
      <c r="K387" s="126"/>
    </row>
    <row r="388" spans="1:11" ht="13.5" customHeight="1">
      <c r="A388" s="119" t="s">
        <v>484</v>
      </c>
      <c r="B388" s="119" t="s">
        <v>534</v>
      </c>
      <c r="C388" s="119" t="s">
        <v>525</v>
      </c>
      <c r="D388" s="120" t="s">
        <v>84</v>
      </c>
      <c r="E388" s="121">
        <v>18676.030076399999</v>
      </c>
      <c r="F388" s="122">
        <v>1.4E-3</v>
      </c>
      <c r="G388" s="121">
        <v>26.146442106959999</v>
      </c>
      <c r="H388" s="125"/>
      <c r="I388" s="125"/>
      <c r="J388" s="126"/>
      <c r="K388" s="126"/>
    </row>
    <row r="389" spans="1:11" ht="13.5" customHeight="1">
      <c r="A389" s="119" t="s">
        <v>484</v>
      </c>
      <c r="B389" s="119" t="s">
        <v>534</v>
      </c>
      <c r="C389" s="119" t="s">
        <v>526</v>
      </c>
      <c r="D389" s="120" t="s">
        <v>84</v>
      </c>
      <c r="E389" s="121">
        <v>5987.7450312000001</v>
      </c>
      <c r="F389" s="122">
        <v>1.14E-3</v>
      </c>
      <c r="G389" s="121">
        <v>6.8260293355680002</v>
      </c>
      <c r="H389" s="125"/>
      <c r="I389" s="125"/>
      <c r="J389" s="126"/>
      <c r="K389" s="126"/>
    </row>
    <row r="390" spans="1:11" ht="13.5" customHeight="1">
      <c r="A390" s="119" t="s">
        <v>484</v>
      </c>
      <c r="B390" s="119" t="s">
        <v>534</v>
      </c>
      <c r="C390" s="119" t="s">
        <v>527</v>
      </c>
      <c r="D390" s="120" t="s">
        <v>84</v>
      </c>
      <c r="E390" s="121">
        <v>1996.4010312</v>
      </c>
      <c r="F390" s="122">
        <v>1E-3</v>
      </c>
      <c r="G390" s="121">
        <v>1.9964010312</v>
      </c>
      <c r="H390" s="125"/>
      <c r="I390" s="125"/>
      <c r="J390" s="126"/>
      <c r="K390" s="126"/>
    </row>
    <row r="391" spans="1:11" ht="13.5" customHeight="1">
      <c r="A391" s="119" t="s">
        <v>484</v>
      </c>
      <c r="B391" s="119" t="s">
        <v>534</v>
      </c>
      <c r="C391" s="119" t="s">
        <v>528</v>
      </c>
      <c r="D391" s="120" t="s">
        <v>84</v>
      </c>
      <c r="E391" s="121">
        <v>10300.72559</v>
      </c>
      <c r="F391" s="122">
        <v>1.9E-3</v>
      </c>
      <c r="G391" s="121">
        <v>19.571378621000001</v>
      </c>
      <c r="H391" s="125"/>
      <c r="I391" s="125"/>
      <c r="J391" s="126"/>
      <c r="K391" s="126"/>
    </row>
    <row r="392" spans="1:11" ht="13.5" customHeight="1">
      <c r="A392" s="119" t="s">
        <v>484</v>
      </c>
      <c r="B392" s="119" t="s">
        <v>534</v>
      </c>
      <c r="C392" s="119" t="s">
        <v>529</v>
      </c>
      <c r="D392" s="120" t="s">
        <v>84</v>
      </c>
      <c r="E392" s="121">
        <v>659.20711679999999</v>
      </c>
      <c r="F392" s="122">
        <v>9.2066470218694896E-4</v>
      </c>
      <c r="G392" s="121">
        <v>0.60690872386818928</v>
      </c>
      <c r="H392" s="125"/>
      <c r="I392" s="125"/>
      <c r="J392" s="126"/>
      <c r="K392" s="126"/>
    </row>
    <row r="393" spans="1:11" ht="13.5" customHeight="1">
      <c r="A393" s="119" t="s">
        <v>484</v>
      </c>
      <c r="B393" s="119" t="s">
        <v>534</v>
      </c>
      <c r="C393" s="119" t="s">
        <v>530</v>
      </c>
      <c r="D393" s="120" t="s">
        <v>84</v>
      </c>
      <c r="E393" s="121">
        <v>582.87571739999998</v>
      </c>
      <c r="F393" s="122">
        <v>1.2999999999999999E-3</v>
      </c>
      <c r="G393" s="121">
        <v>0.75773843261999996</v>
      </c>
      <c r="H393" s="125"/>
      <c r="I393" s="125"/>
      <c r="J393" s="126"/>
      <c r="K393" s="126"/>
    </row>
    <row r="394" spans="1:11" ht="13.5" customHeight="1">
      <c r="A394" s="119" t="s">
        <v>484</v>
      </c>
      <c r="B394" s="119" t="s">
        <v>534</v>
      </c>
      <c r="C394" s="119" t="s">
        <v>531</v>
      </c>
      <c r="D394" s="120" t="s">
        <v>84</v>
      </c>
      <c r="E394" s="121">
        <v>1862.3354931000001</v>
      </c>
      <c r="F394" s="122">
        <v>3.8419999999999999E-3</v>
      </c>
      <c r="G394" s="121">
        <v>7.1550929644902004</v>
      </c>
      <c r="H394" s="125">
        <f>SUM(G384:G394)</f>
        <v>73.916081545182379</v>
      </c>
      <c r="I394" s="125"/>
      <c r="J394" s="126"/>
      <c r="K394" s="126"/>
    </row>
    <row r="395" spans="1:11" s="117" customFormat="1" ht="13.5" customHeight="1">
      <c r="A395" s="127" t="s">
        <v>484</v>
      </c>
      <c r="B395" s="119" t="s">
        <v>534</v>
      </c>
      <c r="C395" s="127" t="s">
        <v>532</v>
      </c>
      <c r="D395" s="128" t="s">
        <v>84</v>
      </c>
      <c r="E395" s="129">
        <v>365.65394759999998</v>
      </c>
      <c r="F395" s="130">
        <v>9.2066470218694896E-4</v>
      </c>
      <c r="G395" s="129">
        <v>0.33664468277063625</v>
      </c>
      <c r="H395" s="125"/>
      <c r="I395" s="132">
        <v>0.33664468277063625</v>
      </c>
      <c r="J395" s="133">
        <f>SUM(G395*0.125)/92</f>
        <v>4.5739766680792969E-4</v>
      </c>
      <c r="K395" s="133"/>
    </row>
    <row r="396" spans="1:11" s="117" customFormat="1" ht="13.5" customHeight="1">
      <c r="A396" s="127"/>
      <c r="B396" s="119"/>
      <c r="C396" s="127"/>
      <c r="D396" s="128"/>
      <c r="E396" s="129"/>
      <c r="F396" s="130"/>
      <c r="G396" s="129">
        <f>SUM(G384:G395)</f>
        <v>74.252726227953019</v>
      </c>
      <c r="H396" s="125"/>
      <c r="I396" s="125"/>
      <c r="J396" s="133"/>
      <c r="K396" s="133"/>
    </row>
    <row r="397" spans="1:11" ht="13.5" customHeight="1">
      <c r="A397" s="119" t="s">
        <v>486</v>
      </c>
      <c r="B397" s="119" t="s">
        <v>39</v>
      </c>
      <c r="C397" s="119" t="s">
        <v>521</v>
      </c>
      <c r="D397" s="120" t="s">
        <v>84</v>
      </c>
      <c r="E397" s="121">
        <v>71.367281800000001</v>
      </c>
      <c r="F397" s="122">
        <v>1.2999999999999999E-3</v>
      </c>
      <c r="G397" s="121">
        <v>9.2777466340000003E-2</v>
      </c>
      <c r="H397" s="125"/>
      <c r="I397" s="125"/>
      <c r="J397" s="126"/>
      <c r="K397" s="126"/>
    </row>
    <row r="398" spans="1:11" ht="13.5" customHeight="1">
      <c r="A398" s="119" t="s">
        <v>486</v>
      </c>
      <c r="B398" s="119" t="s">
        <v>39</v>
      </c>
      <c r="C398" s="119" t="s">
        <v>522</v>
      </c>
      <c r="D398" s="120" t="s">
        <v>84</v>
      </c>
      <c r="E398" s="121">
        <v>191.72929799999997</v>
      </c>
      <c r="F398" s="122">
        <v>1.4E-3</v>
      </c>
      <c r="G398" s="121">
        <v>0.26842101719999995</v>
      </c>
      <c r="H398" s="125"/>
      <c r="I398" s="125"/>
      <c r="J398" s="126"/>
      <c r="K398" s="126"/>
    </row>
    <row r="399" spans="1:11" ht="13.5" customHeight="1">
      <c r="A399" s="119" t="s">
        <v>486</v>
      </c>
      <c r="B399" s="119" t="s">
        <v>39</v>
      </c>
      <c r="C399" s="119" t="s">
        <v>523</v>
      </c>
      <c r="D399" s="120" t="s">
        <v>84</v>
      </c>
      <c r="E399" s="121">
        <v>61.402691000000004</v>
      </c>
      <c r="F399" s="122">
        <v>1.14E-3</v>
      </c>
      <c r="G399" s="121">
        <v>6.9999067740000004E-2</v>
      </c>
      <c r="H399" s="125"/>
      <c r="I399" s="125"/>
      <c r="J399" s="126"/>
      <c r="K399" s="126"/>
    </row>
    <row r="400" spans="1:11" ht="13.5" customHeight="1">
      <c r="A400" s="119" t="s">
        <v>486</v>
      </c>
      <c r="B400" s="119" t="s">
        <v>39</v>
      </c>
      <c r="C400" s="119" t="s">
        <v>524</v>
      </c>
      <c r="D400" s="120" t="s">
        <v>84</v>
      </c>
      <c r="E400" s="121">
        <v>19.4407444</v>
      </c>
      <c r="F400" s="122">
        <v>1E-3</v>
      </c>
      <c r="G400" s="121">
        <v>1.9440744400000001E-2</v>
      </c>
      <c r="H400" s="125"/>
      <c r="I400" s="125"/>
      <c r="J400" s="126"/>
      <c r="K400" s="126"/>
    </row>
    <row r="401" spans="1:11" ht="13.5" customHeight="1">
      <c r="A401" s="119" t="s">
        <v>486</v>
      </c>
      <c r="B401" s="119" t="s">
        <v>39</v>
      </c>
      <c r="C401" s="119" t="s">
        <v>525</v>
      </c>
      <c r="D401" s="120" t="s">
        <v>84</v>
      </c>
      <c r="E401" s="121">
        <v>575.82262639999999</v>
      </c>
      <c r="F401" s="122">
        <v>1.4E-3</v>
      </c>
      <c r="G401" s="121">
        <v>0.80615167696000001</v>
      </c>
      <c r="H401" s="125"/>
      <c r="I401" s="125"/>
      <c r="J401" s="126"/>
      <c r="K401" s="126"/>
    </row>
    <row r="402" spans="1:11" ht="13.5" customHeight="1">
      <c r="A402" s="119" t="s">
        <v>486</v>
      </c>
      <c r="B402" s="119" t="s">
        <v>39</v>
      </c>
      <c r="C402" s="119" t="s">
        <v>526</v>
      </c>
      <c r="D402" s="120" t="s">
        <v>84</v>
      </c>
      <c r="E402" s="121">
        <v>184.23284879999997</v>
      </c>
      <c r="F402" s="122">
        <v>1.14E-3</v>
      </c>
      <c r="G402" s="121">
        <v>0.21002544763199996</v>
      </c>
      <c r="H402" s="125"/>
      <c r="I402" s="125"/>
      <c r="J402" s="126"/>
      <c r="K402" s="126"/>
    </row>
    <row r="403" spans="1:11" ht="13.5" customHeight="1">
      <c r="A403" s="119" t="s">
        <v>486</v>
      </c>
      <c r="B403" s="119" t="s">
        <v>39</v>
      </c>
      <c r="C403" s="119" t="s">
        <v>527</v>
      </c>
      <c r="D403" s="120" t="s">
        <v>84</v>
      </c>
      <c r="E403" s="121">
        <v>61.925342399999998</v>
      </c>
      <c r="F403" s="122">
        <v>1E-3</v>
      </c>
      <c r="G403" s="121">
        <v>6.19253424E-2</v>
      </c>
      <c r="H403" s="125"/>
      <c r="I403" s="125"/>
      <c r="J403" s="126"/>
      <c r="K403" s="126"/>
    </row>
    <row r="404" spans="1:11" ht="13.5" customHeight="1">
      <c r="A404" s="119" t="s">
        <v>486</v>
      </c>
      <c r="B404" s="119" t="s">
        <v>39</v>
      </c>
      <c r="C404" s="119" t="s">
        <v>528</v>
      </c>
      <c r="D404" s="120" t="s">
        <v>84</v>
      </c>
      <c r="E404" s="121">
        <v>239.60031000000001</v>
      </c>
      <c r="F404" s="122">
        <v>1.9E-3</v>
      </c>
      <c r="G404" s="121">
        <v>0.45524058900000003</v>
      </c>
      <c r="H404" s="125"/>
      <c r="I404" s="125"/>
      <c r="J404" s="126"/>
      <c r="K404" s="126"/>
    </row>
    <row r="405" spans="1:11" ht="13.5" customHeight="1">
      <c r="A405" s="119" t="s">
        <v>486</v>
      </c>
      <c r="B405" s="119" t="s">
        <v>39</v>
      </c>
      <c r="C405" s="119" t="s">
        <v>529</v>
      </c>
      <c r="D405" s="120" t="s">
        <v>84</v>
      </c>
      <c r="E405" s="121">
        <v>4750.073006399999</v>
      </c>
      <c r="F405" s="122">
        <v>9.2066470218694896E-4</v>
      </c>
      <c r="G405" s="121">
        <v>4.3732245498035205</v>
      </c>
      <c r="H405" s="125"/>
      <c r="I405" s="125"/>
      <c r="J405" s="126"/>
      <c r="K405" s="126"/>
    </row>
    <row r="406" spans="1:11" ht="13.5" customHeight="1">
      <c r="A406" s="119" t="s">
        <v>486</v>
      </c>
      <c r="B406" s="119" t="s">
        <v>39</v>
      </c>
      <c r="C406" s="119" t="s">
        <v>530</v>
      </c>
      <c r="D406" s="120" t="s">
        <v>84</v>
      </c>
      <c r="E406" s="121">
        <v>14.083272600000001</v>
      </c>
      <c r="F406" s="122">
        <v>1.2999999999999999E-3</v>
      </c>
      <c r="G406" s="121">
        <v>1.830825438E-2</v>
      </c>
      <c r="H406" s="125"/>
      <c r="I406" s="125"/>
      <c r="J406" s="126"/>
      <c r="K406" s="126"/>
    </row>
    <row r="407" spans="1:11" ht="13.5" customHeight="1">
      <c r="A407" s="119" t="s">
        <v>486</v>
      </c>
      <c r="B407" s="119" t="s">
        <v>39</v>
      </c>
      <c r="C407" s="119" t="s">
        <v>531</v>
      </c>
      <c r="D407" s="120" t="s">
        <v>84</v>
      </c>
      <c r="E407" s="121">
        <v>18.349147800000001</v>
      </c>
      <c r="F407" s="122">
        <v>3.8419999999999999E-3</v>
      </c>
      <c r="G407" s="121">
        <v>7.0497425847600007E-2</v>
      </c>
      <c r="H407" s="125">
        <f>SUM(G397:G407)</f>
        <v>6.4460115817031207</v>
      </c>
      <c r="I407" s="125"/>
      <c r="J407" s="126"/>
      <c r="K407" s="126"/>
    </row>
    <row r="408" spans="1:11" s="117" customFormat="1" ht="13.5" customHeight="1">
      <c r="A408" s="127" t="s">
        <v>486</v>
      </c>
      <c r="B408" s="119" t="s">
        <v>39</v>
      </c>
      <c r="C408" s="127" t="s">
        <v>532</v>
      </c>
      <c r="D408" s="128" t="s">
        <v>84</v>
      </c>
      <c r="E408" s="129">
        <v>2637.6033527999998</v>
      </c>
      <c r="F408" s="130">
        <v>9.2066470218694896E-4</v>
      </c>
      <c r="G408" s="129">
        <v>2.4283483052929098</v>
      </c>
      <c r="H408" s="125"/>
      <c r="I408" s="132">
        <v>2.4283483052929098</v>
      </c>
      <c r="J408" s="133">
        <f>SUM(G408*0.125)/92</f>
        <v>3.2993862843653664E-3</v>
      </c>
      <c r="K408" s="133"/>
    </row>
    <row r="409" spans="1:11" s="117" customFormat="1" ht="13.5" customHeight="1">
      <c r="A409" s="127"/>
      <c r="B409" s="119"/>
      <c r="C409" s="127"/>
      <c r="D409" s="128"/>
      <c r="E409" s="129"/>
      <c r="F409" s="130"/>
      <c r="G409" s="129">
        <f>SUM(G397:G408)</f>
        <v>8.8743598869960305</v>
      </c>
      <c r="H409" s="125"/>
      <c r="I409" s="125"/>
      <c r="J409" s="133"/>
      <c r="K409" s="133"/>
    </row>
    <row r="410" spans="1:11" ht="13.5" customHeight="1">
      <c r="A410" s="119" t="s">
        <v>488</v>
      </c>
      <c r="B410" s="119" t="s">
        <v>40</v>
      </c>
      <c r="C410" s="119" t="s">
        <v>521</v>
      </c>
      <c r="D410" s="120" t="s">
        <v>84</v>
      </c>
      <c r="E410" s="121">
        <v>17454.833400000003</v>
      </c>
      <c r="F410" s="122">
        <v>1.2999999999999999E-3</v>
      </c>
      <c r="G410" s="121">
        <v>22.691283420000001</v>
      </c>
      <c r="H410" s="125"/>
      <c r="I410" s="125"/>
      <c r="J410" s="126"/>
      <c r="K410" s="126"/>
    </row>
    <row r="411" spans="1:11" ht="13.5" customHeight="1">
      <c r="A411" s="119" t="s">
        <v>488</v>
      </c>
      <c r="B411" s="119" t="s">
        <v>40</v>
      </c>
      <c r="C411" s="119" t="s">
        <v>522</v>
      </c>
      <c r="D411" s="120" t="s">
        <v>84</v>
      </c>
      <c r="E411" s="121">
        <v>23561.176650000001</v>
      </c>
      <c r="F411" s="122">
        <v>1.4E-3</v>
      </c>
      <c r="G411" s="121">
        <v>32.985647310000004</v>
      </c>
      <c r="H411" s="125"/>
      <c r="I411" s="125"/>
      <c r="J411" s="126"/>
      <c r="K411" s="126"/>
    </row>
    <row r="412" spans="1:11" ht="13.5" customHeight="1">
      <c r="A412" s="119" t="s">
        <v>488</v>
      </c>
      <c r="B412" s="119" t="s">
        <v>40</v>
      </c>
      <c r="C412" s="119" t="s">
        <v>523</v>
      </c>
      <c r="D412" s="120" t="s">
        <v>84</v>
      </c>
      <c r="E412" s="121">
        <v>7658.2344000000003</v>
      </c>
      <c r="F412" s="122">
        <v>1.14E-3</v>
      </c>
      <c r="G412" s="121">
        <v>8.7303872160000004</v>
      </c>
      <c r="H412" s="125"/>
      <c r="I412" s="125"/>
      <c r="J412" s="126"/>
      <c r="K412" s="126"/>
    </row>
    <row r="413" spans="1:11" ht="13.5" customHeight="1">
      <c r="A413" s="119" t="s">
        <v>488</v>
      </c>
      <c r="B413" s="119" t="s">
        <v>40</v>
      </c>
      <c r="C413" s="119" t="s">
        <v>524</v>
      </c>
      <c r="D413" s="120" t="s">
        <v>84</v>
      </c>
      <c r="E413" s="121">
        <v>2663.6983200000004</v>
      </c>
      <c r="F413" s="122">
        <v>1E-3</v>
      </c>
      <c r="G413" s="121">
        <v>2.6636983200000004</v>
      </c>
      <c r="H413" s="125"/>
      <c r="I413" s="125"/>
      <c r="J413" s="126"/>
      <c r="K413" s="126"/>
    </row>
    <row r="414" spans="1:11" ht="13.5" customHeight="1">
      <c r="A414" s="119" t="s">
        <v>488</v>
      </c>
      <c r="B414" s="119" t="s">
        <v>40</v>
      </c>
      <c r="C414" s="119" t="s">
        <v>525</v>
      </c>
      <c r="D414" s="120" t="s">
        <v>84</v>
      </c>
      <c r="E414" s="121">
        <v>37526.772780000007</v>
      </c>
      <c r="F414" s="122">
        <v>1.4E-3</v>
      </c>
      <c r="G414" s="121">
        <v>52.53748189200001</v>
      </c>
      <c r="H414" s="125"/>
      <c r="I414" s="125"/>
      <c r="J414" s="126"/>
      <c r="K414" s="126"/>
    </row>
    <row r="415" spans="1:11" ht="13.5" customHeight="1">
      <c r="A415" s="119" t="s">
        <v>488</v>
      </c>
      <c r="B415" s="119" t="s">
        <v>40</v>
      </c>
      <c r="C415" s="119" t="s">
        <v>526</v>
      </c>
      <c r="D415" s="120" t="s">
        <v>84</v>
      </c>
      <c r="E415" s="121">
        <v>12393.15552</v>
      </c>
      <c r="F415" s="122">
        <v>1.14E-3</v>
      </c>
      <c r="G415" s="121">
        <v>14.128197292799999</v>
      </c>
      <c r="H415" s="125"/>
      <c r="I415" s="125"/>
      <c r="J415" s="126"/>
      <c r="K415" s="126"/>
    </row>
    <row r="416" spans="1:11" ht="13.5" customHeight="1">
      <c r="A416" s="119" t="s">
        <v>488</v>
      </c>
      <c r="B416" s="119" t="s">
        <v>40</v>
      </c>
      <c r="C416" s="119" t="s">
        <v>527</v>
      </c>
      <c r="D416" s="120" t="s">
        <v>84</v>
      </c>
      <c r="E416" s="121">
        <v>4283.6468400000003</v>
      </c>
      <c r="F416" s="122">
        <v>1E-3</v>
      </c>
      <c r="G416" s="121">
        <v>4.2836468400000003</v>
      </c>
      <c r="H416" s="125"/>
      <c r="I416" s="125"/>
      <c r="J416" s="126"/>
      <c r="K416" s="126"/>
    </row>
    <row r="417" spans="1:11" ht="13.5" customHeight="1">
      <c r="A417" s="119" t="s">
        <v>488</v>
      </c>
      <c r="B417" s="119" t="s">
        <v>40</v>
      </c>
      <c r="C417" s="119" t="s">
        <v>528</v>
      </c>
      <c r="D417" s="120" t="s">
        <v>84</v>
      </c>
      <c r="E417" s="121">
        <v>4126</v>
      </c>
      <c r="F417" s="122">
        <v>1.9E-3</v>
      </c>
      <c r="G417" s="121">
        <v>7.8394000000000004</v>
      </c>
      <c r="H417" s="125"/>
      <c r="I417" s="125"/>
      <c r="J417" s="126"/>
      <c r="K417" s="126"/>
    </row>
    <row r="418" spans="1:11" ht="13.5" customHeight="1">
      <c r="A418" s="119" t="s">
        <v>488</v>
      </c>
      <c r="B418" s="119" t="s">
        <v>40</v>
      </c>
      <c r="C418" s="119" t="s">
        <v>529</v>
      </c>
      <c r="D418" s="120" t="s">
        <v>84</v>
      </c>
      <c r="E418" s="121">
        <v>598.17240000000004</v>
      </c>
      <c r="F418" s="122">
        <v>9.2066470218694896E-4</v>
      </c>
      <c r="G418" s="121">
        <v>0.55071621450245256</v>
      </c>
      <c r="H418" s="125"/>
      <c r="I418" s="125"/>
      <c r="J418" s="126"/>
      <c r="K418" s="126"/>
    </row>
    <row r="419" spans="1:11" ht="13.5" customHeight="1">
      <c r="A419" s="119" t="s">
        <v>488</v>
      </c>
      <c r="B419" s="119" t="s">
        <v>40</v>
      </c>
      <c r="C419" s="119" t="s">
        <v>530</v>
      </c>
      <c r="D419" s="120" t="s">
        <v>84</v>
      </c>
      <c r="E419" s="121">
        <v>20975.737184400004</v>
      </c>
      <c r="F419" s="122">
        <v>1.2999999999999999E-3</v>
      </c>
      <c r="G419" s="121">
        <v>27.268458339720006</v>
      </c>
      <c r="H419" s="125"/>
      <c r="I419" s="125"/>
      <c r="J419" s="126"/>
      <c r="K419" s="126"/>
    </row>
    <row r="420" spans="1:11" ht="13.5" customHeight="1">
      <c r="A420" s="119" t="s">
        <v>488</v>
      </c>
      <c r="B420" s="119" t="s">
        <v>40</v>
      </c>
      <c r="C420" s="119" t="s">
        <v>531</v>
      </c>
      <c r="D420" s="120" t="s">
        <v>84</v>
      </c>
      <c r="E420" s="121">
        <v>0</v>
      </c>
      <c r="F420" s="122">
        <v>3.8419999999999999E-3</v>
      </c>
      <c r="G420" s="121">
        <v>0</v>
      </c>
      <c r="H420" s="125">
        <f>SUM(G410:G420)</f>
        <v>173.67891684502246</v>
      </c>
      <c r="I420" s="125"/>
      <c r="J420" s="126"/>
      <c r="K420" s="126"/>
    </row>
    <row r="421" spans="1:11" s="117" customFormat="1" ht="13.5" customHeight="1">
      <c r="A421" s="127" t="s">
        <v>488</v>
      </c>
      <c r="B421" s="119" t="s">
        <v>40</v>
      </c>
      <c r="C421" s="127" t="s">
        <v>532</v>
      </c>
      <c r="D421" s="128" t="s">
        <v>84</v>
      </c>
      <c r="E421" s="129">
        <v>585.96480000000008</v>
      </c>
      <c r="F421" s="130">
        <v>9.2066470218694896E-4</v>
      </c>
      <c r="G421" s="129">
        <v>0.53947710808403515</v>
      </c>
      <c r="H421" s="125"/>
      <c r="I421" s="132">
        <v>0.53947710808403515</v>
      </c>
      <c r="J421" s="133">
        <f>SUM(G421*0.125)/92</f>
        <v>7.3298520120113476E-4</v>
      </c>
      <c r="K421" s="133"/>
    </row>
    <row r="422" spans="1:11" s="117" customFormat="1" ht="13.5" customHeight="1">
      <c r="A422" s="127"/>
      <c r="B422" s="119"/>
      <c r="C422" s="127"/>
      <c r="D422" s="128"/>
      <c r="E422" s="129"/>
      <c r="F422" s="130"/>
      <c r="G422" s="129">
        <f>SUM(G410:G421)</f>
        <v>174.2183939531065</v>
      </c>
      <c r="H422" s="125"/>
      <c r="I422" s="125"/>
      <c r="J422" s="133"/>
      <c r="K422" s="133"/>
    </row>
    <row r="423" spans="1:11" ht="13.5" customHeight="1">
      <c r="A423" s="119" t="s">
        <v>490</v>
      </c>
      <c r="B423" s="119" t="s">
        <v>535</v>
      </c>
      <c r="C423" s="119" t="s">
        <v>521</v>
      </c>
      <c r="D423" s="120" t="s">
        <v>84</v>
      </c>
      <c r="E423" s="121">
        <v>2325.7644</v>
      </c>
      <c r="F423" s="122">
        <v>1.2999999999999999E-3</v>
      </c>
      <c r="G423" s="121">
        <v>3.0234937199999998</v>
      </c>
      <c r="H423" s="125"/>
      <c r="I423" s="125"/>
      <c r="J423" s="126"/>
      <c r="K423" s="126"/>
    </row>
    <row r="424" spans="1:11" ht="13.5" customHeight="1">
      <c r="A424" s="119" t="s">
        <v>490</v>
      </c>
      <c r="B424" s="119" t="s">
        <v>535</v>
      </c>
      <c r="C424" s="119" t="s">
        <v>522</v>
      </c>
      <c r="D424" s="120" t="s">
        <v>84</v>
      </c>
      <c r="E424" s="121">
        <v>3141.3087</v>
      </c>
      <c r="F424" s="122">
        <v>1.4E-3</v>
      </c>
      <c r="G424" s="121">
        <v>4.39783218</v>
      </c>
      <c r="H424" s="125"/>
      <c r="I424" s="125"/>
      <c r="J424" s="126"/>
      <c r="K424" s="126"/>
    </row>
    <row r="425" spans="1:11" ht="13.5" customHeight="1">
      <c r="A425" s="119" t="s">
        <v>490</v>
      </c>
      <c r="B425" s="119" t="s">
        <v>535</v>
      </c>
      <c r="C425" s="119" t="s">
        <v>523</v>
      </c>
      <c r="D425" s="120" t="s">
        <v>84</v>
      </c>
      <c r="E425" s="121">
        <v>1018.8578399999999</v>
      </c>
      <c r="F425" s="122">
        <v>1.14E-3</v>
      </c>
      <c r="G425" s="121">
        <v>1.1614979375999999</v>
      </c>
      <c r="H425" s="125"/>
      <c r="I425" s="125"/>
      <c r="J425" s="126"/>
      <c r="K425" s="126"/>
    </row>
    <row r="426" spans="1:11" ht="13.5" customHeight="1">
      <c r="A426" s="119" t="s">
        <v>490</v>
      </c>
      <c r="B426" s="119" t="s">
        <v>535</v>
      </c>
      <c r="C426" s="119" t="s">
        <v>524</v>
      </c>
      <c r="D426" s="120" t="s">
        <v>84</v>
      </c>
      <c r="E426" s="121">
        <v>355.22615999999994</v>
      </c>
      <c r="F426" s="122">
        <v>1E-3</v>
      </c>
      <c r="G426" s="121">
        <v>0.35522615999999996</v>
      </c>
      <c r="H426" s="125"/>
      <c r="I426" s="125"/>
      <c r="J426" s="126"/>
      <c r="K426" s="126"/>
    </row>
    <row r="427" spans="1:11" ht="13.5" customHeight="1">
      <c r="A427" s="119" t="s">
        <v>490</v>
      </c>
      <c r="B427" s="119" t="s">
        <v>535</v>
      </c>
      <c r="C427" s="119" t="s">
        <v>525</v>
      </c>
      <c r="D427" s="120" t="s">
        <v>84</v>
      </c>
      <c r="E427" s="121">
        <v>4997.0854799999997</v>
      </c>
      <c r="F427" s="122">
        <v>1.4E-3</v>
      </c>
      <c r="G427" s="121">
        <v>6.9959196719999994</v>
      </c>
      <c r="H427" s="125"/>
      <c r="I427" s="125"/>
      <c r="J427" s="126"/>
      <c r="K427" s="126"/>
    </row>
    <row r="428" spans="1:11" ht="13.5" customHeight="1">
      <c r="A428" s="119" t="s">
        <v>490</v>
      </c>
      <c r="B428" s="119" t="s">
        <v>535</v>
      </c>
      <c r="C428" s="119" t="s">
        <v>526</v>
      </c>
      <c r="D428" s="120" t="s">
        <v>84</v>
      </c>
      <c r="E428" s="121">
        <v>1651.4454000000001</v>
      </c>
      <c r="F428" s="122">
        <v>1.14E-3</v>
      </c>
      <c r="G428" s="121">
        <v>1.8826477559999999</v>
      </c>
      <c r="H428" s="125"/>
      <c r="I428" s="125"/>
      <c r="J428" s="126"/>
      <c r="K428" s="126"/>
    </row>
    <row r="429" spans="1:11" ht="13.5" customHeight="1">
      <c r="A429" s="119" t="s">
        <v>490</v>
      </c>
      <c r="B429" s="119" t="s">
        <v>535</v>
      </c>
      <c r="C429" s="119" t="s">
        <v>527</v>
      </c>
      <c r="D429" s="120" t="s">
        <v>84</v>
      </c>
      <c r="E429" s="121">
        <v>570.4993199999999</v>
      </c>
      <c r="F429" s="122">
        <v>1E-3</v>
      </c>
      <c r="G429" s="121">
        <v>0.57049931999999992</v>
      </c>
      <c r="H429" s="125"/>
      <c r="I429" s="125"/>
      <c r="J429" s="126"/>
      <c r="K429" s="126"/>
    </row>
    <row r="430" spans="1:11" ht="13.5" customHeight="1">
      <c r="A430" s="119" t="s">
        <v>490</v>
      </c>
      <c r="B430" s="119" t="s">
        <v>535</v>
      </c>
      <c r="C430" s="119" t="s">
        <v>528</v>
      </c>
      <c r="D430" s="120" t="s">
        <v>84</v>
      </c>
      <c r="E430" s="121">
        <v>947</v>
      </c>
      <c r="F430" s="122">
        <v>1.9E-3</v>
      </c>
      <c r="G430" s="121">
        <v>1.7992999999999999</v>
      </c>
      <c r="H430" s="125"/>
      <c r="I430" s="125"/>
      <c r="J430" s="126"/>
      <c r="K430" s="126"/>
    </row>
    <row r="431" spans="1:11" ht="13.5" customHeight="1">
      <c r="A431" s="119" t="s">
        <v>490</v>
      </c>
      <c r="B431" s="119" t="s">
        <v>535</v>
      </c>
      <c r="C431" s="119" t="s">
        <v>529</v>
      </c>
      <c r="D431" s="120" t="s">
        <v>84</v>
      </c>
      <c r="E431" s="121">
        <v>11132.625</v>
      </c>
      <c r="F431" s="122">
        <v>9.2066470218694896E-4</v>
      </c>
      <c r="G431" s="121">
        <v>10.249414880183982</v>
      </c>
      <c r="H431" s="125"/>
      <c r="I431" s="125"/>
      <c r="J431" s="126"/>
      <c r="K431" s="126"/>
    </row>
    <row r="432" spans="1:11" ht="13.5" customHeight="1">
      <c r="A432" s="119" t="s">
        <v>490</v>
      </c>
      <c r="B432" s="119" t="s">
        <v>535</v>
      </c>
      <c r="C432" s="119" t="s">
        <v>530</v>
      </c>
      <c r="D432" s="120" t="s">
        <v>84</v>
      </c>
      <c r="E432" s="121">
        <v>3494.7434616</v>
      </c>
      <c r="F432" s="122">
        <v>1.2999999999999999E-3</v>
      </c>
      <c r="G432" s="121">
        <v>4.5431665000799999</v>
      </c>
      <c r="H432" s="125"/>
      <c r="I432" s="125"/>
      <c r="J432" s="126"/>
      <c r="K432" s="126"/>
    </row>
    <row r="433" spans="1:11" ht="13.5" customHeight="1">
      <c r="A433" s="119" t="s">
        <v>490</v>
      </c>
      <c r="B433" s="119" t="s">
        <v>535</v>
      </c>
      <c r="C433" s="119" t="s">
        <v>531</v>
      </c>
      <c r="D433" s="120" t="s">
        <v>84</v>
      </c>
      <c r="E433" s="121">
        <v>0</v>
      </c>
      <c r="F433" s="122">
        <v>3.8419999999999999E-3</v>
      </c>
      <c r="G433" s="121">
        <v>0</v>
      </c>
      <c r="H433" s="125">
        <f>SUM(G423:G433)</f>
        <v>34.978998125863981</v>
      </c>
      <c r="I433" s="125"/>
      <c r="J433" s="126"/>
      <c r="K433" s="126"/>
    </row>
    <row r="434" spans="1:11" s="117" customFormat="1" ht="13.5" customHeight="1">
      <c r="A434" s="127" t="s">
        <v>490</v>
      </c>
      <c r="B434" s="119" t="s">
        <v>535</v>
      </c>
      <c r="C434" s="127" t="s">
        <v>532</v>
      </c>
      <c r="D434" s="128" t="s">
        <v>84</v>
      </c>
      <c r="E434" s="129">
        <v>10595.714400000001</v>
      </c>
      <c r="F434" s="130">
        <v>9.2066470218694896E-4</v>
      </c>
      <c r="G434" s="129">
        <v>9.7551002425339668</v>
      </c>
      <c r="H434" s="125"/>
      <c r="I434" s="132">
        <v>9.7551002425339668</v>
      </c>
      <c r="J434" s="133">
        <f>SUM(G434*0.125)/92</f>
        <v>1.3254212286051585E-2</v>
      </c>
      <c r="K434" s="133"/>
    </row>
    <row r="435" spans="1:11" s="117" customFormat="1" ht="13.5" customHeight="1">
      <c r="A435" s="127"/>
      <c r="B435" s="119"/>
      <c r="C435" s="127"/>
      <c r="D435" s="128"/>
      <c r="E435" s="129"/>
      <c r="F435" s="130"/>
      <c r="G435" s="129">
        <f>SUM(G423:G434)</f>
        <v>44.734098368397952</v>
      </c>
      <c r="H435" s="125"/>
      <c r="I435" s="125"/>
      <c r="J435" s="133"/>
      <c r="K435" s="133"/>
    </row>
    <row r="436" spans="1:11" ht="13.5" customHeight="1">
      <c r="A436" s="119" t="s">
        <v>492</v>
      </c>
      <c r="B436" s="119" t="s">
        <v>536</v>
      </c>
      <c r="C436" s="119" t="s">
        <v>521</v>
      </c>
      <c r="D436" s="120" t="s">
        <v>84</v>
      </c>
      <c r="E436" s="121">
        <v>13319.4879</v>
      </c>
      <c r="F436" s="122">
        <v>1.2999999999999999E-3</v>
      </c>
      <c r="G436" s="121">
        <v>17.315334270000001</v>
      </c>
      <c r="H436" s="125"/>
      <c r="I436" s="125"/>
      <c r="J436" s="126"/>
      <c r="K436" s="126"/>
    </row>
    <row r="437" spans="1:11" ht="13.5" customHeight="1">
      <c r="A437" s="119" t="s">
        <v>492</v>
      </c>
      <c r="B437" s="119" t="s">
        <v>536</v>
      </c>
      <c r="C437" s="119" t="s">
        <v>522</v>
      </c>
      <c r="D437" s="120" t="s">
        <v>84</v>
      </c>
      <c r="E437" s="121">
        <v>17982.018100000001</v>
      </c>
      <c r="F437" s="122">
        <v>1.4E-3</v>
      </c>
      <c r="G437" s="121">
        <v>25.174825340000002</v>
      </c>
      <c r="H437" s="125"/>
      <c r="I437" s="125"/>
      <c r="J437" s="126"/>
      <c r="K437" s="126"/>
    </row>
    <row r="438" spans="1:11" ht="13.5" customHeight="1">
      <c r="A438" s="119" t="s">
        <v>492</v>
      </c>
      <c r="B438" s="119" t="s">
        <v>536</v>
      </c>
      <c r="C438" s="119" t="s">
        <v>523</v>
      </c>
      <c r="D438" s="120" t="s">
        <v>84</v>
      </c>
      <c r="E438" s="121">
        <v>5845.2508799999996</v>
      </c>
      <c r="F438" s="122">
        <v>1.14E-3</v>
      </c>
      <c r="G438" s="121">
        <v>6.6635860031999989</v>
      </c>
      <c r="H438" s="125"/>
      <c r="I438" s="125"/>
      <c r="J438" s="126"/>
      <c r="K438" s="126"/>
    </row>
    <row r="439" spans="1:11" ht="13.5" customHeight="1">
      <c r="A439" s="119" t="s">
        <v>492</v>
      </c>
      <c r="B439" s="119" t="s">
        <v>536</v>
      </c>
      <c r="C439" s="119" t="s">
        <v>524</v>
      </c>
      <c r="D439" s="120" t="s">
        <v>84</v>
      </c>
      <c r="E439" s="121">
        <v>2034.28944</v>
      </c>
      <c r="F439" s="122">
        <v>1E-3</v>
      </c>
      <c r="G439" s="121">
        <v>2.0342894400000002</v>
      </c>
      <c r="H439" s="125"/>
      <c r="I439" s="125"/>
      <c r="J439" s="126"/>
      <c r="K439" s="126"/>
    </row>
    <row r="440" spans="1:11" ht="13.5" customHeight="1">
      <c r="A440" s="119" t="s">
        <v>492</v>
      </c>
      <c r="B440" s="119" t="s">
        <v>536</v>
      </c>
      <c r="C440" s="119" t="s">
        <v>525</v>
      </c>
      <c r="D440" s="120" t="s">
        <v>84</v>
      </c>
      <c r="E440" s="121">
        <v>28638.47208</v>
      </c>
      <c r="F440" s="122">
        <v>1.4E-3</v>
      </c>
      <c r="G440" s="121">
        <v>40.093860911999997</v>
      </c>
      <c r="H440" s="125"/>
      <c r="I440" s="125"/>
      <c r="J440" s="126"/>
      <c r="K440" s="126"/>
    </row>
    <row r="441" spans="1:11" ht="13.5" customHeight="1">
      <c r="A441" s="119" t="s">
        <v>492</v>
      </c>
      <c r="B441" s="119" t="s">
        <v>536</v>
      </c>
      <c r="C441" s="119" t="s">
        <v>526</v>
      </c>
      <c r="D441" s="120" t="s">
        <v>84</v>
      </c>
      <c r="E441" s="121">
        <v>9455.3496799999994</v>
      </c>
      <c r="F441" s="122">
        <v>1.14E-3</v>
      </c>
      <c r="G441" s="121">
        <v>10.779098635199999</v>
      </c>
      <c r="H441" s="125"/>
      <c r="I441" s="125"/>
      <c r="J441" s="126"/>
      <c r="K441" s="126"/>
    </row>
    <row r="442" spans="1:11" ht="13.5" customHeight="1">
      <c r="A442" s="119" t="s">
        <v>492</v>
      </c>
      <c r="B442" s="119" t="s">
        <v>536</v>
      </c>
      <c r="C442" s="119" t="s">
        <v>527</v>
      </c>
      <c r="D442" s="120" t="s">
        <v>84</v>
      </c>
      <c r="E442" s="121">
        <v>3269.0764799999997</v>
      </c>
      <c r="F442" s="122">
        <v>1E-3</v>
      </c>
      <c r="G442" s="121">
        <v>3.2690764799999998</v>
      </c>
      <c r="H442" s="125"/>
      <c r="I442" s="125"/>
      <c r="J442" s="126"/>
      <c r="K442" s="126"/>
    </row>
    <row r="443" spans="1:11" ht="13.5" customHeight="1">
      <c r="A443" s="119" t="s">
        <v>492</v>
      </c>
      <c r="B443" s="119" t="s">
        <v>536</v>
      </c>
      <c r="C443" s="119" t="s">
        <v>528</v>
      </c>
      <c r="D443" s="120" t="s">
        <v>84</v>
      </c>
      <c r="E443" s="121">
        <v>5533</v>
      </c>
      <c r="F443" s="122">
        <v>1.9E-3</v>
      </c>
      <c r="G443" s="121">
        <v>10.512700000000001</v>
      </c>
      <c r="H443" s="125"/>
      <c r="I443" s="125"/>
      <c r="J443" s="126"/>
      <c r="K443" s="126"/>
    </row>
    <row r="444" spans="1:11" ht="13.5" customHeight="1">
      <c r="A444" s="119" t="s">
        <v>492</v>
      </c>
      <c r="B444" s="119" t="s">
        <v>536</v>
      </c>
      <c r="C444" s="119" t="s">
        <v>529</v>
      </c>
      <c r="D444" s="120" t="s">
        <v>84</v>
      </c>
      <c r="E444" s="121">
        <v>1468.222</v>
      </c>
      <c r="F444" s="122">
        <v>9.2066470218694896E-4</v>
      </c>
      <c r="G444" s="121">
        <v>1.3517401703743266</v>
      </c>
      <c r="H444" s="125"/>
      <c r="I444" s="125"/>
      <c r="J444" s="126"/>
      <c r="K444" s="126"/>
    </row>
    <row r="445" spans="1:11" ht="13.5" customHeight="1">
      <c r="A445" s="119" t="s">
        <v>492</v>
      </c>
      <c r="B445" s="119" t="s">
        <v>536</v>
      </c>
      <c r="C445" s="119" t="s">
        <v>530</v>
      </c>
      <c r="D445" s="120" t="s">
        <v>84</v>
      </c>
      <c r="E445" s="121">
        <v>19414.173658399999</v>
      </c>
      <c r="F445" s="122">
        <v>1.2999999999999999E-3</v>
      </c>
      <c r="G445" s="121">
        <v>25.238425755919998</v>
      </c>
      <c r="H445" s="125"/>
      <c r="I445" s="125"/>
      <c r="J445" s="126"/>
      <c r="K445" s="126"/>
    </row>
    <row r="446" spans="1:11" ht="13.5" customHeight="1">
      <c r="A446" s="119" t="s">
        <v>492</v>
      </c>
      <c r="B446" s="119" t="s">
        <v>536</v>
      </c>
      <c r="C446" s="119" t="s">
        <v>531</v>
      </c>
      <c r="D446" s="120" t="s">
        <v>84</v>
      </c>
      <c r="E446" s="121">
        <v>0</v>
      </c>
      <c r="F446" s="122">
        <v>3.8419999999999999E-3</v>
      </c>
      <c r="G446" s="121">
        <v>0</v>
      </c>
      <c r="H446" s="125">
        <f>SUM(G436:G446)</f>
        <v>142.43293700669432</v>
      </c>
      <c r="I446" s="125"/>
      <c r="J446" s="126"/>
      <c r="K446" s="126"/>
    </row>
    <row r="447" spans="1:11" s="117" customFormat="1" ht="13.5" customHeight="1">
      <c r="A447" s="127" t="s">
        <v>492</v>
      </c>
      <c r="B447" s="119" t="s">
        <v>536</v>
      </c>
      <c r="C447" s="127" t="s">
        <v>532</v>
      </c>
      <c r="D447" s="128" t="s">
        <v>84</v>
      </c>
      <c r="E447" s="129">
        <v>1406.5319999999999</v>
      </c>
      <c r="F447" s="130">
        <v>9.2066470218694896E-4</v>
      </c>
      <c r="G447" s="129">
        <v>1.2949443648964136</v>
      </c>
      <c r="H447" s="125"/>
      <c r="I447" s="132">
        <v>1.2949443648964136</v>
      </c>
      <c r="J447" s="133">
        <f>SUM(G447*0.125)/92</f>
        <v>1.7594352783918664E-3</v>
      </c>
      <c r="K447" s="133"/>
    </row>
    <row r="448" spans="1:11" s="117" customFormat="1" ht="13.5" customHeight="1">
      <c r="A448" s="127"/>
      <c r="B448" s="119"/>
      <c r="C448" s="127"/>
      <c r="D448" s="128"/>
      <c r="E448" s="129"/>
      <c r="F448" s="130"/>
      <c r="G448" s="129">
        <f>SUM(G436:G447)</f>
        <v>143.72788137159074</v>
      </c>
      <c r="H448" s="125"/>
      <c r="I448" s="125"/>
      <c r="J448" s="133"/>
      <c r="K448" s="133"/>
    </row>
    <row r="449" spans="1:11" ht="13.5" customHeight="1">
      <c r="A449" s="119" t="s">
        <v>494</v>
      </c>
      <c r="B449" s="119" t="s">
        <v>537</v>
      </c>
      <c r="C449" s="119" t="s">
        <v>521</v>
      </c>
      <c r="D449" s="120" t="s">
        <v>84</v>
      </c>
      <c r="E449" s="121">
        <v>4201.7460000000001</v>
      </c>
      <c r="F449" s="122">
        <v>1.2999999999999999E-3</v>
      </c>
      <c r="G449" s="121">
        <v>5.4622697999999996</v>
      </c>
      <c r="H449" s="125"/>
      <c r="I449" s="125"/>
      <c r="J449" s="126"/>
      <c r="K449" s="126"/>
    </row>
    <row r="450" spans="1:11" ht="13.5" customHeight="1">
      <c r="A450" s="119" t="s">
        <v>494</v>
      </c>
      <c r="B450" s="119" t="s">
        <v>537</v>
      </c>
      <c r="C450" s="119" t="s">
        <v>522</v>
      </c>
      <c r="D450" s="120" t="s">
        <v>84</v>
      </c>
      <c r="E450" s="121">
        <v>5671.5220000000008</v>
      </c>
      <c r="F450" s="122">
        <v>1.4E-3</v>
      </c>
      <c r="G450" s="121">
        <v>7.9401308000000013</v>
      </c>
      <c r="H450" s="125"/>
      <c r="I450" s="125"/>
      <c r="J450" s="126"/>
      <c r="K450" s="126"/>
    </row>
    <row r="451" spans="1:11" ht="13.5" customHeight="1">
      <c r="A451" s="119" t="s">
        <v>494</v>
      </c>
      <c r="B451" s="119" t="s">
        <v>537</v>
      </c>
      <c r="C451" s="119" t="s">
        <v>523</v>
      </c>
      <c r="D451" s="120" t="s">
        <v>84</v>
      </c>
      <c r="E451" s="121">
        <v>1843.9007999999999</v>
      </c>
      <c r="F451" s="122">
        <v>1.14E-3</v>
      </c>
      <c r="G451" s="121">
        <v>2.1020469119999996</v>
      </c>
      <c r="H451" s="125"/>
      <c r="I451" s="125"/>
      <c r="J451" s="126"/>
      <c r="K451" s="126"/>
    </row>
    <row r="452" spans="1:11" ht="13.5" customHeight="1">
      <c r="A452" s="119" t="s">
        <v>494</v>
      </c>
      <c r="B452" s="119" t="s">
        <v>537</v>
      </c>
      <c r="C452" s="119" t="s">
        <v>524</v>
      </c>
      <c r="D452" s="120" t="s">
        <v>84</v>
      </c>
      <c r="E452" s="121">
        <v>642.3112000000001</v>
      </c>
      <c r="F452" s="122">
        <v>1E-3</v>
      </c>
      <c r="G452" s="121">
        <v>0.64231120000000008</v>
      </c>
      <c r="H452" s="125"/>
      <c r="I452" s="125"/>
      <c r="J452" s="126"/>
      <c r="K452" s="126"/>
    </row>
    <row r="453" spans="1:11" ht="13.5" customHeight="1">
      <c r="A453" s="119" t="s">
        <v>494</v>
      </c>
      <c r="B453" s="119" t="s">
        <v>537</v>
      </c>
      <c r="C453" s="119" t="s">
        <v>525</v>
      </c>
      <c r="D453" s="120" t="s">
        <v>84</v>
      </c>
      <c r="E453" s="121">
        <v>9034.1118000000006</v>
      </c>
      <c r="F453" s="122">
        <v>1.4E-3</v>
      </c>
      <c r="G453" s="121">
        <v>12.647756520000002</v>
      </c>
      <c r="H453" s="125"/>
      <c r="I453" s="125"/>
      <c r="J453" s="126"/>
      <c r="K453" s="126"/>
    </row>
    <row r="454" spans="1:11" ht="13.5" customHeight="1">
      <c r="A454" s="119" t="s">
        <v>494</v>
      </c>
      <c r="B454" s="119" t="s">
        <v>537</v>
      </c>
      <c r="C454" s="119" t="s">
        <v>526</v>
      </c>
      <c r="D454" s="120" t="s">
        <v>84</v>
      </c>
      <c r="E454" s="121">
        <v>2982.9772000000003</v>
      </c>
      <c r="F454" s="122">
        <v>1.14E-3</v>
      </c>
      <c r="G454" s="121">
        <v>3.4005940080000001</v>
      </c>
      <c r="H454" s="125"/>
      <c r="I454" s="125"/>
      <c r="J454" s="126"/>
      <c r="K454" s="126"/>
    </row>
    <row r="455" spans="1:11" ht="13.5" customHeight="1">
      <c r="A455" s="119" t="s">
        <v>494</v>
      </c>
      <c r="B455" s="119" t="s">
        <v>537</v>
      </c>
      <c r="C455" s="119" t="s">
        <v>527</v>
      </c>
      <c r="D455" s="120" t="s">
        <v>84</v>
      </c>
      <c r="E455" s="121">
        <v>1029.7975999999999</v>
      </c>
      <c r="F455" s="122">
        <v>1E-3</v>
      </c>
      <c r="G455" s="121">
        <v>1.0297976</v>
      </c>
      <c r="H455" s="125"/>
      <c r="I455" s="125"/>
      <c r="J455" s="126"/>
      <c r="K455" s="126"/>
    </row>
    <row r="456" spans="1:11" ht="13.5" customHeight="1">
      <c r="A456" s="119" t="s">
        <v>494</v>
      </c>
      <c r="B456" s="119" t="s">
        <v>537</v>
      </c>
      <c r="C456" s="119" t="s">
        <v>528</v>
      </c>
      <c r="D456" s="120" t="s">
        <v>84</v>
      </c>
      <c r="E456" s="121">
        <v>1827</v>
      </c>
      <c r="F456" s="122">
        <v>1.9E-3</v>
      </c>
      <c r="G456" s="121">
        <v>3.4712999999999998</v>
      </c>
      <c r="H456" s="125"/>
      <c r="I456" s="125"/>
      <c r="J456" s="126"/>
      <c r="K456" s="126"/>
    </row>
    <row r="457" spans="1:11" ht="13.5" customHeight="1">
      <c r="A457" s="119" t="s">
        <v>494</v>
      </c>
      <c r="B457" s="119" t="s">
        <v>537</v>
      </c>
      <c r="C457" s="119" t="s">
        <v>529</v>
      </c>
      <c r="D457" s="120" t="s">
        <v>84</v>
      </c>
      <c r="E457" s="121">
        <v>3549.1750000000002</v>
      </c>
      <c r="F457" s="122">
        <v>9.2066470218694896E-4</v>
      </c>
      <c r="G457" s="121">
        <v>3.2676001443843647</v>
      </c>
      <c r="H457" s="125"/>
      <c r="I457" s="125"/>
      <c r="J457" s="126"/>
      <c r="K457" s="126"/>
    </row>
    <row r="458" spans="1:11" ht="13.5" customHeight="1">
      <c r="A458" s="119" t="s">
        <v>494</v>
      </c>
      <c r="B458" s="119" t="s">
        <v>537</v>
      </c>
      <c r="C458" s="119" t="s">
        <v>530</v>
      </c>
      <c r="D458" s="120" t="s">
        <v>84</v>
      </c>
      <c r="E458" s="121">
        <v>5921.889752000001</v>
      </c>
      <c r="F458" s="122">
        <v>1.2999999999999999E-3</v>
      </c>
      <c r="G458" s="121">
        <v>7.6984566776000012</v>
      </c>
      <c r="H458" s="125"/>
      <c r="I458" s="125"/>
      <c r="J458" s="126"/>
      <c r="K458" s="126"/>
    </row>
    <row r="459" spans="1:11" ht="13.5" customHeight="1">
      <c r="A459" s="119" t="s">
        <v>494</v>
      </c>
      <c r="B459" s="119" t="s">
        <v>537</v>
      </c>
      <c r="C459" s="119" t="s">
        <v>531</v>
      </c>
      <c r="D459" s="120" t="s">
        <v>84</v>
      </c>
      <c r="E459" s="121">
        <v>0</v>
      </c>
      <c r="F459" s="122">
        <v>3.8419999999999999E-3</v>
      </c>
      <c r="G459" s="121">
        <v>0</v>
      </c>
      <c r="H459" s="125">
        <f>SUM(G449:G459)</f>
        <v>47.662263661984369</v>
      </c>
      <c r="I459" s="125"/>
      <c r="J459" s="126"/>
      <c r="K459" s="126"/>
    </row>
    <row r="460" spans="1:11" s="117" customFormat="1" ht="13.5" customHeight="1">
      <c r="A460" s="127" t="s">
        <v>494</v>
      </c>
      <c r="B460" s="119" t="s">
        <v>537</v>
      </c>
      <c r="C460" s="127" t="s">
        <v>532</v>
      </c>
      <c r="D460" s="128" t="s">
        <v>84</v>
      </c>
      <c r="E460" s="129">
        <v>3392.8920000000003</v>
      </c>
      <c r="F460" s="130">
        <v>9.2066470218694896E-4</v>
      </c>
      <c r="G460" s="129">
        <v>3.1237159027324819</v>
      </c>
      <c r="H460" s="125"/>
      <c r="I460" s="132">
        <v>3.1237159027324819</v>
      </c>
      <c r="J460" s="133">
        <f>SUM(G460*0.125)/92</f>
        <v>4.2441792156691334E-3</v>
      </c>
      <c r="K460" s="133"/>
    </row>
    <row r="461" spans="1:11" s="117" customFormat="1" ht="13.5" customHeight="1">
      <c r="A461" s="127"/>
      <c r="B461" s="119"/>
      <c r="C461" s="127"/>
      <c r="D461" s="128"/>
      <c r="E461" s="129"/>
      <c r="F461" s="130"/>
      <c r="G461" s="129">
        <f>SUM(G449:G460)</f>
        <v>50.785979564716854</v>
      </c>
      <c r="H461" s="125"/>
      <c r="I461" s="125"/>
      <c r="J461" s="133"/>
      <c r="K461" s="133"/>
    </row>
    <row r="462" spans="1:11" ht="13.5" customHeight="1">
      <c r="A462" s="119" t="s">
        <v>496</v>
      </c>
      <c r="B462" s="119" t="s">
        <v>538</v>
      </c>
      <c r="C462" s="119" t="s">
        <v>521</v>
      </c>
      <c r="D462" s="120" t="s">
        <v>84</v>
      </c>
      <c r="E462" s="121">
        <v>22287.3235776</v>
      </c>
      <c r="F462" s="122">
        <v>1.2999999999999999E-3</v>
      </c>
      <c r="G462" s="121">
        <v>28.973520650879998</v>
      </c>
      <c r="H462" s="125"/>
      <c r="I462" s="125"/>
      <c r="J462" s="126"/>
      <c r="K462" s="126"/>
    </row>
    <row r="463" spans="1:11" ht="13.5" customHeight="1">
      <c r="A463" s="119" t="s">
        <v>496</v>
      </c>
      <c r="B463" s="119" t="s">
        <v>538</v>
      </c>
      <c r="C463" s="119" t="s">
        <v>522</v>
      </c>
      <c r="D463" s="120" t="s">
        <v>84</v>
      </c>
      <c r="E463" s="121">
        <v>12512.616652799999</v>
      </c>
      <c r="F463" s="122">
        <v>1.4E-3</v>
      </c>
      <c r="G463" s="121">
        <v>17.51766331392</v>
      </c>
      <c r="H463" s="125"/>
      <c r="I463" s="125"/>
      <c r="J463" s="126"/>
      <c r="K463" s="126"/>
    </row>
    <row r="464" spans="1:11" ht="13.5" customHeight="1">
      <c r="A464" s="119" t="s">
        <v>496</v>
      </c>
      <c r="B464" s="119" t="s">
        <v>538</v>
      </c>
      <c r="C464" s="119" t="s">
        <v>523</v>
      </c>
      <c r="D464" s="120" t="s">
        <v>84</v>
      </c>
      <c r="E464" s="121">
        <v>4015.0307520000001</v>
      </c>
      <c r="F464" s="122">
        <v>1.14E-3</v>
      </c>
      <c r="G464" s="121">
        <v>4.5771350572799996</v>
      </c>
      <c r="H464" s="125"/>
      <c r="I464" s="125"/>
      <c r="J464" s="126"/>
      <c r="K464" s="126"/>
    </row>
    <row r="465" spans="1:11" ht="13.5" customHeight="1">
      <c r="A465" s="119" t="s">
        <v>496</v>
      </c>
      <c r="B465" s="119" t="s">
        <v>538</v>
      </c>
      <c r="C465" s="119" t="s">
        <v>524</v>
      </c>
      <c r="D465" s="120" t="s">
        <v>84</v>
      </c>
      <c r="E465" s="121">
        <v>1338.7729536000002</v>
      </c>
      <c r="F465" s="122">
        <v>1E-3</v>
      </c>
      <c r="G465" s="121">
        <v>1.3387729536000001</v>
      </c>
      <c r="H465" s="125"/>
      <c r="I465" s="125"/>
      <c r="J465" s="126"/>
      <c r="K465" s="126"/>
    </row>
    <row r="466" spans="1:11" ht="13.5" customHeight="1">
      <c r="A466" s="119" t="s">
        <v>496</v>
      </c>
      <c r="B466" s="119" t="s">
        <v>538</v>
      </c>
      <c r="C466" s="119" t="s">
        <v>525</v>
      </c>
      <c r="D466" s="120" t="s">
        <v>84</v>
      </c>
      <c r="E466" s="121">
        <v>20360.609395200001</v>
      </c>
      <c r="F466" s="122">
        <v>1.4E-3</v>
      </c>
      <c r="G466" s="121">
        <v>28.504853153280003</v>
      </c>
      <c r="H466" s="125"/>
      <c r="I466" s="125"/>
      <c r="J466" s="126"/>
      <c r="K466" s="126"/>
    </row>
    <row r="467" spans="1:11" ht="13.5" customHeight="1">
      <c r="A467" s="119" t="s">
        <v>496</v>
      </c>
      <c r="B467" s="119" t="s">
        <v>538</v>
      </c>
      <c r="C467" s="119" t="s">
        <v>526</v>
      </c>
      <c r="D467" s="120" t="s">
        <v>84</v>
      </c>
      <c r="E467" s="121">
        <v>6526.9709567999998</v>
      </c>
      <c r="F467" s="122">
        <v>1.14E-3</v>
      </c>
      <c r="G467" s="121">
        <v>7.4407468907519991</v>
      </c>
      <c r="H467" s="125"/>
      <c r="I467" s="125"/>
      <c r="J467" s="126"/>
      <c r="K467" s="126"/>
    </row>
    <row r="468" spans="1:11" ht="13.5" customHeight="1">
      <c r="A468" s="119" t="s">
        <v>496</v>
      </c>
      <c r="B468" s="119" t="s">
        <v>538</v>
      </c>
      <c r="C468" s="119" t="s">
        <v>527</v>
      </c>
      <c r="D468" s="120" t="s">
        <v>84</v>
      </c>
      <c r="E468" s="121">
        <v>2176.6565375999999</v>
      </c>
      <c r="F468" s="122">
        <v>1E-3</v>
      </c>
      <c r="G468" s="121">
        <v>2.1766565376</v>
      </c>
      <c r="H468" s="125"/>
      <c r="I468" s="125"/>
      <c r="J468" s="126"/>
      <c r="K468" s="126"/>
    </row>
    <row r="469" spans="1:11" ht="13.5" customHeight="1">
      <c r="A469" s="119" t="s">
        <v>496</v>
      </c>
      <c r="B469" s="119" t="s">
        <v>538</v>
      </c>
      <c r="C469" s="119" t="s">
        <v>528</v>
      </c>
      <c r="D469" s="120" t="s">
        <v>84</v>
      </c>
      <c r="E469" s="121">
        <v>10163.751910000001</v>
      </c>
      <c r="F469" s="122">
        <v>1.9E-3</v>
      </c>
      <c r="G469" s="121">
        <v>19.311128629000002</v>
      </c>
      <c r="H469" s="125"/>
      <c r="I469" s="125"/>
      <c r="J469" s="126"/>
      <c r="K469" s="126"/>
    </row>
    <row r="470" spans="1:11" ht="13.5" customHeight="1">
      <c r="A470" s="119" t="s">
        <v>496</v>
      </c>
      <c r="B470" s="119" t="s">
        <v>538</v>
      </c>
      <c r="C470" s="119" t="s">
        <v>529</v>
      </c>
      <c r="D470" s="120" t="s">
        <v>84</v>
      </c>
      <c r="E470" s="121">
        <v>381.94778880000001</v>
      </c>
      <c r="F470" s="122">
        <v>9.2066470218694896E-4</v>
      </c>
      <c r="G470" s="121">
        <v>0.35164584722651571</v>
      </c>
      <c r="H470" s="125"/>
      <c r="I470" s="125"/>
      <c r="J470" s="126"/>
      <c r="K470" s="126"/>
    </row>
    <row r="471" spans="1:11" ht="13.5" customHeight="1">
      <c r="A471" s="119" t="s">
        <v>496</v>
      </c>
      <c r="B471" s="119" t="s">
        <v>538</v>
      </c>
      <c r="C471" s="119" t="s">
        <v>530</v>
      </c>
      <c r="D471" s="120" t="s">
        <v>84</v>
      </c>
      <c r="E471" s="121">
        <v>2221.9909631999999</v>
      </c>
      <c r="F471" s="122">
        <v>1.2999999999999999E-3</v>
      </c>
      <c r="G471" s="121">
        <v>2.8885882521599999</v>
      </c>
      <c r="H471" s="125"/>
      <c r="I471" s="125"/>
      <c r="J471" s="126"/>
      <c r="K471" s="126"/>
    </row>
    <row r="472" spans="1:11" ht="13.5" customHeight="1">
      <c r="A472" s="119" t="s">
        <v>496</v>
      </c>
      <c r="B472" s="119" t="s">
        <v>538</v>
      </c>
      <c r="C472" s="119" t="s">
        <v>531</v>
      </c>
      <c r="D472" s="120" t="s">
        <v>84</v>
      </c>
      <c r="E472" s="121">
        <v>6650.508797550001</v>
      </c>
      <c r="F472" s="122">
        <v>3.8419999999999999E-3</v>
      </c>
      <c r="G472" s="121">
        <v>25.551254800187102</v>
      </c>
      <c r="H472" s="125">
        <f>SUM(G462:G472)</f>
        <v>138.63196608588564</v>
      </c>
      <c r="I472" s="125"/>
      <c r="J472" s="126"/>
      <c r="K472" s="126"/>
    </row>
    <row r="473" spans="1:11" s="117" customFormat="1" ht="13.5" customHeight="1">
      <c r="A473" s="127" t="s">
        <v>496</v>
      </c>
      <c r="B473" s="119" t="s">
        <v>538</v>
      </c>
      <c r="C473" s="127" t="s">
        <v>532</v>
      </c>
      <c r="D473" s="128" t="s">
        <v>84</v>
      </c>
      <c r="E473" s="129">
        <v>215.88353280000001</v>
      </c>
      <c r="F473" s="130">
        <v>9.2066470218694896E-4</v>
      </c>
      <c r="G473" s="129">
        <v>0.19875634843237844</v>
      </c>
      <c r="H473" s="125"/>
      <c r="I473" s="132">
        <v>0.19875634843237844</v>
      </c>
      <c r="J473" s="133">
        <f>SUM(G473*0.125)/92</f>
        <v>2.7004938645703593E-4</v>
      </c>
      <c r="K473" s="133"/>
    </row>
    <row r="474" spans="1:11" s="117" customFormat="1" ht="13.5" customHeight="1">
      <c r="A474" s="127"/>
      <c r="B474" s="119"/>
      <c r="C474" s="127"/>
      <c r="D474" s="128"/>
      <c r="E474" s="129"/>
      <c r="F474" s="130"/>
      <c r="G474" s="129">
        <f>SUM(G462:G473)</f>
        <v>138.83072243431801</v>
      </c>
      <c r="H474" s="125"/>
      <c r="I474" s="125"/>
      <c r="J474" s="133"/>
      <c r="K474" s="133"/>
    </row>
    <row r="475" spans="1:11" ht="13.5" customHeight="1">
      <c r="A475" s="119" t="s">
        <v>498</v>
      </c>
      <c r="B475" s="119" t="s">
        <v>539</v>
      </c>
      <c r="C475" s="119" t="s">
        <v>521</v>
      </c>
      <c r="D475" s="120" t="s">
        <v>84</v>
      </c>
      <c r="E475" s="121">
        <v>43.040471800000006</v>
      </c>
      <c r="F475" s="122">
        <v>1.2999999999999999E-3</v>
      </c>
      <c r="G475" s="121">
        <v>5.5952613340000006E-2</v>
      </c>
      <c r="H475" s="125"/>
      <c r="I475" s="125"/>
      <c r="J475" s="126"/>
      <c r="K475" s="126"/>
    </row>
    <row r="476" spans="1:11" ht="13.5" customHeight="1">
      <c r="A476" s="119" t="s">
        <v>498</v>
      </c>
      <c r="B476" s="119" t="s">
        <v>539</v>
      </c>
      <c r="C476" s="119" t="s">
        <v>522</v>
      </c>
      <c r="D476" s="120" t="s">
        <v>84</v>
      </c>
      <c r="E476" s="121">
        <v>117.34500840000001</v>
      </c>
      <c r="F476" s="122">
        <v>1.4E-3</v>
      </c>
      <c r="G476" s="121">
        <v>0.16428301176000001</v>
      </c>
      <c r="H476" s="125"/>
      <c r="I476" s="125"/>
      <c r="J476" s="126"/>
      <c r="K476" s="126"/>
    </row>
    <row r="477" spans="1:11" ht="13.5" customHeight="1">
      <c r="A477" s="119" t="s">
        <v>498</v>
      </c>
      <c r="B477" s="119" t="s">
        <v>539</v>
      </c>
      <c r="C477" s="119" t="s">
        <v>523</v>
      </c>
      <c r="D477" s="120" t="s">
        <v>84</v>
      </c>
      <c r="E477" s="121">
        <v>39.913030600000006</v>
      </c>
      <c r="F477" s="122">
        <v>1.14E-3</v>
      </c>
      <c r="G477" s="121">
        <v>4.5500854884000005E-2</v>
      </c>
      <c r="H477" s="125"/>
      <c r="I477" s="125"/>
      <c r="J477" s="126"/>
      <c r="K477" s="126"/>
    </row>
    <row r="478" spans="1:11" ht="13.5" customHeight="1">
      <c r="A478" s="119" t="s">
        <v>498</v>
      </c>
      <c r="B478" s="119" t="s">
        <v>539</v>
      </c>
      <c r="C478" s="119" t="s">
        <v>524</v>
      </c>
      <c r="D478" s="120" t="s">
        <v>84</v>
      </c>
      <c r="E478" s="121">
        <v>12.178654400000001</v>
      </c>
      <c r="F478" s="122">
        <v>1E-3</v>
      </c>
      <c r="G478" s="121">
        <v>1.2178654400000001E-2</v>
      </c>
      <c r="H478" s="125"/>
      <c r="I478" s="125"/>
      <c r="J478" s="126"/>
      <c r="K478" s="126"/>
    </row>
    <row r="479" spans="1:11" ht="13.5" customHeight="1">
      <c r="A479" s="119" t="s">
        <v>498</v>
      </c>
      <c r="B479" s="119" t="s">
        <v>539</v>
      </c>
      <c r="C479" s="119" t="s">
        <v>525</v>
      </c>
      <c r="D479" s="120" t="s">
        <v>84</v>
      </c>
      <c r="E479" s="121">
        <v>363.05738000000002</v>
      </c>
      <c r="F479" s="122">
        <v>1.4E-3</v>
      </c>
      <c r="G479" s="121">
        <v>0.508280332</v>
      </c>
      <c r="H479" s="125"/>
      <c r="I479" s="125"/>
      <c r="J479" s="126"/>
      <c r="K479" s="126"/>
    </row>
    <row r="480" spans="1:11" ht="13.5" customHeight="1">
      <c r="A480" s="119" t="s">
        <v>498</v>
      </c>
      <c r="B480" s="119" t="s">
        <v>539</v>
      </c>
      <c r="C480" s="119" t="s">
        <v>526</v>
      </c>
      <c r="D480" s="120" t="s">
        <v>84</v>
      </c>
      <c r="E480" s="121">
        <v>113.870936</v>
      </c>
      <c r="F480" s="122">
        <v>1.14E-3</v>
      </c>
      <c r="G480" s="121">
        <v>0.12981286704</v>
      </c>
      <c r="H480" s="125"/>
      <c r="I480" s="125"/>
      <c r="J480" s="126"/>
      <c r="K480" s="126"/>
    </row>
    <row r="481" spans="1:11" ht="13.5" customHeight="1">
      <c r="A481" s="119" t="s">
        <v>498</v>
      </c>
      <c r="B481" s="119" t="s">
        <v>539</v>
      </c>
      <c r="C481" s="119" t="s">
        <v>527</v>
      </c>
      <c r="D481" s="120" t="s">
        <v>84</v>
      </c>
      <c r="E481" s="121">
        <v>38.574361600000003</v>
      </c>
      <c r="F481" s="122">
        <v>1E-3</v>
      </c>
      <c r="G481" s="121">
        <v>3.8574361600000003E-2</v>
      </c>
      <c r="H481" s="125"/>
      <c r="I481" s="125"/>
      <c r="J481" s="126"/>
      <c r="K481" s="126"/>
    </row>
    <row r="482" spans="1:11" ht="13.5" customHeight="1">
      <c r="A482" s="119" t="s">
        <v>498</v>
      </c>
      <c r="B482" s="119" t="s">
        <v>539</v>
      </c>
      <c r="C482" s="119" t="s">
        <v>528</v>
      </c>
      <c r="D482" s="120" t="s">
        <v>84</v>
      </c>
      <c r="E482" s="121">
        <v>146.79817</v>
      </c>
      <c r="F482" s="122">
        <v>1.9E-3</v>
      </c>
      <c r="G482" s="121">
        <v>0.27891652299999997</v>
      </c>
      <c r="H482" s="125"/>
      <c r="I482" s="125"/>
      <c r="J482" s="126"/>
      <c r="K482" s="126"/>
    </row>
    <row r="483" spans="1:11" ht="13.5" customHeight="1">
      <c r="A483" s="119" t="s">
        <v>498</v>
      </c>
      <c r="B483" s="119" t="s">
        <v>539</v>
      </c>
      <c r="C483" s="119" t="s">
        <v>529</v>
      </c>
      <c r="D483" s="120" t="s">
        <v>84</v>
      </c>
      <c r="E483" s="121">
        <v>3689.6977008000003</v>
      </c>
      <c r="F483" s="122">
        <v>9.2066470218694896E-4</v>
      </c>
      <c r="G483" s="121">
        <v>3.3969744348669026</v>
      </c>
      <c r="H483" s="125"/>
      <c r="I483" s="125"/>
      <c r="J483" s="126"/>
      <c r="K483" s="126"/>
    </row>
    <row r="484" spans="1:11" ht="13.5" customHeight="1">
      <c r="A484" s="119" t="s">
        <v>498</v>
      </c>
      <c r="B484" s="119" t="s">
        <v>539</v>
      </c>
      <c r="C484" s="119" t="s">
        <v>530</v>
      </c>
      <c r="D484" s="120" t="s">
        <v>84</v>
      </c>
      <c r="E484" s="121">
        <v>8.7265698</v>
      </c>
      <c r="F484" s="122">
        <v>1.2999999999999999E-3</v>
      </c>
      <c r="G484" s="121">
        <v>1.1344540739999999E-2</v>
      </c>
      <c r="H484" s="125"/>
      <c r="I484" s="125"/>
      <c r="J484" s="126"/>
      <c r="K484" s="126"/>
    </row>
    <row r="485" spans="1:11" ht="13.5" customHeight="1">
      <c r="A485" s="119" t="s">
        <v>498</v>
      </c>
      <c r="B485" s="119" t="s">
        <v>539</v>
      </c>
      <c r="C485" s="119" t="s">
        <v>531</v>
      </c>
      <c r="D485" s="120" t="s">
        <v>84</v>
      </c>
      <c r="E485" s="121">
        <v>10.212790050000001</v>
      </c>
      <c r="F485" s="122">
        <v>3.8419999999999999E-3</v>
      </c>
      <c r="G485" s="121">
        <v>3.9237539372099998E-2</v>
      </c>
      <c r="H485" s="125">
        <f>SUM(G475:G485)</f>
        <v>4.681055733003002</v>
      </c>
      <c r="I485" s="125"/>
      <c r="J485" s="126"/>
      <c r="K485" s="126"/>
    </row>
    <row r="486" spans="1:11" s="117" customFormat="1" ht="13.5" customHeight="1">
      <c r="A486" s="127" t="s">
        <v>498</v>
      </c>
      <c r="B486" s="119" t="s">
        <v>539</v>
      </c>
      <c r="C486" s="127" t="s">
        <v>532</v>
      </c>
      <c r="D486" s="128" t="s">
        <v>84</v>
      </c>
      <c r="E486" s="129">
        <v>2041.1093664000002</v>
      </c>
      <c r="F486" s="130">
        <v>9.2066470218694896E-4</v>
      </c>
      <c r="G486" s="129">
        <v>1.8791773469476483</v>
      </c>
      <c r="H486" s="125"/>
      <c r="I486" s="132">
        <v>1.8791773469476483</v>
      </c>
      <c r="J486" s="133">
        <f>SUM(G486*0.125)/92</f>
        <v>2.5532300909614784E-3</v>
      </c>
      <c r="K486" s="133"/>
    </row>
    <row r="487" spans="1:11" s="117" customFormat="1" ht="13.5" customHeight="1">
      <c r="A487" s="127"/>
      <c r="B487" s="119"/>
      <c r="C487" s="127"/>
      <c r="D487" s="128"/>
      <c r="E487" s="129"/>
      <c r="F487" s="130"/>
      <c r="G487" s="129">
        <f>SUM(G475:G486)</f>
        <v>6.5602330799506507</v>
      </c>
      <c r="H487" s="125"/>
      <c r="I487" s="125"/>
      <c r="J487" s="133"/>
      <c r="K487" s="133"/>
    </row>
    <row r="488" spans="1:11" ht="13.5" customHeight="1">
      <c r="A488" s="119" t="s">
        <v>500</v>
      </c>
      <c r="B488" s="119" t="s">
        <v>540</v>
      </c>
      <c r="C488" s="119" t="s">
        <v>521</v>
      </c>
      <c r="D488" s="120" t="s">
        <v>84</v>
      </c>
      <c r="E488" s="121">
        <v>7817.8087106999992</v>
      </c>
      <c r="F488" s="122">
        <v>1.2999999999999999E-3</v>
      </c>
      <c r="G488" s="121">
        <v>10.163151323909998</v>
      </c>
      <c r="H488" s="125"/>
      <c r="I488" s="125"/>
      <c r="J488" s="126"/>
      <c r="K488" s="126"/>
    </row>
    <row r="489" spans="1:11" ht="13.5" customHeight="1">
      <c r="A489" s="119" t="s">
        <v>500</v>
      </c>
      <c r="B489" s="119" t="s">
        <v>540</v>
      </c>
      <c r="C489" s="119" t="s">
        <v>522</v>
      </c>
      <c r="D489" s="120" t="s">
        <v>84</v>
      </c>
      <c r="E489" s="121">
        <v>4389.3233496000003</v>
      </c>
      <c r="F489" s="122">
        <v>1.4E-3</v>
      </c>
      <c r="G489" s="121">
        <v>6.1450526894399999</v>
      </c>
      <c r="H489" s="125"/>
      <c r="I489" s="125"/>
      <c r="J489" s="126"/>
      <c r="K489" s="126"/>
    </row>
    <row r="490" spans="1:11" ht="13.5" customHeight="1">
      <c r="A490" s="119" t="s">
        <v>500</v>
      </c>
      <c r="B490" s="119" t="s">
        <v>540</v>
      </c>
      <c r="C490" s="119" t="s">
        <v>523</v>
      </c>
      <c r="D490" s="120" t="s">
        <v>84</v>
      </c>
      <c r="E490" s="121">
        <v>1407.2022663</v>
      </c>
      <c r="F490" s="122">
        <v>1.14E-3</v>
      </c>
      <c r="G490" s="121">
        <v>1.604210583582</v>
      </c>
      <c r="H490" s="125"/>
      <c r="I490" s="125"/>
      <c r="J490" s="126"/>
      <c r="K490" s="126"/>
    </row>
    <row r="491" spans="1:11" ht="13.5" customHeight="1">
      <c r="A491" s="119" t="s">
        <v>500</v>
      </c>
      <c r="B491" s="119" t="s">
        <v>540</v>
      </c>
      <c r="C491" s="119" t="s">
        <v>524</v>
      </c>
      <c r="D491" s="120" t="s">
        <v>84</v>
      </c>
      <c r="E491" s="121">
        <v>469.81965120000001</v>
      </c>
      <c r="F491" s="122">
        <v>1E-3</v>
      </c>
      <c r="G491" s="121">
        <v>0.46981965120000002</v>
      </c>
      <c r="H491" s="125"/>
      <c r="I491" s="125"/>
      <c r="J491" s="126"/>
      <c r="K491" s="126"/>
    </row>
    <row r="492" spans="1:11" ht="13.5" customHeight="1">
      <c r="A492" s="119" t="s">
        <v>500</v>
      </c>
      <c r="B492" s="119" t="s">
        <v>540</v>
      </c>
      <c r="C492" s="119" t="s">
        <v>525</v>
      </c>
      <c r="D492" s="120" t="s">
        <v>84</v>
      </c>
      <c r="E492" s="121">
        <v>7143.2320679999993</v>
      </c>
      <c r="F492" s="122">
        <v>1.4E-3</v>
      </c>
      <c r="G492" s="121">
        <v>10.000524895199998</v>
      </c>
      <c r="H492" s="125"/>
      <c r="I492" s="125"/>
      <c r="J492" s="126"/>
      <c r="K492" s="126"/>
    </row>
    <row r="493" spans="1:11" ht="13.5" customHeight="1">
      <c r="A493" s="119" t="s">
        <v>500</v>
      </c>
      <c r="B493" s="119" t="s">
        <v>540</v>
      </c>
      <c r="C493" s="119" t="s">
        <v>526</v>
      </c>
      <c r="D493" s="120" t="s">
        <v>84</v>
      </c>
      <c r="E493" s="121">
        <v>2290.3984571999999</v>
      </c>
      <c r="F493" s="122">
        <v>1.14E-3</v>
      </c>
      <c r="G493" s="121">
        <v>2.611054241208</v>
      </c>
      <c r="H493" s="125"/>
      <c r="I493" s="125"/>
      <c r="J493" s="126"/>
      <c r="K493" s="126"/>
    </row>
    <row r="494" spans="1:11" ht="13.5" customHeight="1">
      <c r="A494" s="119" t="s">
        <v>500</v>
      </c>
      <c r="B494" s="119" t="s">
        <v>540</v>
      </c>
      <c r="C494" s="119" t="s">
        <v>527</v>
      </c>
      <c r="D494" s="120" t="s">
        <v>84</v>
      </c>
      <c r="E494" s="121">
        <v>762.26419919999989</v>
      </c>
      <c r="F494" s="122">
        <v>1E-3</v>
      </c>
      <c r="G494" s="121">
        <v>0.76226419919999988</v>
      </c>
      <c r="H494" s="125"/>
      <c r="I494" s="125"/>
      <c r="J494" s="126"/>
      <c r="K494" s="126"/>
    </row>
    <row r="495" spans="1:11" ht="13.5" customHeight="1">
      <c r="A495" s="119" t="s">
        <v>500</v>
      </c>
      <c r="B495" s="119" t="s">
        <v>540</v>
      </c>
      <c r="C495" s="119" t="s">
        <v>528</v>
      </c>
      <c r="D495" s="120" t="s">
        <v>84</v>
      </c>
      <c r="E495" s="121">
        <v>4529.1398099999997</v>
      </c>
      <c r="F495" s="122">
        <v>1.9E-3</v>
      </c>
      <c r="G495" s="121">
        <v>8.6053656389999986</v>
      </c>
      <c r="H495" s="125"/>
      <c r="I495" s="125"/>
      <c r="J495" s="126"/>
      <c r="K495" s="126"/>
    </row>
    <row r="496" spans="1:11" ht="13.5" customHeight="1">
      <c r="A496" s="119" t="s">
        <v>500</v>
      </c>
      <c r="B496" s="119" t="s">
        <v>540</v>
      </c>
      <c r="C496" s="119" t="s">
        <v>529</v>
      </c>
      <c r="D496" s="120" t="s">
        <v>84</v>
      </c>
      <c r="E496" s="121">
        <v>332.24383439999997</v>
      </c>
      <c r="F496" s="122">
        <v>9.2066470218694896E-4</v>
      </c>
      <c r="G496" s="121">
        <v>0.30588517085132594</v>
      </c>
      <c r="H496" s="125"/>
      <c r="I496" s="125"/>
      <c r="J496" s="126"/>
      <c r="K496" s="126"/>
    </row>
    <row r="497" spans="1:11" ht="13.5" customHeight="1">
      <c r="A497" s="119" t="s">
        <v>500</v>
      </c>
      <c r="B497" s="119" t="s">
        <v>540</v>
      </c>
      <c r="C497" s="119" t="s">
        <v>530</v>
      </c>
      <c r="D497" s="120" t="s">
        <v>84</v>
      </c>
      <c r="E497" s="121">
        <v>615.4403724</v>
      </c>
      <c r="F497" s="122">
        <v>1.2999999999999999E-3</v>
      </c>
      <c r="G497" s="121">
        <v>0.80007248411999998</v>
      </c>
      <c r="H497" s="125"/>
      <c r="I497" s="125"/>
      <c r="J497" s="126"/>
      <c r="K497" s="126"/>
    </row>
    <row r="498" spans="1:11" ht="13.5" customHeight="1">
      <c r="A498" s="119" t="s">
        <v>500</v>
      </c>
      <c r="B498" s="119" t="s">
        <v>540</v>
      </c>
      <c r="C498" s="119" t="s">
        <v>531</v>
      </c>
      <c r="D498" s="120" t="s">
        <v>84</v>
      </c>
      <c r="E498" s="121">
        <v>2953.7617126499999</v>
      </c>
      <c r="F498" s="122">
        <v>3.8419999999999999E-3</v>
      </c>
      <c r="G498" s="121">
        <v>11.348352500001299</v>
      </c>
      <c r="H498" s="125">
        <f>SUM(G488:G498)</f>
        <v>52.815753377712618</v>
      </c>
      <c r="I498" s="125"/>
      <c r="J498" s="126"/>
      <c r="K498" s="126"/>
    </row>
    <row r="499" spans="1:11" s="117" customFormat="1" ht="13.5" customHeight="1">
      <c r="A499" s="127" t="s">
        <v>500</v>
      </c>
      <c r="B499" s="119" t="s">
        <v>540</v>
      </c>
      <c r="C499" s="127" t="s">
        <v>532</v>
      </c>
      <c r="D499" s="128" t="s">
        <v>84</v>
      </c>
      <c r="E499" s="129">
        <v>183.60843479999997</v>
      </c>
      <c r="F499" s="130">
        <v>9.2066470218694896E-4</v>
      </c>
      <c r="G499" s="129">
        <v>0.1690418049441538</v>
      </c>
      <c r="H499" s="125"/>
      <c r="I499" s="132">
        <v>0.1690418049441538</v>
      </c>
      <c r="J499" s="133">
        <f>SUM(G499*0.125)/92</f>
        <v>2.2967636541325245E-4</v>
      </c>
      <c r="K499" s="133"/>
    </row>
    <row r="500" spans="1:11" s="117" customFormat="1" ht="13.5" customHeight="1">
      <c r="A500" s="127"/>
      <c r="B500" s="119"/>
      <c r="C500" s="127"/>
      <c r="D500" s="128"/>
      <c r="E500" s="129"/>
      <c r="F500" s="130"/>
      <c r="G500" s="129">
        <f>SUM(G488:G499)</f>
        <v>52.984795182656768</v>
      </c>
      <c r="H500" s="125"/>
      <c r="I500" s="125"/>
      <c r="J500" s="133"/>
      <c r="K500" s="133"/>
    </row>
    <row r="501" spans="1:11" ht="13.5" customHeight="1">
      <c r="A501" s="119" t="s">
        <v>502</v>
      </c>
      <c r="B501" s="119" t="s">
        <v>541</v>
      </c>
      <c r="C501" s="119" t="s">
        <v>521</v>
      </c>
      <c r="D501" s="120" t="s">
        <v>84</v>
      </c>
      <c r="E501" s="121">
        <v>5647.8557138999995</v>
      </c>
      <c r="F501" s="122">
        <v>1.2999999999999999E-3</v>
      </c>
      <c r="G501" s="121">
        <v>7.342212428069999</v>
      </c>
      <c r="H501" s="125"/>
      <c r="I501" s="125"/>
      <c r="J501" s="126"/>
      <c r="K501" s="126"/>
    </row>
    <row r="502" spans="1:11" ht="13.5" customHeight="1">
      <c r="A502" s="119" t="s">
        <v>502</v>
      </c>
      <c r="B502" s="119" t="s">
        <v>541</v>
      </c>
      <c r="C502" s="119" t="s">
        <v>522</v>
      </c>
      <c r="D502" s="120" t="s">
        <v>84</v>
      </c>
      <c r="E502" s="121">
        <v>3171.1102931999999</v>
      </c>
      <c r="F502" s="122">
        <v>1.4E-3</v>
      </c>
      <c r="G502" s="121">
        <v>4.4395544104799995</v>
      </c>
      <c r="H502" s="125"/>
      <c r="I502" s="125"/>
      <c r="J502" s="126"/>
      <c r="K502" s="126"/>
    </row>
    <row r="503" spans="1:11" ht="13.5" customHeight="1">
      <c r="A503" s="119" t="s">
        <v>502</v>
      </c>
      <c r="B503" s="119" t="s">
        <v>541</v>
      </c>
      <c r="C503" s="119" t="s">
        <v>523</v>
      </c>
      <c r="D503" s="120" t="s">
        <v>84</v>
      </c>
      <c r="E503" s="121">
        <v>1017.0601611</v>
      </c>
      <c r="F503" s="122">
        <v>1.14E-3</v>
      </c>
      <c r="G503" s="121">
        <v>1.1594485836539998</v>
      </c>
      <c r="H503" s="125"/>
      <c r="I503" s="125"/>
      <c r="J503" s="126"/>
      <c r="K503" s="126"/>
    </row>
    <row r="504" spans="1:11" ht="13.5" customHeight="1">
      <c r="A504" s="119" t="s">
        <v>502</v>
      </c>
      <c r="B504" s="119" t="s">
        <v>541</v>
      </c>
      <c r="C504" s="119" t="s">
        <v>524</v>
      </c>
      <c r="D504" s="120" t="s">
        <v>84</v>
      </c>
      <c r="E504" s="121">
        <v>339.02005370000001</v>
      </c>
      <c r="F504" s="122">
        <v>1E-3</v>
      </c>
      <c r="G504" s="121">
        <v>0.33902005369999999</v>
      </c>
      <c r="H504" s="125"/>
      <c r="I504" s="125"/>
      <c r="J504" s="126"/>
      <c r="K504" s="126"/>
    </row>
    <row r="505" spans="1:11" ht="13.5" customHeight="1">
      <c r="A505" s="119" t="s">
        <v>502</v>
      </c>
      <c r="B505" s="119" t="s">
        <v>541</v>
      </c>
      <c r="C505" s="119" t="s">
        <v>525</v>
      </c>
      <c r="D505" s="120" t="s">
        <v>84</v>
      </c>
      <c r="E505" s="121">
        <v>5158.9760770000003</v>
      </c>
      <c r="F505" s="122">
        <v>1.4E-3</v>
      </c>
      <c r="G505" s="121">
        <v>7.2225665077999999</v>
      </c>
      <c r="H505" s="125"/>
      <c r="I505" s="125"/>
      <c r="J505" s="126"/>
      <c r="K505" s="126"/>
    </row>
    <row r="506" spans="1:11" ht="13.5" customHeight="1">
      <c r="A506" s="119" t="s">
        <v>502</v>
      </c>
      <c r="B506" s="119" t="s">
        <v>541</v>
      </c>
      <c r="C506" s="119" t="s">
        <v>526</v>
      </c>
      <c r="D506" s="120" t="s">
        <v>84</v>
      </c>
      <c r="E506" s="121">
        <v>1653.1356375999999</v>
      </c>
      <c r="F506" s="122">
        <v>1.14E-3</v>
      </c>
      <c r="G506" s="121">
        <v>1.8845746268639998</v>
      </c>
      <c r="H506" s="125"/>
      <c r="I506" s="125"/>
      <c r="J506" s="126"/>
      <c r="K506" s="126"/>
    </row>
    <row r="507" spans="1:11" ht="13.5" customHeight="1">
      <c r="A507" s="119" t="s">
        <v>502</v>
      </c>
      <c r="B507" s="119" t="s">
        <v>541</v>
      </c>
      <c r="C507" s="119" t="s">
        <v>527</v>
      </c>
      <c r="D507" s="120" t="s">
        <v>84</v>
      </c>
      <c r="E507" s="121">
        <v>549.80877079999993</v>
      </c>
      <c r="F507" s="122">
        <v>1E-3</v>
      </c>
      <c r="G507" s="121">
        <v>0.5498087707999999</v>
      </c>
      <c r="H507" s="125"/>
      <c r="I507" s="125"/>
      <c r="J507" s="126"/>
      <c r="K507" s="126"/>
    </row>
    <row r="508" spans="1:11" ht="13.5" customHeight="1">
      <c r="A508" s="119" t="s">
        <v>502</v>
      </c>
      <c r="B508" s="119" t="s">
        <v>541</v>
      </c>
      <c r="C508" s="119" t="s">
        <v>528</v>
      </c>
      <c r="D508" s="120" t="s">
        <v>84</v>
      </c>
      <c r="E508" s="121">
        <v>3127.5761899999998</v>
      </c>
      <c r="F508" s="122">
        <v>1.9E-3</v>
      </c>
      <c r="G508" s="121">
        <v>5.9423947609999992</v>
      </c>
      <c r="H508" s="125"/>
      <c r="I508" s="125"/>
      <c r="J508" s="126"/>
      <c r="K508" s="126"/>
    </row>
    <row r="509" spans="1:11" ht="13.5" customHeight="1">
      <c r="A509" s="119" t="s">
        <v>502</v>
      </c>
      <c r="B509" s="119" t="s">
        <v>541</v>
      </c>
      <c r="C509" s="119" t="s">
        <v>529</v>
      </c>
      <c r="D509" s="120" t="s">
        <v>84</v>
      </c>
      <c r="E509" s="121">
        <v>764.50152600000001</v>
      </c>
      <c r="F509" s="122">
        <v>9.2066470218694896E-4</v>
      </c>
      <c r="G509" s="121">
        <v>0.70384956975625801</v>
      </c>
      <c r="H509" s="125"/>
      <c r="I509" s="125"/>
      <c r="J509" s="126"/>
      <c r="K509" s="126"/>
    </row>
    <row r="510" spans="1:11" ht="13.5" customHeight="1">
      <c r="A510" s="119" t="s">
        <v>502</v>
      </c>
      <c r="B510" s="119" t="s">
        <v>541</v>
      </c>
      <c r="C510" s="119" t="s">
        <v>530</v>
      </c>
      <c r="D510" s="120" t="s">
        <v>84</v>
      </c>
      <c r="E510" s="121">
        <v>457.28991390000004</v>
      </c>
      <c r="F510" s="122">
        <v>1.2999999999999999E-3</v>
      </c>
      <c r="G510" s="121">
        <v>0.59447688806999999</v>
      </c>
      <c r="H510" s="125"/>
      <c r="I510" s="125"/>
      <c r="J510" s="126"/>
      <c r="K510" s="126"/>
    </row>
    <row r="511" spans="1:11" ht="13.5" customHeight="1">
      <c r="A511" s="119" t="s">
        <v>502</v>
      </c>
      <c r="B511" s="119" t="s">
        <v>541</v>
      </c>
      <c r="C511" s="119" t="s">
        <v>531</v>
      </c>
      <c r="D511" s="120" t="s">
        <v>84</v>
      </c>
      <c r="E511" s="121">
        <v>2074.3506612000001</v>
      </c>
      <c r="F511" s="122">
        <v>3.8419999999999999E-3</v>
      </c>
      <c r="G511" s="121">
        <v>7.9696552403304004</v>
      </c>
      <c r="H511" s="125">
        <f>SUM(G501:G511)</f>
        <v>38.147561840524659</v>
      </c>
      <c r="I511" s="125"/>
      <c r="J511" s="126"/>
      <c r="K511" s="126"/>
    </row>
    <row r="512" spans="1:11" s="117" customFormat="1" ht="13.5" customHeight="1">
      <c r="A512" s="127" t="s">
        <v>502</v>
      </c>
      <c r="B512" s="119" t="s">
        <v>541</v>
      </c>
      <c r="C512" s="127" t="s">
        <v>532</v>
      </c>
      <c r="D512" s="128" t="s">
        <v>84</v>
      </c>
      <c r="E512" s="129">
        <v>427.22144099999997</v>
      </c>
      <c r="F512" s="130">
        <v>9.2066470218694896E-4</v>
      </c>
      <c r="G512" s="129">
        <v>0.39332770074614415</v>
      </c>
      <c r="H512" s="125"/>
      <c r="I512" s="132">
        <v>0.39332770074614415</v>
      </c>
      <c r="J512" s="133">
        <f>SUM(G512*0.125)/92</f>
        <v>5.3441263688334799E-4</v>
      </c>
      <c r="K512" s="133"/>
    </row>
    <row r="513" spans="1:11" s="117" customFormat="1" ht="13.5" customHeight="1">
      <c r="A513" s="127"/>
      <c r="B513" s="119"/>
      <c r="C513" s="127"/>
      <c r="D513" s="128"/>
      <c r="E513" s="129"/>
      <c r="F513" s="130"/>
      <c r="G513" s="129">
        <f>SUM(G501:G512)</f>
        <v>38.540889541270801</v>
      </c>
      <c r="H513" s="125"/>
      <c r="I513" s="125"/>
      <c r="J513" s="133"/>
      <c r="K513" s="133"/>
    </row>
    <row r="514" spans="1:11" ht="13.5" customHeight="1">
      <c r="A514" s="119" t="s">
        <v>504</v>
      </c>
      <c r="B514" s="119" t="s">
        <v>542</v>
      </c>
      <c r="C514" s="119" t="s">
        <v>521</v>
      </c>
      <c r="D514" s="120" t="s">
        <v>84</v>
      </c>
      <c r="E514" s="121">
        <v>13280.737258800002</v>
      </c>
      <c r="F514" s="122">
        <v>1.2999999999999999E-3</v>
      </c>
      <c r="G514" s="121">
        <v>17.264958436440001</v>
      </c>
      <c r="H514" s="125"/>
      <c r="I514" s="125"/>
      <c r="J514" s="126"/>
      <c r="K514" s="126"/>
    </row>
    <row r="515" spans="1:11" ht="13.5" customHeight="1">
      <c r="A515" s="119" t="s">
        <v>504</v>
      </c>
      <c r="B515" s="119" t="s">
        <v>542</v>
      </c>
      <c r="C515" s="119" t="s">
        <v>522</v>
      </c>
      <c r="D515" s="120" t="s">
        <v>84</v>
      </c>
      <c r="E515" s="121">
        <v>7455.6801336000008</v>
      </c>
      <c r="F515" s="122">
        <v>1.4E-3</v>
      </c>
      <c r="G515" s="121">
        <v>10.43795218704</v>
      </c>
      <c r="H515" s="125"/>
      <c r="I515" s="125"/>
      <c r="J515" s="126"/>
      <c r="K515" s="126"/>
    </row>
    <row r="516" spans="1:11" ht="13.5" customHeight="1">
      <c r="A516" s="119" t="s">
        <v>504</v>
      </c>
      <c r="B516" s="119" t="s">
        <v>542</v>
      </c>
      <c r="C516" s="119" t="s">
        <v>523</v>
      </c>
      <c r="D516" s="120" t="s">
        <v>84</v>
      </c>
      <c r="E516" s="121">
        <v>2392.5080388000001</v>
      </c>
      <c r="F516" s="122">
        <v>1.14E-3</v>
      </c>
      <c r="G516" s="121">
        <v>2.7274591642320001</v>
      </c>
      <c r="H516" s="125"/>
      <c r="I516" s="125"/>
      <c r="J516" s="126"/>
      <c r="K516" s="126"/>
    </row>
    <row r="517" spans="1:11" ht="13.5" customHeight="1">
      <c r="A517" s="119" t="s">
        <v>504</v>
      </c>
      <c r="B517" s="119" t="s">
        <v>542</v>
      </c>
      <c r="C517" s="119" t="s">
        <v>524</v>
      </c>
      <c r="D517" s="120" t="s">
        <v>84</v>
      </c>
      <c r="E517" s="121">
        <v>798.12092480000013</v>
      </c>
      <c r="F517" s="122">
        <v>1E-3</v>
      </c>
      <c r="G517" s="121">
        <v>0.79812092480000019</v>
      </c>
      <c r="H517" s="125"/>
      <c r="I517" s="125"/>
      <c r="J517" s="126"/>
      <c r="K517" s="126"/>
    </row>
    <row r="518" spans="1:11" ht="13.5" customHeight="1">
      <c r="A518" s="119" t="s">
        <v>504</v>
      </c>
      <c r="B518" s="119" t="s">
        <v>542</v>
      </c>
      <c r="C518" s="119" t="s">
        <v>525</v>
      </c>
      <c r="D518" s="120" t="s">
        <v>84</v>
      </c>
      <c r="E518" s="121">
        <v>12131.259050400002</v>
      </c>
      <c r="F518" s="122">
        <v>1.4E-3</v>
      </c>
      <c r="G518" s="121">
        <v>16.983762670560001</v>
      </c>
      <c r="H518" s="125"/>
      <c r="I518" s="125"/>
      <c r="J518" s="126"/>
      <c r="K518" s="126"/>
    </row>
    <row r="519" spans="1:11" ht="13.5" customHeight="1">
      <c r="A519" s="119" t="s">
        <v>504</v>
      </c>
      <c r="B519" s="119" t="s">
        <v>542</v>
      </c>
      <c r="C519" s="119" t="s">
        <v>526</v>
      </c>
      <c r="D519" s="120" t="s">
        <v>84</v>
      </c>
      <c r="E519" s="121">
        <v>3889.9987983999999</v>
      </c>
      <c r="F519" s="122">
        <v>1.14E-3</v>
      </c>
      <c r="G519" s="121">
        <v>4.4345986301759996</v>
      </c>
      <c r="H519" s="125"/>
      <c r="I519" s="125"/>
      <c r="J519" s="126"/>
      <c r="K519" s="126"/>
    </row>
    <row r="520" spans="1:11" ht="13.5" customHeight="1">
      <c r="A520" s="119" t="s">
        <v>504</v>
      </c>
      <c r="B520" s="119" t="s">
        <v>542</v>
      </c>
      <c r="C520" s="119" t="s">
        <v>527</v>
      </c>
      <c r="D520" s="120" t="s">
        <v>84</v>
      </c>
      <c r="E520" s="121">
        <v>1295.4849608</v>
      </c>
      <c r="F520" s="122">
        <v>1E-3</v>
      </c>
      <c r="G520" s="121">
        <v>1.2954849608000001</v>
      </c>
      <c r="H520" s="125"/>
      <c r="I520" s="125"/>
      <c r="J520" s="126"/>
      <c r="K520" s="126"/>
    </row>
    <row r="521" spans="1:11" ht="13.5" customHeight="1">
      <c r="A521" s="119" t="s">
        <v>504</v>
      </c>
      <c r="B521" s="119" t="s">
        <v>542</v>
      </c>
      <c r="C521" s="119" t="s">
        <v>528</v>
      </c>
      <c r="D521" s="120" t="s">
        <v>84</v>
      </c>
      <c r="E521" s="121">
        <v>4965.5808400000005</v>
      </c>
      <c r="F521" s="122">
        <v>1.9E-3</v>
      </c>
      <c r="G521" s="121">
        <v>9.4346035960000005</v>
      </c>
      <c r="H521" s="125"/>
      <c r="I521" s="125"/>
      <c r="J521" s="126"/>
      <c r="K521" s="126"/>
    </row>
    <row r="522" spans="1:11" ht="13.5" customHeight="1">
      <c r="A522" s="119" t="s">
        <v>504</v>
      </c>
      <c r="B522" s="119" t="s">
        <v>542</v>
      </c>
      <c r="C522" s="119" t="s">
        <v>529</v>
      </c>
      <c r="D522" s="120" t="s">
        <v>84</v>
      </c>
      <c r="E522" s="121">
        <v>65.420172000000008</v>
      </c>
      <c r="F522" s="122">
        <v>9.2066470218694896E-4</v>
      </c>
      <c r="G522" s="121">
        <v>6.0230043171398982E-2</v>
      </c>
      <c r="H522" s="125"/>
      <c r="I522" s="125"/>
      <c r="J522" s="126"/>
      <c r="K522" s="126"/>
    </row>
    <row r="523" spans="1:11" ht="13.5" customHeight="1">
      <c r="A523" s="119" t="s">
        <v>504</v>
      </c>
      <c r="B523" s="119" t="s">
        <v>542</v>
      </c>
      <c r="C523" s="119" t="s">
        <v>530</v>
      </c>
      <c r="D523" s="120" t="s">
        <v>84</v>
      </c>
      <c r="E523" s="121">
        <v>1564.7410926</v>
      </c>
      <c r="F523" s="122">
        <v>1.2999999999999999E-3</v>
      </c>
      <c r="G523" s="121">
        <v>2.0341634203800001</v>
      </c>
      <c r="H523" s="125"/>
      <c r="I523" s="125"/>
      <c r="J523" s="126"/>
      <c r="K523" s="126"/>
    </row>
    <row r="524" spans="1:11" ht="13.5" customHeight="1">
      <c r="A524" s="119" t="s">
        <v>504</v>
      </c>
      <c r="B524" s="119" t="s">
        <v>542</v>
      </c>
      <c r="C524" s="119" t="s">
        <v>531</v>
      </c>
      <c r="D524" s="120" t="s">
        <v>84</v>
      </c>
      <c r="E524" s="121">
        <v>3353.1720322500005</v>
      </c>
      <c r="F524" s="122">
        <v>3.8419999999999999E-3</v>
      </c>
      <c r="G524" s="121">
        <v>12.882886947904503</v>
      </c>
      <c r="H524" s="125">
        <f>SUM(G514:G524)</f>
        <v>78.354220981503914</v>
      </c>
      <c r="I524" s="125"/>
      <c r="J524" s="126"/>
      <c r="K524" s="126"/>
    </row>
    <row r="525" spans="1:11" s="117" customFormat="1" ht="13.5" customHeight="1">
      <c r="A525" s="127" t="s">
        <v>504</v>
      </c>
      <c r="B525" s="119" t="s">
        <v>542</v>
      </c>
      <c r="C525" s="127" t="s">
        <v>532</v>
      </c>
      <c r="D525" s="128" t="s">
        <v>84</v>
      </c>
      <c r="E525" s="129">
        <v>32.710086000000004</v>
      </c>
      <c r="F525" s="130">
        <v>9.2066470218694896E-4</v>
      </c>
      <c r="G525" s="129">
        <v>3.0115021585699491E-2</v>
      </c>
      <c r="H525" s="125"/>
      <c r="I525" s="132">
        <v>3.0115021585699491E-2</v>
      </c>
      <c r="J525" s="133">
        <f>SUM(G525*0.125)/92</f>
        <v>4.0917148893613437E-5</v>
      </c>
      <c r="K525" s="133"/>
    </row>
    <row r="526" spans="1:11" s="117" customFormat="1" ht="13.5" customHeight="1">
      <c r="A526" s="127"/>
      <c r="B526" s="119"/>
      <c r="C526" s="127"/>
      <c r="D526" s="128"/>
      <c r="E526" s="129"/>
      <c r="F526" s="130"/>
      <c r="G526" s="129">
        <f>SUM(G514:G525)</f>
        <v>78.384336003089615</v>
      </c>
      <c r="H526" s="125"/>
      <c r="I526" s="125"/>
      <c r="J526" s="133"/>
      <c r="K526" s="133"/>
    </row>
    <row r="527" spans="1:11" ht="13.5" customHeight="1">
      <c r="A527" s="119" t="s">
        <v>506</v>
      </c>
      <c r="B527" s="119" t="s">
        <v>543</v>
      </c>
      <c r="C527" s="119" t="s">
        <v>521</v>
      </c>
      <c r="D527" s="120" t="s">
        <v>84</v>
      </c>
      <c r="E527" s="121">
        <v>21620.146499999999</v>
      </c>
      <c r="F527" s="122">
        <v>1.2999999999999999E-3</v>
      </c>
      <c r="G527" s="121">
        <v>28.106190449999996</v>
      </c>
      <c r="H527" s="125"/>
      <c r="I527" s="125"/>
      <c r="J527" s="126"/>
      <c r="K527" s="126"/>
    </row>
    <row r="528" spans="1:11" ht="13.5" customHeight="1">
      <c r="A528" s="119" t="s">
        <v>506</v>
      </c>
      <c r="B528" s="119" t="s">
        <v>543</v>
      </c>
      <c r="C528" s="119" t="s">
        <v>522</v>
      </c>
      <c r="D528" s="120" t="s">
        <v>84</v>
      </c>
      <c r="E528" s="121">
        <v>29185.711650000001</v>
      </c>
      <c r="F528" s="122">
        <v>1.4E-3</v>
      </c>
      <c r="G528" s="121">
        <v>40.85999631</v>
      </c>
      <c r="H528" s="125"/>
      <c r="I528" s="125"/>
      <c r="J528" s="126"/>
      <c r="K528" s="126"/>
    </row>
    <row r="529" spans="1:11" ht="13.5" customHeight="1">
      <c r="A529" s="119" t="s">
        <v>506</v>
      </c>
      <c r="B529" s="119" t="s">
        <v>543</v>
      </c>
      <c r="C529" s="119" t="s">
        <v>523</v>
      </c>
      <c r="D529" s="120" t="s">
        <v>84</v>
      </c>
      <c r="E529" s="121">
        <v>9483.1419600000008</v>
      </c>
      <c r="F529" s="122">
        <v>1.14E-3</v>
      </c>
      <c r="G529" s="121">
        <v>10.8107818344</v>
      </c>
      <c r="H529" s="125"/>
      <c r="I529" s="125"/>
      <c r="J529" s="126"/>
      <c r="K529" s="126"/>
    </row>
    <row r="530" spans="1:11" ht="13.5" customHeight="1">
      <c r="A530" s="119" t="s">
        <v>506</v>
      </c>
      <c r="B530" s="119" t="s">
        <v>543</v>
      </c>
      <c r="C530" s="119" t="s">
        <v>524</v>
      </c>
      <c r="D530" s="120" t="s">
        <v>84</v>
      </c>
      <c r="E530" s="121">
        <v>3298.9597200000003</v>
      </c>
      <c r="F530" s="122">
        <v>1E-3</v>
      </c>
      <c r="G530" s="121">
        <v>3.2989597200000005</v>
      </c>
      <c r="H530" s="125"/>
      <c r="I530" s="125"/>
      <c r="J530" s="126"/>
      <c r="K530" s="126"/>
    </row>
    <row r="531" spans="1:11" ht="13.5" customHeight="1">
      <c r="A531" s="119" t="s">
        <v>506</v>
      </c>
      <c r="B531" s="119" t="s">
        <v>543</v>
      </c>
      <c r="C531" s="119" t="s">
        <v>525</v>
      </c>
      <c r="D531" s="120" t="s">
        <v>84</v>
      </c>
      <c r="E531" s="121">
        <v>46483.37442</v>
      </c>
      <c r="F531" s="122">
        <v>1.4E-3</v>
      </c>
      <c r="G531" s="121">
        <v>65.076724188</v>
      </c>
      <c r="H531" s="125"/>
      <c r="I531" s="125"/>
      <c r="J531" s="126"/>
      <c r="K531" s="126"/>
    </row>
    <row r="532" spans="1:11" ht="13.5" customHeight="1">
      <c r="A532" s="119" t="s">
        <v>506</v>
      </c>
      <c r="B532" s="119" t="s">
        <v>543</v>
      </c>
      <c r="C532" s="119" t="s">
        <v>526</v>
      </c>
      <c r="D532" s="120" t="s">
        <v>84</v>
      </c>
      <c r="E532" s="121">
        <v>15350.60124</v>
      </c>
      <c r="F532" s="122">
        <v>1.14E-3</v>
      </c>
      <c r="G532" s="121">
        <v>17.499685413599998</v>
      </c>
      <c r="H532" s="125"/>
      <c r="I532" s="125"/>
      <c r="J532" s="126"/>
      <c r="K532" s="126"/>
    </row>
    <row r="533" spans="1:11" ht="13.5" customHeight="1">
      <c r="A533" s="119" t="s">
        <v>506</v>
      </c>
      <c r="B533" s="119" t="s">
        <v>543</v>
      </c>
      <c r="C533" s="119" t="s">
        <v>527</v>
      </c>
      <c r="D533" s="120" t="s">
        <v>84</v>
      </c>
      <c r="E533" s="121">
        <v>5305.8229199999996</v>
      </c>
      <c r="F533" s="122">
        <v>1E-3</v>
      </c>
      <c r="G533" s="121">
        <v>5.3058229199999998</v>
      </c>
      <c r="H533" s="125"/>
      <c r="I533" s="125"/>
      <c r="J533" s="126"/>
      <c r="K533" s="126"/>
    </row>
    <row r="534" spans="1:11" ht="13.5" customHeight="1">
      <c r="A534" s="119" t="s">
        <v>506</v>
      </c>
      <c r="B534" s="119" t="s">
        <v>543</v>
      </c>
      <c r="C534" s="119" t="s">
        <v>528</v>
      </c>
      <c r="D534" s="120" t="s">
        <v>84</v>
      </c>
      <c r="E534" s="121">
        <v>9339</v>
      </c>
      <c r="F534" s="122">
        <v>1.9E-3</v>
      </c>
      <c r="G534" s="121">
        <v>17.7441</v>
      </c>
      <c r="H534" s="125"/>
      <c r="I534" s="125"/>
      <c r="J534" s="126"/>
      <c r="K534" s="126"/>
    </row>
    <row r="535" spans="1:11" ht="13.5" customHeight="1">
      <c r="A535" s="119" t="s">
        <v>506</v>
      </c>
      <c r="B535" s="119" t="s">
        <v>543</v>
      </c>
      <c r="C535" s="119" t="s">
        <v>529</v>
      </c>
      <c r="D535" s="120" t="s">
        <v>84</v>
      </c>
      <c r="E535" s="121">
        <v>2013.9966000000002</v>
      </c>
      <c r="F535" s="122">
        <v>9.2066470218694896E-4</v>
      </c>
      <c r="G535" s="121">
        <v>1.8542155799445279</v>
      </c>
      <c r="H535" s="125"/>
      <c r="I535" s="125"/>
      <c r="J535" s="126"/>
      <c r="K535" s="126"/>
    </row>
    <row r="536" spans="1:11" ht="13.5" customHeight="1">
      <c r="A536" s="119" t="s">
        <v>506</v>
      </c>
      <c r="B536" s="119" t="s">
        <v>543</v>
      </c>
      <c r="C536" s="119" t="s">
        <v>530</v>
      </c>
      <c r="D536" s="120" t="s">
        <v>84</v>
      </c>
      <c r="E536" s="121">
        <v>30364.042329000004</v>
      </c>
      <c r="F536" s="122">
        <v>1.2999999999999999E-3</v>
      </c>
      <c r="G536" s="121">
        <v>39.473255027700006</v>
      </c>
      <c r="H536" s="125"/>
      <c r="I536" s="125"/>
      <c r="J536" s="126"/>
      <c r="K536" s="126"/>
    </row>
    <row r="537" spans="1:11" ht="13.5" customHeight="1">
      <c r="A537" s="119" t="s">
        <v>506</v>
      </c>
      <c r="B537" s="119" t="s">
        <v>543</v>
      </c>
      <c r="C537" s="119" t="s">
        <v>531</v>
      </c>
      <c r="D537" s="120" t="s">
        <v>84</v>
      </c>
      <c r="E537" s="121">
        <v>0</v>
      </c>
      <c r="F537" s="122">
        <v>3.8419999999999999E-3</v>
      </c>
      <c r="G537" s="121">
        <v>0</v>
      </c>
      <c r="H537" s="125">
        <f>SUM(G527:G537)</f>
        <v>230.02973144364455</v>
      </c>
      <c r="I537" s="125"/>
      <c r="J537" s="126"/>
      <c r="K537" s="126"/>
    </row>
    <row r="538" spans="1:11" s="117" customFormat="1" ht="13.5" customHeight="1">
      <c r="A538" s="127" t="s">
        <v>506</v>
      </c>
      <c r="B538" s="119" t="s">
        <v>543</v>
      </c>
      <c r="C538" s="127" t="s">
        <v>532</v>
      </c>
      <c r="D538" s="128" t="s">
        <v>84</v>
      </c>
      <c r="E538" s="129">
        <v>1911.7512000000002</v>
      </c>
      <c r="F538" s="130">
        <v>9.2066470218694896E-4</v>
      </c>
      <c r="G538" s="129">
        <v>1.7600818492035424</v>
      </c>
      <c r="H538" s="125"/>
      <c r="I538" s="132">
        <v>1.7600818492035424</v>
      </c>
      <c r="J538" s="145">
        <f>SUM(G538*0.125)/92</f>
        <v>2.3914155559830738E-3</v>
      </c>
      <c r="K538" s="133"/>
    </row>
    <row r="539" spans="1:11" ht="13.5" customHeight="1">
      <c r="A539" s="119"/>
      <c r="B539" s="135" t="s">
        <v>12</v>
      </c>
      <c r="C539" s="119"/>
      <c r="D539" s="120"/>
      <c r="E539" s="121"/>
      <c r="F539" s="122"/>
      <c r="G539" s="129">
        <f>SUM(G527:G538)</f>
        <v>231.78981329284809</v>
      </c>
      <c r="H539" s="131"/>
      <c r="I539" s="131"/>
      <c r="J539" s="126"/>
      <c r="K539" s="126"/>
    </row>
    <row r="540" spans="1:11" ht="13.5" customHeight="1">
      <c r="A540" s="119"/>
      <c r="B540" s="127" t="s">
        <v>50</v>
      </c>
      <c r="C540" s="119"/>
      <c r="D540" s="120"/>
      <c r="E540" s="121"/>
      <c r="F540" s="122"/>
      <c r="G540" s="129">
        <f>SUM(G358:G539)/2</f>
        <v>1135.35597941933</v>
      </c>
      <c r="H540" s="125">
        <f>SUM(H368:H537)</f>
        <v>1105.6332192168356</v>
      </c>
      <c r="I540" s="125">
        <f>SUM(I368:I538)</f>
        <v>29.722760202494079</v>
      </c>
      <c r="J540" s="126">
        <f>SUM(J367:J538)</f>
        <v>4.0384185057736513E-2</v>
      </c>
      <c r="K540" s="126"/>
    </row>
    <row r="541" spans="1:11" ht="13.5" customHeight="1">
      <c r="A541" s="119" t="s">
        <v>467</v>
      </c>
      <c r="B541" s="119" t="s">
        <v>520</v>
      </c>
      <c r="C541" s="119" t="s">
        <v>521</v>
      </c>
      <c r="D541" s="120" t="s">
        <v>79</v>
      </c>
      <c r="E541" s="121">
        <v>993.98954060000017</v>
      </c>
      <c r="F541" s="122">
        <v>1.1800000000000001E-2</v>
      </c>
      <c r="G541" s="121">
        <v>11.729076579080003</v>
      </c>
      <c r="H541" s="125"/>
      <c r="I541" s="125"/>
      <c r="J541" s="126"/>
      <c r="K541" s="126"/>
    </row>
    <row r="542" spans="1:11" ht="13.5" customHeight="1">
      <c r="A542" s="119" t="s">
        <v>467</v>
      </c>
      <c r="B542" s="119" t="s">
        <v>520</v>
      </c>
      <c r="C542" s="119" t="s">
        <v>522</v>
      </c>
      <c r="D542" s="120" t="s">
        <v>79</v>
      </c>
      <c r="E542" s="121">
        <v>2716.9626024000004</v>
      </c>
      <c r="F542" s="122">
        <v>1.5300000000000001E-2</v>
      </c>
      <c r="G542" s="121">
        <v>41.569527816720012</v>
      </c>
      <c r="H542" s="125"/>
      <c r="I542" s="125"/>
      <c r="J542" s="126"/>
      <c r="K542" s="126"/>
    </row>
    <row r="543" spans="1:11" ht="13.5" customHeight="1">
      <c r="A543" s="119" t="s">
        <v>467</v>
      </c>
      <c r="B543" s="119" t="s">
        <v>520</v>
      </c>
      <c r="C543" s="119" t="s">
        <v>523</v>
      </c>
      <c r="D543" s="120" t="s">
        <v>79</v>
      </c>
      <c r="E543" s="121">
        <v>872.38277920000007</v>
      </c>
      <c r="F543" s="122">
        <v>9.8000000000000014E-3</v>
      </c>
      <c r="G543" s="121">
        <v>8.5493512361600015</v>
      </c>
      <c r="H543" s="125"/>
      <c r="I543" s="125"/>
      <c r="J543" s="126"/>
      <c r="K543" s="126"/>
    </row>
    <row r="544" spans="1:11" ht="13.5" customHeight="1">
      <c r="A544" s="119" t="s">
        <v>467</v>
      </c>
      <c r="B544" s="119" t="s">
        <v>520</v>
      </c>
      <c r="C544" s="119" t="s">
        <v>524</v>
      </c>
      <c r="D544" s="120" t="s">
        <v>79</v>
      </c>
      <c r="E544" s="121">
        <v>292.42739280000001</v>
      </c>
      <c r="F544" s="122">
        <v>1.0199999999999999E-2</v>
      </c>
      <c r="G544" s="121">
        <v>2.9827594065599996</v>
      </c>
      <c r="H544" s="125"/>
      <c r="I544" s="125"/>
      <c r="J544" s="126"/>
      <c r="K544" s="126"/>
    </row>
    <row r="545" spans="1:11" ht="13.5" customHeight="1">
      <c r="A545" s="119" t="s">
        <v>467</v>
      </c>
      <c r="B545" s="119" t="s">
        <v>520</v>
      </c>
      <c r="C545" s="119" t="s">
        <v>525</v>
      </c>
      <c r="D545" s="120" t="s">
        <v>79</v>
      </c>
      <c r="E545" s="121">
        <v>8195.6239264000014</v>
      </c>
      <c r="F545" s="122">
        <v>1.5300000000000001E-2</v>
      </c>
      <c r="G545" s="121">
        <v>125.39304607392003</v>
      </c>
      <c r="H545" s="125"/>
      <c r="I545" s="125"/>
      <c r="J545" s="126"/>
      <c r="K545" s="126"/>
    </row>
    <row r="546" spans="1:11" ht="13.5" customHeight="1">
      <c r="A546" s="119" t="s">
        <v>467</v>
      </c>
      <c r="B546" s="119" t="s">
        <v>520</v>
      </c>
      <c r="C546" s="119" t="s">
        <v>526</v>
      </c>
      <c r="D546" s="120" t="s">
        <v>79</v>
      </c>
      <c r="E546" s="121">
        <v>2625.3174520000002</v>
      </c>
      <c r="F546" s="122">
        <v>9.8000000000000014E-3</v>
      </c>
      <c r="G546" s="121">
        <v>25.728111029600004</v>
      </c>
      <c r="H546" s="125"/>
      <c r="I546" s="125"/>
      <c r="J546" s="126"/>
      <c r="K546" s="126"/>
    </row>
    <row r="547" spans="1:11" ht="13.5" customHeight="1">
      <c r="A547" s="119" t="s">
        <v>467</v>
      </c>
      <c r="B547" s="119" t="s">
        <v>520</v>
      </c>
      <c r="C547" s="119" t="s">
        <v>527</v>
      </c>
      <c r="D547" s="120" t="s">
        <v>79</v>
      </c>
      <c r="E547" s="121">
        <v>873.92451200000005</v>
      </c>
      <c r="F547" s="122">
        <v>1.0199999999999999E-2</v>
      </c>
      <c r="G547" s="121">
        <v>8.9140300224000004</v>
      </c>
      <c r="H547" s="125"/>
      <c r="I547" s="125"/>
      <c r="J547" s="126"/>
      <c r="K547" s="126"/>
    </row>
    <row r="548" spans="1:11" ht="13.5" customHeight="1">
      <c r="A548" s="119" t="s">
        <v>467</v>
      </c>
      <c r="B548" s="119" t="s">
        <v>520</v>
      </c>
      <c r="C548" s="119" t="s">
        <v>528</v>
      </c>
      <c r="D548" s="120" t="s">
        <v>79</v>
      </c>
      <c r="E548" s="121">
        <v>3401.9963200000002</v>
      </c>
      <c r="F548" s="122">
        <v>1.5300000000000001E-3</v>
      </c>
      <c r="G548" s="121">
        <v>5.2050543696000009</v>
      </c>
      <c r="H548" s="125"/>
      <c r="I548" s="125"/>
      <c r="J548" s="126"/>
      <c r="K548" s="126"/>
    </row>
    <row r="549" spans="1:11" ht="13.5" customHeight="1">
      <c r="A549" s="119" t="s">
        <v>467</v>
      </c>
      <c r="B549" s="119" t="s">
        <v>520</v>
      </c>
      <c r="C549" s="119" t="s">
        <v>529</v>
      </c>
      <c r="D549" s="120" t="s">
        <v>79</v>
      </c>
      <c r="E549" s="121">
        <v>1517.7479903999999</v>
      </c>
      <c r="F549" s="122">
        <v>1.38E-2</v>
      </c>
      <c r="G549" s="121">
        <v>20.944922267519999</v>
      </c>
      <c r="H549" s="125"/>
      <c r="I549" s="125"/>
      <c r="J549" s="126"/>
      <c r="K549" s="126"/>
    </row>
    <row r="550" spans="1:11" ht="13.5" customHeight="1">
      <c r="A550" s="119" t="s">
        <v>467</v>
      </c>
      <c r="B550" s="119" t="s">
        <v>520</v>
      </c>
      <c r="C550" s="119" t="s">
        <v>530</v>
      </c>
      <c r="D550" s="120" t="s">
        <v>79</v>
      </c>
      <c r="E550" s="121">
        <v>210.78022440000004</v>
      </c>
      <c r="F550" s="122">
        <v>1.1800000000000001E-2</v>
      </c>
      <c r="G550" s="121">
        <v>2.4872066479200008</v>
      </c>
      <c r="H550" s="125"/>
      <c r="I550" s="125"/>
      <c r="J550" s="126"/>
      <c r="K550" s="126"/>
    </row>
    <row r="551" spans="1:11" ht="13.5" customHeight="1">
      <c r="A551" s="119" t="s">
        <v>467</v>
      </c>
      <c r="B551" s="119" t="s">
        <v>520</v>
      </c>
      <c r="C551" s="119" t="s">
        <v>531</v>
      </c>
      <c r="D551" s="120" t="s">
        <v>79</v>
      </c>
      <c r="E551" s="121">
        <v>232.12559475</v>
      </c>
      <c r="F551" s="122">
        <v>1.4659999999999999E-2</v>
      </c>
      <c r="G551" s="121">
        <v>3.4029612190349998</v>
      </c>
      <c r="H551" s="125">
        <f>SUM(G541:G551)</f>
        <v>256.90604666851505</v>
      </c>
      <c r="I551" s="125"/>
      <c r="J551" s="126"/>
      <c r="K551" s="126"/>
    </row>
    <row r="552" spans="1:11" s="117" customFormat="1" ht="13.5" customHeight="1">
      <c r="A552" s="127" t="s">
        <v>467</v>
      </c>
      <c r="B552" s="119" t="s">
        <v>520</v>
      </c>
      <c r="C552" s="127" t="s">
        <v>532</v>
      </c>
      <c r="D552" s="128" t="s">
        <v>79</v>
      </c>
      <c r="E552" s="129">
        <v>837.37820160000001</v>
      </c>
      <c r="F552" s="130">
        <v>3.2000000000000001E-2</v>
      </c>
      <c r="G552" s="129">
        <v>26.796102451199999</v>
      </c>
      <c r="H552" s="125"/>
      <c r="I552" s="132">
        <v>26.796102451199999</v>
      </c>
      <c r="J552" s="133"/>
      <c r="K552" s="133"/>
    </row>
    <row r="553" spans="1:11" s="117" customFormat="1" ht="13.5" customHeight="1">
      <c r="A553" s="127"/>
      <c r="B553" s="119"/>
      <c r="C553" s="127"/>
      <c r="D553" s="128"/>
      <c r="E553" s="129"/>
      <c r="F553" s="130"/>
      <c r="G553" s="129">
        <f>SUM(G541:G552)</f>
        <v>283.70214911971505</v>
      </c>
      <c r="H553" s="125"/>
      <c r="I553" s="125"/>
      <c r="J553" s="133"/>
      <c r="K553" s="133"/>
    </row>
    <row r="554" spans="1:11" ht="13.5" customHeight="1">
      <c r="A554" s="119" t="s">
        <v>482</v>
      </c>
      <c r="B554" s="119" t="s">
        <v>533</v>
      </c>
      <c r="C554" s="119" t="s">
        <v>521</v>
      </c>
      <c r="D554" s="120" t="s">
        <v>79</v>
      </c>
      <c r="E554" s="121">
        <v>4291.0124999999998</v>
      </c>
      <c r="F554" s="122">
        <v>1.1800000000000001E-2</v>
      </c>
      <c r="G554" s="121">
        <v>50.633947500000005</v>
      </c>
      <c r="H554" s="125"/>
      <c r="I554" s="125"/>
      <c r="J554" s="126"/>
      <c r="K554" s="126"/>
    </row>
    <row r="555" spans="1:11" ht="13.5" customHeight="1">
      <c r="A555" s="119" t="s">
        <v>482</v>
      </c>
      <c r="B555" s="119" t="s">
        <v>533</v>
      </c>
      <c r="C555" s="119" t="s">
        <v>522</v>
      </c>
      <c r="D555" s="120" t="s">
        <v>79</v>
      </c>
      <c r="E555" s="121">
        <v>5794.2374999999993</v>
      </c>
      <c r="F555" s="122">
        <v>1.5300000000000001E-2</v>
      </c>
      <c r="G555" s="121">
        <v>88.651833749999994</v>
      </c>
      <c r="H555" s="125"/>
      <c r="I555" s="125"/>
      <c r="J555" s="126"/>
      <c r="K555" s="126"/>
    </row>
    <row r="556" spans="1:11" ht="13.5" customHeight="1">
      <c r="A556" s="119" t="s">
        <v>482</v>
      </c>
      <c r="B556" s="119" t="s">
        <v>533</v>
      </c>
      <c r="C556" s="119" t="s">
        <v>523</v>
      </c>
      <c r="D556" s="120" t="s">
        <v>79</v>
      </c>
      <c r="E556" s="121">
        <v>1879.86</v>
      </c>
      <c r="F556" s="122">
        <v>9.8000000000000014E-3</v>
      </c>
      <c r="G556" s="121">
        <v>18.422628000000003</v>
      </c>
      <c r="H556" s="125"/>
      <c r="I556" s="125"/>
      <c r="J556" s="126"/>
      <c r="K556" s="126"/>
    </row>
    <row r="557" spans="1:11" ht="13.5" customHeight="1">
      <c r="A557" s="119" t="s">
        <v>482</v>
      </c>
      <c r="B557" s="119" t="s">
        <v>533</v>
      </c>
      <c r="C557" s="119" t="s">
        <v>524</v>
      </c>
      <c r="D557" s="120" t="s">
        <v>79</v>
      </c>
      <c r="E557" s="121">
        <v>655.34999999999991</v>
      </c>
      <c r="F557" s="122">
        <v>1.0199999999999999E-2</v>
      </c>
      <c r="G557" s="121">
        <v>6.6845699999999981</v>
      </c>
      <c r="H557" s="125"/>
      <c r="I557" s="125"/>
      <c r="J557" s="126"/>
      <c r="K557" s="126"/>
    </row>
    <row r="558" spans="1:11" ht="13.5" customHeight="1">
      <c r="A558" s="119" t="s">
        <v>482</v>
      </c>
      <c r="B558" s="119" t="s">
        <v>533</v>
      </c>
      <c r="C558" s="119" t="s">
        <v>525</v>
      </c>
      <c r="D558" s="120" t="s">
        <v>79</v>
      </c>
      <c r="E558" s="121">
        <v>9224.369999999999</v>
      </c>
      <c r="F558" s="122">
        <v>1.5300000000000001E-2</v>
      </c>
      <c r="G558" s="121">
        <v>141.13286099999999</v>
      </c>
      <c r="H558" s="125"/>
      <c r="I558" s="125"/>
      <c r="J558" s="126"/>
      <c r="K558" s="126"/>
    </row>
    <row r="559" spans="1:11" ht="13.5" customHeight="1">
      <c r="A559" s="119" t="s">
        <v>482</v>
      </c>
      <c r="B559" s="119" t="s">
        <v>533</v>
      </c>
      <c r="C559" s="119" t="s">
        <v>526</v>
      </c>
      <c r="D559" s="120" t="s">
        <v>79</v>
      </c>
      <c r="E559" s="121">
        <v>3045.7199999999993</v>
      </c>
      <c r="F559" s="122">
        <v>9.8000000000000014E-3</v>
      </c>
      <c r="G559" s="121">
        <v>29.848055999999996</v>
      </c>
      <c r="H559" s="125"/>
      <c r="I559" s="125"/>
      <c r="J559" s="126"/>
      <c r="K559" s="126"/>
    </row>
    <row r="560" spans="1:11" ht="13.5" customHeight="1">
      <c r="A560" s="119" t="s">
        <v>482</v>
      </c>
      <c r="B560" s="119" t="s">
        <v>533</v>
      </c>
      <c r="C560" s="119" t="s">
        <v>527</v>
      </c>
      <c r="D560" s="120" t="s">
        <v>79</v>
      </c>
      <c r="E560" s="121">
        <v>1052.1299999999999</v>
      </c>
      <c r="F560" s="122">
        <v>1.0199999999999999E-2</v>
      </c>
      <c r="G560" s="121">
        <v>10.731725999999998</v>
      </c>
      <c r="H560" s="125"/>
      <c r="I560" s="125"/>
      <c r="J560" s="126"/>
      <c r="K560" s="126"/>
    </row>
    <row r="561" spans="1:11" ht="13.5" customHeight="1">
      <c r="A561" s="119" t="s">
        <v>482</v>
      </c>
      <c r="B561" s="119" t="s">
        <v>533</v>
      </c>
      <c r="C561" s="119" t="s">
        <v>528</v>
      </c>
      <c r="D561" s="120" t="s">
        <v>79</v>
      </c>
      <c r="E561" s="121">
        <v>1781</v>
      </c>
      <c r="F561" s="122">
        <v>1.5300000000000001E-3</v>
      </c>
      <c r="G561" s="121">
        <v>2.7249300000000001</v>
      </c>
      <c r="H561" s="125"/>
      <c r="I561" s="125"/>
      <c r="J561" s="126"/>
      <c r="K561" s="126"/>
    </row>
    <row r="562" spans="1:11" ht="13.5" customHeight="1">
      <c r="A562" s="119" t="s">
        <v>482</v>
      </c>
      <c r="B562" s="119" t="s">
        <v>533</v>
      </c>
      <c r="C562" s="119" t="s">
        <v>529</v>
      </c>
      <c r="D562" s="120" t="s">
        <v>79</v>
      </c>
      <c r="E562" s="121">
        <v>8032.4999999999991</v>
      </c>
      <c r="F562" s="122">
        <v>1.38E-2</v>
      </c>
      <c r="G562" s="121">
        <v>110.84849999999999</v>
      </c>
      <c r="H562" s="125"/>
      <c r="I562" s="125"/>
      <c r="J562" s="126"/>
      <c r="K562" s="126"/>
    </row>
    <row r="563" spans="1:11" ht="13.5" customHeight="1">
      <c r="A563" s="119" t="s">
        <v>482</v>
      </c>
      <c r="B563" s="119" t="s">
        <v>533</v>
      </c>
      <c r="C563" s="119" t="s">
        <v>530</v>
      </c>
      <c r="D563" s="120" t="s">
        <v>79</v>
      </c>
      <c r="E563" s="121">
        <v>6462.3579</v>
      </c>
      <c r="F563" s="122">
        <v>1.1800000000000001E-2</v>
      </c>
      <c r="G563" s="121">
        <v>76.255823220000011</v>
      </c>
      <c r="H563" s="125"/>
      <c r="I563" s="125"/>
      <c r="J563" s="126"/>
      <c r="K563" s="126"/>
    </row>
    <row r="564" spans="1:11" ht="13.5" customHeight="1">
      <c r="A564" s="119" t="s">
        <v>482</v>
      </c>
      <c r="B564" s="119" t="s">
        <v>533</v>
      </c>
      <c r="C564" s="119" t="s">
        <v>531</v>
      </c>
      <c r="D564" s="120" t="s">
        <v>79</v>
      </c>
      <c r="E564" s="121">
        <v>0</v>
      </c>
      <c r="F564" s="122">
        <v>1.4659999999999999E-2</v>
      </c>
      <c r="G564" s="121">
        <v>0</v>
      </c>
      <c r="H564" s="125">
        <f>SUM(G554:G564)</f>
        <v>535.93487546999995</v>
      </c>
      <c r="I564" s="125"/>
      <c r="J564" s="126"/>
      <c r="K564" s="126"/>
    </row>
    <row r="565" spans="1:11" s="117" customFormat="1" ht="13.5" customHeight="1">
      <c r="A565" s="127" t="s">
        <v>482</v>
      </c>
      <c r="B565" s="119" t="s">
        <v>533</v>
      </c>
      <c r="C565" s="127" t="s">
        <v>532</v>
      </c>
      <c r="D565" s="128" t="s">
        <v>79</v>
      </c>
      <c r="E565" s="129">
        <v>7649.9999999999991</v>
      </c>
      <c r="F565" s="130">
        <v>3.2000000000000001E-2</v>
      </c>
      <c r="G565" s="129">
        <v>244.79999999999998</v>
      </c>
      <c r="H565" s="125"/>
      <c r="I565" s="132">
        <v>244.79999999999998</v>
      </c>
      <c r="J565" s="133"/>
      <c r="K565" s="133"/>
    </row>
    <row r="566" spans="1:11" s="117" customFormat="1" ht="13.5" customHeight="1">
      <c r="A566" s="127"/>
      <c r="B566" s="119"/>
      <c r="C566" s="127"/>
      <c r="D566" s="128"/>
      <c r="E566" s="129"/>
      <c r="F566" s="130"/>
      <c r="G566" s="129">
        <f>SUM(G554:G565)</f>
        <v>780.73487546999991</v>
      </c>
      <c r="H566" s="125"/>
      <c r="I566" s="125"/>
      <c r="J566" s="133"/>
      <c r="K566" s="133"/>
    </row>
    <row r="567" spans="1:11" ht="13.5" customHeight="1">
      <c r="A567" s="119" t="s">
        <v>484</v>
      </c>
      <c r="B567" s="119" t="s">
        <v>534</v>
      </c>
      <c r="C567" s="119" t="s">
        <v>521</v>
      </c>
      <c r="D567" s="120" t="s">
        <v>79</v>
      </c>
      <c r="E567" s="121">
        <v>4873.6662281999998</v>
      </c>
      <c r="F567" s="122">
        <v>1.1800000000000001E-2</v>
      </c>
      <c r="G567" s="121">
        <v>57.509261492760004</v>
      </c>
      <c r="H567" s="125"/>
      <c r="I567" s="125"/>
      <c r="J567" s="126"/>
      <c r="K567" s="126"/>
    </row>
    <row r="568" spans="1:11" ht="13.5" customHeight="1">
      <c r="A568" s="119" t="s">
        <v>484</v>
      </c>
      <c r="B568" s="119" t="s">
        <v>534</v>
      </c>
      <c r="C568" s="119" t="s">
        <v>522</v>
      </c>
      <c r="D568" s="120" t="s">
        <v>79</v>
      </c>
      <c r="E568" s="121">
        <v>2414.3558399999997</v>
      </c>
      <c r="F568" s="122">
        <v>1.5300000000000001E-2</v>
      </c>
      <c r="G568" s="121">
        <v>36.939644351999995</v>
      </c>
      <c r="H568" s="125"/>
      <c r="I568" s="125"/>
      <c r="J568" s="126"/>
      <c r="K568" s="126"/>
    </row>
    <row r="569" spans="1:11" ht="13.5" customHeight="1">
      <c r="A569" s="119" t="s">
        <v>484</v>
      </c>
      <c r="B569" s="119" t="s">
        <v>534</v>
      </c>
      <c r="C569" s="119" t="s">
        <v>523</v>
      </c>
      <c r="D569" s="120" t="s">
        <v>79</v>
      </c>
      <c r="E569" s="121">
        <v>774.18022439999993</v>
      </c>
      <c r="F569" s="122">
        <v>9.8000000000000014E-3</v>
      </c>
      <c r="G569" s="121">
        <v>7.5869661991200008</v>
      </c>
      <c r="H569" s="125"/>
      <c r="I569" s="125"/>
      <c r="J569" s="126"/>
      <c r="K569" s="126"/>
    </row>
    <row r="570" spans="1:11" ht="13.5" customHeight="1">
      <c r="A570" s="119" t="s">
        <v>484</v>
      </c>
      <c r="B570" s="119" t="s">
        <v>534</v>
      </c>
      <c r="C570" s="119" t="s">
        <v>524</v>
      </c>
      <c r="D570" s="120" t="s">
        <v>79</v>
      </c>
      <c r="E570" s="121">
        <v>257.66060099999999</v>
      </c>
      <c r="F570" s="122">
        <v>1.0199999999999999E-2</v>
      </c>
      <c r="G570" s="121">
        <v>2.6281381301999995</v>
      </c>
      <c r="H570" s="125"/>
      <c r="I570" s="125"/>
      <c r="J570" s="126"/>
      <c r="K570" s="126"/>
    </row>
    <row r="571" spans="1:11" ht="13.5" customHeight="1">
      <c r="A571" s="119" t="s">
        <v>484</v>
      </c>
      <c r="B571" s="119" t="s">
        <v>534</v>
      </c>
      <c r="C571" s="119" t="s">
        <v>525</v>
      </c>
      <c r="D571" s="120" t="s">
        <v>79</v>
      </c>
      <c r="E571" s="121">
        <v>18676.030076399999</v>
      </c>
      <c r="F571" s="122">
        <v>1.5300000000000001E-2</v>
      </c>
      <c r="G571" s="121">
        <v>285.74326016892002</v>
      </c>
      <c r="H571" s="125"/>
      <c r="I571" s="125"/>
      <c r="J571" s="126"/>
      <c r="K571" s="126"/>
    </row>
    <row r="572" spans="1:11" ht="13.5" customHeight="1">
      <c r="A572" s="119" t="s">
        <v>484</v>
      </c>
      <c r="B572" s="119" t="s">
        <v>534</v>
      </c>
      <c r="C572" s="119" t="s">
        <v>526</v>
      </c>
      <c r="D572" s="120" t="s">
        <v>79</v>
      </c>
      <c r="E572" s="121">
        <v>5987.7450312000001</v>
      </c>
      <c r="F572" s="122">
        <v>9.8000000000000014E-3</v>
      </c>
      <c r="G572" s="121">
        <v>58.679901305760012</v>
      </c>
      <c r="H572" s="125"/>
      <c r="I572" s="125"/>
      <c r="J572" s="126"/>
      <c r="K572" s="126"/>
    </row>
    <row r="573" spans="1:11" ht="13.5" customHeight="1">
      <c r="A573" s="119" t="s">
        <v>484</v>
      </c>
      <c r="B573" s="119" t="s">
        <v>534</v>
      </c>
      <c r="C573" s="119" t="s">
        <v>527</v>
      </c>
      <c r="D573" s="120" t="s">
        <v>79</v>
      </c>
      <c r="E573" s="121">
        <v>1996.4010312</v>
      </c>
      <c r="F573" s="122">
        <v>1.0199999999999999E-2</v>
      </c>
      <c r="G573" s="121">
        <v>20.363290518239999</v>
      </c>
      <c r="H573" s="125"/>
      <c r="I573" s="125"/>
      <c r="J573" s="126"/>
      <c r="K573" s="126"/>
    </row>
    <row r="574" spans="1:11" ht="13.5" customHeight="1">
      <c r="A574" s="119" t="s">
        <v>484</v>
      </c>
      <c r="B574" s="119" t="s">
        <v>534</v>
      </c>
      <c r="C574" s="119" t="s">
        <v>528</v>
      </c>
      <c r="D574" s="120" t="s">
        <v>79</v>
      </c>
      <c r="E574" s="121">
        <v>10300.72559</v>
      </c>
      <c r="F574" s="122">
        <v>1.5300000000000001E-3</v>
      </c>
      <c r="G574" s="121">
        <v>15.760110152700001</v>
      </c>
      <c r="H574" s="125"/>
      <c r="I574" s="125"/>
      <c r="J574" s="126"/>
      <c r="K574" s="126"/>
    </row>
    <row r="575" spans="1:11" ht="13.5" customHeight="1">
      <c r="A575" s="119" t="s">
        <v>484</v>
      </c>
      <c r="B575" s="119" t="s">
        <v>534</v>
      </c>
      <c r="C575" s="119" t="s">
        <v>529</v>
      </c>
      <c r="D575" s="120" t="s">
        <v>79</v>
      </c>
      <c r="E575" s="121">
        <v>659.20711679999999</v>
      </c>
      <c r="F575" s="122">
        <v>1.38E-2</v>
      </c>
      <c r="G575" s="121">
        <v>9.0970582118400003</v>
      </c>
      <c r="H575" s="125"/>
      <c r="I575" s="125"/>
      <c r="J575" s="126"/>
      <c r="K575" s="126"/>
    </row>
    <row r="576" spans="1:11" ht="13.5" customHeight="1">
      <c r="A576" s="119" t="s">
        <v>484</v>
      </c>
      <c r="B576" s="119" t="s">
        <v>534</v>
      </c>
      <c r="C576" s="119" t="s">
        <v>530</v>
      </c>
      <c r="D576" s="120" t="s">
        <v>79</v>
      </c>
      <c r="E576" s="121">
        <v>582.87571739999998</v>
      </c>
      <c r="F576" s="122">
        <v>1.1800000000000001E-2</v>
      </c>
      <c r="G576" s="121">
        <v>6.8779334653200008</v>
      </c>
      <c r="H576" s="125"/>
      <c r="I576" s="125"/>
      <c r="J576" s="126"/>
      <c r="K576" s="126"/>
    </row>
    <row r="577" spans="1:11" ht="13.5" customHeight="1">
      <c r="A577" s="119" t="s">
        <v>484</v>
      </c>
      <c r="B577" s="119" t="s">
        <v>534</v>
      </c>
      <c r="C577" s="119" t="s">
        <v>531</v>
      </c>
      <c r="D577" s="120" t="s">
        <v>79</v>
      </c>
      <c r="E577" s="121">
        <v>1862.3354931000001</v>
      </c>
      <c r="F577" s="122">
        <v>1.4659999999999999E-2</v>
      </c>
      <c r="G577" s="121">
        <v>27.301838328845999</v>
      </c>
      <c r="H577" s="125">
        <f>SUM(G567:G577)</f>
        <v>528.48740232570594</v>
      </c>
      <c r="I577" s="125"/>
      <c r="J577" s="126"/>
      <c r="K577" s="126"/>
    </row>
    <row r="578" spans="1:11" s="117" customFormat="1" ht="13.5" customHeight="1">
      <c r="A578" s="127" t="s">
        <v>484</v>
      </c>
      <c r="B578" s="119" t="s">
        <v>534</v>
      </c>
      <c r="C578" s="127" t="s">
        <v>532</v>
      </c>
      <c r="D578" s="128" t="s">
        <v>79</v>
      </c>
      <c r="E578" s="129">
        <v>365.65394759999998</v>
      </c>
      <c r="F578" s="130">
        <v>3.2000000000000001E-2</v>
      </c>
      <c r="G578" s="129">
        <v>11.700926323199999</v>
      </c>
      <c r="H578" s="125"/>
      <c r="I578" s="132">
        <v>11.700926323199999</v>
      </c>
      <c r="J578" s="133"/>
      <c r="K578" s="133"/>
    </row>
    <row r="579" spans="1:11" s="117" customFormat="1" ht="13.5" customHeight="1">
      <c r="A579" s="127"/>
      <c r="B579" s="119"/>
      <c r="C579" s="127"/>
      <c r="D579" s="128"/>
      <c r="E579" s="129"/>
      <c r="F579" s="130"/>
      <c r="G579" s="129">
        <f>SUM(G567:G578)</f>
        <v>540.18832864890589</v>
      </c>
      <c r="H579" s="125"/>
      <c r="I579" s="125"/>
      <c r="J579" s="133"/>
      <c r="K579" s="133"/>
    </row>
    <row r="580" spans="1:11" ht="13.5" customHeight="1">
      <c r="A580" s="119" t="s">
        <v>486</v>
      </c>
      <c r="B580" s="119" t="s">
        <v>39</v>
      </c>
      <c r="C580" s="119" t="s">
        <v>521</v>
      </c>
      <c r="D580" s="120" t="s">
        <v>79</v>
      </c>
      <c r="E580" s="121">
        <v>71.367281800000001</v>
      </c>
      <c r="F580" s="122">
        <v>1.1800000000000001E-2</v>
      </c>
      <c r="G580" s="121">
        <v>0.84213392524000008</v>
      </c>
      <c r="H580" s="125"/>
      <c r="I580" s="125"/>
      <c r="J580" s="126"/>
      <c r="K580" s="126"/>
    </row>
    <row r="581" spans="1:11" ht="13.5" customHeight="1">
      <c r="A581" s="119" t="s">
        <v>486</v>
      </c>
      <c r="B581" s="119" t="s">
        <v>39</v>
      </c>
      <c r="C581" s="119" t="s">
        <v>522</v>
      </c>
      <c r="D581" s="120" t="s">
        <v>79</v>
      </c>
      <c r="E581" s="121">
        <v>191.72929799999997</v>
      </c>
      <c r="F581" s="122">
        <v>1.5300000000000001E-2</v>
      </c>
      <c r="G581" s="121">
        <v>2.9334582593999996</v>
      </c>
      <c r="H581" s="125"/>
      <c r="I581" s="125"/>
      <c r="J581" s="126"/>
      <c r="K581" s="126"/>
    </row>
    <row r="582" spans="1:11" ht="13.5" customHeight="1">
      <c r="A582" s="119" t="s">
        <v>486</v>
      </c>
      <c r="B582" s="119" t="s">
        <v>39</v>
      </c>
      <c r="C582" s="119" t="s">
        <v>523</v>
      </c>
      <c r="D582" s="120" t="s">
        <v>79</v>
      </c>
      <c r="E582" s="121">
        <v>61.402691000000004</v>
      </c>
      <c r="F582" s="122">
        <v>9.8000000000000014E-3</v>
      </c>
      <c r="G582" s="121">
        <v>0.60174637180000012</v>
      </c>
      <c r="H582" s="125"/>
      <c r="I582" s="125"/>
      <c r="J582" s="126"/>
      <c r="K582" s="126"/>
    </row>
    <row r="583" spans="1:11" ht="13.5" customHeight="1">
      <c r="A583" s="119" t="s">
        <v>486</v>
      </c>
      <c r="B583" s="119" t="s">
        <v>39</v>
      </c>
      <c r="C583" s="119" t="s">
        <v>524</v>
      </c>
      <c r="D583" s="120" t="s">
        <v>79</v>
      </c>
      <c r="E583" s="121">
        <v>19.4407444</v>
      </c>
      <c r="F583" s="122">
        <v>1.0199999999999999E-2</v>
      </c>
      <c r="G583" s="121">
        <v>0.19829559287999998</v>
      </c>
      <c r="H583" s="125"/>
      <c r="I583" s="125"/>
      <c r="J583" s="126"/>
      <c r="K583" s="126"/>
    </row>
    <row r="584" spans="1:11" ht="13.5" customHeight="1">
      <c r="A584" s="119" t="s">
        <v>486</v>
      </c>
      <c r="B584" s="119" t="s">
        <v>39</v>
      </c>
      <c r="C584" s="119" t="s">
        <v>525</v>
      </c>
      <c r="D584" s="120" t="s">
        <v>79</v>
      </c>
      <c r="E584" s="121">
        <v>575.82262639999999</v>
      </c>
      <c r="F584" s="122">
        <v>1.5300000000000001E-2</v>
      </c>
      <c r="G584" s="121">
        <v>8.8100861839200011</v>
      </c>
      <c r="H584" s="125"/>
      <c r="I584" s="125"/>
      <c r="J584" s="126"/>
      <c r="K584" s="126"/>
    </row>
    <row r="585" spans="1:11" ht="13.5" customHeight="1">
      <c r="A585" s="119" t="s">
        <v>486</v>
      </c>
      <c r="B585" s="119" t="s">
        <v>39</v>
      </c>
      <c r="C585" s="119" t="s">
        <v>526</v>
      </c>
      <c r="D585" s="120" t="s">
        <v>79</v>
      </c>
      <c r="E585" s="121">
        <v>184.23284879999997</v>
      </c>
      <c r="F585" s="122">
        <v>9.8000000000000014E-3</v>
      </c>
      <c r="G585" s="121">
        <v>1.8054819182399999</v>
      </c>
      <c r="H585" s="125"/>
      <c r="I585" s="125"/>
      <c r="J585" s="126"/>
      <c r="K585" s="126"/>
    </row>
    <row r="586" spans="1:11" ht="13.5" customHeight="1">
      <c r="A586" s="119" t="s">
        <v>486</v>
      </c>
      <c r="B586" s="119" t="s">
        <v>39</v>
      </c>
      <c r="C586" s="119" t="s">
        <v>527</v>
      </c>
      <c r="D586" s="120" t="s">
        <v>79</v>
      </c>
      <c r="E586" s="121">
        <v>61.925342399999998</v>
      </c>
      <c r="F586" s="122">
        <v>1.0199999999999999E-2</v>
      </c>
      <c r="G586" s="121">
        <v>0.63163849247999992</v>
      </c>
      <c r="H586" s="125"/>
      <c r="I586" s="125"/>
      <c r="J586" s="126"/>
      <c r="K586" s="126"/>
    </row>
    <row r="587" spans="1:11" ht="13.5" customHeight="1">
      <c r="A587" s="119" t="s">
        <v>486</v>
      </c>
      <c r="B587" s="119" t="s">
        <v>39</v>
      </c>
      <c r="C587" s="119" t="s">
        <v>528</v>
      </c>
      <c r="D587" s="120" t="s">
        <v>79</v>
      </c>
      <c r="E587" s="121">
        <v>239.60031000000001</v>
      </c>
      <c r="F587" s="122">
        <v>1.5300000000000001E-3</v>
      </c>
      <c r="G587" s="121">
        <v>0.36658847430000002</v>
      </c>
      <c r="H587" s="125"/>
      <c r="I587" s="125"/>
      <c r="J587" s="126"/>
      <c r="K587" s="126"/>
    </row>
    <row r="588" spans="1:11" ht="13.5" customHeight="1">
      <c r="A588" s="119" t="s">
        <v>486</v>
      </c>
      <c r="B588" s="119" t="s">
        <v>39</v>
      </c>
      <c r="C588" s="119" t="s">
        <v>529</v>
      </c>
      <c r="D588" s="120" t="s">
        <v>79</v>
      </c>
      <c r="E588" s="121">
        <v>4750.073006399999</v>
      </c>
      <c r="F588" s="122">
        <v>1.38E-2</v>
      </c>
      <c r="G588" s="121">
        <v>65.551007488319982</v>
      </c>
      <c r="H588" s="125"/>
      <c r="I588" s="125"/>
      <c r="J588" s="126"/>
      <c r="K588" s="126"/>
    </row>
    <row r="589" spans="1:11" ht="13.5" customHeight="1">
      <c r="A589" s="119" t="s">
        <v>486</v>
      </c>
      <c r="B589" s="119" t="s">
        <v>39</v>
      </c>
      <c r="C589" s="119" t="s">
        <v>530</v>
      </c>
      <c r="D589" s="120" t="s">
        <v>79</v>
      </c>
      <c r="E589" s="121">
        <v>14.083272600000001</v>
      </c>
      <c r="F589" s="122">
        <v>1.1800000000000001E-2</v>
      </c>
      <c r="G589" s="121">
        <v>0.16618261668000003</v>
      </c>
      <c r="H589" s="125"/>
      <c r="I589" s="125"/>
      <c r="J589" s="126"/>
      <c r="K589" s="126"/>
    </row>
    <row r="590" spans="1:11" ht="13.5" customHeight="1">
      <c r="A590" s="119" t="s">
        <v>486</v>
      </c>
      <c r="B590" s="119" t="s">
        <v>39</v>
      </c>
      <c r="C590" s="119" t="s">
        <v>531</v>
      </c>
      <c r="D590" s="120" t="s">
        <v>79</v>
      </c>
      <c r="E590" s="121">
        <v>18.349147800000001</v>
      </c>
      <c r="F590" s="122">
        <v>1.4659999999999999E-2</v>
      </c>
      <c r="G590" s="121">
        <v>0.26899850674800002</v>
      </c>
      <c r="H590" s="125">
        <f>SUM(G580:G590)</f>
        <v>82.175617830007994</v>
      </c>
      <c r="I590" s="125"/>
      <c r="J590" s="126"/>
      <c r="K590" s="126"/>
    </row>
    <row r="591" spans="1:11" s="117" customFormat="1" ht="13.5" customHeight="1">
      <c r="A591" s="127" t="s">
        <v>486</v>
      </c>
      <c r="B591" s="119" t="s">
        <v>39</v>
      </c>
      <c r="C591" s="127" t="s">
        <v>532</v>
      </c>
      <c r="D591" s="128" t="s">
        <v>79</v>
      </c>
      <c r="E591" s="129">
        <v>2637.6033527999998</v>
      </c>
      <c r="F591" s="130">
        <v>3.2000000000000001E-2</v>
      </c>
      <c r="G591" s="129">
        <v>84.403307289599994</v>
      </c>
      <c r="H591" s="125"/>
      <c r="I591" s="132">
        <v>84.403307289599994</v>
      </c>
      <c r="J591" s="133"/>
      <c r="K591" s="133"/>
    </row>
    <row r="592" spans="1:11" s="117" customFormat="1" ht="13.5" customHeight="1">
      <c r="A592" s="127"/>
      <c r="B592" s="119"/>
      <c r="C592" s="127"/>
      <c r="D592" s="128"/>
      <c r="E592" s="129"/>
      <c r="F592" s="130"/>
      <c r="G592" s="129">
        <f>SUM(G580:G591)</f>
        <v>166.57892511960799</v>
      </c>
      <c r="H592" s="125"/>
      <c r="I592" s="125"/>
      <c r="J592" s="133"/>
      <c r="K592" s="133"/>
    </row>
    <row r="593" spans="1:11" ht="13.5" customHeight="1">
      <c r="A593" s="119" t="s">
        <v>488</v>
      </c>
      <c r="B593" s="119" t="s">
        <v>40</v>
      </c>
      <c r="C593" s="119" t="s">
        <v>521</v>
      </c>
      <c r="D593" s="120" t="s">
        <v>79</v>
      </c>
      <c r="E593" s="121">
        <v>17454.833400000003</v>
      </c>
      <c r="F593" s="122">
        <v>1.1800000000000001E-2</v>
      </c>
      <c r="G593" s="121">
        <v>205.96703412000005</v>
      </c>
      <c r="H593" s="125"/>
      <c r="I593" s="125"/>
      <c r="J593" s="126"/>
      <c r="K593" s="126"/>
    </row>
    <row r="594" spans="1:11" ht="13.5" customHeight="1">
      <c r="A594" s="119" t="s">
        <v>488</v>
      </c>
      <c r="B594" s="119" t="s">
        <v>40</v>
      </c>
      <c r="C594" s="119" t="s">
        <v>522</v>
      </c>
      <c r="D594" s="120" t="s">
        <v>79</v>
      </c>
      <c r="E594" s="121">
        <v>23561.176650000001</v>
      </c>
      <c r="F594" s="122">
        <v>1.5300000000000001E-2</v>
      </c>
      <c r="G594" s="121">
        <v>360.48600274500006</v>
      </c>
      <c r="H594" s="125"/>
      <c r="I594" s="125"/>
      <c r="J594" s="126"/>
      <c r="K594" s="126"/>
    </row>
    <row r="595" spans="1:11" ht="13.5" customHeight="1">
      <c r="A595" s="119" t="s">
        <v>488</v>
      </c>
      <c r="B595" s="119" t="s">
        <v>40</v>
      </c>
      <c r="C595" s="119" t="s">
        <v>523</v>
      </c>
      <c r="D595" s="120" t="s">
        <v>79</v>
      </c>
      <c r="E595" s="121">
        <v>7658.2344000000003</v>
      </c>
      <c r="F595" s="122">
        <v>9.8000000000000014E-3</v>
      </c>
      <c r="G595" s="121">
        <v>75.050697120000009</v>
      </c>
      <c r="H595" s="125"/>
      <c r="I595" s="125"/>
      <c r="J595" s="126"/>
      <c r="K595" s="126"/>
    </row>
    <row r="596" spans="1:11" ht="13.5" customHeight="1">
      <c r="A596" s="119" t="s">
        <v>488</v>
      </c>
      <c r="B596" s="119" t="s">
        <v>40</v>
      </c>
      <c r="C596" s="119" t="s">
        <v>524</v>
      </c>
      <c r="D596" s="120" t="s">
        <v>79</v>
      </c>
      <c r="E596" s="121">
        <v>2663.6983200000004</v>
      </c>
      <c r="F596" s="122">
        <v>1.0199999999999999E-2</v>
      </c>
      <c r="G596" s="121">
        <v>27.169722864000001</v>
      </c>
      <c r="H596" s="125"/>
      <c r="I596" s="125"/>
      <c r="J596" s="126"/>
      <c r="K596" s="126"/>
    </row>
    <row r="597" spans="1:11" ht="13.5" customHeight="1">
      <c r="A597" s="119" t="s">
        <v>488</v>
      </c>
      <c r="B597" s="119" t="s">
        <v>40</v>
      </c>
      <c r="C597" s="119" t="s">
        <v>525</v>
      </c>
      <c r="D597" s="120" t="s">
        <v>79</v>
      </c>
      <c r="E597" s="121">
        <v>37526.772780000007</v>
      </c>
      <c r="F597" s="122">
        <v>1.5300000000000001E-2</v>
      </c>
      <c r="G597" s="121">
        <v>574.15962353400016</v>
      </c>
      <c r="H597" s="125"/>
      <c r="I597" s="125"/>
      <c r="J597" s="126"/>
      <c r="K597" s="126"/>
    </row>
    <row r="598" spans="1:11" ht="13.5" customHeight="1">
      <c r="A598" s="119" t="s">
        <v>488</v>
      </c>
      <c r="B598" s="119" t="s">
        <v>40</v>
      </c>
      <c r="C598" s="119" t="s">
        <v>526</v>
      </c>
      <c r="D598" s="120" t="s">
        <v>79</v>
      </c>
      <c r="E598" s="121">
        <v>12393.15552</v>
      </c>
      <c r="F598" s="122">
        <v>9.8000000000000014E-3</v>
      </c>
      <c r="G598" s="121">
        <v>121.45292409600002</v>
      </c>
      <c r="H598" s="125"/>
      <c r="I598" s="125"/>
      <c r="J598" s="126"/>
      <c r="K598" s="126"/>
    </row>
    <row r="599" spans="1:11" ht="13.5" customHeight="1">
      <c r="A599" s="119" t="s">
        <v>488</v>
      </c>
      <c r="B599" s="119" t="s">
        <v>40</v>
      </c>
      <c r="C599" s="119" t="s">
        <v>527</v>
      </c>
      <c r="D599" s="120" t="s">
        <v>79</v>
      </c>
      <c r="E599" s="121">
        <v>4283.6468400000003</v>
      </c>
      <c r="F599" s="122">
        <v>1.0199999999999999E-2</v>
      </c>
      <c r="G599" s="121">
        <v>43.693197767999997</v>
      </c>
      <c r="H599" s="125"/>
      <c r="I599" s="125"/>
      <c r="J599" s="126"/>
      <c r="K599" s="126"/>
    </row>
    <row r="600" spans="1:11" ht="13.5" customHeight="1">
      <c r="A600" s="119" t="s">
        <v>488</v>
      </c>
      <c r="B600" s="119" t="s">
        <v>40</v>
      </c>
      <c r="C600" s="119" t="s">
        <v>528</v>
      </c>
      <c r="D600" s="120" t="s">
        <v>79</v>
      </c>
      <c r="E600" s="121">
        <v>4126</v>
      </c>
      <c r="F600" s="122">
        <v>1.5300000000000001E-3</v>
      </c>
      <c r="G600" s="121">
        <v>6.3127800000000001</v>
      </c>
      <c r="H600" s="125"/>
      <c r="I600" s="125"/>
      <c r="J600" s="126"/>
      <c r="K600" s="126"/>
    </row>
    <row r="601" spans="1:11" ht="13.5" customHeight="1">
      <c r="A601" s="119" t="s">
        <v>488</v>
      </c>
      <c r="B601" s="119" t="s">
        <v>40</v>
      </c>
      <c r="C601" s="119" t="s">
        <v>529</v>
      </c>
      <c r="D601" s="120" t="s">
        <v>79</v>
      </c>
      <c r="E601" s="121">
        <v>598.17240000000004</v>
      </c>
      <c r="F601" s="122">
        <v>1.38E-2</v>
      </c>
      <c r="G601" s="121">
        <v>8.2547791200000002</v>
      </c>
      <c r="H601" s="125"/>
      <c r="I601" s="125"/>
      <c r="J601" s="126"/>
      <c r="K601" s="126"/>
    </row>
    <row r="602" spans="1:11" ht="13.5" customHeight="1">
      <c r="A602" s="119" t="s">
        <v>488</v>
      </c>
      <c r="B602" s="119" t="s">
        <v>40</v>
      </c>
      <c r="C602" s="119" t="s">
        <v>530</v>
      </c>
      <c r="D602" s="120" t="s">
        <v>79</v>
      </c>
      <c r="E602" s="121">
        <v>20975.737184400004</v>
      </c>
      <c r="F602" s="122">
        <v>1.1800000000000001E-2</v>
      </c>
      <c r="G602" s="121">
        <v>247.51369877592009</v>
      </c>
      <c r="H602" s="125"/>
      <c r="I602" s="125"/>
      <c r="J602" s="126"/>
      <c r="K602" s="126"/>
    </row>
    <row r="603" spans="1:11" ht="13.5" customHeight="1">
      <c r="A603" s="119" t="s">
        <v>488</v>
      </c>
      <c r="B603" s="119" t="s">
        <v>40</v>
      </c>
      <c r="C603" s="119" t="s">
        <v>531</v>
      </c>
      <c r="D603" s="120" t="s">
        <v>79</v>
      </c>
      <c r="E603" s="121">
        <v>0</v>
      </c>
      <c r="F603" s="122">
        <v>1.4659999999999999E-2</v>
      </c>
      <c r="G603" s="121">
        <v>0</v>
      </c>
      <c r="H603" s="125">
        <f>SUM(G593:G603)</f>
        <v>1670.0604601429204</v>
      </c>
      <c r="I603" s="125"/>
      <c r="J603" s="126"/>
      <c r="K603" s="126"/>
    </row>
    <row r="604" spans="1:11" s="117" customFormat="1" ht="13.5" customHeight="1">
      <c r="A604" s="127" t="s">
        <v>488</v>
      </c>
      <c r="B604" s="119" t="s">
        <v>40</v>
      </c>
      <c r="C604" s="127" t="s">
        <v>532</v>
      </c>
      <c r="D604" s="128" t="s">
        <v>79</v>
      </c>
      <c r="E604" s="129">
        <v>585.96480000000008</v>
      </c>
      <c r="F604" s="130">
        <v>3.2000000000000001E-2</v>
      </c>
      <c r="G604" s="129">
        <v>18.750873600000002</v>
      </c>
      <c r="H604" s="125"/>
      <c r="I604" s="132">
        <v>18.750873600000002</v>
      </c>
      <c r="J604" s="133"/>
      <c r="K604" s="133"/>
    </row>
    <row r="605" spans="1:11" s="117" customFormat="1" ht="13.5" customHeight="1">
      <c r="A605" s="127"/>
      <c r="B605" s="119"/>
      <c r="C605" s="127"/>
      <c r="D605" s="128"/>
      <c r="E605" s="129"/>
      <c r="F605" s="130"/>
      <c r="G605" s="129">
        <f>SUM(G593:G604)</f>
        <v>1688.8113337429204</v>
      </c>
      <c r="H605" s="125"/>
      <c r="I605" s="125"/>
      <c r="J605" s="133"/>
      <c r="K605" s="133"/>
    </row>
    <row r="606" spans="1:11" ht="13.5" customHeight="1">
      <c r="A606" s="119" t="s">
        <v>490</v>
      </c>
      <c r="B606" s="119" t="s">
        <v>535</v>
      </c>
      <c r="C606" s="119" t="s">
        <v>521</v>
      </c>
      <c r="D606" s="120" t="s">
        <v>79</v>
      </c>
      <c r="E606" s="121">
        <v>2325.7644</v>
      </c>
      <c r="F606" s="122">
        <v>1.1800000000000001E-2</v>
      </c>
      <c r="G606" s="121">
        <v>27.444019920000002</v>
      </c>
      <c r="H606" s="125"/>
      <c r="I606" s="125"/>
      <c r="J606" s="126"/>
      <c r="K606" s="126"/>
    </row>
    <row r="607" spans="1:11" ht="13.5" customHeight="1">
      <c r="A607" s="119" t="s">
        <v>490</v>
      </c>
      <c r="B607" s="119" t="s">
        <v>535</v>
      </c>
      <c r="C607" s="119" t="s">
        <v>522</v>
      </c>
      <c r="D607" s="120" t="s">
        <v>79</v>
      </c>
      <c r="E607" s="121">
        <v>3141.3087</v>
      </c>
      <c r="F607" s="122">
        <v>1.5300000000000001E-2</v>
      </c>
      <c r="G607" s="121">
        <v>48.062023110000005</v>
      </c>
      <c r="H607" s="125"/>
      <c r="I607" s="125"/>
      <c r="J607" s="126"/>
      <c r="K607" s="126"/>
    </row>
    <row r="608" spans="1:11" ht="13.5" customHeight="1">
      <c r="A608" s="119" t="s">
        <v>490</v>
      </c>
      <c r="B608" s="119" t="s">
        <v>535</v>
      </c>
      <c r="C608" s="119" t="s">
        <v>523</v>
      </c>
      <c r="D608" s="120" t="s">
        <v>79</v>
      </c>
      <c r="E608" s="121">
        <v>1018.8578399999999</v>
      </c>
      <c r="F608" s="122">
        <v>9.8000000000000014E-3</v>
      </c>
      <c r="G608" s="121">
        <v>9.9848068320000003</v>
      </c>
      <c r="H608" s="125"/>
      <c r="I608" s="125"/>
      <c r="J608" s="126"/>
      <c r="K608" s="126"/>
    </row>
    <row r="609" spans="1:11" ht="13.5" customHeight="1">
      <c r="A609" s="119" t="s">
        <v>490</v>
      </c>
      <c r="B609" s="119" t="s">
        <v>535</v>
      </c>
      <c r="C609" s="119" t="s">
        <v>524</v>
      </c>
      <c r="D609" s="120" t="s">
        <v>79</v>
      </c>
      <c r="E609" s="121">
        <v>355.22615999999994</v>
      </c>
      <c r="F609" s="122">
        <v>1.0199999999999999E-2</v>
      </c>
      <c r="G609" s="121">
        <v>3.623306831999999</v>
      </c>
      <c r="H609" s="125"/>
      <c r="I609" s="125"/>
      <c r="J609" s="126"/>
      <c r="K609" s="126"/>
    </row>
    <row r="610" spans="1:11" ht="13.5" customHeight="1">
      <c r="A610" s="119" t="s">
        <v>490</v>
      </c>
      <c r="B610" s="119" t="s">
        <v>535</v>
      </c>
      <c r="C610" s="119" t="s">
        <v>525</v>
      </c>
      <c r="D610" s="120" t="s">
        <v>79</v>
      </c>
      <c r="E610" s="121">
        <v>4997.0854799999997</v>
      </c>
      <c r="F610" s="122">
        <v>1.5300000000000001E-2</v>
      </c>
      <c r="G610" s="121">
        <v>76.455407844000007</v>
      </c>
      <c r="H610" s="125"/>
      <c r="I610" s="125"/>
      <c r="J610" s="126"/>
      <c r="K610" s="126"/>
    </row>
    <row r="611" spans="1:11" ht="13.5" customHeight="1">
      <c r="A611" s="119" t="s">
        <v>490</v>
      </c>
      <c r="B611" s="119" t="s">
        <v>535</v>
      </c>
      <c r="C611" s="119" t="s">
        <v>526</v>
      </c>
      <c r="D611" s="120" t="s">
        <v>79</v>
      </c>
      <c r="E611" s="121">
        <v>1651.4454000000001</v>
      </c>
      <c r="F611" s="122">
        <v>9.8000000000000014E-3</v>
      </c>
      <c r="G611" s="121">
        <v>16.184164920000004</v>
      </c>
      <c r="H611" s="125"/>
      <c r="I611" s="125"/>
      <c r="J611" s="126"/>
      <c r="K611" s="126"/>
    </row>
    <row r="612" spans="1:11" ht="13.5" customHeight="1">
      <c r="A612" s="119" t="s">
        <v>490</v>
      </c>
      <c r="B612" s="119" t="s">
        <v>535</v>
      </c>
      <c r="C612" s="119" t="s">
        <v>527</v>
      </c>
      <c r="D612" s="120" t="s">
        <v>79</v>
      </c>
      <c r="E612" s="121">
        <v>570.4993199999999</v>
      </c>
      <c r="F612" s="122">
        <v>1.0199999999999999E-2</v>
      </c>
      <c r="G612" s="121">
        <v>5.8190930639999987</v>
      </c>
      <c r="H612" s="125"/>
      <c r="I612" s="125"/>
      <c r="J612" s="126"/>
      <c r="K612" s="126"/>
    </row>
    <row r="613" spans="1:11" ht="13.5" customHeight="1">
      <c r="A613" s="119" t="s">
        <v>490</v>
      </c>
      <c r="B613" s="119" t="s">
        <v>535</v>
      </c>
      <c r="C613" s="119" t="s">
        <v>528</v>
      </c>
      <c r="D613" s="120" t="s">
        <v>79</v>
      </c>
      <c r="E613" s="121">
        <v>947</v>
      </c>
      <c r="F613" s="122">
        <v>1.5300000000000001E-3</v>
      </c>
      <c r="G613" s="121">
        <v>1.4489100000000001</v>
      </c>
      <c r="H613" s="125"/>
      <c r="I613" s="125"/>
      <c r="J613" s="126"/>
      <c r="K613" s="126"/>
    </row>
    <row r="614" spans="1:11" ht="13.5" customHeight="1">
      <c r="A614" s="119" t="s">
        <v>490</v>
      </c>
      <c r="B614" s="119" t="s">
        <v>535</v>
      </c>
      <c r="C614" s="119" t="s">
        <v>529</v>
      </c>
      <c r="D614" s="120" t="s">
        <v>79</v>
      </c>
      <c r="E614" s="121">
        <v>11132.625</v>
      </c>
      <c r="F614" s="122">
        <v>1.38E-2</v>
      </c>
      <c r="G614" s="121">
        <v>153.630225</v>
      </c>
      <c r="H614" s="125"/>
      <c r="I614" s="125"/>
      <c r="J614" s="126"/>
      <c r="K614" s="126"/>
    </row>
    <row r="615" spans="1:11" ht="13.5" customHeight="1">
      <c r="A615" s="119" t="s">
        <v>490</v>
      </c>
      <c r="B615" s="119" t="s">
        <v>535</v>
      </c>
      <c r="C615" s="119" t="s">
        <v>530</v>
      </c>
      <c r="D615" s="120" t="s">
        <v>79</v>
      </c>
      <c r="E615" s="121">
        <v>3494.7434616</v>
      </c>
      <c r="F615" s="122">
        <v>1.1800000000000001E-2</v>
      </c>
      <c r="G615" s="121">
        <v>41.237972846880005</v>
      </c>
      <c r="H615" s="125"/>
      <c r="I615" s="125"/>
      <c r="J615" s="126"/>
      <c r="K615" s="126"/>
    </row>
    <row r="616" spans="1:11" ht="13.5" customHeight="1">
      <c r="A616" s="119" t="s">
        <v>490</v>
      </c>
      <c r="B616" s="119" t="s">
        <v>535</v>
      </c>
      <c r="C616" s="119" t="s">
        <v>531</v>
      </c>
      <c r="D616" s="120" t="s">
        <v>79</v>
      </c>
      <c r="E616" s="121">
        <v>0</v>
      </c>
      <c r="F616" s="122">
        <v>1.4659999999999999E-2</v>
      </c>
      <c r="G616" s="121">
        <v>0</v>
      </c>
      <c r="H616" s="125">
        <f>SUM(G606:G616)</f>
        <v>383.88993036887996</v>
      </c>
      <c r="I616" s="125"/>
      <c r="J616" s="126"/>
      <c r="K616" s="126"/>
    </row>
    <row r="617" spans="1:11" s="117" customFormat="1" ht="13.5" customHeight="1">
      <c r="A617" s="127" t="s">
        <v>490</v>
      </c>
      <c r="B617" s="119" t="s">
        <v>535</v>
      </c>
      <c r="C617" s="127" t="s">
        <v>532</v>
      </c>
      <c r="D617" s="128" t="s">
        <v>79</v>
      </c>
      <c r="E617" s="129">
        <v>10595.714400000001</v>
      </c>
      <c r="F617" s="130">
        <v>3.2000000000000001E-2</v>
      </c>
      <c r="G617" s="129">
        <v>339.06286080000001</v>
      </c>
      <c r="H617" s="125"/>
      <c r="I617" s="132">
        <v>339.06286080000001</v>
      </c>
      <c r="J617" s="133"/>
      <c r="K617" s="133"/>
    </row>
    <row r="618" spans="1:11" s="117" customFormat="1" ht="13.5" customHeight="1">
      <c r="A618" s="127"/>
      <c r="B618" s="119"/>
      <c r="C618" s="127"/>
      <c r="D618" s="128"/>
      <c r="E618" s="129"/>
      <c r="F618" s="130"/>
      <c r="G618" s="129">
        <f>SUM(G606:G617)</f>
        <v>722.95279116887991</v>
      </c>
      <c r="H618" s="125"/>
      <c r="I618" s="125"/>
      <c r="J618" s="133"/>
      <c r="K618" s="133"/>
    </row>
    <row r="619" spans="1:11" ht="13.5" customHeight="1">
      <c r="A619" s="119" t="s">
        <v>492</v>
      </c>
      <c r="B619" s="119" t="s">
        <v>536</v>
      </c>
      <c r="C619" s="119" t="s">
        <v>521</v>
      </c>
      <c r="D619" s="120" t="s">
        <v>79</v>
      </c>
      <c r="E619" s="121">
        <v>13319.4879</v>
      </c>
      <c r="F619" s="122">
        <v>1.1800000000000001E-2</v>
      </c>
      <c r="G619" s="121">
        <v>157.16995722000001</v>
      </c>
      <c r="H619" s="125"/>
      <c r="I619" s="125"/>
      <c r="J619" s="126"/>
      <c r="K619" s="126"/>
    </row>
    <row r="620" spans="1:11" ht="13.5" customHeight="1">
      <c r="A620" s="119" t="s">
        <v>492</v>
      </c>
      <c r="B620" s="119" t="s">
        <v>536</v>
      </c>
      <c r="C620" s="119" t="s">
        <v>522</v>
      </c>
      <c r="D620" s="120" t="s">
        <v>79</v>
      </c>
      <c r="E620" s="121">
        <v>17982.018100000001</v>
      </c>
      <c r="F620" s="122">
        <v>1.5300000000000001E-2</v>
      </c>
      <c r="G620" s="121">
        <v>275.12487693000003</v>
      </c>
      <c r="H620" s="125"/>
      <c r="I620" s="125"/>
      <c r="J620" s="126"/>
      <c r="K620" s="126"/>
    </row>
    <row r="621" spans="1:11" ht="13.5" customHeight="1">
      <c r="A621" s="119" t="s">
        <v>492</v>
      </c>
      <c r="B621" s="119" t="s">
        <v>536</v>
      </c>
      <c r="C621" s="119" t="s">
        <v>523</v>
      </c>
      <c r="D621" s="120" t="s">
        <v>79</v>
      </c>
      <c r="E621" s="121">
        <v>5845.2508799999996</v>
      </c>
      <c r="F621" s="122">
        <v>9.8000000000000014E-3</v>
      </c>
      <c r="G621" s="121">
        <v>57.283458624000005</v>
      </c>
      <c r="H621" s="125"/>
      <c r="I621" s="125"/>
      <c r="J621" s="126"/>
      <c r="K621" s="126"/>
    </row>
    <row r="622" spans="1:11" ht="13.5" customHeight="1">
      <c r="A622" s="119" t="s">
        <v>492</v>
      </c>
      <c r="B622" s="119" t="s">
        <v>536</v>
      </c>
      <c r="C622" s="119" t="s">
        <v>524</v>
      </c>
      <c r="D622" s="120" t="s">
        <v>79</v>
      </c>
      <c r="E622" s="121">
        <v>2034.28944</v>
      </c>
      <c r="F622" s="122">
        <v>1.0199999999999999E-2</v>
      </c>
      <c r="G622" s="121">
        <v>20.749752288</v>
      </c>
      <c r="H622" s="125"/>
      <c r="I622" s="125"/>
      <c r="J622" s="126"/>
      <c r="K622" s="126"/>
    </row>
    <row r="623" spans="1:11" ht="13.5" customHeight="1">
      <c r="A623" s="119" t="s">
        <v>492</v>
      </c>
      <c r="B623" s="119" t="s">
        <v>536</v>
      </c>
      <c r="C623" s="119" t="s">
        <v>525</v>
      </c>
      <c r="D623" s="120" t="s">
        <v>79</v>
      </c>
      <c r="E623" s="121">
        <v>28638.47208</v>
      </c>
      <c r="F623" s="122">
        <v>1.5300000000000001E-2</v>
      </c>
      <c r="G623" s="121">
        <v>438.16862282400001</v>
      </c>
      <c r="H623" s="125"/>
      <c r="I623" s="125"/>
      <c r="J623" s="126"/>
      <c r="K623" s="126"/>
    </row>
    <row r="624" spans="1:11" ht="13.5" customHeight="1">
      <c r="A624" s="119" t="s">
        <v>492</v>
      </c>
      <c r="B624" s="119" t="s">
        <v>536</v>
      </c>
      <c r="C624" s="119" t="s">
        <v>526</v>
      </c>
      <c r="D624" s="120" t="s">
        <v>79</v>
      </c>
      <c r="E624" s="121">
        <v>9455.3496799999994</v>
      </c>
      <c r="F624" s="122">
        <v>9.8000000000000014E-3</v>
      </c>
      <c r="G624" s="121">
        <v>92.662426864000011</v>
      </c>
      <c r="H624" s="125"/>
      <c r="I624" s="125"/>
      <c r="J624" s="126"/>
      <c r="K624" s="126"/>
    </row>
    <row r="625" spans="1:11" ht="13.5" customHeight="1">
      <c r="A625" s="119" t="s">
        <v>492</v>
      </c>
      <c r="B625" s="119" t="s">
        <v>536</v>
      </c>
      <c r="C625" s="119" t="s">
        <v>527</v>
      </c>
      <c r="D625" s="120" t="s">
        <v>79</v>
      </c>
      <c r="E625" s="121">
        <v>3269.0764799999997</v>
      </c>
      <c r="F625" s="122">
        <v>1.0199999999999999E-2</v>
      </c>
      <c r="G625" s="121">
        <v>33.344580095999994</v>
      </c>
      <c r="H625" s="125"/>
      <c r="I625" s="125"/>
      <c r="J625" s="126"/>
      <c r="K625" s="126"/>
    </row>
    <row r="626" spans="1:11" ht="13.5" customHeight="1">
      <c r="A626" s="119" t="s">
        <v>492</v>
      </c>
      <c r="B626" s="119" t="s">
        <v>536</v>
      </c>
      <c r="C626" s="119" t="s">
        <v>528</v>
      </c>
      <c r="D626" s="120" t="s">
        <v>79</v>
      </c>
      <c r="E626" s="121">
        <v>5533</v>
      </c>
      <c r="F626" s="122">
        <v>1.5300000000000001E-3</v>
      </c>
      <c r="G626" s="121">
        <v>8.4654900000000008</v>
      </c>
      <c r="H626" s="125"/>
      <c r="I626" s="125"/>
      <c r="J626" s="126"/>
      <c r="K626" s="126"/>
    </row>
    <row r="627" spans="1:11" ht="13.5" customHeight="1">
      <c r="A627" s="119" t="s">
        <v>492</v>
      </c>
      <c r="B627" s="119" t="s">
        <v>536</v>
      </c>
      <c r="C627" s="119" t="s">
        <v>529</v>
      </c>
      <c r="D627" s="120" t="s">
        <v>79</v>
      </c>
      <c r="E627" s="121">
        <v>1468.222</v>
      </c>
      <c r="F627" s="122">
        <v>1.38E-2</v>
      </c>
      <c r="G627" s="121">
        <v>20.261463599999999</v>
      </c>
      <c r="H627" s="125"/>
      <c r="I627" s="125"/>
      <c r="J627" s="126"/>
      <c r="K627" s="126"/>
    </row>
    <row r="628" spans="1:11" ht="13.5" customHeight="1">
      <c r="A628" s="119" t="s">
        <v>492</v>
      </c>
      <c r="B628" s="119" t="s">
        <v>536</v>
      </c>
      <c r="C628" s="119" t="s">
        <v>530</v>
      </c>
      <c r="D628" s="120" t="s">
        <v>79</v>
      </c>
      <c r="E628" s="121">
        <v>19414.173658399999</v>
      </c>
      <c r="F628" s="122">
        <v>1.1800000000000001E-2</v>
      </c>
      <c r="G628" s="121">
        <v>229.08724916912001</v>
      </c>
      <c r="H628" s="125"/>
      <c r="I628" s="125"/>
      <c r="J628" s="126"/>
      <c r="K628" s="126"/>
    </row>
    <row r="629" spans="1:11" ht="13.5" customHeight="1">
      <c r="A629" s="119" t="s">
        <v>492</v>
      </c>
      <c r="B629" s="119" t="s">
        <v>536</v>
      </c>
      <c r="C629" s="119" t="s">
        <v>531</v>
      </c>
      <c r="D629" s="120" t="s">
        <v>79</v>
      </c>
      <c r="E629" s="121">
        <v>0</v>
      </c>
      <c r="F629" s="122">
        <v>1.4659999999999999E-2</v>
      </c>
      <c r="G629" s="121">
        <v>0</v>
      </c>
      <c r="H629" s="125">
        <f>SUM(G619:G629)</f>
        <v>1332.3178776151203</v>
      </c>
      <c r="I629" s="125"/>
      <c r="J629" s="126"/>
      <c r="K629" s="126"/>
    </row>
    <row r="630" spans="1:11" s="117" customFormat="1" ht="13.5" customHeight="1">
      <c r="A630" s="127" t="s">
        <v>492</v>
      </c>
      <c r="B630" s="119" t="s">
        <v>536</v>
      </c>
      <c r="C630" s="127" t="s">
        <v>532</v>
      </c>
      <c r="D630" s="128" t="s">
        <v>79</v>
      </c>
      <c r="E630" s="129">
        <v>1406.5319999999999</v>
      </c>
      <c r="F630" s="130">
        <v>3.2000000000000001E-2</v>
      </c>
      <c r="G630" s="129">
        <v>45.009023999999997</v>
      </c>
      <c r="H630" s="125"/>
      <c r="I630" s="132">
        <v>45.009023999999997</v>
      </c>
      <c r="J630" s="133"/>
      <c r="K630" s="133"/>
    </row>
    <row r="631" spans="1:11" s="117" customFormat="1" ht="13.5" customHeight="1">
      <c r="A631" s="127"/>
      <c r="B631" s="119"/>
      <c r="C631" s="127"/>
      <c r="D631" s="128"/>
      <c r="E631" s="129"/>
      <c r="F631" s="130"/>
      <c r="G631" s="129">
        <f>SUM(G619:G630)</f>
        <v>1377.3269016151203</v>
      </c>
      <c r="H631" s="125"/>
      <c r="I631" s="125"/>
      <c r="J631" s="133"/>
      <c r="K631" s="133"/>
    </row>
    <row r="632" spans="1:11" ht="13.5" customHeight="1">
      <c r="A632" s="119" t="s">
        <v>494</v>
      </c>
      <c r="B632" s="119" t="s">
        <v>537</v>
      </c>
      <c r="C632" s="119" t="s">
        <v>521</v>
      </c>
      <c r="D632" s="120" t="s">
        <v>79</v>
      </c>
      <c r="E632" s="121">
        <v>4201.7460000000001</v>
      </c>
      <c r="F632" s="122">
        <v>1.1800000000000001E-2</v>
      </c>
      <c r="G632" s="121">
        <v>49.580602800000008</v>
      </c>
      <c r="H632" s="125"/>
      <c r="I632" s="125"/>
      <c r="J632" s="126"/>
      <c r="K632" s="126"/>
    </row>
    <row r="633" spans="1:11" ht="13.5" customHeight="1">
      <c r="A633" s="119" t="s">
        <v>494</v>
      </c>
      <c r="B633" s="119" t="s">
        <v>537</v>
      </c>
      <c r="C633" s="119" t="s">
        <v>522</v>
      </c>
      <c r="D633" s="120" t="s">
        <v>79</v>
      </c>
      <c r="E633" s="121">
        <v>5671.5220000000008</v>
      </c>
      <c r="F633" s="122">
        <v>1.5300000000000001E-2</v>
      </c>
      <c r="G633" s="121">
        <v>86.774286600000025</v>
      </c>
      <c r="H633" s="125"/>
      <c r="I633" s="125"/>
      <c r="J633" s="126"/>
      <c r="K633" s="126"/>
    </row>
    <row r="634" spans="1:11" ht="13.5" customHeight="1">
      <c r="A634" s="119" t="s">
        <v>494</v>
      </c>
      <c r="B634" s="119" t="s">
        <v>537</v>
      </c>
      <c r="C634" s="119" t="s">
        <v>523</v>
      </c>
      <c r="D634" s="120" t="s">
        <v>79</v>
      </c>
      <c r="E634" s="121">
        <v>1843.9007999999999</v>
      </c>
      <c r="F634" s="122">
        <v>9.8000000000000014E-3</v>
      </c>
      <c r="G634" s="121">
        <v>18.070227840000001</v>
      </c>
      <c r="H634" s="125"/>
      <c r="I634" s="125"/>
      <c r="J634" s="126"/>
      <c r="K634" s="126"/>
    </row>
    <row r="635" spans="1:11" ht="13.5" customHeight="1">
      <c r="A635" s="119" t="s">
        <v>494</v>
      </c>
      <c r="B635" s="119" t="s">
        <v>537</v>
      </c>
      <c r="C635" s="119" t="s">
        <v>524</v>
      </c>
      <c r="D635" s="120" t="s">
        <v>79</v>
      </c>
      <c r="E635" s="121">
        <v>642.3112000000001</v>
      </c>
      <c r="F635" s="122">
        <v>1.0199999999999999E-2</v>
      </c>
      <c r="G635" s="121">
        <v>6.5515742400000008</v>
      </c>
      <c r="H635" s="125"/>
      <c r="I635" s="125"/>
      <c r="J635" s="126"/>
      <c r="K635" s="126"/>
    </row>
    <row r="636" spans="1:11" ht="13.5" customHeight="1">
      <c r="A636" s="119" t="s">
        <v>494</v>
      </c>
      <c r="B636" s="119" t="s">
        <v>537</v>
      </c>
      <c r="C636" s="119" t="s">
        <v>525</v>
      </c>
      <c r="D636" s="120" t="s">
        <v>79</v>
      </c>
      <c r="E636" s="121">
        <v>9034.1118000000006</v>
      </c>
      <c r="F636" s="122">
        <v>1.5300000000000001E-2</v>
      </c>
      <c r="G636" s="121">
        <v>138.22191054000001</v>
      </c>
      <c r="H636" s="125"/>
      <c r="I636" s="125"/>
      <c r="J636" s="126"/>
      <c r="K636" s="126"/>
    </row>
    <row r="637" spans="1:11" ht="13.5" customHeight="1">
      <c r="A637" s="119" t="s">
        <v>494</v>
      </c>
      <c r="B637" s="119" t="s">
        <v>537</v>
      </c>
      <c r="C637" s="119" t="s">
        <v>526</v>
      </c>
      <c r="D637" s="120" t="s">
        <v>79</v>
      </c>
      <c r="E637" s="121">
        <v>2982.9772000000003</v>
      </c>
      <c r="F637" s="122">
        <v>9.8000000000000014E-3</v>
      </c>
      <c r="G637" s="121">
        <v>29.233176560000008</v>
      </c>
      <c r="H637" s="125"/>
      <c r="I637" s="125"/>
      <c r="J637" s="126"/>
      <c r="K637" s="126"/>
    </row>
    <row r="638" spans="1:11" ht="13.5" customHeight="1">
      <c r="A638" s="119" t="s">
        <v>494</v>
      </c>
      <c r="B638" s="119" t="s">
        <v>537</v>
      </c>
      <c r="C638" s="119" t="s">
        <v>527</v>
      </c>
      <c r="D638" s="120" t="s">
        <v>79</v>
      </c>
      <c r="E638" s="121">
        <v>1029.7975999999999</v>
      </c>
      <c r="F638" s="122">
        <v>1.0199999999999999E-2</v>
      </c>
      <c r="G638" s="121">
        <v>10.503935519999997</v>
      </c>
      <c r="H638" s="125"/>
      <c r="I638" s="125"/>
      <c r="J638" s="126"/>
      <c r="K638" s="126"/>
    </row>
    <row r="639" spans="1:11" ht="13.5" customHeight="1">
      <c r="A639" s="119" t="s">
        <v>494</v>
      </c>
      <c r="B639" s="119" t="s">
        <v>537</v>
      </c>
      <c r="C639" s="119" t="s">
        <v>528</v>
      </c>
      <c r="D639" s="120" t="s">
        <v>79</v>
      </c>
      <c r="E639" s="121">
        <v>1827</v>
      </c>
      <c r="F639" s="122">
        <v>1.5300000000000001E-3</v>
      </c>
      <c r="G639" s="121">
        <v>2.7953100000000002</v>
      </c>
      <c r="H639" s="125"/>
      <c r="I639" s="125"/>
      <c r="J639" s="126"/>
      <c r="K639" s="126"/>
    </row>
    <row r="640" spans="1:11" ht="13.5" customHeight="1">
      <c r="A640" s="119" t="s">
        <v>494</v>
      </c>
      <c r="B640" s="119" t="s">
        <v>537</v>
      </c>
      <c r="C640" s="119" t="s">
        <v>529</v>
      </c>
      <c r="D640" s="120" t="s">
        <v>79</v>
      </c>
      <c r="E640" s="121">
        <v>3549.1750000000002</v>
      </c>
      <c r="F640" s="122">
        <v>1.38E-2</v>
      </c>
      <c r="G640" s="121">
        <v>48.978615000000005</v>
      </c>
      <c r="H640" s="125"/>
      <c r="I640" s="125"/>
      <c r="J640" s="126"/>
      <c r="K640" s="126"/>
    </row>
    <row r="641" spans="1:11" ht="13.5" customHeight="1">
      <c r="A641" s="119" t="s">
        <v>494</v>
      </c>
      <c r="B641" s="119" t="s">
        <v>537</v>
      </c>
      <c r="C641" s="119" t="s">
        <v>530</v>
      </c>
      <c r="D641" s="120" t="s">
        <v>79</v>
      </c>
      <c r="E641" s="121">
        <v>5921.889752000001</v>
      </c>
      <c r="F641" s="122">
        <v>1.1800000000000001E-2</v>
      </c>
      <c r="G641" s="121">
        <v>69.878299073600019</v>
      </c>
      <c r="H641" s="125"/>
      <c r="I641" s="125"/>
      <c r="J641" s="126"/>
      <c r="K641" s="126"/>
    </row>
    <row r="642" spans="1:11" ht="13.5" customHeight="1">
      <c r="A642" s="119" t="s">
        <v>494</v>
      </c>
      <c r="B642" s="119" t="s">
        <v>537</v>
      </c>
      <c r="C642" s="119" t="s">
        <v>531</v>
      </c>
      <c r="D642" s="120" t="s">
        <v>79</v>
      </c>
      <c r="E642" s="121">
        <v>0</v>
      </c>
      <c r="F642" s="122">
        <v>1.4659999999999999E-2</v>
      </c>
      <c r="G642" s="121">
        <v>0</v>
      </c>
      <c r="H642" s="125">
        <f>SUM(G632:G642)</f>
        <v>460.58793817360004</v>
      </c>
      <c r="I642" s="125"/>
      <c r="J642" s="126"/>
      <c r="K642" s="126"/>
    </row>
    <row r="643" spans="1:11" s="117" customFormat="1" ht="13.5" customHeight="1">
      <c r="A643" s="127" t="s">
        <v>494</v>
      </c>
      <c r="B643" s="119" t="s">
        <v>537</v>
      </c>
      <c r="C643" s="127" t="s">
        <v>532</v>
      </c>
      <c r="D643" s="128" t="s">
        <v>79</v>
      </c>
      <c r="E643" s="129">
        <v>3392.8920000000003</v>
      </c>
      <c r="F643" s="130">
        <v>3.2000000000000001E-2</v>
      </c>
      <c r="G643" s="129">
        <v>108.57254400000001</v>
      </c>
      <c r="H643" s="125"/>
      <c r="I643" s="132">
        <v>108.57254400000001</v>
      </c>
      <c r="J643" s="133"/>
      <c r="K643" s="133"/>
    </row>
    <row r="644" spans="1:11" s="117" customFormat="1" ht="13.5" customHeight="1">
      <c r="A644" s="127"/>
      <c r="B644" s="119"/>
      <c r="C644" s="127"/>
      <c r="D644" s="128"/>
      <c r="E644" s="129"/>
      <c r="F644" s="130"/>
      <c r="G644" s="129">
        <f>SUM(G632:G643)</f>
        <v>569.16048217360003</v>
      </c>
      <c r="H644" s="125"/>
      <c r="I644" s="125"/>
      <c r="J644" s="133"/>
      <c r="K644" s="133"/>
    </row>
    <row r="645" spans="1:11" ht="13.5" customHeight="1">
      <c r="A645" s="119" t="s">
        <v>496</v>
      </c>
      <c r="B645" s="119" t="s">
        <v>538</v>
      </c>
      <c r="C645" s="119" t="s">
        <v>521</v>
      </c>
      <c r="D645" s="120" t="s">
        <v>79</v>
      </c>
      <c r="E645" s="121">
        <v>22287.3235776</v>
      </c>
      <c r="F645" s="122">
        <v>1.1800000000000001E-2</v>
      </c>
      <c r="G645" s="121">
        <v>262.99041821568005</v>
      </c>
      <c r="H645" s="125"/>
      <c r="I645" s="125"/>
      <c r="J645" s="126"/>
      <c r="K645" s="126"/>
    </row>
    <row r="646" spans="1:11" ht="13.5" customHeight="1">
      <c r="A646" s="119" t="s">
        <v>496</v>
      </c>
      <c r="B646" s="119" t="s">
        <v>538</v>
      </c>
      <c r="C646" s="119" t="s">
        <v>522</v>
      </c>
      <c r="D646" s="120" t="s">
        <v>79</v>
      </c>
      <c r="E646" s="121">
        <v>12512.616652799999</v>
      </c>
      <c r="F646" s="122">
        <v>1.5300000000000001E-2</v>
      </c>
      <c r="G646" s="121">
        <v>191.44303478783999</v>
      </c>
      <c r="H646" s="125"/>
      <c r="I646" s="125"/>
      <c r="J646" s="126"/>
      <c r="K646" s="126"/>
    </row>
    <row r="647" spans="1:11" ht="13.5" customHeight="1">
      <c r="A647" s="119" t="s">
        <v>496</v>
      </c>
      <c r="B647" s="119" t="s">
        <v>538</v>
      </c>
      <c r="C647" s="119" t="s">
        <v>523</v>
      </c>
      <c r="D647" s="120" t="s">
        <v>79</v>
      </c>
      <c r="E647" s="121">
        <v>4015.0307520000001</v>
      </c>
      <c r="F647" s="122">
        <v>9.8000000000000014E-3</v>
      </c>
      <c r="G647" s="121">
        <v>39.347301369600004</v>
      </c>
      <c r="H647" s="125"/>
      <c r="I647" s="125"/>
      <c r="J647" s="126"/>
      <c r="K647" s="126"/>
    </row>
    <row r="648" spans="1:11" ht="13.5" customHeight="1">
      <c r="A648" s="119" t="s">
        <v>496</v>
      </c>
      <c r="B648" s="119" t="s">
        <v>538</v>
      </c>
      <c r="C648" s="119" t="s">
        <v>524</v>
      </c>
      <c r="D648" s="120" t="s">
        <v>79</v>
      </c>
      <c r="E648" s="121">
        <v>1338.7729536000002</v>
      </c>
      <c r="F648" s="122">
        <v>1.0199999999999999E-2</v>
      </c>
      <c r="G648" s="121">
        <v>13.655484126720001</v>
      </c>
      <c r="H648" s="125"/>
      <c r="I648" s="125"/>
      <c r="J648" s="126"/>
      <c r="K648" s="126"/>
    </row>
    <row r="649" spans="1:11" ht="13.5" customHeight="1">
      <c r="A649" s="119" t="s">
        <v>496</v>
      </c>
      <c r="B649" s="119" t="s">
        <v>538</v>
      </c>
      <c r="C649" s="119" t="s">
        <v>525</v>
      </c>
      <c r="D649" s="120" t="s">
        <v>79</v>
      </c>
      <c r="E649" s="121">
        <v>20360.609395200001</v>
      </c>
      <c r="F649" s="122">
        <v>1.5300000000000001E-2</v>
      </c>
      <c r="G649" s="121">
        <v>311.51732374656001</v>
      </c>
      <c r="H649" s="125"/>
      <c r="I649" s="125"/>
      <c r="J649" s="126"/>
      <c r="K649" s="126"/>
    </row>
    <row r="650" spans="1:11" ht="13.5" customHeight="1">
      <c r="A650" s="119" t="s">
        <v>496</v>
      </c>
      <c r="B650" s="119" t="s">
        <v>538</v>
      </c>
      <c r="C650" s="119" t="s">
        <v>526</v>
      </c>
      <c r="D650" s="120" t="s">
        <v>79</v>
      </c>
      <c r="E650" s="121">
        <v>6526.9709567999998</v>
      </c>
      <c r="F650" s="122">
        <v>9.8000000000000014E-3</v>
      </c>
      <c r="G650" s="121">
        <v>63.964315376640009</v>
      </c>
      <c r="H650" s="125"/>
      <c r="I650" s="125"/>
      <c r="J650" s="126"/>
      <c r="K650" s="126"/>
    </row>
    <row r="651" spans="1:11" ht="13.5" customHeight="1">
      <c r="A651" s="119" t="s">
        <v>496</v>
      </c>
      <c r="B651" s="119" t="s">
        <v>538</v>
      </c>
      <c r="C651" s="119" t="s">
        <v>527</v>
      </c>
      <c r="D651" s="120" t="s">
        <v>79</v>
      </c>
      <c r="E651" s="121">
        <v>2176.6565375999999</v>
      </c>
      <c r="F651" s="122">
        <v>1.0199999999999999E-2</v>
      </c>
      <c r="G651" s="121">
        <v>22.201896683519998</v>
      </c>
      <c r="H651" s="125"/>
      <c r="I651" s="125"/>
      <c r="J651" s="126"/>
      <c r="K651" s="126"/>
    </row>
    <row r="652" spans="1:11" ht="13.5" customHeight="1">
      <c r="A652" s="119" t="s">
        <v>496</v>
      </c>
      <c r="B652" s="119" t="s">
        <v>538</v>
      </c>
      <c r="C652" s="119" t="s">
        <v>528</v>
      </c>
      <c r="D652" s="120" t="s">
        <v>79</v>
      </c>
      <c r="E652" s="121">
        <v>10163.751910000001</v>
      </c>
      <c r="F652" s="122">
        <v>1.5300000000000001E-3</v>
      </c>
      <c r="G652" s="121">
        <v>15.550540422300003</v>
      </c>
      <c r="H652" s="125"/>
      <c r="I652" s="125"/>
      <c r="J652" s="126"/>
      <c r="K652" s="126"/>
    </row>
    <row r="653" spans="1:11" ht="13.5" customHeight="1">
      <c r="A653" s="119" t="s">
        <v>496</v>
      </c>
      <c r="B653" s="119" t="s">
        <v>538</v>
      </c>
      <c r="C653" s="119" t="s">
        <v>529</v>
      </c>
      <c r="D653" s="120" t="s">
        <v>79</v>
      </c>
      <c r="E653" s="121">
        <v>381.94778880000001</v>
      </c>
      <c r="F653" s="122">
        <v>1.38E-2</v>
      </c>
      <c r="G653" s="121">
        <v>5.2708794854400001</v>
      </c>
      <c r="H653" s="125"/>
      <c r="I653" s="125"/>
      <c r="J653" s="126"/>
      <c r="K653" s="126"/>
    </row>
    <row r="654" spans="1:11" ht="13.5" customHeight="1">
      <c r="A654" s="119" t="s">
        <v>496</v>
      </c>
      <c r="B654" s="119" t="s">
        <v>538</v>
      </c>
      <c r="C654" s="119" t="s">
        <v>530</v>
      </c>
      <c r="D654" s="120" t="s">
        <v>79</v>
      </c>
      <c r="E654" s="121">
        <v>2221.9909631999999</v>
      </c>
      <c r="F654" s="122">
        <v>1.1800000000000001E-2</v>
      </c>
      <c r="G654" s="121">
        <v>26.219493365760002</v>
      </c>
      <c r="H654" s="125"/>
      <c r="I654" s="125"/>
      <c r="J654" s="126"/>
      <c r="K654" s="126"/>
    </row>
    <row r="655" spans="1:11" ht="13.5" customHeight="1">
      <c r="A655" s="119" t="s">
        <v>496</v>
      </c>
      <c r="B655" s="119" t="s">
        <v>538</v>
      </c>
      <c r="C655" s="119" t="s">
        <v>531</v>
      </c>
      <c r="D655" s="120" t="s">
        <v>79</v>
      </c>
      <c r="E655" s="121">
        <v>6650.508797550001</v>
      </c>
      <c r="F655" s="122">
        <v>1.4659999999999999E-2</v>
      </c>
      <c r="G655" s="121">
        <v>97.496458972083005</v>
      </c>
      <c r="H655" s="125">
        <f>SUM(G645:G655)</f>
        <v>1049.6571465521431</v>
      </c>
      <c r="I655" s="125"/>
      <c r="J655" s="126"/>
      <c r="K655" s="126"/>
    </row>
    <row r="656" spans="1:11" s="117" customFormat="1" ht="13.5" customHeight="1">
      <c r="A656" s="127" t="s">
        <v>496</v>
      </c>
      <c r="B656" s="119" t="s">
        <v>538</v>
      </c>
      <c r="C656" s="127" t="s">
        <v>532</v>
      </c>
      <c r="D656" s="128" t="s">
        <v>79</v>
      </c>
      <c r="E656" s="129">
        <v>215.88353280000001</v>
      </c>
      <c r="F656" s="130">
        <v>3.2000000000000001E-2</v>
      </c>
      <c r="G656" s="129">
        <v>6.9082730496000009</v>
      </c>
      <c r="H656" s="125"/>
      <c r="I656" s="132">
        <v>6.9082730496000009</v>
      </c>
      <c r="J656" s="133"/>
      <c r="K656" s="133"/>
    </row>
    <row r="657" spans="1:11" s="117" customFormat="1" ht="13.5" customHeight="1">
      <c r="A657" s="127"/>
      <c r="B657" s="119"/>
      <c r="C657" s="127"/>
      <c r="D657" s="128"/>
      <c r="E657" s="129"/>
      <c r="F657" s="130"/>
      <c r="G657" s="129">
        <f>SUM(G645:G656)</f>
        <v>1056.5654196017431</v>
      </c>
      <c r="H657" s="125"/>
      <c r="I657" s="125"/>
      <c r="J657" s="133"/>
      <c r="K657" s="133"/>
    </row>
    <row r="658" spans="1:11" ht="13.5" customHeight="1">
      <c r="A658" s="119" t="s">
        <v>498</v>
      </c>
      <c r="B658" s="119" t="s">
        <v>539</v>
      </c>
      <c r="C658" s="119" t="s">
        <v>521</v>
      </c>
      <c r="D658" s="120" t="s">
        <v>79</v>
      </c>
      <c r="E658" s="121">
        <v>43.040471800000006</v>
      </c>
      <c r="F658" s="122">
        <v>1.1800000000000001E-2</v>
      </c>
      <c r="G658" s="121">
        <v>0.50787756724000011</v>
      </c>
      <c r="H658" s="125"/>
      <c r="I658" s="125"/>
      <c r="J658" s="126"/>
      <c r="K658" s="126"/>
    </row>
    <row r="659" spans="1:11" ht="13.5" customHeight="1">
      <c r="A659" s="119" t="s">
        <v>498</v>
      </c>
      <c r="B659" s="119" t="s">
        <v>539</v>
      </c>
      <c r="C659" s="119" t="s">
        <v>522</v>
      </c>
      <c r="D659" s="120" t="s">
        <v>79</v>
      </c>
      <c r="E659" s="121">
        <v>117.34500840000001</v>
      </c>
      <c r="F659" s="122">
        <v>1.5300000000000001E-2</v>
      </c>
      <c r="G659" s="121">
        <v>1.7953786285200004</v>
      </c>
      <c r="H659" s="125"/>
      <c r="I659" s="125"/>
      <c r="J659" s="126"/>
      <c r="K659" s="126"/>
    </row>
    <row r="660" spans="1:11" ht="13.5" customHeight="1">
      <c r="A660" s="119" t="s">
        <v>498</v>
      </c>
      <c r="B660" s="119" t="s">
        <v>539</v>
      </c>
      <c r="C660" s="119" t="s">
        <v>523</v>
      </c>
      <c r="D660" s="120" t="s">
        <v>79</v>
      </c>
      <c r="E660" s="121">
        <v>39.913030600000006</v>
      </c>
      <c r="F660" s="122">
        <v>9.8000000000000014E-3</v>
      </c>
      <c r="G660" s="121">
        <v>0.39114769988000014</v>
      </c>
      <c r="H660" s="125"/>
      <c r="I660" s="125"/>
      <c r="J660" s="126"/>
      <c r="K660" s="126"/>
    </row>
    <row r="661" spans="1:11" ht="13.5" customHeight="1">
      <c r="A661" s="119" t="s">
        <v>498</v>
      </c>
      <c r="B661" s="119" t="s">
        <v>539</v>
      </c>
      <c r="C661" s="119" t="s">
        <v>524</v>
      </c>
      <c r="D661" s="120" t="s">
        <v>79</v>
      </c>
      <c r="E661" s="121">
        <v>12.178654400000001</v>
      </c>
      <c r="F661" s="122">
        <v>1.0199999999999999E-2</v>
      </c>
      <c r="G661" s="121">
        <v>0.12422227488</v>
      </c>
      <c r="H661" s="125"/>
      <c r="I661" s="125"/>
      <c r="J661" s="126"/>
      <c r="K661" s="126"/>
    </row>
    <row r="662" spans="1:11" ht="13.5" customHeight="1">
      <c r="A662" s="119" t="s">
        <v>498</v>
      </c>
      <c r="B662" s="119" t="s">
        <v>539</v>
      </c>
      <c r="C662" s="119" t="s">
        <v>525</v>
      </c>
      <c r="D662" s="120" t="s">
        <v>79</v>
      </c>
      <c r="E662" s="121">
        <v>363.05738000000002</v>
      </c>
      <c r="F662" s="122">
        <v>1.5300000000000001E-2</v>
      </c>
      <c r="G662" s="121">
        <v>5.5547779140000006</v>
      </c>
      <c r="H662" s="125"/>
      <c r="I662" s="125"/>
      <c r="J662" s="126"/>
      <c r="K662" s="126"/>
    </row>
    <row r="663" spans="1:11" ht="13.5" customHeight="1">
      <c r="A663" s="119" t="s">
        <v>498</v>
      </c>
      <c r="B663" s="119" t="s">
        <v>539</v>
      </c>
      <c r="C663" s="119" t="s">
        <v>526</v>
      </c>
      <c r="D663" s="120" t="s">
        <v>79</v>
      </c>
      <c r="E663" s="121">
        <v>113.870936</v>
      </c>
      <c r="F663" s="122">
        <v>9.8000000000000014E-3</v>
      </c>
      <c r="G663" s="121">
        <v>1.1159351728000002</v>
      </c>
      <c r="H663" s="125"/>
      <c r="I663" s="125"/>
      <c r="J663" s="126"/>
      <c r="K663" s="126"/>
    </row>
    <row r="664" spans="1:11" ht="13.5" customHeight="1">
      <c r="A664" s="119" t="s">
        <v>498</v>
      </c>
      <c r="B664" s="119" t="s">
        <v>539</v>
      </c>
      <c r="C664" s="119" t="s">
        <v>527</v>
      </c>
      <c r="D664" s="120" t="s">
        <v>79</v>
      </c>
      <c r="E664" s="121">
        <v>38.574361600000003</v>
      </c>
      <c r="F664" s="122">
        <v>1.0199999999999999E-2</v>
      </c>
      <c r="G664" s="121">
        <v>0.39345848831999997</v>
      </c>
      <c r="H664" s="125"/>
      <c r="I664" s="125"/>
      <c r="J664" s="126"/>
      <c r="K664" s="126"/>
    </row>
    <row r="665" spans="1:11" ht="13.5" customHeight="1">
      <c r="A665" s="119" t="s">
        <v>498</v>
      </c>
      <c r="B665" s="119" t="s">
        <v>539</v>
      </c>
      <c r="C665" s="119" t="s">
        <v>528</v>
      </c>
      <c r="D665" s="120" t="s">
        <v>79</v>
      </c>
      <c r="E665" s="121">
        <v>146.79817</v>
      </c>
      <c r="F665" s="122">
        <v>1.5300000000000001E-3</v>
      </c>
      <c r="G665" s="121">
        <v>0.22460120010000001</v>
      </c>
      <c r="H665" s="125"/>
      <c r="I665" s="125"/>
      <c r="J665" s="126"/>
      <c r="K665" s="126"/>
    </row>
    <row r="666" spans="1:11" ht="13.5" customHeight="1">
      <c r="A666" s="119" t="s">
        <v>498</v>
      </c>
      <c r="B666" s="119" t="s">
        <v>539</v>
      </c>
      <c r="C666" s="119" t="s">
        <v>529</v>
      </c>
      <c r="D666" s="120" t="s">
        <v>79</v>
      </c>
      <c r="E666" s="121">
        <v>3689.6977008000003</v>
      </c>
      <c r="F666" s="122">
        <v>1.38E-2</v>
      </c>
      <c r="G666" s="121">
        <v>50.917828271040001</v>
      </c>
      <c r="H666" s="125"/>
      <c r="I666" s="125"/>
      <c r="J666" s="126"/>
      <c r="K666" s="126"/>
    </row>
    <row r="667" spans="1:11" ht="13.5" customHeight="1">
      <c r="A667" s="119" t="s">
        <v>498</v>
      </c>
      <c r="B667" s="119" t="s">
        <v>539</v>
      </c>
      <c r="C667" s="119" t="s">
        <v>530</v>
      </c>
      <c r="D667" s="120" t="s">
        <v>79</v>
      </c>
      <c r="E667" s="121">
        <v>8.7265698</v>
      </c>
      <c r="F667" s="122">
        <v>1.1800000000000001E-2</v>
      </c>
      <c r="G667" s="121">
        <v>0.10297352364000001</v>
      </c>
      <c r="H667" s="125"/>
      <c r="I667" s="125"/>
      <c r="J667" s="126"/>
      <c r="K667" s="126"/>
    </row>
    <row r="668" spans="1:11" ht="13.5" customHeight="1">
      <c r="A668" s="119" t="s">
        <v>498</v>
      </c>
      <c r="B668" s="119" t="s">
        <v>539</v>
      </c>
      <c r="C668" s="119" t="s">
        <v>531</v>
      </c>
      <c r="D668" s="120" t="s">
        <v>79</v>
      </c>
      <c r="E668" s="121">
        <v>10.212790050000001</v>
      </c>
      <c r="F668" s="122">
        <v>1.4659999999999999E-2</v>
      </c>
      <c r="G668" s="121">
        <v>0.149719502133</v>
      </c>
      <c r="H668" s="125">
        <f>SUM(G658:G668)</f>
        <v>61.277920242553009</v>
      </c>
      <c r="I668" s="125"/>
      <c r="J668" s="126"/>
      <c r="K668" s="126"/>
    </row>
    <row r="669" spans="1:11" s="117" customFormat="1" ht="13.5" customHeight="1">
      <c r="A669" s="127" t="s">
        <v>498</v>
      </c>
      <c r="B669" s="119" t="s">
        <v>539</v>
      </c>
      <c r="C669" s="127" t="s">
        <v>532</v>
      </c>
      <c r="D669" s="128" t="s">
        <v>79</v>
      </c>
      <c r="E669" s="129">
        <v>2041.1093664000002</v>
      </c>
      <c r="F669" s="130">
        <v>3.2000000000000001E-2</v>
      </c>
      <c r="G669" s="129">
        <v>65.315499724800006</v>
      </c>
      <c r="H669" s="125"/>
      <c r="I669" s="132">
        <v>65.315499724800006</v>
      </c>
      <c r="J669" s="133"/>
      <c r="K669" s="133"/>
    </row>
    <row r="670" spans="1:11" s="117" customFormat="1" ht="13.5" customHeight="1">
      <c r="A670" s="127"/>
      <c r="B670" s="119"/>
      <c r="C670" s="127"/>
      <c r="D670" s="128"/>
      <c r="E670" s="129"/>
      <c r="F670" s="130"/>
      <c r="G670" s="129">
        <f>SUM(G658:G669)</f>
        <v>126.59341996735301</v>
      </c>
      <c r="H670" s="125"/>
      <c r="I670" s="125"/>
      <c r="J670" s="133"/>
      <c r="K670" s="133"/>
    </row>
    <row r="671" spans="1:11" ht="13.5" customHeight="1">
      <c r="A671" s="119" t="s">
        <v>500</v>
      </c>
      <c r="B671" s="119" t="s">
        <v>540</v>
      </c>
      <c r="C671" s="119" t="s">
        <v>521</v>
      </c>
      <c r="D671" s="120" t="s">
        <v>79</v>
      </c>
      <c r="E671" s="121">
        <v>7817.8087106999992</v>
      </c>
      <c r="F671" s="122">
        <v>1.1800000000000001E-2</v>
      </c>
      <c r="G671" s="121">
        <v>92.25014278626</v>
      </c>
      <c r="H671" s="125"/>
      <c r="I671" s="125"/>
      <c r="J671" s="126"/>
      <c r="K671" s="126"/>
    </row>
    <row r="672" spans="1:11" ht="13.5" customHeight="1">
      <c r="A672" s="119" t="s">
        <v>500</v>
      </c>
      <c r="B672" s="119" t="s">
        <v>540</v>
      </c>
      <c r="C672" s="119" t="s">
        <v>522</v>
      </c>
      <c r="D672" s="120" t="s">
        <v>79</v>
      </c>
      <c r="E672" s="121">
        <v>4389.3233496000003</v>
      </c>
      <c r="F672" s="122">
        <v>1.5300000000000001E-2</v>
      </c>
      <c r="G672" s="121">
        <v>67.156647248880006</v>
      </c>
      <c r="H672" s="125"/>
      <c r="I672" s="125"/>
      <c r="J672" s="126"/>
      <c r="K672" s="126"/>
    </row>
    <row r="673" spans="1:11" ht="13.5" customHeight="1">
      <c r="A673" s="119" t="s">
        <v>500</v>
      </c>
      <c r="B673" s="119" t="s">
        <v>540</v>
      </c>
      <c r="C673" s="119" t="s">
        <v>523</v>
      </c>
      <c r="D673" s="120" t="s">
        <v>79</v>
      </c>
      <c r="E673" s="121">
        <v>1407.2022663</v>
      </c>
      <c r="F673" s="122">
        <v>9.8000000000000014E-3</v>
      </c>
      <c r="G673" s="121">
        <v>13.790582209740002</v>
      </c>
      <c r="H673" s="125"/>
      <c r="I673" s="125"/>
      <c r="J673" s="126"/>
      <c r="K673" s="126"/>
    </row>
    <row r="674" spans="1:11" ht="13.5" customHeight="1">
      <c r="A674" s="119" t="s">
        <v>500</v>
      </c>
      <c r="B674" s="119" t="s">
        <v>540</v>
      </c>
      <c r="C674" s="119" t="s">
        <v>524</v>
      </c>
      <c r="D674" s="120" t="s">
        <v>79</v>
      </c>
      <c r="E674" s="121">
        <v>469.81965120000001</v>
      </c>
      <c r="F674" s="122">
        <v>1.0199999999999999E-2</v>
      </c>
      <c r="G674" s="121">
        <v>4.7921604422399993</v>
      </c>
      <c r="H674" s="125"/>
      <c r="I674" s="125"/>
      <c r="J674" s="126"/>
      <c r="K674" s="126"/>
    </row>
    <row r="675" spans="1:11" ht="13.5" customHeight="1">
      <c r="A675" s="119" t="s">
        <v>500</v>
      </c>
      <c r="B675" s="119" t="s">
        <v>540</v>
      </c>
      <c r="C675" s="119" t="s">
        <v>525</v>
      </c>
      <c r="D675" s="120" t="s">
        <v>79</v>
      </c>
      <c r="E675" s="121">
        <v>7143.2320679999993</v>
      </c>
      <c r="F675" s="122">
        <v>1.5300000000000001E-2</v>
      </c>
      <c r="G675" s="121">
        <v>109.2914506404</v>
      </c>
      <c r="H675" s="125"/>
      <c r="I675" s="125"/>
      <c r="J675" s="126"/>
      <c r="K675" s="126"/>
    </row>
    <row r="676" spans="1:11" ht="13.5" customHeight="1">
      <c r="A676" s="119" t="s">
        <v>500</v>
      </c>
      <c r="B676" s="119" t="s">
        <v>540</v>
      </c>
      <c r="C676" s="119" t="s">
        <v>526</v>
      </c>
      <c r="D676" s="120" t="s">
        <v>79</v>
      </c>
      <c r="E676" s="121">
        <v>2290.3984571999999</v>
      </c>
      <c r="F676" s="122">
        <v>9.8000000000000014E-3</v>
      </c>
      <c r="G676" s="121">
        <v>22.445904880560004</v>
      </c>
      <c r="H676" s="125"/>
      <c r="I676" s="125"/>
      <c r="J676" s="126"/>
      <c r="K676" s="126"/>
    </row>
    <row r="677" spans="1:11" ht="13.5" customHeight="1">
      <c r="A677" s="119" t="s">
        <v>500</v>
      </c>
      <c r="B677" s="119" t="s">
        <v>540</v>
      </c>
      <c r="C677" s="119" t="s">
        <v>527</v>
      </c>
      <c r="D677" s="120" t="s">
        <v>79</v>
      </c>
      <c r="E677" s="121">
        <v>762.26419919999989</v>
      </c>
      <c r="F677" s="122">
        <v>1.0199999999999999E-2</v>
      </c>
      <c r="G677" s="121">
        <v>7.7750948318399979</v>
      </c>
      <c r="H677" s="125"/>
      <c r="I677" s="125"/>
      <c r="J677" s="126"/>
      <c r="K677" s="126"/>
    </row>
    <row r="678" spans="1:11" ht="13.5" customHeight="1">
      <c r="A678" s="119" t="s">
        <v>500</v>
      </c>
      <c r="B678" s="119" t="s">
        <v>540</v>
      </c>
      <c r="C678" s="119" t="s">
        <v>528</v>
      </c>
      <c r="D678" s="120" t="s">
        <v>79</v>
      </c>
      <c r="E678" s="121">
        <v>4529.1398099999997</v>
      </c>
      <c r="F678" s="122">
        <v>1.5300000000000001E-3</v>
      </c>
      <c r="G678" s="121">
        <v>6.9295839092999998</v>
      </c>
      <c r="H678" s="125"/>
      <c r="I678" s="125"/>
      <c r="J678" s="126"/>
      <c r="K678" s="126"/>
    </row>
    <row r="679" spans="1:11" ht="13.5" customHeight="1">
      <c r="A679" s="119" t="s">
        <v>500</v>
      </c>
      <c r="B679" s="119" t="s">
        <v>540</v>
      </c>
      <c r="C679" s="119" t="s">
        <v>529</v>
      </c>
      <c r="D679" s="120" t="s">
        <v>79</v>
      </c>
      <c r="E679" s="121">
        <v>332.24383439999997</v>
      </c>
      <c r="F679" s="122">
        <v>1.38E-2</v>
      </c>
      <c r="G679" s="121">
        <v>4.5849649147199996</v>
      </c>
      <c r="H679" s="125"/>
      <c r="I679" s="125"/>
      <c r="J679" s="126"/>
      <c r="K679" s="126"/>
    </row>
    <row r="680" spans="1:11" ht="13.5" customHeight="1">
      <c r="A680" s="119" t="s">
        <v>500</v>
      </c>
      <c r="B680" s="119" t="s">
        <v>540</v>
      </c>
      <c r="C680" s="119" t="s">
        <v>530</v>
      </c>
      <c r="D680" s="120" t="s">
        <v>79</v>
      </c>
      <c r="E680" s="121">
        <v>615.4403724</v>
      </c>
      <c r="F680" s="122">
        <v>1.1800000000000001E-2</v>
      </c>
      <c r="G680" s="121">
        <v>7.262196394320001</v>
      </c>
      <c r="H680" s="125"/>
      <c r="I680" s="125"/>
      <c r="J680" s="126"/>
      <c r="K680" s="126"/>
    </row>
    <row r="681" spans="1:11" ht="13.5" customHeight="1">
      <c r="A681" s="119" t="s">
        <v>500</v>
      </c>
      <c r="B681" s="119" t="s">
        <v>540</v>
      </c>
      <c r="C681" s="119" t="s">
        <v>531</v>
      </c>
      <c r="D681" s="120" t="s">
        <v>79</v>
      </c>
      <c r="E681" s="121">
        <v>2953.7617126499999</v>
      </c>
      <c r="F681" s="122">
        <v>1.4659999999999999E-2</v>
      </c>
      <c r="G681" s="121">
        <v>43.302146707448998</v>
      </c>
      <c r="H681" s="125">
        <f>SUM(G671:G681)</f>
        <v>379.58087496570909</v>
      </c>
      <c r="I681" s="125"/>
      <c r="J681" s="126"/>
      <c r="K681" s="126"/>
    </row>
    <row r="682" spans="1:11" s="117" customFormat="1" ht="13.5" customHeight="1">
      <c r="A682" s="127" t="s">
        <v>500</v>
      </c>
      <c r="B682" s="119" t="s">
        <v>540</v>
      </c>
      <c r="C682" s="127" t="s">
        <v>532</v>
      </c>
      <c r="D682" s="128" t="s">
        <v>79</v>
      </c>
      <c r="E682" s="129">
        <v>183.60843479999997</v>
      </c>
      <c r="F682" s="130">
        <v>3.2000000000000001E-2</v>
      </c>
      <c r="G682" s="129">
        <v>5.875469913599999</v>
      </c>
      <c r="H682" s="125"/>
      <c r="I682" s="132">
        <v>5.875469913599999</v>
      </c>
      <c r="J682" s="133"/>
      <c r="K682" s="133"/>
    </row>
    <row r="683" spans="1:11" s="117" customFormat="1" ht="13.5" customHeight="1">
      <c r="A683" s="127"/>
      <c r="B683" s="119"/>
      <c r="C683" s="127"/>
      <c r="D683" s="128"/>
      <c r="E683" s="129"/>
      <c r="F683" s="130"/>
      <c r="G683" s="129">
        <f>SUM(G671:G682)</f>
        <v>385.45634487930909</v>
      </c>
      <c r="H683" s="125"/>
      <c r="I683" s="125"/>
      <c r="J683" s="133"/>
      <c r="K683" s="133"/>
    </row>
    <row r="684" spans="1:11" ht="13.5" customHeight="1">
      <c r="A684" s="119" t="s">
        <v>502</v>
      </c>
      <c r="B684" s="119" t="s">
        <v>541</v>
      </c>
      <c r="C684" s="119" t="s">
        <v>521</v>
      </c>
      <c r="D684" s="120" t="s">
        <v>79</v>
      </c>
      <c r="E684" s="121">
        <v>5647.8557138999995</v>
      </c>
      <c r="F684" s="122">
        <v>1.1800000000000001E-2</v>
      </c>
      <c r="G684" s="121">
        <v>66.644697424020009</v>
      </c>
      <c r="H684" s="125"/>
      <c r="I684" s="125"/>
      <c r="J684" s="126"/>
      <c r="K684" s="126"/>
    </row>
    <row r="685" spans="1:11" ht="13.5" customHeight="1">
      <c r="A685" s="119" t="s">
        <v>502</v>
      </c>
      <c r="B685" s="119" t="s">
        <v>541</v>
      </c>
      <c r="C685" s="119" t="s">
        <v>522</v>
      </c>
      <c r="D685" s="120" t="s">
        <v>79</v>
      </c>
      <c r="E685" s="121">
        <v>3171.1102931999999</v>
      </c>
      <c r="F685" s="122">
        <v>1.5300000000000001E-2</v>
      </c>
      <c r="G685" s="121">
        <v>48.517987485959999</v>
      </c>
      <c r="H685" s="125"/>
      <c r="I685" s="125"/>
      <c r="J685" s="126"/>
      <c r="K685" s="126"/>
    </row>
    <row r="686" spans="1:11" ht="13.5" customHeight="1">
      <c r="A686" s="119" t="s">
        <v>502</v>
      </c>
      <c r="B686" s="119" t="s">
        <v>541</v>
      </c>
      <c r="C686" s="119" t="s">
        <v>523</v>
      </c>
      <c r="D686" s="120" t="s">
        <v>79</v>
      </c>
      <c r="E686" s="121">
        <v>1017.0601611</v>
      </c>
      <c r="F686" s="122">
        <v>9.8000000000000014E-3</v>
      </c>
      <c r="G686" s="121">
        <v>9.9671895787800011</v>
      </c>
      <c r="H686" s="125"/>
      <c r="I686" s="125"/>
      <c r="J686" s="126"/>
      <c r="K686" s="126"/>
    </row>
    <row r="687" spans="1:11" ht="13.5" customHeight="1">
      <c r="A687" s="119" t="s">
        <v>502</v>
      </c>
      <c r="B687" s="119" t="s">
        <v>541</v>
      </c>
      <c r="C687" s="119" t="s">
        <v>524</v>
      </c>
      <c r="D687" s="120" t="s">
        <v>79</v>
      </c>
      <c r="E687" s="121">
        <v>339.02005370000001</v>
      </c>
      <c r="F687" s="122">
        <v>1.0199999999999999E-2</v>
      </c>
      <c r="G687" s="121">
        <v>3.4580045477399999</v>
      </c>
      <c r="H687" s="125"/>
      <c r="I687" s="125"/>
      <c r="J687" s="126"/>
      <c r="K687" s="126"/>
    </row>
    <row r="688" spans="1:11" ht="13.5" customHeight="1">
      <c r="A688" s="119" t="s">
        <v>502</v>
      </c>
      <c r="B688" s="119" t="s">
        <v>541</v>
      </c>
      <c r="C688" s="119" t="s">
        <v>525</v>
      </c>
      <c r="D688" s="120" t="s">
        <v>79</v>
      </c>
      <c r="E688" s="121">
        <v>5158.9760770000003</v>
      </c>
      <c r="F688" s="122">
        <v>1.5300000000000001E-2</v>
      </c>
      <c r="G688" s="121">
        <v>78.932333978100004</v>
      </c>
      <c r="H688" s="125"/>
      <c r="I688" s="125"/>
      <c r="J688" s="126"/>
      <c r="K688" s="126"/>
    </row>
    <row r="689" spans="1:11" ht="13.5" customHeight="1">
      <c r="A689" s="119" t="s">
        <v>502</v>
      </c>
      <c r="B689" s="119" t="s">
        <v>541</v>
      </c>
      <c r="C689" s="119" t="s">
        <v>526</v>
      </c>
      <c r="D689" s="120" t="s">
        <v>79</v>
      </c>
      <c r="E689" s="121">
        <v>1653.1356375999999</v>
      </c>
      <c r="F689" s="122">
        <v>9.8000000000000014E-3</v>
      </c>
      <c r="G689" s="121">
        <v>16.200729248480002</v>
      </c>
      <c r="H689" s="125"/>
      <c r="I689" s="125"/>
      <c r="J689" s="126"/>
      <c r="K689" s="126"/>
    </row>
    <row r="690" spans="1:11" ht="13.5" customHeight="1">
      <c r="A690" s="119" t="s">
        <v>502</v>
      </c>
      <c r="B690" s="119" t="s">
        <v>541</v>
      </c>
      <c r="C690" s="119" t="s">
        <v>527</v>
      </c>
      <c r="D690" s="120" t="s">
        <v>79</v>
      </c>
      <c r="E690" s="121">
        <v>549.80877079999993</v>
      </c>
      <c r="F690" s="122">
        <v>1.0199999999999999E-2</v>
      </c>
      <c r="G690" s="121">
        <v>5.6080494621599986</v>
      </c>
      <c r="H690" s="125"/>
      <c r="I690" s="125"/>
      <c r="J690" s="126"/>
      <c r="K690" s="126"/>
    </row>
    <row r="691" spans="1:11" ht="13.5" customHeight="1">
      <c r="A691" s="119" t="s">
        <v>502</v>
      </c>
      <c r="B691" s="119" t="s">
        <v>541</v>
      </c>
      <c r="C691" s="119" t="s">
        <v>528</v>
      </c>
      <c r="D691" s="120" t="s">
        <v>79</v>
      </c>
      <c r="E691" s="121">
        <v>3127.5761899999998</v>
      </c>
      <c r="F691" s="122">
        <v>1.5300000000000001E-3</v>
      </c>
      <c r="G691" s="121">
        <v>4.7851915707000003</v>
      </c>
      <c r="H691" s="125"/>
      <c r="I691" s="125"/>
      <c r="J691" s="126"/>
      <c r="K691" s="126"/>
    </row>
    <row r="692" spans="1:11" ht="13.5" customHeight="1">
      <c r="A692" s="119" t="s">
        <v>502</v>
      </c>
      <c r="B692" s="119" t="s">
        <v>541</v>
      </c>
      <c r="C692" s="119" t="s">
        <v>529</v>
      </c>
      <c r="D692" s="120" t="s">
        <v>79</v>
      </c>
      <c r="E692" s="121">
        <v>764.50152600000001</v>
      </c>
      <c r="F692" s="122">
        <v>1.38E-2</v>
      </c>
      <c r="G692" s="121">
        <v>10.5501210588</v>
      </c>
      <c r="H692" s="125"/>
      <c r="I692" s="125"/>
      <c r="J692" s="126"/>
      <c r="K692" s="126"/>
    </row>
    <row r="693" spans="1:11" ht="13.5" customHeight="1">
      <c r="A693" s="119" t="s">
        <v>502</v>
      </c>
      <c r="B693" s="119" t="s">
        <v>541</v>
      </c>
      <c r="C693" s="119" t="s">
        <v>530</v>
      </c>
      <c r="D693" s="120" t="s">
        <v>79</v>
      </c>
      <c r="E693" s="121">
        <v>457.28991390000004</v>
      </c>
      <c r="F693" s="122">
        <v>1.1800000000000001E-2</v>
      </c>
      <c r="G693" s="121">
        <v>5.3960209840200015</v>
      </c>
      <c r="H693" s="125"/>
      <c r="I693" s="125"/>
      <c r="J693" s="126"/>
      <c r="K693" s="126"/>
    </row>
    <row r="694" spans="1:11" ht="13.5" customHeight="1">
      <c r="A694" s="119" t="s">
        <v>502</v>
      </c>
      <c r="B694" s="119" t="s">
        <v>541</v>
      </c>
      <c r="C694" s="119" t="s">
        <v>531</v>
      </c>
      <c r="D694" s="120" t="s">
        <v>79</v>
      </c>
      <c r="E694" s="121">
        <v>2074.3506612000001</v>
      </c>
      <c r="F694" s="122">
        <v>1.4659999999999999E-2</v>
      </c>
      <c r="G694" s="121">
        <v>30.409980693192001</v>
      </c>
      <c r="H694" s="125">
        <f>SUM(G684:G694)</f>
        <v>280.47030603195202</v>
      </c>
      <c r="I694" s="125"/>
      <c r="J694" s="126"/>
      <c r="K694" s="126"/>
    </row>
    <row r="695" spans="1:11" s="117" customFormat="1" ht="13.5" customHeight="1">
      <c r="A695" s="127" t="s">
        <v>502</v>
      </c>
      <c r="B695" s="119" t="s">
        <v>541</v>
      </c>
      <c r="C695" s="127" t="s">
        <v>532</v>
      </c>
      <c r="D695" s="128" t="s">
        <v>79</v>
      </c>
      <c r="E695" s="129">
        <v>427.22144099999997</v>
      </c>
      <c r="F695" s="130">
        <v>3.2000000000000001E-2</v>
      </c>
      <c r="G695" s="129">
        <v>13.671086111999999</v>
      </c>
      <c r="H695" s="125"/>
      <c r="I695" s="132">
        <v>13.671086111999999</v>
      </c>
      <c r="J695" s="133"/>
      <c r="K695" s="133"/>
    </row>
    <row r="696" spans="1:11" s="117" customFormat="1" ht="13.5" customHeight="1">
      <c r="A696" s="127"/>
      <c r="B696" s="119"/>
      <c r="C696" s="127"/>
      <c r="D696" s="128"/>
      <c r="E696" s="129"/>
      <c r="F696" s="130"/>
      <c r="G696" s="129">
        <f>SUM(G684:G695)</f>
        <v>294.14139214395203</v>
      </c>
      <c r="H696" s="125"/>
      <c r="I696" s="125"/>
      <c r="J696" s="133"/>
      <c r="K696" s="133"/>
    </row>
    <row r="697" spans="1:11" ht="13.5" customHeight="1">
      <c r="A697" s="119" t="s">
        <v>504</v>
      </c>
      <c r="B697" s="119" t="s">
        <v>542</v>
      </c>
      <c r="C697" s="119" t="s">
        <v>521</v>
      </c>
      <c r="D697" s="120" t="s">
        <v>79</v>
      </c>
      <c r="E697" s="121">
        <v>13280.737258800002</v>
      </c>
      <c r="F697" s="122">
        <v>1.1800000000000001E-2</v>
      </c>
      <c r="G697" s="121">
        <v>156.71269965384005</v>
      </c>
      <c r="H697" s="125"/>
      <c r="I697" s="125"/>
      <c r="J697" s="126"/>
      <c r="K697" s="126"/>
    </row>
    <row r="698" spans="1:11" ht="13.5" customHeight="1">
      <c r="A698" s="119" t="s">
        <v>504</v>
      </c>
      <c r="B698" s="119" t="s">
        <v>542</v>
      </c>
      <c r="C698" s="119" t="s">
        <v>522</v>
      </c>
      <c r="D698" s="120" t="s">
        <v>79</v>
      </c>
      <c r="E698" s="121">
        <v>7455.6801336000008</v>
      </c>
      <c r="F698" s="122">
        <v>1.5300000000000001E-2</v>
      </c>
      <c r="G698" s="121">
        <v>114.07190604408002</v>
      </c>
      <c r="H698" s="125"/>
      <c r="I698" s="125"/>
      <c r="J698" s="126"/>
      <c r="K698" s="126"/>
    </row>
    <row r="699" spans="1:11" ht="13.5" customHeight="1">
      <c r="A699" s="119" t="s">
        <v>504</v>
      </c>
      <c r="B699" s="119" t="s">
        <v>542</v>
      </c>
      <c r="C699" s="119" t="s">
        <v>523</v>
      </c>
      <c r="D699" s="120" t="s">
        <v>79</v>
      </c>
      <c r="E699" s="121">
        <v>2392.5080388000001</v>
      </c>
      <c r="F699" s="122">
        <v>9.8000000000000014E-3</v>
      </c>
      <c r="G699" s="121">
        <v>23.446578780240003</v>
      </c>
      <c r="H699" s="125"/>
      <c r="I699" s="125"/>
      <c r="J699" s="126"/>
      <c r="K699" s="126"/>
    </row>
    <row r="700" spans="1:11" ht="13.5" customHeight="1">
      <c r="A700" s="119" t="s">
        <v>504</v>
      </c>
      <c r="B700" s="119" t="s">
        <v>542</v>
      </c>
      <c r="C700" s="119" t="s">
        <v>524</v>
      </c>
      <c r="D700" s="120" t="s">
        <v>79</v>
      </c>
      <c r="E700" s="121">
        <v>798.12092480000013</v>
      </c>
      <c r="F700" s="122">
        <v>1.0199999999999999E-2</v>
      </c>
      <c r="G700" s="121">
        <v>8.1408334329600009</v>
      </c>
      <c r="H700" s="125"/>
      <c r="I700" s="125"/>
      <c r="J700" s="126"/>
      <c r="K700" s="126"/>
    </row>
    <row r="701" spans="1:11" ht="13.5" customHeight="1">
      <c r="A701" s="119" t="s">
        <v>504</v>
      </c>
      <c r="B701" s="119" t="s">
        <v>542</v>
      </c>
      <c r="C701" s="119" t="s">
        <v>525</v>
      </c>
      <c r="D701" s="120" t="s">
        <v>79</v>
      </c>
      <c r="E701" s="121">
        <v>12131.259050400002</v>
      </c>
      <c r="F701" s="122">
        <v>1.5300000000000001E-2</v>
      </c>
      <c r="G701" s="121">
        <v>185.60826347112004</v>
      </c>
      <c r="H701" s="125"/>
      <c r="I701" s="125"/>
      <c r="J701" s="126"/>
      <c r="K701" s="126"/>
    </row>
    <row r="702" spans="1:11" ht="13.5" customHeight="1">
      <c r="A702" s="119" t="s">
        <v>504</v>
      </c>
      <c r="B702" s="119" t="s">
        <v>542</v>
      </c>
      <c r="C702" s="119" t="s">
        <v>526</v>
      </c>
      <c r="D702" s="120" t="s">
        <v>79</v>
      </c>
      <c r="E702" s="121">
        <v>3889.9987983999999</v>
      </c>
      <c r="F702" s="122">
        <v>9.8000000000000014E-3</v>
      </c>
      <c r="G702" s="121">
        <v>38.121988224320006</v>
      </c>
      <c r="H702" s="125"/>
      <c r="I702" s="125"/>
      <c r="J702" s="126"/>
      <c r="K702" s="126"/>
    </row>
    <row r="703" spans="1:11" ht="13.5" customHeight="1">
      <c r="A703" s="119" t="s">
        <v>504</v>
      </c>
      <c r="B703" s="119" t="s">
        <v>542</v>
      </c>
      <c r="C703" s="119" t="s">
        <v>527</v>
      </c>
      <c r="D703" s="120" t="s">
        <v>79</v>
      </c>
      <c r="E703" s="121">
        <v>1295.4849608</v>
      </c>
      <c r="F703" s="122">
        <v>1.0199999999999999E-2</v>
      </c>
      <c r="G703" s="121">
        <v>13.213946600159998</v>
      </c>
      <c r="H703" s="125"/>
      <c r="I703" s="125"/>
      <c r="J703" s="126"/>
      <c r="K703" s="126"/>
    </row>
    <row r="704" spans="1:11" ht="13.5" customHeight="1">
      <c r="A704" s="119" t="s">
        <v>504</v>
      </c>
      <c r="B704" s="119" t="s">
        <v>542</v>
      </c>
      <c r="C704" s="119" t="s">
        <v>528</v>
      </c>
      <c r="D704" s="120" t="s">
        <v>79</v>
      </c>
      <c r="E704" s="121">
        <v>4965.5808400000005</v>
      </c>
      <c r="F704" s="122">
        <v>1.5300000000000001E-3</v>
      </c>
      <c r="G704" s="121">
        <v>7.5973386852000013</v>
      </c>
      <c r="H704" s="125"/>
      <c r="I704" s="125"/>
      <c r="J704" s="126"/>
      <c r="K704" s="126"/>
    </row>
    <row r="705" spans="1:11" ht="13.5" customHeight="1">
      <c r="A705" s="119" t="s">
        <v>504</v>
      </c>
      <c r="B705" s="119" t="s">
        <v>542</v>
      </c>
      <c r="C705" s="119" t="s">
        <v>529</v>
      </c>
      <c r="D705" s="120" t="s">
        <v>79</v>
      </c>
      <c r="E705" s="121">
        <v>65.420172000000008</v>
      </c>
      <c r="F705" s="122">
        <v>1.38E-2</v>
      </c>
      <c r="G705" s="121">
        <v>0.90279837360000015</v>
      </c>
      <c r="H705" s="125"/>
      <c r="I705" s="125"/>
      <c r="J705" s="126"/>
      <c r="K705" s="126"/>
    </row>
    <row r="706" spans="1:11" ht="13.5" customHeight="1">
      <c r="A706" s="119" t="s">
        <v>504</v>
      </c>
      <c r="B706" s="119" t="s">
        <v>542</v>
      </c>
      <c r="C706" s="119" t="s">
        <v>530</v>
      </c>
      <c r="D706" s="120" t="s">
        <v>79</v>
      </c>
      <c r="E706" s="121">
        <v>1564.7410926</v>
      </c>
      <c r="F706" s="122">
        <v>1.1800000000000001E-2</v>
      </c>
      <c r="G706" s="121">
        <v>18.463944892680001</v>
      </c>
      <c r="H706" s="125"/>
      <c r="I706" s="125"/>
      <c r="J706" s="126"/>
      <c r="K706" s="126"/>
    </row>
    <row r="707" spans="1:11" ht="13.5" customHeight="1">
      <c r="A707" s="119" t="s">
        <v>504</v>
      </c>
      <c r="B707" s="119" t="s">
        <v>542</v>
      </c>
      <c r="C707" s="119" t="s">
        <v>531</v>
      </c>
      <c r="D707" s="120" t="s">
        <v>79</v>
      </c>
      <c r="E707" s="121">
        <v>3353.1720322500005</v>
      </c>
      <c r="F707" s="122">
        <v>1.4659999999999999E-2</v>
      </c>
      <c r="G707" s="121">
        <v>49.157501992785008</v>
      </c>
      <c r="H707" s="125">
        <f>SUM(G697:G707)</f>
        <v>615.43780015098525</v>
      </c>
      <c r="I707" s="125"/>
      <c r="J707" s="126"/>
      <c r="K707" s="126"/>
    </row>
    <row r="708" spans="1:11" s="117" customFormat="1" ht="13.5" customHeight="1">
      <c r="A708" s="127" t="s">
        <v>504</v>
      </c>
      <c r="B708" s="119" t="s">
        <v>542</v>
      </c>
      <c r="C708" s="127" t="s">
        <v>532</v>
      </c>
      <c r="D708" s="128" t="s">
        <v>79</v>
      </c>
      <c r="E708" s="129">
        <v>32.710086000000004</v>
      </c>
      <c r="F708" s="130">
        <v>3.2000000000000001E-2</v>
      </c>
      <c r="G708" s="129">
        <v>1.0467227520000002</v>
      </c>
      <c r="H708" s="125"/>
      <c r="I708" s="132">
        <v>1.0467227520000002</v>
      </c>
      <c r="J708" s="133"/>
      <c r="K708" s="133"/>
    </row>
    <row r="709" spans="1:11" s="117" customFormat="1" ht="13.5" customHeight="1">
      <c r="A709" s="127"/>
      <c r="B709" s="119"/>
      <c r="C709" s="127"/>
      <c r="D709" s="128"/>
      <c r="E709" s="129"/>
      <c r="F709" s="130"/>
      <c r="G709" s="129">
        <f>SUM(G697:G708)</f>
        <v>616.4845229029853</v>
      </c>
      <c r="H709" s="125"/>
      <c r="I709" s="125"/>
      <c r="J709" s="133"/>
      <c r="K709" s="133"/>
    </row>
    <row r="710" spans="1:11" ht="13.5" customHeight="1">
      <c r="A710" s="119" t="s">
        <v>506</v>
      </c>
      <c r="B710" s="119" t="s">
        <v>543</v>
      </c>
      <c r="C710" s="119" t="s">
        <v>521</v>
      </c>
      <c r="D710" s="120" t="s">
        <v>79</v>
      </c>
      <c r="E710" s="121">
        <v>21620.146499999999</v>
      </c>
      <c r="F710" s="122">
        <v>1.1800000000000001E-2</v>
      </c>
      <c r="G710" s="121">
        <v>255.11772870000001</v>
      </c>
      <c r="H710" s="125"/>
      <c r="I710" s="125"/>
      <c r="J710" s="126"/>
      <c r="K710" s="126"/>
    </row>
    <row r="711" spans="1:11" ht="13.5" customHeight="1">
      <c r="A711" s="119" t="s">
        <v>506</v>
      </c>
      <c r="B711" s="119" t="s">
        <v>543</v>
      </c>
      <c r="C711" s="119" t="s">
        <v>522</v>
      </c>
      <c r="D711" s="120" t="s">
        <v>79</v>
      </c>
      <c r="E711" s="121">
        <v>29185.711650000001</v>
      </c>
      <c r="F711" s="122">
        <v>1.5300000000000001E-2</v>
      </c>
      <c r="G711" s="121">
        <v>446.54138824500006</v>
      </c>
      <c r="H711" s="125"/>
      <c r="I711" s="125"/>
      <c r="J711" s="126"/>
      <c r="K711" s="126"/>
    </row>
    <row r="712" spans="1:11" ht="13.5" customHeight="1">
      <c r="A712" s="119" t="s">
        <v>506</v>
      </c>
      <c r="B712" s="119" t="s">
        <v>543</v>
      </c>
      <c r="C712" s="119" t="s">
        <v>523</v>
      </c>
      <c r="D712" s="120" t="s">
        <v>79</v>
      </c>
      <c r="E712" s="121">
        <v>9483.1419600000008</v>
      </c>
      <c r="F712" s="122">
        <v>9.8000000000000014E-3</v>
      </c>
      <c r="G712" s="121">
        <v>92.934791208000021</v>
      </c>
      <c r="H712" s="125"/>
      <c r="I712" s="125"/>
      <c r="J712" s="126"/>
      <c r="K712" s="126"/>
    </row>
    <row r="713" spans="1:11" ht="13.5" customHeight="1">
      <c r="A713" s="119" t="s">
        <v>506</v>
      </c>
      <c r="B713" s="119" t="s">
        <v>543</v>
      </c>
      <c r="C713" s="119" t="s">
        <v>524</v>
      </c>
      <c r="D713" s="120" t="s">
        <v>79</v>
      </c>
      <c r="E713" s="121">
        <v>3298.9597200000003</v>
      </c>
      <c r="F713" s="122">
        <v>1.0199999999999999E-2</v>
      </c>
      <c r="G713" s="121">
        <v>33.649389143999997</v>
      </c>
      <c r="H713" s="125"/>
      <c r="I713" s="125"/>
      <c r="J713" s="126"/>
      <c r="K713" s="126"/>
    </row>
    <row r="714" spans="1:11" ht="13.5" customHeight="1">
      <c r="A714" s="119" t="s">
        <v>506</v>
      </c>
      <c r="B714" s="119" t="s">
        <v>543</v>
      </c>
      <c r="C714" s="119" t="s">
        <v>525</v>
      </c>
      <c r="D714" s="120" t="s">
        <v>79</v>
      </c>
      <c r="E714" s="121">
        <v>46483.37442</v>
      </c>
      <c r="F714" s="122">
        <v>1.5300000000000001E-2</v>
      </c>
      <c r="G714" s="121">
        <v>711.19562862600003</v>
      </c>
      <c r="H714" s="125"/>
      <c r="I714" s="125"/>
      <c r="J714" s="126"/>
      <c r="K714" s="126"/>
    </row>
    <row r="715" spans="1:11" ht="13.5" customHeight="1">
      <c r="A715" s="119" t="s">
        <v>506</v>
      </c>
      <c r="B715" s="119" t="s">
        <v>543</v>
      </c>
      <c r="C715" s="119" t="s">
        <v>526</v>
      </c>
      <c r="D715" s="120" t="s">
        <v>79</v>
      </c>
      <c r="E715" s="121">
        <v>15350.60124</v>
      </c>
      <c r="F715" s="122">
        <v>9.8000000000000014E-3</v>
      </c>
      <c r="G715" s="121">
        <v>150.43589215200001</v>
      </c>
      <c r="H715" s="125"/>
      <c r="I715" s="125"/>
      <c r="J715" s="126"/>
      <c r="K715" s="126"/>
    </row>
    <row r="716" spans="1:11" ht="13.5" customHeight="1">
      <c r="A716" s="119" t="s">
        <v>506</v>
      </c>
      <c r="B716" s="119" t="s">
        <v>543</v>
      </c>
      <c r="C716" s="119" t="s">
        <v>527</v>
      </c>
      <c r="D716" s="120" t="s">
        <v>79</v>
      </c>
      <c r="E716" s="121">
        <v>5305.8229199999996</v>
      </c>
      <c r="F716" s="122">
        <v>1.0199999999999999E-2</v>
      </c>
      <c r="G716" s="121">
        <v>54.119393783999989</v>
      </c>
      <c r="H716" s="125"/>
      <c r="I716" s="125"/>
      <c r="J716" s="126"/>
      <c r="K716" s="126"/>
    </row>
    <row r="717" spans="1:11" ht="13.5" customHeight="1">
      <c r="A717" s="119" t="s">
        <v>506</v>
      </c>
      <c r="B717" s="119" t="s">
        <v>543</v>
      </c>
      <c r="C717" s="119" t="s">
        <v>528</v>
      </c>
      <c r="D717" s="120" t="s">
        <v>79</v>
      </c>
      <c r="E717" s="121">
        <v>9339</v>
      </c>
      <c r="F717" s="122">
        <v>1.5300000000000001E-3</v>
      </c>
      <c r="G717" s="121">
        <v>14.288670000000002</v>
      </c>
      <c r="H717" s="125"/>
      <c r="I717" s="125"/>
      <c r="J717" s="126"/>
      <c r="K717" s="126"/>
    </row>
    <row r="718" spans="1:11" ht="13.5" customHeight="1">
      <c r="A718" s="119" t="s">
        <v>506</v>
      </c>
      <c r="B718" s="119" t="s">
        <v>543</v>
      </c>
      <c r="C718" s="119" t="s">
        <v>529</v>
      </c>
      <c r="D718" s="120" t="s">
        <v>79</v>
      </c>
      <c r="E718" s="121">
        <v>2013.9966000000002</v>
      </c>
      <c r="F718" s="122">
        <v>1.38E-2</v>
      </c>
      <c r="G718" s="121">
        <v>27.793153080000003</v>
      </c>
      <c r="H718" s="125"/>
      <c r="I718" s="125"/>
      <c r="J718" s="126"/>
      <c r="K718" s="126"/>
    </row>
    <row r="719" spans="1:11" ht="13.5" customHeight="1">
      <c r="A719" s="119" t="s">
        <v>506</v>
      </c>
      <c r="B719" s="119" t="s">
        <v>543</v>
      </c>
      <c r="C719" s="119" t="s">
        <v>530</v>
      </c>
      <c r="D719" s="120" t="s">
        <v>79</v>
      </c>
      <c r="E719" s="121">
        <v>30364.042329000004</v>
      </c>
      <c r="F719" s="122">
        <v>1.1800000000000001E-2</v>
      </c>
      <c r="G719" s="121">
        <v>358.29569948220006</v>
      </c>
      <c r="H719" s="125"/>
      <c r="I719" s="125"/>
      <c r="J719" s="126"/>
      <c r="K719" s="126"/>
    </row>
    <row r="720" spans="1:11" ht="13.5" customHeight="1">
      <c r="A720" s="119" t="s">
        <v>506</v>
      </c>
      <c r="B720" s="119" t="s">
        <v>543</v>
      </c>
      <c r="C720" s="119" t="s">
        <v>531</v>
      </c>
      <c r="D720" s="120" t="s">
        <v>79</v>
      </c>
      <c r="E720" s="121">
        <v>0</v>
      </c>
      <c r="F720" s="122">
        <v>1.4659999999999999E-2</v>
      </c>
      <c r="G720" s="121">
        <v>0</v>
      </c>
      <c r="H720" s="125">
        <f>SUM(G710:G720)</f>
        <v>2144.3717344212</v>
      </c>
      <c r="I720" s="125"/>
      <c r="J720" s="126"/>
      <c r="K720" s="126"/>
    </row>
    <row r="721" spans="1:11" s="117" customFormat="1" ht="13.5" customHeight="1">
      <c r="A721" s="127" t="s">
        <v>506</v>
      </c>
      <c r="B721" s="119" t="s">
        <v>543</v>
      </c>
      <c r="C721" s="127" t="s">
        <v>532</v>
      </c>
      <c r="D721" s="128" t="s">
        <v>79</v>
      </c>
      <c r="E721" s="129">
        <v>1911.7512000000002</v>
      </c>
      <c r="F721" s="130">
        <v>3.2000000000000001E-2</v>
      </c>
      <c r="G721" s="129">
        <v>61.176038400000003</v>
      </c>
      <c r="H721" s="125"/>
      <c r="I721" s="132">
        <v>61.176038400000003</v>
      </c>
      <c r="J721" s="133"/>
      <c r="K721" s="133"/>
    </row>
    <row r="722" spans="1:11" ht="13.5" customHeight="1">
      <c r="A722" s="119"/>
      <c r="B722" s="119"/>
      <c r="C722" s="119"/>
      <c r="D722" s="120"/>
      <c r="E722" s="121"/>
      <c r="F722" s="122"/>
      <c r="G722" s="129">
        <f>SUM(G710:G721)</f>
        <v>2205.5477728211999</v>
      </c>
      <c r="H722" s="131"/>
      <c r="I722" s="131"/>
      <c r="J722" s="126"/>
      <c r="K722" s="126"/>
    </row>
    <row r="723" spans="1:11" ht="13.5" customHeight="1">
      <c r="A723" s="119"/>
      <c r="B723" s="119"/>
      <c r="C723" s="119"/>
      <c r="D723" s="120"/>
      <c r="E723" s="121"/>
      <c r="F723" s="122"/>
      <c r="G723" s="129">
        <f>SUM(G541:G722)/2</f>
        <v>10814.244659375297</v>
      </c>
      <c r="H723" s="125">
        <f>SUM(H551:H720)</f>
        <v>9781.1559309592922</v>
      </c>
      <c r="I723" s="125">
        <f>SUM(I551:I721)</f>
        <v>1033.0887284159999</v>
      </c>
      <c r="J723" s="126"/>
      <c r="K723" s="126"/>
    </row>
    <row r="724" spans="1:11" ht="13.5" customHeight="1">
      <c r="A724" s="119" t="s">
        <v>467</v>
      </c>
      <c r="B724" s="119" t="s">
        <v>520</v>
      </c>
      <c r="C724" s="119" t="s">
        <v>521</v>
      </c>
      <c r="D724" s="120" t="s">
        <v>81</v>
      </c>
      <c r="E724" s="121">
        <v>993.98954060000017</v>
      </c>
      <c r="F724" s="122">
        <v>1.1800000000000001E-2</v>
      </c>
      <c r="G724" s="121">
        <v>11.729076579080003</v>
      </c>
      <c r="H724" s="125"/>
      <c r="I724" s="125"/>
      <c r="J724" s="126"/>
      <c r="K724" s="126"/>
    </row>
    <row r="725" spans="1:11" ht="13.5" customHeight="1">
      <c r="A725" s="119" t="s">
        <v>467</v>
      </c>
      <c r="B725" s="119" t="s">
        <v>520</v>
      </c>
      <c r="C725" s="119" t="s">
        <v>522</v>
      </c>
      <c r="D725" s="120" t="s">
        <v>81</v>
      </c>
      <c r="E725" s="121">
        <v>2716.9626024000004</v>
      </c>
      <c r="F725" s="122">
        <v>1.5300000000000001E-2</v>
      </c>
      <c r="G725" s="121">
        <v>41.569527816720012</v>
      </c>
      <c r="H725" s="125"/>
      <c r="I725" s="125"/>
      <c r="J725" s="126"/>
      <c r="K725" s="126"/>
    </row>
    <row r="726" spans="1:11" ht="13.5" customHeight="1">
      <c r="A726" s="119" t="s">
        <v>467</v>
      </c>
      <c r="B726" s="119" t="s">
        <v>520</v>
      </c>
      <c r="C726" s="119" t="s">
        <v>523</v>
      </c>
      <c r="D726" s="120" t="s">
        <v>81</v>
      </c>
      <c r="E726" s="121">
        <v>872.38277920000007</v>
      </c>
      <c r="F726" s="122">
        <v>9.8000000000000014E-3</v>
      </c>
      <c r="G726" s="121">
        <v>8.5493512361600015</v>
      </c>
      <c r="H726" s="125"/>
      <c r="I726" s="125"/>
      <c r="J726" s="126"/>
      <c r="K726" s="126"/>
    </row>
    <row r="727" spans="1:11" ht="13.5" customHeight="1">
      <c r="A727" s="119" t="s">
        <v>467</v>
      </c>
      <c r="B727" s="119" t="s">
        <v>520</v>
      </c>
      <c r="C727" s="119" t="s">
        <v>524</v>
      </c>
      <c r="D727" s="120" t="s">
        <v>81</v>
      </c>
      <c r="E727" s="121">
        <v>292.42739280000001</v>
      </c>
      <c r="F727" s="122">
        <v>1.0199999999999999E-2</v>
      </c>
      <c r="G727" s="121">
        <v>2.9827594065599996</v>
      </c>
      <c r="H727" s="125"/>
      <c r="I727" s="125"/>
      <c r="J727" s="126"/>
      <c r="K727" s="126"/>
    </row>
    <row r="728" spans="1:11" ht="13.5" customHeight="1">
      <c r="A728" s="119" t="s">
        <v>467</v>
      </c>
      <c r="B728" s="119" t="s">
        <v>520</v>
      </c>
      <c r="C728" s="119" t="s">
        <v>525</v>
      </c>
      <c r="D728" s="120" t="s">
        <v>81</v>
      </c>
      <c r="E728" s="121">
        <v>8195.6239264000014</v>
      </c>
      <c r="F728" s="122">
        <v>1.5300000000000001E-2</v>
      </c>
      <c r="G728" s="121">
        <v>125.39304607392003</v>
      </c>
      <c r="H728" s="125"/>
      <c r="I728" s="125"/>
      <c r="J728" s="126"/>
      <c r="K728" s="126"/>
    </row>
    <row r="729" spans="1:11" ht="13.5" customHeight="1">
      <c r="A729" s="119" t="s">
        <v>467</v>
      </c>
      <c r="B729" s="119" t="s">
        <v>520</v>
      </c>
      <c r="C729" s="119" t="s">
        <v>526</v>
      </c>
      <c r="D729" s="120" t="s">
        <v>81</v>
      </c>
      <c r="E729" s="121">
        <v>2625.3174520000002</v>
      </c>
      <c r="F729" s="122">
        <v>9.8000000000000014E-3</v>
      </c>
      <c r="G729" s="121">
        <v>25.728111029600004</v>
      </c>
      <c r="H729" s="125"/>
      <c r="I729" s="125"/>
      <c r="J729" s="126"/>
      <c r="K729" s="126"/>
    </row>
    <row r="730" spans="1:11" ht="13.5" customHeight="1">
      <c r="A730" s="119" t="s">
        <v>467</v>
      </c>
      <c r="B730" s="119" t="s">
        <v>520</v>
      </c>
      <c r="C730" s="119" t="s">
        <v>527</v>
      </c>
      <c r="D730" s="120" t="s">
        <v>81</v>
      </c>
      <c r="E730" s="121">
        <v>873.92451200000005</v>
      </c>
      <c r="F730" s="122">
        <v>1.0199999999999999E-2</v>
      </c>
      <c r="G730" s="121">
        <v>8.9140300224000004</v>
      </c>
      <c r="H730" s="125"/>
      <c r="I730" s="125"/>
      <c r="J730" s="126"/>
      <c r="K730" s="126"/>
    </row>
    <row r="731" spans="1:11" ht="13.5" customHeight="1">
      <c r="A731" s="119" t="s">
        <v>467</v>
      </c>
      <c r="B731" s="119" t="s">
        <v>520</v>
      </c>
      <c r="C731" s="119" t="s">
        <v>528</v>
      </c>
      <c r="D731" s="120" t="s">
        <v>81</v>
      </c>
      <c r="E731" s="121">
        <v>3401.9963200000002</v>
      </c>
      <c r="F731" s="122">
        <v>1.5300000000000001E-3</v>
      </c>
      <c r="G731" s="121">
        <v>5.2050543696000009</v>
      </c>
      <c r="H731" s="125"/>
      <c r="I731" s="125"/>
      <c r="J731" s="126"/>
      <c r="K731" s="126"/>
    </row>
    <row r="732" spans="1:11" ht="13.5" customHeight="1">
      <c r="A732" s="119" t="s">
        <v>467</v>
      </c>
      <c r="B732" s="119" t="s">
        <v>520</v>
      </c>
      <c r="C732" s="119" t="s">
        <v>529</v>
      </c>
      <c r="D732" s="120" t="s">
        <v>81</v>
      </c>
      <c r="E732" s="121">
        <v>1517.7479903999999</v>
      </c>
      <c r="F732" s="122">
        <v>1.38E-2</v>
      </c>
      <c r="G732" s="121">
        <v>20.944922267519999</v>
      </c>
      <c r="H732" s="125"/>
      <c r="I732" s="125"/>
      <c r="J732" s="126"/>
      <c r="K732" s="126"/>
    </row>
    <row r="733" spans="1:11" ht="13.5" customHeight="1">
      <c r="A733" s="119" t="s">
        <v>467</v>
      </c>
      <c r="B733" s="119" t="s">
        <v>520</v>
      </c>
      <c r="C733" s="119" t="s">
        <v>530</v>
      </c>
      <c r="D733" s="120" t="s">
        <v>81</v>
      </c>
      <c r="E733" s="121">
        <v>210.78022440000004</v>
      </c>
      <c r="F733" s="122">
        <v>1.1800000000000001E-2</v>
      </c>
      <c r="G733" s="121">
        <v>2.4872066479200008</v>
      </c>
      <c r="H733" s="125"/>
      <c r="I733" s="125"/>
      <c r="J733" s="126"/>
      <c r="K733" s="126"/>
    </row>
    <row r="734" spans="1:11" ht="13.5" customHeight="1">
      <c r="A734" s="119" t="s">
        <v>467</v>
      </c>
      <c r="B734" s="119" t="s">
        <v>520</v>
      </c>
      <c r="C734" s="119" t="s">
        <v>531</v>
      </c>
      <c r="D734" s="120" t="s">
        <v>81</v>
      </c>
      <c r="E734" s="121">
        <v>232.12559475</v>
      </c>
      <c r="F734" s="122">
        <v>1.4200000000000001E-2</v>
      </c>
      <c r="G734" s="121">
        <v>3.2961834454500001</v>
      </c>
      <c r="H734" s="125">
        <f>SUM(G724:G734)</f>
        <v>256.79926889493009</v>
      </c>
      <c r="I734" s="125"/>
      <c r="J734" s="126"/>
      <c r="K734" s="126"/>
    </row>
    <row r="735" spans="1:11" s="117" customFormat="1" ht="13.5" customHeight="1">
      <c r="A735" s="127" t="s">
        <v>467</v>
      </c>
      <c r="B735" s="119" t="s">
        <v>520</v>
      </c>
      <c r="C735" s="127" t="s">
        <v>532</v>
      </c>
      <c r="D735" s="128" t="s">
        <v>81</v>
      </c>
      <c r="E735" s="129">
        <v>837.37820160000001</v>
      </c>
      <c r="F735" s="130">
        <v>3.2000000000000001E-2</v>
      </c>
      <c r="G735" s="129">
        <v>26.796102451199999</v>
      </c>
      <c r="H735" s="125"/>
      <c r="I735" s="132">
        <v>26.796102451199999</v>
      </c>
      <c r="J735" s="133"/>
      <c r="K735" s="133"/>
    </row>
    <row r="736" spans="1:11" s="117" customFormat="1" ht="13.5" customHeight="1">
      <c r="A736" s="127"/>
      <c r="B736" s="119"/>
      <c r="C736" s="127"/>
      <c r="D736" s="128"/>
      <c r="E736" s="129"/>
      <c r="F736" s="130"/>
      <c r="G736" s="129">
        <f>SUM(G724:G735)</f>
        <v>283.59537134613009</v>
      </c>
      <c r="H736" s="125"/>
      <c r="I736" s="125"/>
      <c r="J736" s="133"/>
      <c r="K736" s="133"/>
    </row>
    <row r="737" spans="1:11" ht="13.5" customHeight="1">
      <c r="A737" s="119" t="s">
        <v>482</v>
      </c>
      <c r="B737" s="119" t="s">
        <v>533</v>
      </c>
      <c r="C737" s="119" t="s">
        <v>521</v>
      </c>
      <c r="D737" s="120" t="s">
        <v>81</v>
      </c>
      <c r="E737" s="121">
        <v>4291.0124999999998</v>
      </c>
      <c r="F737" s="122">
        <v>1.1800000000000001E-2</v>
      </c>
      <c r="G737" s="121">
        <v>50.633947500000005</v>
      </c>
      <c r="H737" s="125"/>
      <c r="I737" s="125"/>
      <c r="J737" s="126"/>
      <c r="K737" s="126"/>
    </row>
    <row r="738" spans="1:11" ht="13.5" customHeight="1">
      <c r="A738" s="119" t="s">
        <v>482</v>
      </c>
      <c r="B738" s="119" t="s">
        <v>533</v>
      </c>
      <c r="C738" s="119" t="s">
        <v>522</v>
      </c>
      <c r="D738" s="120" t="s">
        <v>81</v>
      </c>
      <c r="E738" s="121">
        <v>5794.2374999999993</v>
      </c>
      <c r="F738" s="122">
        <v>1.5300000000000001E-2</v>
      </c>
      <c r="G738" s="121">
        <v>88.651833749999994</v>
      </c>
      <c r="H738" s="125"/>
      <c r="I738" s="125"/>
      <c r="J738" s="126"/>
      <c r="K738" s="126"/>
    </row>
    <row r="739" spans="1:11" ht="13.5" customHeight="1">
      <c r="A739" s="119" t="s">
        <v>482</v>
      </c>
      <c r="B739" s="119" t="s">
        <v>533</v>
      </c>
      <c r="C739" s="119" t="s">
        <v>523</v>
      </c>
      <c r="D739" s="120" t="s">
        <v>81</v>
      </c>
      <c r="E739" s="121">
        <v>1879.86</v>
      </c>
      <c r="F739" s="122">
        <v>9.8000000000000014E-3</v>
      </c>
      <c r="G739" s="121">
        <v>18.422628000000003</v>
      </c>
      <c r="H739" s="125"/>
      <c r="I739" s="125"/>
      <c r="J739" s="126"/>
      <c r="K739" s="126"/>
    </row>
    <row r="740" spans="1:11" ht="13.5" customHeight="1">
      <c r="A740" s="119" t="s">
        <v>482</v>
      </c>
      <c r="B740" s="119" t="s">
        <v>533</v>
      </c>
      <c r="C740" s="119" t="s">
        <v>524</v>
      </c>
      <c r="D740" s="120" t="s">
        <v>81</v>
      </c>
      <c r="E740" s="121">
        <v>655.34999999999991</v>
      </c>
      <c r="F740" s="122">
        <v>1.0199999999999999E-2</v>
      </c>
      <c r="G740" s="121">
        <v>6.6845699999999981</v>
      </c>
      <c r="H740" s="125"/>
      <c r="I740" s="125"/>
      <c r="J740" s="126"/>
      <c r="K740" s="126"/>
    </row>
    <row r="741" spans="1:11" ht="13.5" customHeight="1">
      <c r="A741" s="119" t="s">
        <v>482</v>
      </c>
      <c r="B741" s="119" t="s">
        <v>533</v>
      </c>
      <c r="C741" s="119" t="s">
        <v>525</v>
      </c>
      <c r="D741" s="120" t="s">
        <v>81</v>
      </c>
      <c r="E741" s="121">
        <v>9224.369999999999</v>
      </c>
      <c r="F741" s="122">
        <v>1.5300000000000001E-2</v>
      </c>
      <c r="G741" s="121">
        <v>141.13286099999999</v>
      </c>
      <c r="H741" s="125"/>
      <c r="I741" s="125"/>
      <c r="J741" s="126"/>
      <c r="K741" s="126"/>
    </row>
    <row r="742" spans="1:11" ht="13.5" customHeight="1">
      <c r="A742" s="119" t="s">
        <v>482</v>
      </c>
      <c r="B742" s="119" t="s">
        <v>533</v>
      </c>
      <c r="C742" s="119" t="s">
        <v>526</v>
      </c>
      <c r="D742" s="120" t="s">
        <v>81</v>
      </c>
      <c r="E742" s="121">
        <v>3045.7199999999993</v>
      </c>
      <c r="F742" s="122">
        <v>9.8000000000000014E-3</v>
      </c>
      <c r="G742" s="121">
        <v>29.848055999999996</v>
      </c>
      <c r="H742" s="125"/>
      <c r="I742" s="125"/>
      <c r="J742" s="126"/>
      <c r="K742" s="126"/>
    </row>
    <row r="743" spans="1:11" ht="13.5" customHeight="1">
      <c r="A743" s="119" t="s">
        <v>482</v>
      </c>
      <c r="B743" s="119" t="s">
        <v>533</v>
      </c>
      <c r="C743" s="119" t="s">
        <v>527</v>
      </c>
      <c r="D743" s="120" t="s">
        <v>81</v>
      </c>
      <c r="E743" s="121">
        <v>1052.1299999999999</v>
      </c>
      <c r="F743" s="122">
        <v>1.0199999999999999E-2</v>
      </c>
      <c r="G743" s="121">
        <v>10.731725999999998</v>
      </c>
      <c r="H743" s="125"/>
      <c r="I743" s="125"/>
      <c r="J743" s="126"/>
      <c r="K743" s="126"/>
    </row>
    <row r="744" spans="1:11" ht="13.5" customHeight="1">
      <c r="A744" s="119" t="s">
        <v>482</v>
      </c>
      <c r="B744" s="119" t="s">
        <v>533</v>
      </c>
      <c r="C744" s="119" t="s">
        <v>528</v>
      </c>
      <c r="D744" s="120" t="s">
        <v>81</v>
      </c>
      <c r="E744" s="121">
        <v>1781</v>
      </c>
      <c r="F744" s="122">
        <v>1.5300000000000001E-3</v>
      </c>
      <c r="G744" s="121">
        <v>2.7249300000000001</v>
      </c>
      <c r="H744" s="125"/>
      <c r="I744" s="125"/>
      <c r="J744" s="126"/>
      <c r="K744" s="126"/>
    </row>
    <row r="745" spans="1:11" ht="13.5" customHeight="1">
      <c r="A745" s="119" t="s">
        <v>482</v>
      </c>
      <c r="B745" s="119" t="s">
        <v>533</v>
      </c>
      <c r="C745" s="119" t="s">
        <v>529</v>
      </c>
      <c r="D745" s="120" t="s">
        <v>81</v>
      </c>
      <c r="E745" s="121">
        <v>8032.4999999999991</v>
      </c>
      <c r="F745" s="122">
        <v>1.38E-2</v>
      </c>
      <c r="G745" s="121">
        <v>110.84849999999999</v>
      </c>
      <c r="H745" s="125"/>
      <c r="I745" s="125"/>
      <c r="J745" s="126"/>
      <c r="K745" s="126"/>
    </row>
    <row r="746" spans="1:11" ht="13.5" customHeight="1">
      <c r="A746" s="119" t="s">
        <v>482</v>
      </c>
      <c r="B746" s="119" t="s">
        <v>533</v>
      </c>
      <c r="C746" s="119" t="s">
        <v>530</v>
      </c>
      <c r="D746" s="120" t="s">
        <v>81</v>
      </c>
      <c r="E746" s="121">
        <v>6462.3579</v>
      </c>
      <c r="F746" s="122">
        <v>1.1800000000000001E-2</v>
      </c>
      <c r="G746" s="121">
        <v>76.255823220000011</v>
      </c>
      <c r="H746" s="125"/>
      <c r="I746" s="125"/>
      <c r="J746" s="126"/>
      <c r="K746" s="126"/>
    </row>
    <row r="747" spans="1:11" ht="13.5" customHeight="1">
      <c r="A747" s="119" t="s">
        <v>482</v>
      </c>
      <c r="B747" s="119" t="s">
        <v>533</v>
      </c>
      <c r="C747" s="119" t="s">
        <v>531</v>
      </c>
      <c r="D747" s="120" t="s">
        <v>81</v>
      </c>
      <c r="E747" s="121">
        <v>0</v>
      </c>
      <c r="F747" s="122">
        <v>1.4200000000000001E-2</v>
      </c>
      <c r="G747" s="121">
        <v>0</v>
      </c>
      <c r="H747" s="125">
        <f>SUM(G737:G747)</f>
        <v>535.93487546999995</v>
      </c>
      <c r="I747" s="125"/>
      <c r="J747" s="126"/>
      <c r="K747" s="126"/>
    </row>
    <row r="748" spans="1:11" s="117" customFormat="1" ht="13.5" customHeight="1">
      <c r="A748" s="127" t="s">
        <v>482</v>
      </c>
      <c r="B748" s="119" t="s">
        <v>533</v>
      </c>
      <c r="C748" s="127" t="s">
        <v>532</v>
      </c>
      <c r="D748" s="128" t="s">
        <v>81</v>
      </c>
      <c r="E748" s="129">
        <v>7649.9999999999991</v>
      </c>
      <c r="F748" s="130">
        <v>3.2000000000000001E-2</v>
      </c>
      <c r="G748" s="129">
        <v>244.79999999999998</v>
      </c>
      <c r="H748" s="125"/>
      <c r="I748" s="132">
        <v>244.79999999999998</v>
      </c>
      <c r="J748" s="133"/>
      <c r="K748" s="133"/>
    </row>
    <row r="749" spans="1:11" s="117" customFormat="1" ht="13.5" customHeight="1">
      <c r="A749" s="127"/>
      <c r="B749" s="119"/>
      <c r="C749" s="127"/>
      <c r="D749" s="128"/>
      <c r="E749" s="129"/>
      <c r="F749" s="130"/>
      <c r="G749" s="129">
        <f>SUM(G737:G748)</f>
        <v>780.73487546999991</v>
      </c>
      <c r="H749" s="125"/>
      <c r="I749" s="125"/>
      <c r="J749" s="133"/>
      <c r="K749" s="133"/>
    </row>
    <row r="750" spans="1:11" ht="13.5" customHeight="1">
      <c r="A750" s="119" t="s">
        <v>484</v>
      </c>
      <c r="B750" s="119" t="s">
        <v>534</v>
      </c>
      <c r="C750" s="119" t="s">
        <v>521</v>
      </c>
      <c r="D750" s="120" t="s">
        <v>81</v>
      </c>
      <c r="E750" s="121">
        <v>4873.6662281999998</v>
      </c>
      <c r="F750" s="122">
        <v>1.1800000000000001E-2</v>
      </c>
      <c r="G750" s="121">
        <v>57.509261492760004</v>
      </c>
      <c r="H750" s="125"/>
      <c r="I750" s="125"/>
      <c r="J750" s="126"/>
      <c r="K750" s="126"/>
    </row>
    <row r="751" spans="1:11" ht="13.5" customHeight="1">
      <c r="A751" s="119" t="s">
        <v>484</v>
      </c>
      <c r="B751" s="119" t="s">
        <v>534</v>
      </c>
      <c r="C751" s="119" t="s">
        <v>522</v>
      </c>
      <c r="D751" s="120" t="s">
        <v>81</v>
      </c>
      <c r="E751" s="121">
        <v>2414.3558399999997</v>
      </c>
      <c r="F751" s="122">
        <v>1.5300000000000001E-2</v>
      </c>
      <c r="G751" s="121">
        <v>36.939644351999995</v>
      </c>
      <c r="H751" s="125"/>
      <c r="I751" s="125"/>
      <c r="J751" s="126"/>
      <c r="K751" s="126"/>
    </row>
    <row r="752" spans="1:11" ht="13.5" customHeight="1">
      <c r="A752" s="119" t="s">
        <v>484</v>
      </c>
      <c r="B752" s="119" t="s">
        <v>534</v>
      </c>
      <c r="C752" s="119" t="s">
        <v>523</v>
      </c>
      <c r="D752" s="120" t="s">
        <v>81</v>
      </c>
      <c r="E752" s="121">
        <v>774.18022439999993</v>
      </c>
      <c r="F752" s="122">
        <v>9.8000000000000014E-3</v>
      </c>
      <c r="G752" s="121">
        <v>7.5869661991200008</v>
      </c>
      <c r="H752" s="125"/>
      <c r="I752" s="125"/>
      <c r="J752" s="126"/>
      <c r="K752" s="126"/>
    </row>
    <row r="753" spans="1:11" ht="13.5" customHeight="1">
      <c r="A753" s="119" t="s">
        <v>484</v>
      </c>
      <c r="B753" s="119" t="s">
        <v>534</v>
      </c>
      <c r="C753" s="119" t="s">
        <v>524</v>
      </c>
      <c r="D753" s="120" t="s">
        <v>81</v>
      </c>
      <c r="E753" s="121">
        <v>257.66060099999999</v>
      </c>
      <c r="F753" s="122">
        <v>1.0199999999999999E-2</v>
      </c>
      <c r="G753" s="121">
        <v>2.6281381301999995</v>
      </c>
      <c r="H753" s="125"/>
      <c r="I753" s="125"/>
      <c r="J753" s="126"/>
      <c r="K753" s="126"/>
    </row>
    <row r="754" spans="1:11" ht="13.5" customHeight="1">
      <c r="A754" s="119" t="s">
        <v>484</v>
      </c>
      <c r="B754" s="119" t="s">
        <v>534</v>
      </c>
      <c r="C754" s="119" t="s">
        <v>525</v>
      </c>
      <c r="D754" s="120" t="s">
        <v>81</v>
      </c>
      <c r="E754" s="121">
        <v>18676.030076399999</v>
      </c>
      <c r="F754" s="122">
        <v>1.5300000000000001E-2</v>
      </c>
      <c r="G754" s="121">
        <v>285.74326016892002</v>
      </c>
      <c r="H754" s="125"/>
      <c r="I754" s="125"/>
      <c r="J754" s="126"/>
      <c r="K754" s="126"/>
    </row>
    <row r="755" spans="1:11" ht="13.5" customHeight="1">
      <c r="A755" s="119" t="s">
        <v>484</v>
      </c>
      <c r="B755" s="119" t="s">
        <v>534</v>
      </c>
      <c r="C755" s="119" t="s">
        <v>526</v>
      </c>
      <c r="D755" s="120" t="s">
        <v>81</v>
      </c>
      <c r="E755" s="121">
        <v>5987.7450312000001</v>
      </c>
      <c r="F755" s="122">
        <v>9.8000000000000014E-3</v>
      </c>
      <c r="G755" s="121">
        <v>58.679901305760012</v>
      </c>
      <c r="H755" s="125"/>
      <c r="I755" s="125"/>
      <c r="J755" s="126"/>
      <c r="K755" s="126"/>
    </row>
    <row r="756" spans="1:11" ht="13.5" customHeight="1">
      <c r="A756" s="119" t="s">
        <v>484</v>
      </c>
      <c r="B756" s="119" t="s">
        <v>534</v>
      </c>
      <c r="C756" s="119" t="s">
        <v>527</v>
      </c>
      <c r="D756" s="120" t="s">
        <v>81</v>
      </c>
      <c r="E756" s="121">
        <v>1996.4010312</v>
      </c>
      <c r="F756" s="122">
        <v>1.0199999999999999E-2</v>
      </c>
      <c r="G756" s="121">
        <v>20.363290518239999</v>
      </c>
      <c r="H756" s="125"/>
      <c r="I756" s="125"/>
      <c r="J756" s="126"/>
      <c r="K756" s="126"/>
    </row>
    <row r="757" spans="1:11" ht="13.5" customHeight="1">
      <c r="A757" s="119" t="s">
        <v>484</v>
      </c>
      <c r="B757" s="119" t="s">
        <v>534</v>
      </c>
      <c r="C757" s="119" t="s">
        <v>528</v>
      </c>
      <c r="D757" s="120" t="s">
        <v>81</v>
      </c>
      <c r="E757" s="121">
        <v>10300.72559</v>
      </c>
      <c r="F757" s="122">
        <v>1.5300000000000001E-3</v>
      </c>
      <c r="G757" s="121">
        <v>15.760110152700001</v>
      </c>
      <c r="H757" s="125"/>
      <c r="I757" s="125"/>
      <c r="J757" s="126"/>
      <c r="K757" s="126"/>
    </row>
    <row r="758" spans="1:11" ht="13.5" customHeight="1">
      <c r="A758" s="119" t="s">
        <v>484</v>
      </c>
      <c r="B758" s="119" t="s">
        <v>534</v>
      </c>
      <c r="C758" s="119" t="s">
        <v>529</v>
      </c>
      <c r="D758" s="120" t="s">
        <v>81</v>
      </c>
      <c r="E758" s="121">
        <v>659.20711679999999</v>
      </c>
      <c r="F758" s="122">
        <v>1.38E-2</v>
      </c>
      <c r="G758" s="121">
        <v>9.0970582118400003</v>
      </c>
      <c r="H758" s="125"/>
      <c r="I758" s="125"/>
      <c r="J758" s="126"/>
      <c r="K758" s="126"/>
    </row>
    <row r="759" spans="1:11" ht="13.5" customHeight="1">
      <c r="A759" s="119" t="s">
        <v>484</v>
      </c>
      <c r="B759" s="119" t="s">
        <v>534</v>
      </c>
      <c r="C759" s="119" t="s">
        <v>530</v>
      </c>
      <c r="D759" s="120" t="s">
        <v>81</v>
      </c>
      <c r="E759" s="121">
        <v>582.87571739999998</v>
      </c>
      <c r="F759" s="122">
        <v>1.1800000000000001E-2</v>
      </c>
      <c r="G759" s="121">
        <v>6.8779334653200008</v>
      </c>
      <c r="H759" s="125"/>
      <c r="I759" s="125"/>
      <c r="J759" s="126"/>
      <c r="K759" s="126"/>
    </row>
    <row r="760" spans="1:11" ht="13.5" customHeight="1">
      <c r="A760" s="119" t="s">
        <v>484</v>
      </c>
      <c r="B760" s="119" t="s">
        <v>534</v>
      </c>
      <c r="C760" s="119" t="s">
        <v>531</v>
      </c>
      <c r="D760" s="120" t="s">
        <v>81</v>
      </c>
      <c r="E760" s="121">
        <v>1862.3354931000001</v>
      </c>
      <c r="F760" s="122">
        <v>1.4200000000000001E-2</v>
      </c>
      <c r="G760" s="121">
        <v>26.445164002020004</v>
      </c>
      <c r="H760" s="125">
        <f>SUM(G750:G760)</f>
        <v>527.63072799887993</v>
      </c>
      <c r="I760" s="125"/>
      <c r="J760" s="126"/>
      <c r="K760" s="126"/>
    </row>
    <row r="761" spans="1:11" s="117" customFormat="1" ht="13.5" customHeight="1">
      <c r="A761" s="127" t="s">
        <v>484</v>
      </c>
      <c r="B761" s="119" t="s">
        <v>534</v>
      </c>
      <c r="C761" s="127" t="s">
        <v>532</v>
      </c>
      <c r="D761" s="128" t="s">
        <v>81</v>
      </c>
      <c r="E761" s="129">
        <v>365.65394759999998</v>
      </c>
      <c r="F761" s="130">
        <v>3.2000000000000001E-2</v>
      </c>
      <c r="G761" s="129">
        <v>11.700926323199999</v>
      </c>
      <c r="H761" s="125"/>
      <c r="I761" s="132">
        <v>11.700926323199999</v>
      </c>
      <c r="J761" s="133"/>
      <c r="K761" s="133"/>
    </row>
    <row r="762" spans="1:11" s="117" customFormat="1" ht="13.5" customHeight="1">
      <c r="A762" s="127"/>
      <c r="B762" s="119"/>
      <c r="C762" s="127"/>
      <c r="D762" s="128"/>
      <c r="E762" s="129"/>
      <c r="F762" s="130"/>
      <c r="G762" s="129">
        <f>SUM(G750:G761)</f>
        <v>539.33165432207988</v>
      </c>
      <c r="H762" s="125"/>
      <c r="I762" s="125"/>
      <c r="J762" s="133"/>
      <c r="K762" s="133"/>
    </row>
    <row r="763" spans="1:11" ht="13.5" customHeight="1">
      <c r="A763" s="119" t="s">
        <v>486</v>
      </c>
      <c r="B763" s="119" t="s">
        <v>39</v>
      </c>
      <c r="C763" s="119" t="s">
        <v>521</v>
      </c>
      <c r="D763" s="120" t="s">
        <v>81</v>
      </c>
      <c r="E763" s="121">
        <v>71.367281800000001</v>
      </c>
      <c r="F763" s="122">
        <v>1.1800000000000001E-2</v>
      </c>
      <c r="G763" s="121">
        <v>0.84213392524000008</v>
      </c>
      <c r="H763" s="125"/>
      <c r="I763" s="125"/>
      <c r="J763" s="126"/>
      <c r="K763" s="126"/>
    </row>
    <row r="764" spans="1:11" ht="13.5" customHeight="1">
      <c r="A764" s="119" t="s">
        <v>486</v>
      </c>
      <c r="B764" s="119" t="s">
        <v>39</v>
      </c>
      <c r="C764" s="119" t="s">
        <v>522</v>
      </c>
      <c r="D764" s="120" t="s">
        <v>81</v>
      </c>
      <c r="E764" s="121">
        <v>191.72929799999997</v>
      </c>
      <c r="F764" s="122">
        <v>1.5300000000000001E-2</v>
      </c>
      <c r="G764" s="121">
        <v>2.9334582593999996</v>
      </c>
      <c r="H764" s="125"/>
      <c r="I764" s="125"/>
      <c r="J764" s="126"/>
      <c r="K764" s="126"/>
    </row>
    <row r="765" spans="1:11" ht="13.5" customHeight="1">
      <c r="A765" s="119" t="s">
        <v>486</v>
      </c>
      <c r="B765" s="119" t="s">
        <v>39</v>
      </c>
      <c r="C765" s="119" t="s">
        <v>523</v>
      </c>
      <c r="D765" s="120" t="s">
        <v>81</v>
      </c>
      <c r="E765" s="121">
        <v>61.402691000000004</v>
      </c>
      <c r="F765" s="122">
        <v>9.8000000000000014E-3</v>
      </c>
      <c r="G765" s="121">
        <v>0.60174637180000012</v>
      </c>
      <c r="H765" s="125"/>
      <c r="I765" s="125"/>
      <c r="J765" s="126"/>
      <c r="K765" s="126"/>
    </row>
    <row r="766" spans="1:11" ht="13.5" customHeight="1">
      <c r="A766" s="119" t="s">
        <v>486</v>
      </c>
      <c r="B766" s="119" t="s">
        <v>39</v>
      </c>
      <c r="C766" s="119" t="s">
        <v>524</v>
      </c>
      <c r="D766" s="120" t="s">
        <v>81</v>
      </c>
      <c r="E766" s="121">
        <v>19.4407444</v>
      </c>
      <c r="F766" s="122">
        <v>1.0199999999999999E-2</v>
      </c>
      <c r="G766" s="121">
        <v>0.19829559287999998</v>
      </c>
      <c r="H766" s="125"/>
      <c r="I766" s="125"/>
      <c r="J766" s="126"/>
      <c r="K766" s="126"/>
    </row>
    <row r="767" spans="1:11" ht="13.5" customHeight="1">
      <c r="A767" s="119" t="s">
        <v>486</v>
      </c>
      <c r="B767" s="119" t="s">
        <v>39</v>
      </c>
      <c r="C767" s="119" t="s">
        <v>525</v>
      </c>
      <c r="D767" s="120" t="s">
        <v>81</v>
      </c>
      <c r="E767" s="121">
        <v>575.82262639999999</v>
      </c>
      <c r="F767" s="122">
        <v>1.5300000000000001E-2</v>
      </c>
      <c r="G767" s="121">
        <v>8.8100861839200011</v>
      </c>
      <c r="H767" s="125"/>
      <c r="I767" s="125"/>
      <c r="J767" s="126"/>
      <c r="K767" s="126"/>
    </row>
    <row r="768" spans="1:11" ht="13.5" customHeight="1">
      <c r="A768" s="119" t="s">
        <v>486</v>
      </c>
      <c r="B768" s="119" t="s">
        <v>39</v>
      </c>
      <c r="C768" s="119" t="s">
        <v>526</v>
      </c>
      <c r="D768" s="120" t="s">
        <v>81</v>
      </c>
      <c r="E768" s="121">
        <v>184.23284879999997</v>
      </c>
      <c r="F768" s="122">
        <v>9.8000000000000014E-3</v>
      </c>
      <c r="G768" s="121">
        <v>1.8054819182399999</v>
      </c>
      <c r="H768" s="125"/>
      <c r="I768" s="125"/>
      <c r="J768" s="126"/>
      <c r="K768" s="126"/>
    </row>
    <row r="769" spans="1:11" ht="13.5" customHeight="1">
      <c r="A769" s="119" t="s">
        <v>486</v>
      </c>
      <c r="B769" s="119" t="s">
        <v>39</v>
      </c>
      <c r="C769" s="119" t="s">
        <v>527</v>
      </c>
      <c r="D769" s="120" t="s">
        <v>81</v>
      </c>
      <c r="E769" s="121">
        <v>61.925342399999998</v>
      </c>
      <c r="F769" s="122">
        <v>1.0199999999999999E-2</v>
      </c>
      <c r="G769" s="121">
        <v>0.63163849247999992</v>
      </c>
      <c r="H769" s="125"/>
      <c r="I769" s="125"/>
      <c r="J769" s="126"/>
      <c r="K769" s="126"/>
    </row>
    <row r="770" spans="1:11" ht="13.5" customHeight="1">
      <c r="A770" s="119" t="s">
        <v>486</v>
      </c>
      <c r="B770" s="119" t="s">
        <v>39</v>
      </c>
      <c r="C770" s="119" t="s">
        <v>528</v>
      </c>
      <c r="D770" s="120" t="s">
        <v>81</v>
      </c>
      <c r="E770" s="121">
        <v>239.60031000000001</v>
      </c>
      <c r="F770" s="122">
        <v>1.5300000000000001E-3</v>
      </c>
      <c r="G770" s="121">
        <v>0.36658847430000002</v>
      </c>
      <c r="H770" s="125"/>
      <c r="I770" s="125"/>
      <c r="J770" s="126"/>
      <c r="K770" s="126"/>
    </row>
    <row r="771" spans="1:11" ht="13.5" customHeight="1">
      <c r="A771" s="119" t="s">
        <v>486</v>
      </c>
      <c r="B771" s="119" t="s">
        <v>39</v>
      </c>
      <c r="C771" s="119" t="s">
        <v>529</v>
      </c>
      <c r="D771" s="120" t="s">
        <v>81</v>
      </c>
      <c r="E771" s="121">
        <v>4750.073006399999</v>
      </c>
      <c r="F771" s="122">
        <v>1.38E-2</v>
      </c>
      <c r="G771" s="121">
        <v>65.551007488319982</v>
      </c>
      <c r="H771" s="125"/>
      <c r="I771" s="125"/>
      <c r="J771" s="126"/>
      <c r="K771" s="126"/>
    </row>
    <row r="772" spans="1:11" ht="13.5" customHeight="1">
      <c r="A772" s="119" t="s">
        <v>486</v>
      </c>
      <c r="B772" s="119" t="s">
        <v>39</v>
      </c>
      <c r="C772" s="119" t="s">
        <v>530</v>
      </c>
      <c r="D772" s="120" t="s">
        <v>81</v>
      </c>
      <c r="E772" s="121">
        <v>14.083272600000001</v>
      </c>
      <c r="F772" s="122">
        <v>1.1800000000000001E-2</v>
      </c>
      <c r="G772" s="121">
        <v>0.16618261668000003</v>
      </c>
      <c r="H772" s="125"/>
      <c r="I772" s="125"/>
      <c r="J772" s="126"/>
      <c r="K772" s="126"/>
    </row>
    <row r="773" spans="1:11" ht="13.5" customHeight="1">
      <c r="A773" s="119" t="s">
        <v>486</v>
      </c>
      <c r="B773" s="119" t="s">
        <v>39</v>
      </c>
      <c r="C773" s="119" t="s">
        <v>531</v>
      </c>
      <c r="D773" s="120" t="s">
        <v>81</v>
      </c>
      <c r="E773" s="121">
        <v>18.349147800000001</v>
      </c>
      <c r="F773" s="122">
        <v>1.4200000000000001E-2</v>
      </c>
      <c r="G773" s="121">
        <v>0.26055789876000002</v>
      </c>
      <c r="H773" s="125">
        <f>SUM(G763:G773)</f>
        <v>82.167177222019987</v>
      </c>
      <c r="I773" s="125"/>
      <c r="J773" s="126"/>
      <c r="K773" s="126"/>
    </row>
    <row r="774" spans="1:11" s="117" customFormat="1" ht="13.5" customHeight="1">
      <c r="A774" s="127" t="s">
        <v>486</v>
      </c>
      <c r="B774" s="119" t="s">
        <v>39</v>
      </c>
      <c r="C774" s="127" t="s">
        <v>532</v>
      </c>
      <c r="D774" s="128" t="s">
        <v>81</v>
      </c>
      <c r="E774" s="129">
        <v>2637.6033527999998</v>
      </c>
      <c r="F774" s="130">
        <v>3.2000000000000001E-2</v>
      </c>
      <c r="G774" s="129">
        <v>84.403307289599994</v>
      </c>
      <c r="H774" s="125"/>
      <c r="I774" s="132">
        <v>84.403307289599994</v>
      </c>
      <c r="J774" s="133"/>
      <c r="K774" s="133"/>
    </row>
    <row r="775" spans="1:11" s="117" customFormat="1" ht="13.5" customHeight="1">
      <c r="A775" s="127"/>
      <c r="B775" s="119"/>
      <c r="C775" s="127"/>
      <c r="D775" s="128"/>
      <c r="E775" s="129"/>
      <c r="F775" s="130"/>
      <c r="G775" s="129">
        <f>SUM(G763:G774)</f>
        <v>166.57048451161998</v>
      </c>
      <c r="H775" s="125"/>
      <c r="I775" s="125"/>
      <c r="J775" s="133"/>
      <c r="K775" s="133"/>
    </row>
    <row r="776" spans="1:11" ht="13.5" customHeight="1">
      <c r="A776" s="119" t="s">
        <v>488</v>
      </c>
      <c r="B776" s="119" t="s">
        <v>40</v>
      </c>
      <c r="C776" s="119" t="s">
        <v>521</v>
      </c>
      <c r="D776" s="120" t="s">
        <v>81</v>
      </c>
      <c r="E776" s="121">
        <v>17454.833400000003</v>
      </c>
      <c r="F776" s="122">
        <v>1.1800000000000001E-2</v>
      </c>
      <c r="G776" s="121">
        <v>205.96703412000005</v>
      </c>
      <c r="H776" s="125"/>
      <c r="I776" s="125"/>
      <c r="J776" s="126"/>
      <c r="K776" s="126"/>
    </row>
    <row r="777" spans="1:11" ht="13.5" customHeight="1">
      <c r="A777" s="119" t="s">
        <v>488</v>
      </c>
      <c r="B777" s="119" t="s">
        <v>40</v>
      </c>
      <c r="C777" s="119" t="s">
        <v>522</v>
      </c>
      <c r="D777" s="120" t="s">
        <v>81</v>
      </c>
      <c r="E777" s="121">
        <v>23561.176650000001</v>
      </c>
      <c r="F777" s="122">
        <v>1.5300000000000001E-2</v>
      </c>
      <c r="G777" s="121">
        <v>360.48600274500006</v>
      </c>
      <c r="H777" s="125"/>
      <c r="I777" s="125"/>
      <c r="J777" s="126"/>
      <c r="K777" s="126"/>
    </row>
    <row r="778" spans="1:11" ht="13.5" customHeight="1">
      <c r="A778" s="119" t="s">
        <v>488</v>
      </c>
      <c r="B778" s="119" t="s">
        <v>40</v>
      </c>
      <c r="C778" s="119" t="s">
        <v>523</v>
      </c>
      <c r="D778" s="120" t="s">
        <v>81</v>
      </c>
      <c r="E778" s="121">
        <v>7658.2344000000003</v>
      </c>
      <c r="F778" s="122">
        <v>9.8000000000000014E-3</v>
      </c>
      <c r="G778" s="121">
        <v>75.050697120000009</v>
      </c>
      <c r="H778" s="125"/>
      <c r="I778" s="125"/>
      <c r="J778" s="126"/>
      <c r="K778" s="126"/>
    </row>
    <row r="779" spans="1:11" ht="13.5" customHeight="1">
      <c r="A779" s="119" t="s">
        <v>488</v>
      </c>
      <c r="B779" s="119" t="s">
        <v>40</v>
      </c>
      <c r="C779" s="119" t="s">
        <v>524</v>
      </c>
      <c r="D779" s="120" t="s">
        <v>81</v>
      </c>
      <c r="E779" s="121">
        <v>2663.6983200000004</v>
      </c>
      <c r="F779" s="122">
        <v>1.0199999999999999E-2</v>
      </c>
      <c r="G779" s="121">
        <v>27.169722864000001</v>
      </c>
      <c r="H779" s="125"/>
      <c r="I779" s="125"/>
      <c r="J779" s="126"/>
      <c r="K779" s="126"/>
    </row>
    <row r="780" spans="1:11" ht="13.5" customHeight="1">
      <c r="A780" s="119" t="s">
        <v>488</v>
      </c>
      <c r="B780" s="119" t="s">
        <v>40</v>
      </c>
      <c r="C780" s="119" t="s">
        <v>525</v>
      </c>
      <c r="D780" s="120" t="s">
        <v>81</v>
      </c>
      <c r="E780" s="121">
        <v>37526.772780000007</v>
      </c>
      <c r="F780" s="122">
        <v>1.5300000000000001E-2</v>
      </c>
      <c r="G780" s="121">
        <v>574.15962353400016</v>
      </c>
      <c r="H780" s="125"/>
      <c r="I780" s="125"/>
      <c r="J780" s="126"/>
      <c r="K780" s="126"/>
    </row>
    <row r="781" spans="1:11" ht="13.5" customHeight="1">
      <c r="A781" s="119" t="s">
        <v>488</v>
      </c>
      <c r="B781" s="119" t="s">
        <v>40</v>
      </c>
      <c r="C781" s="119" t="s">
        <v>526</v>
      </c>
      <c r="D781" s="120" t="s">
        <v>81</v>
      </c>
      <c r="E781" s="121">
        <v>12393.15552</v>
      </c>
      <c r="F781" s="122">
        <v>9.8000000000000014E-3</v>
      </c>
      <c r="G781" s="121">
        <v>121.45292409600002</v>
      </c>
      <c r="H781" s="125"/>
      <c r="I781" s="125"/>
      <c r="J781" s="126"/>
      <c r="K781" s="126"/>
    </row>
    <row r="782" spans="1:11" ht="13.5" customHeight="1">
      <c r="A782" s="119" t="s">
        <v>488</v>
      </c>
      <c r="B782" s="119" t="s">
        <v>40</v>
      </c>
      <c r="C782" s="119" t="s">
        <v>527</v>
      </c>
      <c r="D782" s="120" t="s">
        <v>81</v>
      </c>
      <c r="E782" s="121">
        <v>4283.6468400000003</v>
      </c>
      <c r="F782" s="122">
        <v>1.0199999999999999E-2</v>
      </c>
      <c r="G782" s="121">
        <v>43.693197767999997</v>
      </c>
      <c r="H782" s="125"/>
      <c r="I782" s="125"/>
      <c r="J782" s="126"/>
      <c r="K782" s="126"/>
    </row>
    <row r="783" spans="1:11" ht="13.5" customHeight="1">
      <c r="A783" s="119" t="s">
        <v>488</v>
      </c>
      <c r="B783" s="119" t="s">
        <v>40</v>
      </c>
      <c r="C783" s="119" t="s">
        <v>528</v>
      </c>
      <c r="D783" s="120" t="s">
        <v>81</v>
      </c>
      <c r="E783" s="121">
        <v>4126</v>
      </c>
      <c r="F783" s="122">
        <v>1.5300000000000001E-3</v>
      </c>
      <c r="G783" s="121">
        <v>6.3127800000000001</v>
      </c>
      <c r="H783" s="125"/>
      <c r="I783" s="125"/>
      <c r="J783" s="126"/>
      <c r="K783" s="126"/>
    </row>
    <row r="784" spans="1:11" ht="13.5" customHeight="1">
      <c r="A784" s="119" t="s">
        <v>488</v>
      </c>
      <c r="B784" s="119" t="s">
        <v>40</v>
      </c>
      <c r="C784" s="119" t="s">
        <v>529</v>
      </c>
      <c r="D784" s="120" t="s">
        <v>81</v>
      </c>
      <c r="E784" s="121">
        <v>598.17240000000004</v>
      </c>
      <c r="F784" s="122">
        <v>1.38E-2</v>
      </c>
      <c r="G784" s="121">
        <v>8.2547791200000002</v>
      </c>
      <c r="H784" s="125"/>
      <c r="I784" s="125"/>
      <c r="J784" s="126"/>
      <c r="K784" s="126"/>
    </row>
    <row r="785" spans="1:11" ht="13.5" customHeight="1">
      <c r="A785" s="119" t="s">
        <v>488</v>
      </c>
      <c r="B785" s="119" t="s">
        <v>40</v>
      </c>
      <c r="C785" s="119" t="s">
        <v>530</v>
      </c>
      <c r="D785" s="120" t="s">
        <v>81</v>
      </c>
      <c r="E785" s="121">
        <v>20975.737184400004</v>
      </c>
      <c r="F785" s="122">
        <v>1.1800000000000001E-2</v>
      </c>
      <c r="G785" s="121">
        <v>247.51369877592009</v>
      </c>
      <c r="H785" s="125"/>
      <c r="I785" s="125"/>
      <c r="J785" s="126"/>
      <c r="K785" s="126"/>
    </row>
    <row r="786" spans="1:11" ht="13.5" customHeight="1">
      <c r="A786" s="119" t="s">
        <v>488</v>
      </c>
      <c r="B786" s="119" t="s">
        <v>40</v>
      </c>
      <c r="C786" s="119" t="s">
        <v>531</v>
      </c>
      <c r="D786" s="120" t="s">
        <v>81</v>
      </c>
      <c r="E786" s="121">
        <v>0</v>
      </c>
      <c r="F786" s="122">
        <v>1.4200000000000001E-2</v>
      </c>
      <c r="G786" s="121">
        <v>0</v>
      </c>
      <c r="H786" s="125">
        <f>SUM(G776:G786)</f>
        <v>1670.0604601429204</v>
      </c>
      <c r="I786" s="125"/>
      <c r="J786" s="126"/>
      <c r="K786" s="126"/>
    </row>
    <row r="787" spans="1:11" s="117" customFormat="1" ht="13.5" customHeight="1">
      <c r="A787" s="127" t="s">
        <v>488</v>
      </c>
      <c r="B787" s="119" t="s">
        <v>40</v>
      </c>
      <c r="C787" s="127" t="s">
        <v>532</v>
      </c>
      <c r="D787" s="128" t="s">
        <v>81</v>
      </c>
      <c r="E787" s="129">
        <v>585.96480000000008</v>
      </c>
      <c r="F787" s="130">
        <v>3.2000000000000001E-2</v>
      </c>
      <c r="G787" s="129">
        <v>18.750873600000002</v>
      </c>
      <c r="H787" s="125"/>
      <c r="I787" s="132">
        <v>18.750873600000002</v>
      </c>
      <c r="J787" s="133"/>
      <c r="K787" s="133"/>
    </row>
    <row r="788" spans="1:11" s="117" customFormat="1" ht="13.5" customHeight="1">
      <c r="A788" s="127"/>
      <c r="B788" s="119"/>
      <c r="C788" s="127"/>
      <c r="D788" s="128"/>
      <c r="E788" s="129"/>
      <c r="F788" s="130"/>
      <c r="G788" s="129">
        <f>SUM(G776:G787)</f>
        <v>1688.8113337429204</v>
      </c>
      <c r="H788" s="125"/>
      <c r="I788" s="125"/>
      <c r="J788" s="133"/>
      <c r="K788" s="133"/>
    </row>
    <row r="789" spans="1:11" ht="13.5" customHeight="1">
      <c r="A789" s="119" t="s">
        <v>490</v>
      </c>
      <c r="B789" s="119" t="s">
        <v>535</v>
      </c>
      <c r="C789" s="119" t="s">
        <v>521</v>
      </c>
      <c r="D789" s="120" t="s">
        <v>81</v>
      </c>
      <c r="E789" s="121">
        <v>2325.7644</v>
      </c>
      <c r="F789" s="122">
        <v>1.1800000000000001E-2</v>
      </c>
      <c r="G789" s="121">
        <v>27.444019920000002</v>
      </c>
      <c r="H789" s="125"/>
      <c r="I789" s="125"/>
      <c r="J789" s="126"/>
      <c r="K789" s="126"/>
    </row>
    <row r="790" spans="1:11" ht="13.5" customHeight="1">
      <c r="A790" s="119" t="s">
        <v>490</v>
      </c>
      <c r="B790" s="119" t="s">
        <v>535</v>
      </c>
      <c r="C790" s="119" t="s">
        <v>522</v>
      </c>
      <c r="D790" s="120" t="s">
        <v>81</v>
      </c>
      <c r="E790" s="121">
        <v>3141.3087</v>
      </c>
      <c r="F790" s="122">
        <v>1.5300000000000001E-2</v>
      </c>
      <c r="G790" s="121">
        <v>48.062023110000005</v>
      </c>
      <c r="H790" s="125"/>
      <c r="I790" s="125"/>
      <c r="J790" s="126"/>
      <c r="K790" s="126"/>
    </row>
    <row r="791" spans="1:11" ht="13.5" customHeight="1">
      <c r="A791" s="119" t="s">
        <v>490</v>
      </c>
      <c r="B791" s="119" t="s">
        <v>535</v>
      </c>
      <c r="C791" s="119" t="s">
        <v>523</v>
      </c>
      <c r="D791" s="120" t="s">
        <v>81</v>
      </c>
      <c r="E791" s="121">
        <v>1018.8578399999999</v>
      </c>
      <c r="F791" s="122">
        <v>9.8000000000000014E-3</v>
      </c>
      <c r="G791" s="121">
        <v>9.9848068320000003</v>
      </c>
      <c r="H791" s="125"/>
      <c r="I791" s="125"/>
      <c r="J791" s="126"/>
      <c r="K791" s="126"/>
    </row>
    <row r="792" spans="1:11" ht="13.5" customHeight="1">
      <c r="A792" s="119" t="s">
        <v>490</v>
      </c>
      <c r="B792" s="119" t="s">
        <v>535</v>
      </c>
      <c r="C792" s="119" t="s">
        <v>524</v>
      </c>
      <c r="D792" s="120" t="s">
        <v>81</v>
      </c>
      <c r="E792" s="121">
        <v>355.22615999999994</v>
      </c>
      <c r="F792" s="122">
        <v>1.0199999999999999E-2</v>
      </c>
      <c r="G792" s="121">
        <v>3.623306831999999</v>
      </c>
      <c r="H792" s="125"/>
      <c r="I792" s="125"/>
      <c r="J792" s="126"/>
      <c r="K792" s="126"/>
    </row>
    <row r="793" spans="1:11" ht="13.5" customHeight="1">
      <c r="A793" s="119" t="s">
        <v>490</v>
      </c>
      <c r="B793" s="119" t="s">
        <v>535</v>
      </c>
      <c r="C793" s="119" t="s">
        <v>525</v>
      </c>
      <c r="D793" s="120" t="s">
        <v>81</v>
      </c>
      <c r="E793" s="121">
        <v>4997.0854799999997</v>
      </c>
      <c r="F793" s="122">
        <v>1.5300000000000001E-2</v>
      </c>
      <c r="G793" s="121">
        <v>76.455407844000007</v>
      </c>
      <c r="H793" s="125"/>
      <c r="I793" s="125"/>
      <c r="J793" s="126"/>
      <c r="K793" s="126"/>
    </row>
    <row r="794" spans="1:11" ht="13.5" customHeight="1">
      <c r="A794" s="119" t="s">
        <v>490</v>
      </c>
      <c r="B794" s="119" t="s">
        <v>535</v>
      </c>
      <c r="C794" s="119" t="s">
        <v>526</v>
      </c>
      <c r="D794" s="120" t="s">
        <v>81</v>
      </c>
      <c r="E794" s="121">
        <v>1651.4454000000001</v>
      </c>
      <c r="F794" s="122">
        <v>9.8000000000000014E-3</v>
      </c>
      <c r="G794" s="121">
        <v>16.184164920000004</v>
      </c>
      <c r="H794" s="125"/>
      <c r="I794" s="125"/>
      <c r="J794" s="126"/>
      <c r="K794" s="126"/>
    </row>
    <row r="795" spans="1:11" ht="13.5" customHeight="1">
      <c r="A795" s="119" t="s">
        <v>490</v>
      </c>
      <c r="B795" s="119" t="s">
        <v>535</v>
      </c>
      <c r="C795" s="119" t="s">
        <v>527</v>
      </c>
      <c r="D795" s="120" t="s">
        <v>81</v>
      </c>
      <c r="E795" s="121">
        <v>570.4993199999999</v>
      </c>
      <c r="F795" s="122">
        <v>1.0199999999999999E-2</v>
      </c>
      <c r="G795" s="121">
        <v>5.8190930639999987</v>
      </c>
      <c r="H795" s="125"/>
      <c r="I795" s="125"/>
      <c r="J795" s="126"/>
      <c r="K795" s="126"/>
    </row>
    <row r="796" spans="1:11" ht="13.5" customHeight="1">
      <c r="A796" s="119" t="s">
        <v>490</v>
      </c>
      <c r="B796" s="119" t="s">
        <v>535</v>
      </c>
      <c r="C796" s="119" t="s">
        <v>528</v>
      </c>
      <c r="D796" s="120" t="s">
        <v>81</v>
      </c>
      <c r="E796" s="121">
        <v>947</v>
      </c>
      <c r="F796" s="122">
        <v>1.5300000000000001E-3</v>
      </c>
      <c r="G796" s="121">
        <v>1.4489100000000001</v>
      </c>
      <c r="H796" s="125"/>
      <c r="I796" s="125"/>
      <c r="J796" s="126"/>
      <c r="K796" s="126"/>
    </row>
    <row r="797" spans="1:11" ht="13.5" customHeight="1">
      <c r="A797" s="119" t="s">
        <v>490</v>
      </c>
      <c r="B797" s="119" t="s">
        <v>535</v>
      </c>
      <c r="C797" s="119" t="s">
        <v>529</v>
      </c>
      <c r="D797" s="120" t="s">
        <v>81</v>
      </c>
      <c r="E797" s="121">
        <v>11132.625</v>
      </c>
      <c r="F797" s="122">
        <v>1.38E-2</v>
      </c>
      <c r="G797" s="121">
        <v>153.630225</v>
      </c>
      <c r="H797" s="125"/>
      <c r="I797" s="125"/>
      <c r="J797" s="126"/>
      <c r="K797" s="126"/>
    </row>
    <row r="798" spans="1:11" ht="13.5" customHeight="1">
      <c r="A798" s="119" t="s">
        <v>490</v>
      </c>
      <c r="B798" s="119" t="s">
        <v>535</v>
      </c>
      <c r="C798" s="119" t="s">
        <v>530</v>
      </c>
      <c r="D798" s="120" t="s">
        <v>81</v>
      </c>
      <c r="E798" s="121">
        <v>3494.7434616</v>
      </c>
      <c r="F798" s="122">
        <v>1.1800000000000001E-2</v>
      </c>
      <c r="G798" s="121">
        <v>41.237972846880005</v>
      </c>
      <c r="H798" s="125"/>
      <c r="I798" s="125"/>
      <c r="J798" s="126"/>
      <c r="K798" s="126"/>
    </row>
    <row r="799" spans="1:11" ht="13.5" customHeight="1">
      <c r="A799" s="119" t="s">
        <v>490</v>
      </c>
      <c r="B799" s="119" t="s">
        <v>535</v>
      </c>
      <c r="C799" s="119" t="s">
        <v>531</v>
      </c>
      <c r="D799" s="120" t="s">
        <v>81</v>
      </c>
      <c r="E799" s="121">
        <v>0</v>
      </c>
      <c r="F799" s="122">
        <v>1.4200000000000001E-2</v>
      </c>
      <c r="G799" s="121">
        <v>0</v>
      </c>
      <c r="H799" s="125">
        <f>SUM(G789:G799)</f>
        <v>383.88993036887996</v>
      </c>
      <c r="I799" s="125"/>
      <c r="J799" s="126"/>
      <c r="K799" s="126"/>
    </row>
    <row r="800" spans="1:11" s="117" customFormat="1" ht="13.5" customHeight="1">
      <c r="A800" s="127" t="s">
        <v>490</v>
      </c>
      <c r="B800" s="119" t="s">
        <v>535</v>
      </c>
      <c r="C800" s="127" t="s">
        <v>532</v>
      </c>
      <c r="D800" s="128" t="s">
        <v>81</v>
      </c>
      <c r="E800" s="129">
        <v>10595.714400000001</v>
      </c>
      <c r="F800" s="130">
        <v>3.2000000000000001E-2</v>
      </c>
      <c r="G800" s="129">
        <v>339.06286080000001</v>
      </c>
      <c r="H800" s="125"/>
      <c r="I800" s="132">
        <v>339.06286080000001</v>
      </c>
      <c r="J800" s="133"/>
      <c r="K800" s="133"/>
    </row>
    <row r="801" spans="1:11" s="117" customFormat="1" ht="13.5" customHeight="1">
      <c r="A801" s="127"/>
      <c r="B801" s="119"/>
      <c r="C801" s="127"/>
      <c r="D801" s="128"/>
      <c r="E801" s="129"/>
      <c r="F801" s="130"/>
      <c r="G801" s="129">
        <f>SUM(G789:G800)</f>
        <v>722.95279116887991</v>
      </c>
      <c r="H801" s="125"/>
      <c r="I801" s="125"/>
      <c r="J801" s="133"/>
      <c r="K801" s="133"/>
    </row>
    <row r="802" spans="1:11" ht="13.5" customHeight="1">
      <c r="A802" s="119" t="s">
        <v>492</v>
      </c>
      <c r="B802" s="119" t="s">
        <v>536</v>
      </c>
      <c r="C802" s="119" t="s">
        <v>521</v>
      </c>
      <c r="D802" s="120" t="s">
        <v>81</v>
      </c>
      <c r="E802" s="121">
        <v>13319.4879</v>
      </c>
      <c r="F802" s="122">
        <v>1.1800000000000001E-2</v>
      </c>
      <c r="G802" s="121">
        <v>157.16995722000001</v>
      </c>
      <c r="H802" s="125"/>
      <c r="I802" s="125"/>
      <c r="J802" s="126"/>
      <c r="K802" s="126"/>
    </row>
    <row r="803" spans="1:11" ht="13.5" customHeight="1">
      <c r="A803" s="119" t="s">
        <v>492</v>
      </c>
      <c r="B803" s="119" t="s">
        <v>536</v>
      </c>
      <c r="C803" s="119" t="s">
        <v>522</v>
      </c>
      <c r="D803" s="120" t="s">
        <v>81</v>
      </c>
      <c r="E803" s="121">
        <v>17982.018100000001</v>
      </c>
      <c r="F803" s="122">
        <v>1.5300000000000001E-2</v>
      </c>
      <c r="G803" s="121">
        <v>275.12487693000003</v>
      </c>
      <c r="H803" s="125"/>
      <c r="I803" s="125"/>
      <c r="J803" s="126"/>
      <c r="K803" s="126"/>
    </row>
    <row r="804" spans="1:11" ht="13.5" customHeight="1">
      <c r="A804" s="119" t="s">
        <v>492</v>
      </c>
      <c r="B804" s="119" t="s">
        <v>536</v>
      </c>
      <c r="C804" s="119" t="s">
        <v>523</v>
      </c>
      <c r="D804" s="120" t="s">
        <v>81</v>
      </c>
      <c r="E804" s="121">
        <v>5845.2508799999996</v>
      </c>
      <c r="F804" s="122">
        <v>9.8000000000000014E-3</v>
      </c>
      <c r="G804" s="121">
        <v>57.283458624000005</v>
      </c>
      <c r="H804" s="125"/>
      <c r="I804" s="125"/>
      <c r="J804" s="126"/>
      <c r="K804" s="126"/>
    </row>
    <row r="805" spans="1:11" ht="13.5" customHeight="1">
      <c r="A805" s="119" t="s">
        <v>492</v>
      </c>
      <c r="B805" s="119" t="s">
        <v>536</v>
      </c>
      <c r="C805" s="119" t="s">
        <v>524</v>
      </c>
      <c r="D805" s="120" t="s">
        <v>81</v>
      </c>
      <c r="E805" s="121">
        <v>2034.28944</v>
      </c>
      <c r="F805" s="122">
        <v>1.0199999999999999E-2</v>
      </c>
      <c r="G805" s="121">
        <v>20.749752288</v>
      </c>
      <c r="H805" s="125"/>
      <c r="I805" s="125"/>
      <c r="J805" s="126"/>
      <c r="K805" s="126"/>
    </row>
    <row r="806" spans="1:11" ht="13.5" customHeight="1">
      <c r="A806" s="119" t="s">
        <v>492</v>
      </c>
      <c r="B806" s="119" t="s">
        <v>536</v>
      </c>
      <c r="C806" s="119" t="s">
        <v>525</v>
      </c>
      <c r="D806" s="120" t="s">
        <v>81</v>
      </c>
      <c r="E806" s="121">
        <v>28638.47208</v>
      </c>
      <c r="F806" s="122">
        <v>1.5300000000000001E-2</v>
      </c>
      <c r="G806" s="121">
        <v>438.16862282400001</v>
      </c>
      <c r="H806" s="125"/>
      <c r="I806" s="125"/>
      <c r="J806" s="126"/>
      <c r="K806" s="126"/>
    </row>
    <row r="807" spans="1:11" ht="13.5" customHeight="1">
      <c r="A807" s="119" t="s">
        <v>492</v>
      </c>
      <c r="B807" s="119" t="s">
        <v>536</v>
      </c>
      <c r="C807" s="119" t="s">
        <v>526</v>
      </c>
      <c r="D807" s="120" t="s">
        <v>81</v>
      </c>
      <c r="E807" s="121">
        <v>9455.3496799999994</v>
      </c>
      <c r="F807" s="122">
        <v>9.8000000000000014E-3</v>
      </c>
      <c r="G807" s="121">
        <v>92.662426864000011</v>
      </c>
      <c r="H807" s="125"/>
      <c r="I807" s="125"/>
      <c r="J807" s="126"/>
      <c r="K807" s="126"/>
    </row>
    <row r="808" spans="1:11" ht="13.5" customHeight="1">
      <c r="A808" s="119" t="s">
        <v>492</v>
      </c>
      <c r="B808" s="119" t="s">
        <v>536</v>
      </c>
      <c r="C808" s="119" t="s">
        <v>527</v>
      </c>
      <c r="D808" s="120" t="s">
        <v>81</v>
      </c>
      <c r="E808" s="121">
        <v>3269.0764799999997</v>
      </c>
      <c r="F808" s="122">
        <v>1.0199999999999999E-2</v>
      </c>
      <c r="G808" s="121">
        <v>33.344580095999994</v>
      </c>
      <c r="H808" s="125"/>
      <c r="I808" s="125"/>
      <c r="J808" s="126"/>
      <c r="K808" s="126"/>
    </row>
    <row r="809" spans="1:11" ht="13.5" customHeight="1">
      <c r="A809" s="119" t="s">
        <v>492</v>
      </c>
      <c r="B809" s="119" t="s">
        <v>536</v>
      </c>
      <c r="C809" s="119" t="s">
        <v>528</v>
      </c>
      <c r="D809" s="120" t="s">
        <v>81</v>
      </c>
      <c r="E809" s="121">
        <v>5533</v>
      </c>
      <c r="F809" s="122">
        <v>1.5300000000000001E-3</v>
      </c>
      <c r="G809" s="121">
        <v>8.4654900000000008</v>
      </c>
      <c r="H809" s="125"/>
      <c r="I809" s="125"/>
      <c r="J809" s="126"/>
      <c r="K809" s="126"/>
    </row>
    <row r="810" spans="1:11" ht="13.5" customHeight="1">
      <c r="A810" s="119" t="s">
        <v>492</v>
      </c>
      <c r="B810" s="119" t="s">
        <v>536</v>
      </c>
      <c r="C810" s="119" t="s">
        <v>529</v>
      </c>
      <c r="D810" s="120" t="s">
        <v>81</v>
      </c>
      <c r="E810" s="121">
        <v>1468.222</v>
      </c>
      <c r="F810" s="122">
        <v>1.38E-2</v>
      </c>
      <c r="G810" s="121">
        <v>20.261463599999999</v>
      </c>
      <c r="H810" s="125"/>
      <c r="I810" s="125"/>
      <c r="J810" s="126"/>
      <c r="K810" s="126"/>
    </row>
    <row r="811" spans="1:11" ht="13.5" customHeight="1">
      <c r="A811" s="119" t="s">
        <v>492</v>
      </c>
      <c r="B811" s="119" t="s">
        <v>536</v>
      </c>
      <c r="C811" s="119" t="s">
        <v>530</v>
      </c>
      <c r="D811" s="120" t="s">
        <v>81</v>
      </c>
      <c r="E811" s="121">
        <v>19414.173658399999</v>
      </c>
      <c r="F811" s="122">
        <v>1.1800000000000001E-2</v>
      </c>
      <c r="G811" s="121">
        <v>229.08724916912001</v>
      </c>
      <c r="H811" s="125"/>
      <c r="I811" s="125"/>
      <c r="J811" s="126"/>
      <c r="K811" s="126"/>
    </row>
    <row r="812" spans="1:11" ht="13.5" customHeight="1">
      <c r="A812" s="119" t="s">
        <v>492</v>
      </c>
      <c r="B812" s="119" t="s">
        <v>536</v>
      </c>
      <c r="C812" s="119" t="s">
        <v>531</v>
      </c>
      <c r="D812" s="120" t="s">
        <v>81</v>
      </c>
      <c r="E812" s="121">
        <v>0</v>
      </c>
      <c r="F812" s="122">
        <v>1.4200000000000001E-2</v>
      </c>
      <c r="G812" s="121">
        <v>0</v>
      </c>
      <c r="H812" s="125">
        <f>SUM(G802:G812)</f>
        <v>1332.3178776151203</v>
      </c>
      <c r="I812" s="125"/>
      <c r="J812" s="126"/>
      <c r="K812" s="126"/>
    </row>
    <row r="813" spans="1:11" s="117" customFormat="1" ht="13.5" customHeight="1">
      <c r="A813" s="127" t="s">
        <v>492</v>
      </c>
      <c r="B813" s="119" t="s">
        <v>536</v>
      </c>
      <c r="C813" s="127" t="s">
        <v>532</v>
      </c>
      <c r="D813" s="128" t="s">
        <v>81</v>
      </c>
      <c r="E813" s="129">
        <v>1406.5319999999999</v>
      </c>
      <c r="F813" s="130">
        <v>3.2000000000000001E-2</v>
      </c>
      <c r="G813" s="129">
        <v>45.009023999999997</v>
      </c>
      <c r="H813" s="125"/>
      <c r="I813" s="132">
        <v>45.009023999999997</v>
      </c>
      <c r="J813" s="133"/>
      <c r="K813" s="133"/>
    </row>
    <row r="814" spans="1:11" s="117" customFormat="1" ht="13.5" customHeight="1">
      <c r="A814" s="127"/>
      <c r="B814" s="119"/>
      <c r="C814" s="127"/>
      <c r="D814" s="128"/>
      <c r="E814" s="129"/>
      <c r="F814" s="130"/>
      <c r="G814" s="129">
        <f>SUM(G802:G813)</f>
        <v>1377.3269016151203</v>
      </c>
      <c r="H814" s="125"/>
      <c r="I814" s="125"/>
      <c r="J814" s="133"/>
      <c r="K814" s="133"/>
    </row>
    <row r="815" spans="1:11" ht="13.5" customHeight="1">
      <c r="A815" s="119" t="s">
        <v>494</v>
      </c>
      <c r="B815" s="119" t="s">
        <v>537</v>
      </c>
      <c r="C815" s="119" t="s">
        <v>521</v>
      </c>
      <c r="D815" s="120" t="s">
        <v>81</v>
      </c>
      <c r="E815" s="121">
        <v>4201.7460000000001</v>
      </c>
      <c r="F815" s="122">
        <v>1.1800000000000001E-2</v>
      </c>
      <c r="G815" s="121">
        <v>49.580602800000008</v>
      </c>
      <c r="H815" s="125"/>
      <c r="I815" s="125"/>
      <c r="J815" s="126"/>
      <c r="K815" s="126"/>
    </row>
    <row r="816" spans="1:11" ht="13.5" customHeight="1">
      <c r="A816" s="119" t="s">
        <v>494</v>
      </c>
      <c r="B816" s="119" t="s">
        <v>537</v>
      </c>
      <c r="C816" s="119" t="s">
        <v>522</v>
      </c>
      <c r="D816" s="120" t="s">
        <v>81</v>
      </c>
      <c r="E816" s="121">
        <v>5671.5220000000008</v>
      </c>
      <c r="F816" s="122">
        <v>1.5300000000000001E-2</v>
      </c>
      <c r="G816" s="121">
        <v>86.774286600000025</v>
      </c>
      <c r="H816" s="125"/>
      <c r="I816" s="125"/>
      <c r="J816" s="126"/>
      <c r="K816" s="126"/>
    </row>
    <row r="817" spans="1:11" ht="13.5" customHeight="1">
      <c r="A817" s="119" t="s">
        <v>494</v>
      </c>
      <c r="B817" s="119" t="s">
        <v>537</v>
      </c>
      <c r="C817" s="119" t="s">
        <v>523</v>
      </c>
      <c r="D817" s="120" t="s">
        <v>81</v>
      </c>
      <c r="E817" s="121">
        <v>1843.9007999999999</v>
      </c>
      <c r="F817" s="122">
        <v>9.8000000000000014E-3</v>
      </c>
      <c r="G817" s="121">
        <v>18.070227840000001</v>
      </c>
      <c r="H817" s="125"/>
      <c r="I817" s="125"/>
      <c r="J817" s="126"/>
      <c r="K817" s="126"/>
    </row>
    <row r="818" spans="1:11" ht="13.5" customHeight="1">
      <c r="A818" s="119" t="s">
        <v>494</v>
      </c>
      <c r="B818" s="119" t="s">
        <v>537</v>
      </c>
      <c r="C818" s="119" t="s">
        <v>524</v>
      </c>
      <c r="D818" s="120" t="s">
        <v>81</v>
      </c>
      <c r="E818" s="121">
        <v>642.3112000000001</v>
      </c>
      <c r="F818" s="122">
        <v>1.0199999999999999E-2</v>
      </c>
      <c r="G818" s="121">
        <v>6.5515742400000008</v>
      </c>
      <c r="H818" s="125"/>
      <c r="I818" s="125"/>
      <c r="J818" s="126"/>
      <c r="K818" s="126"/>
    </row>
    <row r="819" spans="1:11" ht="13.5" customHeight="1">
      <c r="A819" s="119" t="s">
        <v>494</v>
      </c>
      <c r="B819" s="119" t="s">
        <v>537</v>
      </c>
      <c r="C819" s="119" t="s">
        <v>525</v>
      </c>
      <c r="D819" s="120" t="s">
        <v>81</v>
      </c>
      <c r="E819" s="121">
        <v>9034.1118000000006</v>
      </c>
      <c r="F819" s="122">
        <v>1.5300000000000001E-2</v>
      </c>
      <c r="G819" s="121">
        <v>138.22191054000001</v>
      </c>
      <c r="H819" s="125"/>
      <c r="I819" s="125"/>
      <c r="J819" s="126"/>
      <c r="K819" s="126"/>
    </row>
    <row r="820" spans="1:11" ht="13.5" customHeight="1">
      <c r="A820" s="119" t="s">
        <v>494</v>
      </c>
      <c r="B820" s="119" t="s">
        <v>537</v>
      </c>
      <c r="C820" s="119" t="s">
        <v>526</v>
      </c>
      <c r="D820" s="120" t="s">
        <v>81</v>
      </c>
      <c r="E820" s="121">
        <v>2982.9772000000003</v>
      </c>
      <c r="F820" s="122">
        <v>9.8000000000000014E-3</v>
      </c>
      <c r="G820" s="121">
        <v>29.233176560000008</v>
      </c>
      <c r="H820" s="125"/>
      <c r="I820" s="125"/>
      <c r="J820" s="126"/>
      <c r="K820" s="126"/>
    </row>
    <row r="821" spans="1:11" ht="13.5" customHeight="1">
      <c r="A821" s="119" t="s">
        <v>494</v>
      </c>
      <c r="B821" s="119" t="s">
        <v>537</v>
      </c>
      <c r="C821" s="119" t="s">
        <v>527</v>
      </c>
      <c r="D821" s="120" t="s">
        <v>81</v>
      </c>
      <c r="E821" s="121">
        <v>1029.7975999999999</v>
      </c>
      <c r="F821" s="122">
        <v>1.0199999999999999E-2</v>
      </c>
      <c r="G821" s="121">
        <v>10.503935519999997</v>
      </c>
      <c r="H821" s="125"/>
      <c r="I821" s="125"/>
      <c r="J821" s="126"/>
      <c r="K821" s="126"/>
    </row>
    <row r="822" spans="1:11" ht="13.5" customHeight="1">
      <c r="A822" s="119" t="s">
        <v>494</v>
      </c>
      <c r="B822" s="119" t="s">
        <v>537</v>
      </c>
      <c r="C822" s="119" t="s">
        <v>528</v>
      </c>
      <c r="D822" s="120" t="s">
        <v>81</v>
      </c>
      <c r="E822" s="121">
        <v>1827</v>
      </c>
      <c r="F822" s="122">
        <v>1.5300000000000001E-3</v>
      </c>
      <c r="G822" s="121">
        <v>2.7953100000000002</v>
      </c>
      <c r="H822" s="125"/>
      <c r="I822" s="125"/>
      <c r="J822" s="126"/>
      <c r="K822" s="126"/>
    </row>
    <row r="823" spans="1:11" ht="13.5" customHeight="1">
      <c r="A823" s="119" t="s">
        <v>494</v>
      </c>
      <c r="B823" s="119" t="s">
        <v>537</v>
      </c>
      <c r="C823" s="119" t="s">
        <v>529</v>
      </c>
      <c r="D823" s="120" t="s">
        <v>81</v>
      </c>
      <c r="E823" s="121">
        <v>3549.1750000000002</v>
      </c>
      <c r="F823" s="122">
        <v>1.38E-2</v>
      </c>
      <c r="G823" s="121">
        <v>48.978615000000005</v>
      </c>
      <c r="H823" s="125"/>
      <c r="I823" s="125"/>
      <c r="J823" s="126"/>
      <c r="K823" s="126"/>
    </row>
    <row r="824" spans="1:11" ht="13.5" customHeight="1">
      <c r="A824" s="119" t="s">
        <v>494</v>
      </c>
      <c r="B824" s="119" t="s">
        <v>537</v>
      </c>
      <c r="C824" s="119" t="s">
        <v>530</v>
      </c>
      <c r="D824" s="120" t="s">
        <v>81</v>
      </c>
      <c r="E824" s="121">
        <v>5921.889752000001</v>
      </c>
      <c r="F824" s="122">
        <v>1.1800000000000001E-2</v>
      </c>
      <c r="G824" s="121">
        <v>69.878299073600019</v>
      </c>
      <c r="H824" s="125"/>
      <c r="I824" s="125"/>
      <c r="J824" s="126"/>
      <c r="K824" s="126"/>
    </row>
    <row r="825" spans="1:11" ht="13.5" customHeight="1">
      <c r="A825" s="119" t="s">
        <v>494</v>
      </c>
      <c r="B825" s="119" t="s">
        <v>537</v>
      </c>
      <c r="C825" s="119" t="s">
        <v>531</v>
      </c>
      <c r="D825" s="120" t="s">
        <v>81</v>
      </c>
      <c r="E825" s="121">
        <v>0</v>
      </c>
      <c r="F825" s="122">
        <v>1.4200000000000001E-2</v>
      </c>
      <c r="G825" s="121">
        <v>0</v>
      </c>
      <c r="H825" s="125">
        <f>SUM(G815:G825)</f>
        <v>460.58793817360004</v>
      </c>
      <c r="I825" s="125"/>
      <c r="J825" s="126"/>
      <c r="K825" s="126"/>
    </row>
    <row r="826" spans="1:11" s="117" customFormat="1" ht="13.5" customHeight="1">
      <c r="A826" s="127" t="s">
        <v>494</v>
      </c>
      <c r="B826" s="119" t="s">
        <v>537</v>
      </c>
      <c r="C826" s="127" t="s">
        <v>532</v>
      </c>
      <c r="D826" s="128" t="s">
        <v>81</v>
      </c>
      <c r="E826" s="129">
        <v>3392.8920000000003</v>
      </c>
      <c r="F826" s="130">
        <v>3.2000000000000001E-2</v>
      </c>
      <c r="G826" s="129">
        <v>108.57254400000001</v>
      </c>
      <c r="H826" s="125"/>
      <c r="I826" s="132">
        <v>108.57254400000001</v>
      </c>
      <c r="J826" s="133"/>
      <c r="K826" s="133"/>
    </row>
    <row r="827" spans="1:11" s="117" customFormat="1" ht="13.5" customHeight="1">
      <c r="A827" s="127"/>
      <c r="B827" s="119"/>
      <c r="C827" s="127"/>
      <c r="D827" s="128"/>
      <c r="E827" s="129"/>
      <c r="F827" s="130"/>
      <c r="G827" s="129">
        <f>SUM(G815:G826)</f>
        <v>569.16048217360003</v>
      </c>
      <c r="H827" s="125"/>
      <c r="I827" s="125"/>
      <c r="J827" s="133"/>
      <c r="K827" s="133"/>
    </row>
    <row r="828" spans="1:11" ht="13.5" customHeight="1">
      <c r="A828" s="119" t="s">
        <v>496</v>
      </c>
      <c r="B828" s="119" t="s">
        <v>538</v>
      </c>
      <c r="C828" s="119" t="s">
        <v>521</v>
      </c>
      <c r="D828" s="120" t="s">
        <v>81</v>
      </c>
      <c r="E828" s="121">
        <v>22287.3235776</v>
      </c>
      <c r="F828" s="122">
        <v>1.1800000000000001E-2</v>
      </c>
      <c r="G828" s="121">
        <v>262.99041821568005</v>
      </c>
      <c r="H828" s="125"/>
      <c r="I828" s="125"/>
      <c r="J828" s="126"/>
      <c r="K828" s="126"/>
    </row>
    <row r="829" spans="1:11" ht="13.5" customHeight="1">
      <c r="A829" s="119" t="s">
        <v>496</v>
      </c>
      <c r="B829" s="119" t="s">
        <v>538</v>
      </c>
      <c r="C829" s="119" t="s">
        <v>522</v>
      </c>
      <c r="D829" s="120" t="s">
        <v>81</v>
      </c>
      <c r="E829" s="121">
        <v>12512.616652799999</v>
      </c>
      <c r="F829" s="122">
        <v>1.5300000000000001E-2</v>
      </c>
      <c r="G829" s="121">
        <v>191.44303478783999</v>
      </c>
      <c r="H829" s="125"/>
      <c r="I829" s="125"/>
      <c r="J829" s="126"/>
      <c r="K829" s="126"/>
    </row>
    <row r="830" spans="1:11" ht="13.5" customHeight="1">
      <c r="A830" s="119" t="s">
        <v>496</v>
      </c>
      <c r="B830" s="119" t="s">
        <v>538</v>
      </c>
      <c r="C830" s="119" t="s">
        <v>523</v>
      </c>
      <c r="D830" s="120" t="s">
        <v>81</v>
      </c>
      <c r="E830" s="121">
        <v>4015.0307520000001</v>
      </c>
      <c r="F830" s="122">
        <v>9.8000000000000014E-3</v>
      </c>
      <c r="G830" s="121">
        <v>39.347301369600004</v>
      </c>
      <c r="H830" s="125"/>
      <c r="I830" s="125"/>
      <c r="J830" s="126"/>
      <c r="K830" s="126"/>
    </row>
    <row r="831" spans="1:11" ht="13.5" customHeight="1">
      <c r="A831" s="119" t="s">
        <v>496</v>
      </c>
      <c r="B831" s="119" t="s">
        <v>538</v>
      </c>
      <c r="C831" s="119" t="s">
        <v>524</v>
      </c>
      <c r="D831" s="120" t="s">
        <v>81</v>
      </c>
      <c r="E831" s="121">
        <v>1338.7729536000002</v>
      </c>
      <c r="F831" s="122">
        <v>1.0199999999999999E-2</v>
      </c>
      <c r="G831" s="121">
        <v>13.655484126720001</v>
      </c>
      <c r="H831" s="125"/>
      <c r="I831" s="125"/>
      <c r="J831" s="126"/>
      <c r="K831" s="126"/>
    </row>
    <row r="832" spans="1:11" ht="13.5" customHeight="1">
      <c r="A832" s="119" t="s">
        <v>496</v>
      </c>
      <c r="B832" s="119" t="s">
        <v>538</v>
      </c>
      <c r="C832" s="119" t="s">
        <v>525</v>
      </c>
      <c r="D832" s="120" t="s">
        <v>81</v>
      </c>
      <c r="E832" s="121">
        <v>20360.609395200001</v>
      </c>
      <c r="F832" s="122">
        <v>1.5300000000000001E-2</v>
      </c>
      <c r="G832" s="121">
        <v>311.51732374656001</v>
      </c>
      <c r="H832" s="125"/>
      <c r="I832" s="125"/>
      <c r="J832" s="126"/>
      <c r="K832" s="126"/>
    </row>
    <row r="833" spans="1:11" ht="13.5" customHeight="1">
      <c r="A833" s="119" t="s">
        <v>496</v>
      </c>
      <c r="B833" s="119" t="s">
        <v>538</v>
      </c>
      <c r="C833" s="119" t="s">
        <v>526</v>
      </c>
      <c r="D833" s="120" t="s">
        <v>81</v>
      </c>
      <c r="E833" s="121">
        <v>6526.9709567999998</v>
      </c>
      <c r="F833" s="122">
        <v>9.8000000000000014E-3</v>
      </c>
      <c r="G833" s="121">
        <v>63.964315376640009</v>
      </c>
      <c r="H833" s="125"/>
      <c r="I833" s="125"/>
      <c r="J833" s="126"/>
      <c r="K833" s="126"/>
    </row>
    <row r="834" spans="1:11" ht="13.5" customHeight="1">
      <c r="A834" s="119" t="s">
        <v>496</v>
      </c>
      <c r="B834" s="119" t="s">
        <v>538</v>
      </c>
      <c r="C834" s="119" t="s">
        <v>527</v>
      </c>
      <c r="D834" s="120" t="s">
        <v>81</v>
      </c>
      <c r="E834" s="121">
        <v>2176.6565375999999</v>
      </c>
      <c r="F834" s="122">
        <v>1.0199999999999999E-2</v>
      </c>
      <c r="G834" s="121">
        <v>22.201896683519998</v>
      </c>
      <c r="H834" s="125"/>
      <c r="I834" s="125"/>
      <c r="J834" s="126"/>
      <c r="K834" s="126"/>
    </row>
    <row r="835" spans="1:11" ht="13.5" customHeight="1">
      <c r="A835" s="119" t="s">
        <v>496</v>
      </c>
      <c r="B835" s="119" t="s">
        <v>538</v>
      </c>
      <c r="C835" s="119" t="s">
        <v>528</v>
      </c>
      <c r="D835" s="120" t="s">
        <v>81</v>
      </c>
      <c r="E835" s="121">
        <v>10163.751910000001</v>
      </c>
      <c r="F835" s="122">
        <v>1.5300000000000001E-3</v>
      </c>
      <c r="G835" s="121">
        <v>15.550540422300003</v>
      </c>
      <c r="H835" s="125"/>
      <c r="I835" s="125"/>
      <c r="J835" s="126"/>
      <c r="K835" s="126"/>
    </row>
    <row r="836" spans="1:11" ht="13.5" customHeight="1">
      <c r="A836" s="119" t="s">
        <v>496</v>
      </c>
      <c r="B836" s="119" t="s">
        <v>538</v>
      </c>
      <c r="C836" s="119" t="s">
        <v>529</v>
      </c>
      <c r="D836" s="120" t="s">
        <v>81</v>
      </c>
      <c r="E836" s="121">
        <v>381.94778880000001</v>
      </c>
      <c r="F836" s="122">
        <v>1.38E-2</v>
      </c>
      <c r="G836" s="121">
        <v>5.2708794854400001</v>
      </c>
      <c r="H836" s="125"/>
      <c r="I836" s="125"/>
      <c r="J836" s="126"/>
      <c r="K836" s="126"/>
    </row>
    <row r="837" spans="1:11" ht="13.5" customHeight="1">
      <c r="A837" s="119" t="s">
        <v>496</v>
      </c>
      <c r="B837" s="119" t="s">
        <v>538</v>
      </c>
      <c r="C837" s="119" t="s">
        <v>530</v>
      </c>
      <c r="D837" s="120" t="s">
        <v>81</v>
      </c>
      <c r="E837" s="121">
        <v>2221.9909631999999</v>
      </c>
      <c r="F837" s="122">
        <v>1.1800000000000001E-2</v>
      </c>
      <c r="G837" s="121">
        <v>26.219493365760002</v>
      </c>
      <c r="H837" s="125"/>
      <c r="I837" s="125"/>
      <c r="J837" s="126"/>
      <c r="K837" s="126"/>
    </row>
    <row r="838" spans="1:11" ht="13.5" customHeight="1">
      <c r="A838" s="119" t="s">
        <v>496</v>
      </c>
      <c r="B838" s="119" t="s">
        <v>538</v>
      </c>
      <c r="C838" s="119" t="s">
        <v>531</v>
      </c>
      <c r="D838" s="120" t="s">
        <v>81</v>
      </c>
      <c r="E838" s="121">
        <v>6650.508797550001</v>
      </c>
      <c r="F838" s="122">
        <v>1.4200000000000001E-2</v>
      </c>
      <c r="G838" s="121">
        <v>94.437224925210018</v>
      </c>
      <c r="H838" s="125">
        <f>SUM(G828:G838)</f>
        <v>1046.5979125052702</v>
      </c>
      <c r="I838" s="125"/>
      <c r="J838" s="126"/>
      <c r="K838" s="126"/>
    </row>
    <row r="839" spans="1:11" s="117" customFormat="1" ht="13.5" customHeight="1">
      <c r="A839" s="127" t="s">
        <v>496</v>
      </c>
      <c r="B839" s="119" t="s">
        <v>538</v>
      </c>
      <c r="C839" s="127" t="s">
        <v>532</v>
      </c>
      <c r="D839" s="128" t="s">
        <v>81</v>
      </c>
      <c r="E839" s="129">
        <v>215.88353280000001</v>
      </c>
      <c r="F839" s="130">
        <v>3.2000000000000001E-2</v>
      </c>
      <c r="G839" s="129">
        <v>6.9082730496000009</v>
      </c>
      <c r="H839" s="125"/>
      <c r="I839" s="132">
        <v>6.9082730496000009</v>
      </c>
      <c r="J839" s="133"/>
      <c r="K839" s="133"/>
    </row>
    <row r="840" spans="1:11" s="117" customFormat="1" ht="13.5" customHeight="1">
      <c r="A840" s="127"/>
      <c r="B840" s="119"/>
      <c r="C840" s="127"/>
      <c r="D840" s="128"/>
      <c r="E840" s="129"/>
      <c r="F840" s="130"/>
      <c r="G840" s="129">
        <f>SUM(G828:G839)</f>
        <v>1053.5061855548702</v>
      </c>
      <c r="H840" s="125"/>
      <c r="I840" s="125"/>
      <c r="J840" s="133"/>
      <c r="K840" s="133"/>
    </row>
    <row r="841" spans="1:11" ht="13.5" customHeight="1">
      <c r="A841" s="119" t="s">
        <v>498</v>
      </c>
      <c r="B841" s="119" t="s">
        <v>539</v>
      </c>
      <c r="C841" s="119" t="s">
        <v>522</v>
      </c>
      <c r="D841" s="120" t="s">
        <v>81</v>
      </c>
      <c r="E841" s="121">
        <v>117.34500840000001</v>
      </c>
      <c r="F841" s="122">
        <v>1.5300000000000001E-2</v>
      </c>
      <c r="G841" s="121">
        <v>1.7953786285200004</v>
      </c>
      <c r="H841" s="125"/>
      <c r="I841" s="125"/>
      <c r="J841" s="126"/>
      <c r="K841" s="126"/>
    </row>
    <row r="842" spans="1:11" ht="13.5" customHeight="1">
      <c r="A842" s="119" t="s">
        <v>498</v>
      </c>
      <c r="B842" s="119" t="s">
        <v>539</v>
      </c>
      <c r="C842" s="119" t="s">
        <v>523</v>
      </c>
      <c r="D842" s="120" t="s">
        <v>81</v>
      </c>
      <c r="E842" s="121">
        <v>39.913030600000006</v>
      </c>
      <c r="F842" s="122">
        <v>9.8000000000000014E-3</v>
      </c>
      <c r="G842" s="121">
        <v>0.39114769988000014</v>
      </c>
      <c r="H842" s="125"/>
      <c r="I842" s="125"/>
      <c r="J842" s="126"/>
      <c r="K842" s="126"/>
    </row>
    <row r="843" spans="1:11" ht="13.5" customHeight="1">
      <c r="A843" s="119" t="s">
        <v>498</v>
      </c>
      <c r="B843" s="119" t="s">
        <v>539</v>
      </c>
      <c r="C843" s="119" t="s">
        <v>524</v>
      </c>
      <c r="D843" s="120" t="s">
        <v>81</v>
      </c>
      <c r="E843" s="121">
        <v>12.178654400000001</v>
      </c>
      <c r="F843" s="122">
        <v>1.0199999999999999E-2</v>
      </c>
      <c r="G843" s="121">
        <v>0.12422227488</v>
      </c>
      <c r="H843" s="125"/>
      <c r="I843" s="125"/>
      <c r="J843" s="126"/>
      <c r="K843" s="126"/>
    </row>
    <row r="844" spans="1:11" ht="13.5" customHeight="1">
      <c r="A844" s="119" t="s">
        <v>498</v>
      </c>
      <c r="B844" s="119" t="s">
        <v>539</v>
      </c>
      <c r="C844" s="119" t="s">
        <v>525</v>
      </c>
      <c r="D844" s="120" t="s">
        <v>81</v>
      </c>
      <c r="E844" s="121">
        <v>363.05738000000002</v>
      </c>
      <c r="F844" s="122">
        <v>1.5300000000000001E-2</v>
      </c>
      <c r="G844" s="121">
        <v>5.5547779140000006</v>
      </c>
      <c r="H844" s="125"/>
      <c r="I844" s="125"/>
      <c r="J844" s="126"/>
      <c r="K844" s="126"/>
    </row>
    <row r="845" spans="1:11" ht="13.5" customHeight="1">
      <c r="A845" s="119" t="s">
        <v>498</v>
      </c>
      <c r="B845" s="119" t="s">
        <v>539</v>
      </c>
      <c r="C845" s="119" t="s">
        <v>526</v>
      </c>
      <c r="D845" s="120" t="s">
        <v>81</v>
      </c>
      <c r="E845" s="121">
        <v>113.870936</v>
      </c>
      <c r="F845" s="122">
        <v>9.8000000000000014E-3</v>
      </c>
      <c r="G845" s="121">
        <v>1.1159351728000002</v>
      </c>
      <c r="H845" s="125"/>
      <c r="I845" s="125"/>
      <c r="J845" s="126"/>
      <c r="K845" s="126"/>
    </row>
    <row r="846" spans="1:11" ht="13.5" customHeight="1">
      <c r="A846" s="119" t="s">
        <v>498</v>
      </c>
      <c r="B846" s="119" t="s">
        <v>539</v>
      </c>
      <c r="C846" s="119" t="s">
        <v>527</v>
      </c>
      <c r="D846" s="120" t="s">
        <v>81</v>
      </c>
      <c r="E846" s="121">
        <v>38.574361600000003</v>
      </c>
      <c r="F846" s="122">
        <v>1.0199999999999999E-2</v>
      </c>
      <c r="G846" s="121">
        <v>0.39345848831999997</v>
      </c>
      <c r="H846" s="125"/>
      <c r="I846" s="125"/>
      <c r="J846" s="126"/>
      <c r="K846" s="126"/>
    </row>
    <row r="847" spans="1:11" ht="13.5" customHeight="1">
      <c r="A847" s="119" t="s">
        <v>498</v>
      </c>
      <c r="B847" s="119" t="s">
        <v>539</v>
      </c>
      <c r="C847" s="119" t="s">
        <v>528</v>
      </c>
      <c r="D847" s="120" t="s">
        <v>81</v>
      </c>
      <c r="E847" s="121">
        <v>146.79817</v>
      </c>
      <c r="F847" s="122">
        <v>1.5300000000000001E-3</v>
      </c>
      <c r="G847" s="121">
        <v>0.22460120010000001</v>
      </c>
      <c r="H847" s="125"/>
      <c r="I847" s="125"/>
      <c r="J847" s="126"/>
      <c r="K847" s="126"/>
    </row>
    <row r="848" spans="1:11" ht="13.5" customHeight="1">
      <c r="A848" s="119" t="s">
        <v>498</v>
      </c>
      <c r="B848" s="119" t="s">
        <v>539</v>
      </c>
      <c r="C848" s="119" t="s">
        <v>529</v>
      </c>
      <c r="D848" s="120" t="s">
        <v>81</v>
      </c>
      <c r="E848" s="121">
        <v>3689.6977008000003</v>
      </c>
      <c r="F848" s="122">
        <v>1.38E-2</v>
      </c>
      <c r="G848" s="121">
        <v>50.917828271040001</v>
      </c>
      <c r="H848" s="125"/>
      <c r="I848" s="125"/>
      <c r="J848" s="126"/>
      <c r="K848" s="126"/>
    </row>
    <row r="849" spans="1:11" ht="13.5" customHeight="1">
      <c r="A849" s="119" t="s">
        <v>498</v>
      </c>
      <c r="B849" s="119" t="s">
        <v>539</v>
      </c>
      <c r="C849" s="119" t="s">
        <v>530</v>
      </c>
      <c r="D849" s="120" t="s">
        <v>81</v>
      </c>
      <c r="E849" s="121">
        <v>8.7265698</v>
      </c>
      <c r="F849" s="122">
        <v>1.1800000000000001E-2</v>
      </c>
      <c r="G849" s="121">
        <v>0.10297352364000001</v>
      </c>
      <c r="H849" s="125"/>
      <c r="I849" s="125"/>
      <c r="J849" s="126"/>
      <c r="K849" s="126"/>
    </row>
    <row r="850" spans="1:11" ht="13.5" customHeight="1">
      <c r="A850" s="119" t="s">
        <v>498</v>
      </c>
      <c r="B850" s="119" t="s">
        <v>539</v>
      </c>
      <c r="C850" s="119" t="s">
        <v>531</v>
      </c>
      <c r="D850" s="120" t="s">
        <v>81</v>
      </c>
      <c r="E850" s="121">
        <v>10.212790050000001</v>
      </c>
      <c r="F850" s="122">
        <v>1.4200000000000001E-2</v>
      </c>
      <c r="G850" s="121">
        <v>0.14502161871000002</v>
      </c>
      <c r="H850" s="125">
        <f>SUM(G841:G850)</f>
        <v>60.765344791890001</v>
      </c>
      <c r="I850" s="125"/>
      <c r="J850" s="126"/>
      <c r="K850" s="126"/>
    </row>
    <row r="851" spans="1:11" s="117" customFormat="1" ht="13.5" customHeight="1">
      <c r="A851" s="127" t="s">
        <v>498</v>
      </c>
      <c r="B851" s="119" t="s">
        <v>539</v>
      </c>
      <c r="C851" s="127" t="s">
        <v>532</v>
      </c>
      <c r="D851" s="128" t="s">
        <v>81</v>
      </c>
      <c r="E851" s="129">
        <v>2041.1093664000002</v>
      </c>
      <c r="F851" s="130">
        <v>3.2000000000000001E-2</v>
      </c>
      <c r="G851" s="129">
        <v>65.315499724800006</v>
      </c>
      <c r="H851" s="125"/>
      <c r="I851" s="132">
        <v>65.315499724800006</v>
      </c>
      <c r="J851" s="133"/>
      <c r="K851" s="133"/>
    </row>
    <row r="852" spans="1:11" s="117" customFormat="1" ht="13.5" customHeight="1">
      <c r="A852" s="127"/>
      <c r="B852" s="119"/>
      <c r="C852" s="127"/>
      <c r="D852" s="128"/>
      <c r="E852" s="129"/>
      <c r="F852" s="130"/>
      <c r="G852" s="129">
        <f>SUM(G841:G851)</f>
        <v>126.08084451669001</v>
      </c>
      <c r="H852" s="125"/>
      <c r="I852" s="125"/>
      <c r="J852" s="133"/>
      <c r="K852" s="133"/>
    </row>
    <row r="853" spans="1:11" ht="13.5" customHeight="1">
      <c r="A853" s="119" t="s">
        <v>500</v>
      </c>
      <c r="B853" s="119" t="s">
        <v>540</v>
      </c>
      <c r="C853" s="119" t="s">
        <v>521</v>
      </c>
      <c r="D853" s="120" t="s">
        <v>81</v>
      </c>
      <c r="E853" s="121">
        <v>7817.8087106999992</v>
      </c>
      <c r="F853" s="122">
        <v>1.1800000000000001E-2</v>
      </c>
      <c r="G853" s="121">
        <v>92.25014278626</v>
      </c>
      <c r="H853" s="125"/>
      <c r="I853" s="125"/>
      <c r="J853" s="126"/>
      <c r="K853" s="126"/>
    </row>
    <row r="854" spans="1:11" ht="13.5" customHeight="1">
      <c r="A854" s="119" t="s">
        <v>500</v>
      </c>
      <c r="B854" s="119" t="s">
        <v>540</v>
      </c>
      <c r="C854" s="119" t="s">
        <v>522</v>
      </c>
      <c r="D854" s="120" t="s">
        <v>81</v>
      </c>
      <c r="E854" s="121">
        <v>4389.3233496000003</v>
      </c>
      <c r="F854" s="122">
        <v>1.5300000000000001E-2</v>
      </c>
      <c r="G854" s="121">
        <v>67.156647248880006</v>
      </c>
      <c r="H854" s="125"/>
      <c r="I854" s="125"/>
      <c r="J854" s="126"/>
      <c r="K854" s="126"/>
    </row>
    <row r="855" spans="1:11" ht="13.5" customHeight="1">
      <c r="A855" s="119" t="s">
        <v>500</v>
      </c>
      <c r="B855" s="119" t="s">
        <v>540</v>
      </c>
      <c r="C855" s="119" t="s">
        <v>523</v>
      </c>
      <c r="D855" s="120" t="s">
        <v>81</v>
      </c>
      <c r="E855" s="121">
        <v>1407.2022663</v>
      </c>
      <c r="F855" s="122">
        <v>9.8000000000000014E-3</v>
      </c>
      <c r="G855" s="121">
        <v>13.790582209740002</v>
      </c>
      <c r="H855" s="125"/>
      <c r="I855" s="125"/>
      <c r="J855" s="126"/>
      <c r="K855" s="126"/>
    </row>
    <row r="856" spans="1:11" ht="13.5" customHeight="1">
      <c r="A856" s="119" t="s">
        <v>500</v>
      </c>
      <c r="B856" s="119" t="s">
        <v>540</v>
      </c>
      <c r="C856" s="119" t="s">
        <v>524</v>
      </c>
      <c r="D856" s="120" t="s">
        <v>81</v>
      </c>
      <c r="E856" s="121">
        <v>469.81965120000001</v>
      </c>
      <c r="F856" s="122">
        <v>1.0199999999999999E-2</v>
      </c>
      <c r="G856" s="121">
        <v>4.7921604422399993</v>
      </c>
      <c r="H856" s="125"/>
      <c r="I856" s="125"/>
      <c r="J856" s="126"/>
      <c r="K856" s="126"/>
    </row>
    <row r="857" spans="1:11" ht="13.5" customHeight="1">
      <c r="A857" s="119" t="s">
        <v>500</v>
      </c>
      <c r="B857" s="119" t="s">
        <v>540</v>
      </c>
      <c r="C857" s="119" t="s">
        <v>525</v>
      </c>
      <c r="D857" s="120" t="s">
        <v>81</v>
      </c>
      <c r="E857" s="121">
        <v>7143.2320679999993</v>
      </c>
      <c r="F857" s="122">
        <v>1.5300000000000001E-2</v>
      </c>
      <c r="G857" s="121">
        <v>109.2914506404</v>
      </c>
      <c r="H857" s="125"/>
      <c r="I857" s="125"/>
      <c r="J857" s="126"/>
      <c r="K857" s="126"/>
    </row>
    <row r="858" spans="1:11" ht="13.5" customHeight="1">
      <c r="A858" s="119" t="s">
        <v>500</v>
      </c>
      <c r="B858" s="119" t="s">
        <v>540</v>
      </c>
      <c r="C858" s="119" t="s">
        <v>526</v>
      </c>
      <c r="D858" s="120" t="s">
        <v>81</v>
      </c>
      <c r="E858" s="121">
        <v>2290.3984571999999</v>
      </c>
      <c r="F858" s="122">
        <v>9.8000000000000014E-3</v>
      </c>
      <c r="G858" s="121">
        <v>22.445904880560004</v>
      </c>
      <c r="H858" s="125"/>
      <c r="I858" s="125"/>
      <c r="J858" s="126"/>
      <c r="K858" s="126"/>
    </row>
    <row r="859" spans="1:11" ht="13.5" customHeight="1">
      <c r="A859" s="119" t="s">
        <v>500</v>
      </c>
      <c r="B859" s="119" t="s">
        <v>540</v>
      </c>
      <c r="C859" s="119" t="s">
        <v>527</v>
      </c>
      <c r="D859" s="120" t="s">
        <v>81</v>
      </c>
      <c r="E859" s="121">
        <v>762.26419919999989</v>
      </c>
      <c r="F859" s="122">
        <v>1.0199999999999999E-2</v>
      </c>
      <c r="G859" s="121">
        <v>7.7750948318399979</v>
      </c>
      <c r="H859" s="125"/>
      <c r="I859" s="125"/>
      <c r="J859" s="126"/>
      <c r="K859" s="126"/>
    </row>
    <row r="860" spans="1:11" ht="13.5" customHeight="1">
      <c r="A860" s="119" t="s">
        <v>500</v>
      </c>
      <c r="B860" s="119" t="s">
        <v>540</v>
      </c>
      <c r="C860" s="119" t="s">
        <v>528</v>
      </c>
      <c r="D860" s="120" t="s">
        <v>81</v>
      </c>
      <c r="E860" s="121">
        <v>4529.1398099999997</v>
      </c>
      <c r="F860" s="122">
        <v>1.5300000000000001E-3</v>
      </c>
      <c r="G860" s="121">
        <v>6.9295839092999998</v>
      </c>
      <c r="H860" s="125"/>
      <c r="I860" s="125"/>
      <c r="J860" s="126"/>
      <c r="K860" s="126"/>
    </row>
    <row r="861" spans="1:11" ht="13.5" customHeight="1">
      <c r="A861" s="119" t="s">
        <v>500</v>
      </c>
      <c r="B861" s="119" t="s">
        <v>540</v>
      </c>
      <c r="C861" s="119" t="s">
        <v>529</v>
      </c>
      <c r="D861" s="120" t="s">
        <v>81</v>
      </c>
      <c r="E861" s="121">
        <v>332.24383439999997</v>
      </c>
      <c r="F861" s="122">
        <v>1.38E-2</v>
      </c>
      <c r="G861" s="121">
        <v>4.5849649147199996</v>
      </c>
      <c r="H861" s="125"/>
      <c r="I861" s="125"/>
      <c r="J861" s="126"/>
      <c r="K861" s="126"/>
    </row>
    <row r="862" spans="1:11" ht="13.5" customHeight="1">
      <c r="A862" s="119" t="s">
        <v>500</v>
      </c>
      <c r="B862" s="119" t="s">
        <v>540</v>
      </c>
      <c r="C862" s="119" t="s">
        <v>530</v>
      </c>
      <c r="D862" s="120" t="s">
        <v>81</v>
      </c>
      <c r="E862" s="121">
        <v>615.4403724</v>
      </c>
      <c r="F862" s="122">
        <v>1.1800000000000001E-2</v>
      </c>
      <c r="G862" s="121">
        <v>7.262196394320001</v>
      </c>
      <c r="H862" s="125"/>
      <c r="I862" s="125"/>
      <c r="J862" s="126"/>
      <c r="K862" s="126"/>
    </row>
    <row r="863" spans="1:11" ht="13.5" customHeight="1">
      <c r="A863" s="119" t="s">
        <v>500</v>
      </c>
      <c r="B863" s="119" t="s">
        <v>540</v>
      </c>
      <c r="C863" s="119" t="s">
        <v>531</v>
      </c>
      <c r="D863" s="120" t="s">
        <v>81</v>
      </c>
      <c r="E863" s="121">
        <v>2953.7617126499999</v>
      </c>
      <c r="F863" s="122">
        <v>1.4200000000000001E-2</v>
      </c>
      <c r="G863" s="121">
        <v>41.943416319630003</v>
      </c>
      <c r="H863" s="125">
        <f>SUM(G853:G863)</f>
        <v>378.22214457789005</v>
      </c>
      <c r="I863" s="125"/>
      <c r="J863" s="126"/>
      <c r="K863" s="126"/>
    </row>
    <row r="864" spans="1:11" s="117" customFormat="1" ht="13.5" customHeight="1">
      <c r="A864" s="127" t="s">
        <v>500</v>
      </c>
      <c r="B864" s="119" t="s">
        <v>540</v>
      </c>
      <c r="C864" s="127" t="s">
        <v>532</v>
      </c>
      <c r="D864" s="128" t="s">
        <v>81</v>
      </c>
      <c r="E864" s="129">
        <v>183.60843479999997</v>
      </c>
      <c r="F864" s="130">
        <v>3.2000000000000001E-2</v>
      </c>
      <c r="G864" s="129">
        <v>5.875469913599999</v>
      </c>
      <c r="H864" s="125"/>
      <c r="I864" s="132">
        <v>5.875469913599999</v>
      </c>
      <c r="J864" s="133"/>
      <c r="K864" s="133"/>
    </row>
    <row r="865" spans="1:11" s="117" customFormat="1" ht="13.5" customHeight="1">
      <c r="A865" s="127"/>
      <c r="B865" s="119"/>
      <c r="C865" s="127"/>
      <c r="D865" s="128"/>
      <c r="E865" s="129"/>
      <c r="F865" s="130"/>
      <c r="G865" s="129">
        <f>SUM(G853:G864)</f>
        <v>384.09761449149005</v>
      </c>
      <c r="H865" s="125"/>
      <c r="I865" s="125"/>
      <c r="J865" s="133"/>
      <c r="K865" s="133"/>
    </row>
    <row r="866" spans="1:11" ht="13.5" customHeight="1">
      <c r="A866" s="119" t="s">
        <v>502</v>
      </c>
      <c r="B866" s="119" t="s">
        <v>541</v>
      </c>
      <c r="C866" s="119" t="s">
        <v>521</v>
      </c>
      <c r="D866" s="120" t="s">
        <v>81</v>
      </c>
      <c r="E866" s="121">
        <v>5647.8557138999995</v>
      </c>
      <c r="F866" s="122">
        <v>1.1800000000000001E-2</v>
      </c>
      <c r="G866" s="121">
        <v>66.644697424020009</v>
      </c>
      <c r="H866" s="125"/>
      <c r="I866" s="125"/>
      <c r="J866" s="126"/>
      <c r="K866" s="126"/>
    </row>
    <row r="867" spans="1:11" ht="13.5" customHeight="1">
      <c r="A867" s="119" t="s">
        <v>502</v>
      </c>
      <c r="B867" s="119" t="s">
        <v>541</v>
      </c>
      <c r="C867" s="119" t="s">
        <v>522</v>
      </c>
      <c r="D867" s="120" t="s">
        <v>81</v>
      </c>
      <c r="E867" s="121">
        <v>3171.1102931999999</v>
      </c>
      <c r="F867" s="122">
        <v>1.5300000000000001E-2</v>
      </c>
      <c r="G867" s="121">
        <v>48.517987485959999</v>
      </c>
      <c r="H867" s="125"/>
      <c r="I867" s="125"/>
      <c r="J867" s="126"/>
      <c r="K867" s="126"/>
    </row>
    <row r="868" spans="1:11" ht="13.5" customHeight="1">
      <c r="A868" s="119" t="s">
        <v>502</v>
      </c>
      <c r="B868" s="119" t="s">
        <v>541</v>
      </c>
      <c r="C868" s="119" t="s">
        <v>523</v>
      </c>
      <c r="D868" s="120" t="s">
        <v>81</v>
      </c>
      <c r="E868" s="121">
        <v>1017.0601611</v>
      </c>
      <c r="F868" s="122">
        <v>9.8000000000000014E-3</v>
      </c>
      <c r="G868" s="121">
        <v>9.9671895787800011</v>
      </c>
      <c r="H868" s="125"/>
      <c r="I868" s="125"/>
      <c r="J868" s="126"/>
      <c r="K868" s="126"/>
    </row>
    <row r="869" spans="1:11" ht="13.5" customHeight="1">
      <c r="A869" s="119" t="s">
        <v>502</v>
      </c>
      <c r="B869" s="119" t="s">
        <v>541</v>
      </c>
      <c r="C869" s="119" t="s">
        <v>524</v>
      </c>
      <c r="D869" s="120" t="s">
        <v>81</v>
      </c>
      <c r="E869" s="121">
        <v>339.02005370000001</v>
      </c>
      <c r="F869" s="122">
        <v>1.0199999999999999E-2</v>
      </c>
      <c r="G869" s="121">
        <v>3.4580045477399999</v>
      </c>
      <c r="H869" s="125"/>
      <c r="I869" s="125"/>
      <c r="J869" s="126"/>
      <c r="K869" s="126"/>
    </row>
    <row r="870" spans="1:11" ht="13.5" customHeight="1">
      <c r="A870" s="119" t="s">
        <v>502</v>
      </c>
      <c r="B870" s="119" t="s">
        <v>541</v>
      </c>
      <c r="C870" s="119" t="s">
        <v>525</v>
      </c>
      <c r="D870" s="120" t="s">
        <v>81</v>
      </c>
      <c r="E870" s="121">
        <v>5158.9760770000003</v>
      </c>
      <c r="F870" s="122">
        <v>1.5300000000000001E-2</v>
      </c>
      <c r="G870" s="121">
        <v>78.932333978100004</v>
      </c>
      <c r="H870" s="125"/>
      <c r="I870" s="125"/>
      <c r="J870" s="126"/>
      <c r="K870" s="126"/>
    </row>
    <row r="871" spans="1:11" ht="13.5" customHeight="1">
      <c r="A871" s="119" t="s">
        <v>502</v>
      </c>
      <c r="B871" s="119" t="s">
        <v>541</v>
      </c>
      <c r="C871" s="119" t="s">
        <v>526</v>
      </c>
      <c r="D871" s="120" t="s">
        <v>81</v>
      </c>
      <c r="E871" s="121">
        <v>1653.1356375999999</v>
      </c>
      <c r="F871" s="122">
        <v>9.8000000000000014E-3</v>
      </c>
      <c r="G871" s="121">
        <v>16.200729248480002</v>
      </c>
      <c r="H871" s="125"/>
      <c r="I871" s="125"/>
      <c r="J871" s="126"/>
      <c r="K871" s="126"/>
    </row>
    <row r="872" spans="1:11" ht="13.5" customHeight="1">
      <c r="A872" s="119" t="s">
        <v>502</v>
      </c>
      <c r="B872" s="119" t="s">
        <v>541</v>
      </c>
      <c r="C872" s="119" t="s">
        <v>527</v>
      </c>
      <c r="D872" s="120" t="s">
        <v>81</v>
      </c>
      <c r="E872" s="121">
        <v>549.80877079999993</v>
      </c>
      <c r="F872" s="122">
        <v>1.0199999999999999E-2</v>
      </c>
      <c r="G872" s="121">
        <v>5.6080494621599986</v>
      </c>
      <c r="H872" s="125"/>
      <c r="I872" s="125"/>
      <c r="J872" s="126"/>
      <c r="K872" s="126"/>
    </row>
    <row r="873" spans="1:11" ht="13.5" customHeight="1">
      <c r="A873" s="119" t="s">
        <v>502</v>
      </c>
      <c r="B873" s="119" t="s">
        <v>541</v>
      </c>
      <c r="C873" s="119" t="s">
        <v>528</v>
      </c>
      <c r="D873" s="120" t="s">
        <v>81</v>
      </c>
      <c r="E873" s="121">
        <v>3127.5761899999998</v>
      </c>
      <c r="F873" s="122">
        <v>1.5300000000000001E-3</v>
      </c>
      <c r="G873" s="121">
        <v>4.7851915707000003</v>
      </c>
      <c r="H873" s="125"/>
      <c r="I873" s="125"/>
      <c r="J873" s="126"/>
      <c r="K873" s="126"/>
    </row>
    <row r="874" spans="1:11" ht="13.5" customHeight="1">
      <c r="A874" s="119" t="s">
        <v>502</v>
      </c>
      <c r="B874" s="119" t="s">
        <v>541</v>
      </c>
      <c r="C874" s="119" t="s">
        <v>529</v>
      </c>
      <c r="D874" s="120" t="s">
        <v>81</v>
      </c>
      <c r="E874" s="121">
        <v>764.50152600000001</v>
      </c>
      <c r="F874" s="122">
        <v>1.38E-2</v>
      </c>
      <c r="G874" s="121">
        <v>10.5501210588</v>
      </c>
      <c r="H874" s="125"/>
      <c r="I874" s="125"/>
      <c r="J874" s="126"/>
      <c r="K874" s="126"/>
    </row>
    <row r="875" spans="1:11" ht="13.5" customHeight="1">
      <c r="A875" s="119" t="s">
        <v>502</v>
      </c>
      <c r="B875" s="119" t="s">
        <v>541</v>
      </c>
      <c r="C875" s="119" t="s">
        <v>530</v>
      </c>
      <c r="D875" s="120" t="s">
        <v>81</v>
      </c>
      <c r="E875" s="121">
        <v>457.28991390000004</v>
      </c>
      <c r="F875" s="122">
        <v>1.1800000000000001E-2</v>
      </c>
      <c r="G875" s="121">
        <v>5.3960209840200015</v>
      </c>
      <c r="H875" s="125"/>
      <c r="I875" s="125"/>
      <c r="J875" s="126"/>
      <c r="K875" s="126"/>
    </row>
    <row r="876" spans="1:11" ht="13.5" customHeight="1">
      <c r="A876" s="119" t="s">
        <v>502</v>
      </c>
      <c r="B876" s="119" t="s">
        <v>541</v>
      </c>
      <c r="C876" s="119" t="s">
        <v>531</v>
      </c>
      <c r="D876" s="120" t="s">
        <v>81</v>
      </c>
      <c r="E876" s="121">
        <v>2074.3506612000001</v>
      </c>
      <c r="F876" s="122">
        <v>1.4200000000000001E-2</v>
      </c>
      <c r="G876" s="121">
        <v>29.455779389040003</v>
      </c>
      <c r="H876" s="125">
        <f>SUM(G866:G876)</f>
        <v>279.51610472779998</v>
      </c>
      <c r="I876" s="125"/>
      <c r="J876" s="126"/>
      <c r="K876" s="126"/>
    </row>
    <row r="877" spans="1:11" s="117" customFormat="1" ht="13.5" customHeight="1">
      <c r="A877" s="127" t="s">
        <v>502</v>
      </c>
      <c r="B877" s="119" t="s">
        <v>541</v>
      </c>
      <c r="C877" s="127" t="s">
        <v>532</v>
      </c>
      <c r="D877" s="128" t="s">
        <v>81</v>
      </c>
      <c r="E877" s="129">
        <v>427.22144099999997</v>
      </c>
      <c r="F877" s="130">
        <v>3.2000000000000001E-2</v>
      </c>
      <c r="G877" s="129">
        <v>13.671086111999999</v>
      </c>
      <c r="H877" s="125"/>
      <c r="I877" s="132">
        <v>13.671086111999999</v>
      </c>
      <c r="J877" s="133"/>
      <c r="K877" s="133"/>
    </row>
    <row r="878" spans="1:11" s="117" customFormat="1" ht="13.5" customHeight="1">
      <c r="A878" s="127"/>
      <c r="B878" s="119"/>
      <c r="C878" s="127"/>
      <c r="D878" s="128"/>
      <c r="E878" s="129"/>
      <c r="F878" s="130"/>
      <c r="G878" s="129">
        <f>SUM(G866:G877)</f>
        <v>293.1871908398</v>
      </c>
      <c r="H878" s="125"/>
      <c r="I878" s="125"/>
      <c r="J878" s="133"/>
      <c r="K878" s="133"/>
    </row>
    <row r="879" spans="1:11" ht="13.5" customHeight="1">
      <c r="A879" s="119" t="s">
        <v>504</v>
      </c>
      <c r="B879" s="119" t="s">
        <v>542</v>
      </c>
      <c r="C879" s="119" t="s">
        <v>521</v>
      </c>
      <c r="D879" s="120" t="s">
        <v>81</v>
      </c>
      <c r="E879" s="121">
        <v>13280.737258800002</v>
      </c>
      <c r="F879" s="122">
        <v>1.1800000000000001E-2</v>
      </c>
      <c r="G879" s="121">
        <v>156.71269965384005</v>
      </c>
      <c r="H879" s="125"/>
      <c r="I879" s="125"/>
      <c r="J879" s="126"/>
      <c r="K879" s="126"/>
    </row>
    <row r="880" spans="1:11" ht="13.5" customHeight="1">
      <c r="A880" s="119" t="s">
        <v>504</v>
      </c>
      <c r="B880" s="119" t="s">
        <v>542</v>
      </c>
      <c r="C880" s="119" t="s">
        <v>522</v>
      </c>
      <c r="D880" s="120" t="s">
        <v>81</v>
      </c>
      <c r="E880" s="121">
        <v>7455.6801336000008</v>
      </c>
      <c r="F880" s="122">
        <v>1.5300000000000001E-2</v>
      </c>
      <c r="G880" s="121">
        <v>114.07190604408002</v>
      </c>
      <c r="H880" s="125"/>
      <c r="I880" s="125"/>
      <c r="J880" s="126"/>
      <c r="K880" s="126"/>
    </row>
    <row r="881" spans="1:11" ht="13.5" customHeight="1">
      <c r="A881" s="119" t="s">
        <v>504</v>
      </c>
      <c r="B881" s="119" t="s">
        <v>542</v>
      </c>
      <c r="C881" s="119" t="s">
        <v>523</v>
      </c>
      <c r="D881" s="120" t="s">
        <v>81</v>
      </c>
      <c r="E881" s="121">
        <v>2392.5080388000001</v>
      </c>
      <c r="F881" s="122">
        <v>9.8000000000000014E-3</v>
      </c>
      <c r="G881" s="121">
        <v>23.446578780240003</v>
      </c>
      <c r="H881" s="125"/>
      <c r="I881" s="125"/>
      <c r="J881" s="126"/>
      <c r="K881" s="126"/>
    </row>
    <row r="882" spans="1:11" ht="13.5" customHeight="1">
      <c r="A882" s="119" t="s">
        <v>504</v>
      </c>
      <c r="B882" s="119" t="s">
        <v>542</v>
      </c>
      <c r="C882" s="119" t="s">
        <v>524</v>
      </c>
      <c r="D882" s="120" t="s">
        <v>81</v>
      </c>
      <c r="E882" s="121">
        <v>798.12092480000013</v>
      </c>
      <c r="F882" s="122">
        <v>1.0199999999999999E-2</v>
      </c>
      <c r="G882" s="121">
        <v>8.1408334329600009</v>
      </c>
      <c r="H882" s="125"/>
      <c r="I882" s="125"/>
      <c r="J882" s="126"/>
      <c r="K882" s="126"/>
    </row>
    <row r="883" spans="1:11" ht="13.5" customHeight="1">
      <c r="A883" s="119" t="s">
        <v>504</v>
      </c>
      <c r="B883" s="119" t="s">
        <v>542</v>
      </c>
      <c r="C883" s="119" t="s">
        <v>525</v>
      </c>
      <c r="D883" s="120" t="s">
        <v>81</v>
      </c>
      <c r="E883" s="121">
        <v>12131.259050400002</v>
      </c>
      <c r="F883" s="122">
        <v>1.5300000000000001E-2</v>
      </c>
      <c r="G883" s="121">
        <v>185.60826347112004</v>
      </c>
      <c r="H883" s="125"/>
      <c r="I883" s="125"/>
      <c r="J883" s="126"/>
      <c r="K883" s="126"/>
    </row>
    <row r="884" spans="1:11" ht="13.5" customHeight="1">
      <c r="A884" s="119" t="s">
        <v>504</v>
      </c>
      <c r="B884" s="119" t="s">
        <v>542</v>
      </c>
      <c r="C884" s="119" t="s">
        <v>526</v>
      </c>
      <c r="D884" s="120" t="s">
        <v>81</v>
      </c>
      <c r="E884" s="121">
        <v>3889.9987983999999</v>
      </c>
      <c r="F884" s="122">
        <v>9.8000000000000014E-3</v>
      </c>
      <c r="G884" s="121">
        <v>38.121988224320006</v>
      </c>
      <c r="H884" s="125"/>
      <c r="I884" s="125"/>
      <c r="J884" s="126"/>
      <c r="K884" s="126"/>
    </row>
    <row r="885" spans="1:11" ht="13.5" customHeight="1">
      <c r="A885" s="119" t="s">
        <v>504</v>
      </c>
      <c r="B885" s="119" t="s">
        <v>542</v>
      </c>
      <c r="C885" s="119" t="s">
        <v>527</v>
      </c>
      <c r="D885" s="120" t="s">
        <v>81</v>
      </c>
      <c r="E885" s="121">
        <v>1295.4849608</v>
      </c>
      <c r="F885" s="122">
        <v>1.0199999999999999E-2</v>
      </c>
      <c r="G885" s="121">
        <v>13.213946600159998</v>
      </c>
      <c r="H885" s="125"/>
      <c r="I885" s="125"/>
      <c r="J885" s="126"/>
      <c r="K885" s="126"/>
    </row>
    <row r="886" spans="1:11" ht="13.5" customHeight="1">
      <c r="A886" s="119" t="s">
        <v>504</v>
      </c>
      <c r="B886" s="119" t="s">
        <v>542</v>
      </c>
      <c r="C886" s="119" t="s">
        <v>528</v>
      </c>
      <c r="D886" s="120" t="s">
        <v>81</v>
      </c>
      <c r="E886" s="121">
        <v>4965.5808400000005</v>
      </c>
      <c r="F886" s="122">
        <v>1.5300000000000001E-3</v>
      </c>
      <c r="G886" s="121">
        <v>7.5973386852000013</v>
      </c>
      <c r="H886" s="125"/>
      <c r="I886" s="125"/>
      <c r="J886" s="126"/>
      <c r="K886" s="126"/>
    </row>
    <row r="887" spans="1:11" ht="13.5" customHeight="1">
      <c r="A887" s="119" t="s">
        <v>504</v>
      </c>
      <c r="B887" s="119" t="s">
        <v>542</v>
      </c>
      <c r="C887" s="119" t="s">
        <v>529</v>
      </c>
      <c r="D887" s="120" t="s">
        <v>81</v>
      </c>
      <c r="E887" s="121">
        <v>65.420172000000008</v>
      </c>
      <c r="F887" s="122">
        <v>1.38E-2</v>
      </c>
      <c r="G887" s="121">
        <v>0.90279837360000015</v>
      </c>
      <c r="H887" s="125"/>
      <c r="I887" s="125"/>
      <c r="J887" s="126"/>
      <c r="K887" s="126"/>
    </row>
    <row r="888" spans="1:11" ht="13.5" customHeight="1">
      <c r="A888" s="119" t="s">
        <v>504</v>
      </c>
      <c r="B888" s="119" t="s">
        <v>542</v>
      </c>
      <c r="C888" s="119" t="s">
        <v>530</v>
      </c>
      <c r="D888" s="120" t="s">
        <v>81</v>
      </c>
      <c r="E888" s="121">
        <v>1564.7410926</v>
      </c>
      <c r="F888" s="122">
        <v>1.1800000000000001E-2</v>
      </c>
      <c r="G888" s="121">
        <v>18.463944892680001</v>
      </c>
      <c r="H888" s="125"/>
      <c r="I888" s="125"/>
      <c r="J888" s="126"/>
      <c r="K888" s="126"/>
    </row>
    <row r="889" spans="1:11" ht="13.5" customHeight="1">
      <c r="A889" s="119" t="s">
        <v>504</v>
      </c>
      <c r="B889" s="119" t="s">
        <v>542</v>
      </c>
      <c r="C889" s="119" t="s">
        <v>531</v>
      </c>
      <c r="D889" s="120" t="s">
        <v>81</v>
      </c>
      <c r="E889" s="121">
        <v>3353.1720322500005</v>
      </c>
      <c r="F889" s="122">
        <v>1.4200000000000001E-2</v>
      </c>
      <c r="G889" s="121">
        <v>47.615042857950009</v>
      </c>
      <c r="H889" s="125">
        <f>SUM(G879:G889)</f>
        <v>613.89534101615027</v>
      </c>
      <c r="I889" s="125"/>
      <c r="J889" s="126"/>
      <c r="K889" s="126"/>
    </row>
    <row r="890" spans="1:11" s="117" customFormat="1" ht="13.5" customHeight="1">
      <c r="A890" s="127" t="s">
        <v>504</v>
      </c>
      <c r="B890" s="119" t="s">
        <v>542</v>
      </c>
      <c r="C890" s="127" t="s">
        <v>532</v>
      </c>
      <c r="D890" s="128" t="s">
        <v>81</v>
      </c>
      <c r="E890" s="129">
        <v>32.710086000000004</v>
      </c>
      <c r="F890" s="130">
        <v>3.2000000000000001E-2</v>
      </c>
      <c r="G890" s="129">
        <v>1.0467227520000002</v>
      </c>
      <c r="H890" s="125"/>
      <c r="I890" s="132">
        <v>1.0467227520000002</v>
      </c>
      <c r="J890" s="133"/>
      <c r="K890" s="133"/>
    </row>
    <row r="891" spans="1:11" s="117" customFormat="1" ht="13.5" customHeight="1">
      <c r="A891" s="127"/>
      <c r="B891" s="119"/>
      <c r="C891" s="127"/>
      <c r="D891" s="128"/>
      <c r="E891" s="129"/>
      <c r="F891" s="130"/>
      <c r="G891" s="129">
        <f>SUM(G879:G890)</f>
        <v>614.94206376815032</v>
      </c>
      <c r="H891" s="125"/>
      <c r="I891" s="125"/>
      <c r="J891" s="133"/>
      <c r="K891" s="133"/>
    </row>
    <row r="892" spans="1:11" ht="13.5" customHeight="1">
      <c r="A892" s="119" t="s">
        <v>506</v>
      </c>
      <c r="B892" s="119" t="s">
        <v>543</v>
      </c>
      <c r="C892" s="119" t="s">
        <v>521</v>
      </c>
      <c r="D892" s="120" t="s">
        <v>81</v>
      </c>
      <c r="E892" s="121">
        <v>21620.146499999999</v>
      </c>
      <c r="F892" s="122">
        <v>1.1800000000000001E-2</v>
      </c>
      <c r="G892" s="121">
        <v>255.11772870000001</v>
      </c>
      <c r="H892" s="125"/>
      <c r="I892" s="125"/>
      <c r="J892" s="126"/>
      <c r="K892" s="126"/>
    </row>
    <row r="893" spans="1:11" ht="13.5" customHeight="1">
      <c r="A893" s="119" t="s">
        <v>506</v>
      </c>
      <c r="B893" s="119" t="s">
        <v>543</v>
      </c>
      <c r="C893" s="119" t="s">
        <v>522</v>
      </c>
      <c r="D893" s="120" t="s">
        <v>81</v>
      </c>
      <c r="E893" s="121">
        <v>29185.711650000001</v>
      </c>
      <c r="F893" s="122">
        <v>1.5300000000000001E-2</v>
      </c>
      <c r="G893" s="121">
        <v>446.54138824500006</v>
      </c>
      <c r="H893" s="125"/>
      <c r="I893" s="125"/>
      <c r="J893" s="126"/>
      <c r="K893" s="126"/>
    </row>
    <row r="894" spans="1:11" ht="13.5" customHeight="1">
      <c r="A894" s="119" t="s">
        <v>506</v>
      </c>
      <c r="B894" s="119" t="s">
        <v>543</v>
      </c>
      <c r="C894" s="119" t="s">
        <v>523</v>
      </c>
      <c r="D894" s="120" t="s">
        <v>81</v>
      </c>
      <c r="E894" s="121">
        <v>9483.1419600000008</v>
      </c>
      <c r="F894" s="122">
        <v>9.8000000000000014E-3</v>
      </c>
      <c r="G894" s="121">
        <v>92.934791208000021</v>
      </c>
      <c r="H894" s="125"/>
      <c r="I894" s="125"/>
      <c r="J894" s="126"/>
      <c r="K894" s="126"/>
    </row>
    <row r="895" spans="1:11" ht="13.5" customHeight="1">
      <c r="A895" s="119" t="s">
        <v>506</v>
      </c>
      <c r="B895" s="119" t="s">
        <v>543</v>
      </c>
      <c r="C895" s="119" t="s">
        <v>524</v>
      </c>
      <c r="D895" s="120" t="s">
        <v>81</v>
      </c>
      <c r="E895" s="121">
        <v>3298.9597200000003</v>
      </c>
      <c r="F895" s="122">
        <v>1.0199999999999999E-2</v>
      </c>
      <c r="G895" s="121">
        <v>33.649389143999997</v>
      </c>
      <c r="H895" s="125"/>
      <c r="I895" s="125"/>
      <c r="J895" s="126"/>
      <c r="K895" s="126"/>
    </row>
    <row r="896" spans="1:11" ht="13.5" customHeight="1">
      <c r="A896" s="119" t="s">
        <v>506</v>
      </c>
      <c r="B896" s="119" t="s">
        <v>543</v>
      </c>
      <c r="C896" s="119" t="s">
        <v>525</v>
      </c>
      <c r="D896" s="120" t="s">
        <v>81</v>
      </c>
      <c r="E896" s="121">
        <v>46483.37442</v>
      </c>
      <c r="F896" s="122">
        <v>1.5300000000000001E-2</v>
      </c>
      <c r="G896" s="121">
        <v>711.19562862600003</v>
      </c>
      <c r="H896" s="125"/>
      <c r="I896" s="125"/>
      <c r="J896" s="126"/>
      <c r="K896" s="126"/>
    </row>
    <row r="897" spans="1:11" ht="13.5" customHeight="1">
      <c r="A897" s="119" t="s">
        <v>506</v>
      </c>
      <c r="B897" s="119" t="s">
        <v>543</v>
      </c>
      <c r="C897" s="119" t="s">
        <v>526</v>
      </c>
      <c r="D897" s="120" t="s">
        <v>81</v>
      </c>
      <c r="E897" s="121">
        <v>15350.60124</v>
      </c>
      <c r="F897" s="122">
        <v>9.8000000000000014E-3</v>
      </c>
      <c r="G897" s="121">
        <v>150.43589215200001</v>
      </c>
      <c r="H897" s="125"/>
      <c r="I897" s="125"/>
      <c r="J897" s="126"/>
      <c r="K897" s="126"/>
    </row>
    <row r="898" spans="1:11" ht="13.5" customHeight="1">
      <c r="A898" s="119" t="s">
        <v>506</v>
      </c>
      <c r="B898" s="119" t="s">
        <v>543</v>
      </c>
      <c r="C898" s="119" t="s">
        <v>527</v>
      </c>
      <c r="D898" s="120" t="s">
        <v>81</v>
      </c>
      <c r="E898" s="121">
        <v>5305.8229199999996</v>
      </c>
      <c r="F898" s="122">
        <v>1.0199999999999999E-2</v>
      </c>
      <c r="G898" s="121">
        <v>54.119393783999989</v>
      </c>
      <c r="H898" s="125"/>
      <c r="I898" s="125"/>
      <c r="J898" s="126"/>
      <c r="K898" s="126"/>
    </row>
    <row r="899" spans="1:11" ht="13.5" customHeight="1">
      <c r="A899" s="119" t="s">
        <v>506</v>
      </c>
      <c r="B899" s="119" t="s">
        <v>543</v>
      </c>
      <c r="C899" s="119" t="s">
        <v>528</v>
      </c>
      <c r="D899" s="120" t="s">
        <v>81</v>
      </c>
      <c r="E899" s="121">
        <v>9339</v>
      </c>
      <c r="F899" s="122">
        <v>1.5300000000000001E-3</v>
      </c>
      <c r="G899" s="121">
        <v>14.288670000000002</v>
      </c>
      <c r="H899" s="125"/>
      <c r="I899" s="125"/>
      <c r="J899" s="126"/>
      <c r="K899" s="126"/>
    </row>
    <row r="900" spans="1:11" ht="13.5" customHeight="1">
      <c r="A900" s="119" t="s">
        <v>506</v>
      </c>
      <c r="B900" s="119" t="s">
        <v>543</v>
      </c>
      <c r="C900" s="119" t="s">
        <v>529</v>
      </c>
      <c r="D900" s="120" t="s">
        <v>81</v>
      </c>
      <c r="E900" s="121">
        <v>2013.9966000000002</v>
      </c>
      <c r="F900" s="122">
        <v>1.38E-2</v>
      </c>
      <c r="G900" s="121">
        <v>27.793153080000003</v>
      </c>
      <c r="H900" s="125"/>
      <c r="I900" s="125"/>
      <c r="J900" s="126"/>
      <c r="K900" s="126"/>
    </row>
    <row r="901" spans="1:11" ht="13.5" customHeight="1">
      <c r="A901" s="119" t="s">
        <v>506</v>
      </c>
      <c r="B901" s="119" t="s">
        <v>543</v>
      </c>
      <c r="C901" s="119" t="s">
        <v>530</v>
      </c>
      <c r="D901" s="120" t="s">
        <v>81</v>
      </c>
      <c r="E901" s="121">
        <v>30364.042329000004</v>
      </c>
      <c r="F901" s="122">
        <v>1.1800000000000001E-2</v>
      </c>
      <c r="G901" s="121">
        <v>358.29569948220006</v>
      </c>
      <c r="H901" s="125"/>
      <c r="I901" s="125"/>
      <c r="J901" s="126"/>
      <c r="K901" s="126"/>
    </row>
    <row r="902" spans="1:11" ht="13.5" customHeight="1">
      <c r="A902" s="119" t="s">
        <v>506</v>
      </c>
      <c r="B902" s="119" t="s">
        <v>543</v>
      </c>
      <c r="C902" s="119" t="s">
        <v>531</v>
      </c>
      <c r="D902" s="120" t="s">
        <v>81</v>
      </c>
      <c r="E902" s="121">
        <v>0</v>
      </c>
      <c r="F902" s="122">
        <v>1.4200000000000001E-2</v>
      </c>
      <c r="G902" s="121">
        <v>0</v>
      </c>
      <c r="H902" s="125">
        <f>SUM(G892:G902)</f>
        <v>2144.3717344212</v>
      </c>
      <c r="I902" s="125"/>
      <c r="J902" s="126"/>
      <c r="K902" s="126"/>
    </row>
    <row r="903" spans="1:11" s="117" customFormat="1" ht="13.5" customHeight="1">
      <c r="A903" s="127" t="s">
        <v>506</v>
      </c>
      <c r="B903" s="119" t="s">
        <v>543</v>
      </c>
      <c r="C903" s="127" t="s">
        <v>532</v>
      </c>
      <c r="D903" s="128" t="s">
        <v>81</v>
      </c>
      <c r="E903" s="129">
        <v>1911.7512000000002</v>
      </c>
      <c r="F903" s="130">
        <v>3.2000000000000001E-2</v>
      </c>
      <c r="G903" s="129">
        <v>61.176038400000003</v>
      </c>
      <c r="H903" s="125"/>
      <c r="I903" s="132">
        <v>61.176038400000003</v>
      </c>
      <c r="J903" s="133"/>
      <c r="K903" s="133"/>
    </row>
    <row r="904" spans="1:11" s="117" customFormat="1" ht="13.5" customHeight="1">
      <c r="A904" s="127"/>
      <c r="B904" s="119"/>
      <c r="C904" s="127"/>
      <c r="D904" s="128"/>
      <c r="E904" s="129"/>
      <c r="F904" s="130"/>
      <c r="G904" s="129">
        <f>SUM(G892:G903)</f>
        <v>2205.5477728211999</v>
      </c>
      <c r="H904" s="131"/>
      <c r="I904" s="131"/>
      <c r="J904" s="133"/>
      <c r="K904" s="133"/>
    </row>
    <row r="905" spans="1:11" ht="13.5" customHeight="1">
      <c r="A905" s="119"/>
      <c r="B905" s="119"/>
      <c r="C905" s="119"/>
      <c r="D905" s="120"/>
      <c r="E905" s="121"/>
      <c r="F905" s="122"/>
      <c r="G905" s="129">
        <f>SUM(G724:G904)/2</f>
        <v>10805.845566342558</v>
      </c>
      <c r="H905" s="125">
        <f>SUM(H734:H902)</f>
        <v>9772.7568379265504</v>
      </c>
      <c r="I905" s="125">
        <f>SUM(I734:I903)</f>
        <v>1033.0887284159999</v>
      </c>
      <c r="J905" s="126"/>
      <c r="K905" s="126"/>
    </row>
    <row r="906" spans="1:11" ht="13.5" customHeight="1">
      <c r="A906" s="119" t="s">
        <v>467</v>
      </c>
      <c r="B906" s="119" t="s">
        <v>520</v>
      </c>
      <c r="C906" s="119" t="s">
        <v>521</v>
      </c>
      <c r="D906" s="120" t="s">
        <v>76</v>
      </c>
      <c r="E906" s="121">
        <v>993.98954060000017</v>
      </c>
      <c r="F906" s="122">
        <v>2.0000000000000001E-4</v>
      </c>
      <c r="G906" s="121">
        <v>0.19879790812000003</v>
      </c>
      <c r="H906" s="125"/>
      <c r="I906" s="125"/>
      <c r="J906" s="126"/>
      <c r="K906" s="126"/>
    </row>
    <row r="907" spans="1:11" ht="13.5" customHeight="1">
      <c r="A907" s="119" t="s">
        <v>467</v>
      </c>
      <c r="B907" s="119" t="s">
        <v>520</v>
      </c>
      <c r="C907" s="119" t="s">
        <v>522</v>
      </c>
      <c r="D907" s="120" t="s">
        <v>76</v>
      </c>
      <c r="E907" s="121">
        <v>2716.9626024000004</v>
      </c>
      <c r="F907" s="122">
        <v>2.0000000000000001E-4</v>
      </c>
      <c r="G907" s="121">
        <v>0.54339252048000009</v>
      </c>
      <c r="H907" s="125"/>
      <c r="I907" s="125"/>
      <c r="J907" s="126"/>
      <c r="K907" s="126"/>
    </row>
    <row r="908" spans="1:11" ht="13.5" customHeight="1">
      <c r="A908" s="119" t="s">
        <v>467</v>
      </c>
      <c r="B908" s="119" t="s">
        <v>520</v>
      </c>
      <c r="C908" s="119" t="s">
        <v>523</v>
      </c>
      <c r="D908" s="120" t="s">
        <v>76</v>
      </c>
      <c r="E908" s="121">
        <v>872.38277920000007</v>
      </c>
      <c r="F908" s="122">
        <v>2.0000000000000001E-4</v>
      </c>
      <c r="G908" s="121">
        <v>0.17447655584000002</v>
      </c>
      <c r="H908" s="125"/>
      <c r="I908" s="125"/>
      <c r="J908" s="126"/>
      <c r="K908" s="126"/>
    </row>
    <row r="909" spans="1:11" ht="13.5" customHeight="1">
      <c r="A909" s="119" t="s">
        <v>467</v>
      </c>
      <c r="B909" s="119" t="s">
        <v>520</v>
      </c>
      <c r="C909" s="119" t="s">
        <v>524</v>
      </c>
      <c r="D909" s="120" t="s">
        <v>76</v>
      </c>
      <c r="E909" s="121">
        <v>292.42739280000001</v>
      </c>
      <c r="F909" s="122">
        <v>2.0000000000000001E-4</v>
      </c>
      <c r="G909" s="121">
        <v>5.8485478560000005E-2</v>
      </c>
      <c r="H909" s="125"/>
      <c r="I909" s="125"/>
      <c r="J909" s="126"/>
      <c r="K909" s="126"/>
    </row>
    <row r="910" spans="1:11" ht="13.5" customHeight="1">
      <c r="A910" s="119" t="s">
        <v>467</v>
      </c>
      <c r="B910" s="119" t="s">
        <v>520</v>
      </c>
      <c r="C910" s="119" t="s">
        <v>525</v>
      </c>
      <c r="D910" s="120" t="s">
        <v>76</v>
      </c>
      <c r="E910" s="121">
        <v>8195.6239264000014</v>
      </c>
      <c r="F910" s="122">
        <v>2.0000000000000001E-4</v>
      </c>
      <c r="G910" s="121">
        <v>1.6391247852800004</v>
      </c>
      <c r="H910" s="125"/>
      <c r="I910" s="125"/>
      <c r="J910" s="126"/>
      <c r="K910" s="126"/>
    </row>
    <row r="911" spans="1:11" ht="13.5" customHeight="1">
      <c r="A911" s="119" t="s">
        <v>467</v>
      </c>
      <c r="B911" s="119" t="s">
        <v>520</v>
      </c>
      <c r="C911" s="119" t="s">
        <v>526</v>
      </c>
      <c r="D911" s="120" t="s">
        <v>76</v>
      </c>
      <c r="E911" s="121">
        <v>2625.3174520000002</v>
      </c>
      <c r="F911" s="122">
        <v>2.0000000000000001E-4</v>
      </c>
      <c r="G911" s="121">
        <v>0.52506349040000011</v>
      </c>
      <c r="H911" s="125"/>
      <c r="I911" s="125"/>
      <c r="J911" s="126"/>
      <c r="K911" s="126"/>
    </row>
    <row r="912" spans="1:11" ht="13.5" customHeight="1">
      <c r="A912" s="119" t="s">
        <v>467</v>
      </c>
      <c r="B912" s="119" t="s">
        <v>520</v>
      </c>
      <c r="C912" s="119" t="s">
        <v>527</v>
      </c>
      <c r="D912" s="120" t="s">
        <v>76</v>
      </c>
      <c r="E912" s="121">
        <v>873.92451200000005</v>
      </c>
      <c r="F912" s="122">
        <v>2.0000000000000001E-4</v>
      </c>
      <c r="G912" s="121">
        <v>0.17478490240000003</v>
      </c>
      <c r="H912" s="125"/>
      <c r="I912" s="125"/>
      <c r="J912" s="126"/>
      <c r="K912" s="126"/>
    </row>
    <row r="913" spans="1:11" ht="13.5" customHeight="1">
      <c r="A913" s="119" t="s">
        <v>467</v>
      </c>
      <c r="B913" s="119" t="s">
        <v>520</v>
      </c>
      <c r="C913" s="119" t="s">
        <v>528</v>
      </c>
      <c r="D913" s="120" t="s">
        <v>76</v>
      </c>
      <c r="E913" s="121">
        <v>3401.9963200000002</v>
      </c>
      <c r="F913" s="122">
        <v>1.6000000000000001E-4</v>
      </c>
      <c r="G913" s="121">
        <v>0.54431941120000005</v>
      </c>
      <c r="H913" s="125"/>
      <c r="I913" s="125"/>
      <c r="J913" s="126"/>
      <c r="K913" s="126"/>
    </row>
    <row r="914" spans="1:11" ht="13.5" customHeight="1">
      <c r="A914" s="119" t="s">
        <v>467</v>
      </c>
      <c r="B914" s="119" t="s">
        <v>520</v>
      </c>
      <c r="C914" s="119" t="s">
        <v>529</v>
      </c>
      <c r="D914" s="120" t="s">
        <v>76</v>
      </c>
      <c r="E914" s="121">
        <v>1517.7479903999999</v>
      </c>
      <c r="F914" s="122">
        <v>1.0149999999999998E-3</v>
      </c>
      <c r="G914" s="121">
        <v>1.5405142102559997</v>
      </c>
      <c r="H914" s="125"/>
      <c r="I914" s="125"/>
      <c r="J914" s="126"/>
      <c r="K914" s="126"/>
    </row>
    <row r="915" spans="1:11" ht="13.5" customHeight="1">
      <c r="A915" s="119" t="s">
        <v>467</v>
      </c>
      <c r="B915" s="119" t="s">
        <v>520</v>
      </c>
      <c r="C915" s="119" t="s">
        <v>530</v>
      </c>
      <c r="D915" s="120" t="s">
        <v>76</v>
      </c>
      <c r="E915" s="121">
        <v>210.78022440000004</v>
      </c>
      <c r="F915" s="122">
        <v>2.0000000000000001E-4</v>
      </c>
      <c r="G915" s="121">
        <v>4.2156044880000007E-2</v>
      </c>
      <c r="H915" s="125">
        <f>SUM(G906:G915)</f>
        <v>5.4411153074159992</v>
      </c>
      <c r="I915" s="125"/>
      <c r="J915" s="126"/>
      <c r="K915" s="126"/>
    </row>
    <row r="916" spans="1:11" s="117" customFormat="1" ht="13.5" customHeight="1">
      <c r="A916" s="127" t="s">
        <v>467</v>
      </c>
      <c r="B916" s="119" t="s">
        <v>520</v>
      </c>
      <c r="C916" s="127" t="s">
        <v>532</v>
      </c>
      <c r="D916" s="128" t="s">
        <v>76</v>
      </c>
      <c r="E916" s="129">
        <v>837.37820160000001</v>
      </c>
      <c r="F916" s="130">
        <v>1.0149999999999998E-3</v>
      </c>
      <c r="G916" s="129">
        <v>0.84993887462399986</v>
      </c>
      <c r="H916" s="125"/>
      <c r="I916" s="132">
        <v>0.84993887462399986</v>
      </c>
      <c r="J916" s="133"/>
      <c r="K916" s="133"/>
    </row>
    <row r="917" spans="1:11" s="117" customFormat="1" ht="13.5" customHeight="1">
      <c r="A917" s="127"/>
      <c r="B917" s="119"/>
      <c r="C917" s="127"/>
      <c r="D917" s="128"/>
      <c r="E917" s="129"/>
      <c r="F917" s="130"/>
      <c r="G917" s="129">
        <f>SUM(G906:G916)</f>
        <v>6.291054182039999</v>
      </c>
      <c r="H917" s="125"/>
      <c r="I917" s="125"/>
      <c r="J917" s="133"/>
      <c r="K917" s="133"/>
    </row>
    <row r="918" spans="1:11" ht="13.5" customHeight="1">
      <c r="A918" s="119" t="s">
        <v>482</v>
      </c>
      <c r="B918" s="119" t="s">
        <v>533</v>
      </c>
      <c r="C918" s="119" t="s">
        <v>521</v>
      </c>
      <c r="D918" s="120" t="s">
        <v>76</v>
      </c>
      <c r="E918" s="121">
        <v>4291.0124999999998</v>
      </c>
      <c r="F918" s="122">
        <v>2.0000000000000001E-4</v>
      </c>
      <c r="G918" s="121">
        <v>0.85820249999999998</v>
      </c>
      <c r="H918" s="125"/>
      <c r="I918" s="125"/>
      <c r="J918" s="126"/>
      <c r="K918" s="126"/>
    </row>
    <row r="919" spans="1:11" ht="13.5" customHeight="1">
      <c r="A919" s="119" t="s">
        <v>482</v>
      </c>
      <c r="B919" s="119" t="s">
        <v>533</v>
      </c>
      <c r="C919" s="119" t="s">
        <v>522</v>
      </c>
      <c r="D919" s="120" t="s">
        <v>76</v>
      </c>
      <c r="E919" s="121">
        <v>5794.2374999999993</v>
      </c>
      <c r="F919" s="122">
        <v>2.0000000000000001E-4</v>
      </c>
      <c r="G919" s="121">
        <v>1.1588474999999998</v>
      </c>
      <c r="H919" s="125"/>
      <c r="I919" s="125"/>
      <c r="J919" s="126"/>
      <c r="K919" s="126"/>
    </row>
    <row r="920" spans="1:11" ht="13.5" customHeight="1">
      <c r="A920" s="119" t="s">
        <v>482</v>
      </c>
      <c r="B920" s="119" t="s">
        <v>533</v>
      </c>
      <c r="C920" s="119" t="s">
        <v>523</v>
      </c>
      <c r="D920" s="120" t="s">
        <v>76</v>
      </c>
      <c r="E920" s="121">
        <v>1879.86</v>
      </c>
      <c r="F920" s="122">
        <v>2.0000000000000001E-4</v>
      </c>
      <c r="G920" s="121">
        <v>0.37597199999999997</v>
      </c>
      <c r="H920" s="125"/>
      <c r="I920" s="125"/>
      <c r="J920" s="126"/>
      <c r="K920" s="126"/>
    </row>
    <row r="921" spans="1:11" ht="13.5" customHeight="1">
      <c r="A921" s="119" t="s">
        <v>482</v>
      </c>
      <c r="B921" s="119" t="s">
        <v>533</v>
      </c>
      <c r="C921" s="119" t="s">
        <v>524</v>
      </c>
      <c r="D921" s="120" t="s">
        <v>76</v>
      </c>
      <c r="E921" s="121">
        <v>655.34999999999991</v>
      </c>
      <c r="F921" s="122">
        <v>2.0000000000000001E-4</v>
      </c>
      <c r="G921" s="121">
        <v>0.13106999999999999</v>
      </c>
      <c r="H921" s="125"/>
      <c r="I921" s="125"/>
      <c r="J921" s="126"/>
      <c r="K921" s="126"/>
    </row>
    <row r="922" spans="1:11" ht="13.5" customHeight="1">
      <c r="A922" s="119" t="s">
        <v>482</v>
      </c>
      <c r="B922" s="119" t="s">
        <v>533</v>
      </c>
      <c r="C922" s="119" t="s">
        <v>525</v>
      </c>
      <c r="D922" s="120" t="s">
        <v>76</v>
      </c>
      <c r="E922" s="121">
        <v>9224.369999999999</v>
      </c>
      <c r="F922" s="122">
        <v>2.0000000000000001E-4</v>
      </c>
      <c r="G922" s="121">
        <v>1.8448739999999999</v>
      </c>
      <c r="H922" s="125"/>
      <c r="I922" s="125"/>
      <c r="J922" s="126"/>
      <c r="K922" s="126"/>
    </row>
    <row r="923" spans="1:11" ht="13.5" customHeight="1">
      <c r="A923" s="119" t="s">
        <v>482</v>
      </c>
      <c r="B923" s="119" t="s">
        <v>533</v>
      </c>
      <c r="C923" s="119" t="s">
        <v>526</v>
      </c>
      <c r="D923" s="120" t="s">
        <v>76</v>
      </c>
      <c r="E923" s="121">
        <v>3045.7199999999993</v>
      </c>
      <c r="F923" s="122">
        <v>2.0000000000000001E-4</v>
      </c>
      <c r="G923" s="121">
        <v>0.60914399999999991</v>
      </c>
      <c r="H923" s="125"/>
      <c r="I923" s="125"/>
      <c r="J923" s="126"/>
      <c r="K923" s="126"/>
    </row>
    <row r="924" spans="1:11" ht="13.5" customHeight="1">
      <c r="A924" s="119" t="s">
        <v>482</v>
      </c>
      <c r="B924" s="119" t="s">
        <v>533</v>
      </c>
      <c r="C924" s="119" t="s">
        <v>527</v>
      </c>
      <c r="D924" s="120" t="s">
        <v>76</v>
      </c>
      <c r="E924" s="121">
        <v>1052.1299999999999</v>
      </c>
      <c r="F924" s="122">
        <v>2.0000000000000001E-4</v>
      </c>
      <c r="G924" s="121">
        <v>0.21042599999999997</v>
      </c>
      <c r="H924" s="125"/>
      <c r="I924" s="125"/>
      <c r="J924" s="126"/>
      <c r="K924" s="126"/>
    </row>
    <row r="925" spans="1:11" ht="13.5" customHeight="1">
      <c r="A925" s="119" t="s">
        <v>482</v>
      </c>
      <c r="B925" s="119" t="s">
        <v>533</v>
      </c>
      <c r="C925" s="119" t="s">
        <v>528</v>
      </c>
      <c r="D925" s="120" t="s">
        <v>76</v>
      </c>
      <c r="E925" s="121">
        <v>1781</v>
      </c>
      <c r="F925" s="122">
        <v>1.6000000000000001E-4</v>
      </c>
      <c r="G925" s="121">
        <v>0.28496000000000005</v>
      </c>
      <c r="H925" s="125"/>
      <c r="I925" s="125"/>
      <c r="J925" s="126"/>
      <c r="K925" s="126"/>
    </row>
    <row r="926" spans="1:11" ht="13.5" customHeight="1">
      <c r="A926" s="119" t="s">
        <v>482</v>
      </c>
      <c r="B926" s="119" t="s">
        <v>533</v>
      </c>
      <c r="C926" s="119" t="s">
        <v>529</v>
      </c>
      <c r="D926" s="120" t="s">
        <v>76</v>
      </c>
      <c r="E926" s="121">
        <v>8032.4999999999991</v>
      </c>
      <c r="F926" s="122">
        <v>1.0149999999999998E-3</v>
      </c>
      <c r="G926" s="121">
        <v>8.1529874999999983</v>
      </c>
      <c r="H926" s="125"/>
      <c r="I926" s="125"/>
      <c r="J926" s="126"/>
      <c r="K926" s="126"/>
    </row>
    <row r="927" spans="1:11" ht="13.5" customHeight="1">
      <c r="A927" s="119" t="s">
        <v>482</v>
      </c>
      <c r="B927" s="119" t="s">
        <v>533</v>
      </c>
      <c r="C927" s="119" t="s">
        <v>530</v>
      </c>
      <c r="D927" s="120" t="s">
        <v>76</v>
      </c>
      <c r="E927" s="121">
        <v>6462.3579</v>
      </c>
      <c r="F927" s="122">
        <v>2.0000000000000001E-4</v>
      </c>
      <c r="G927" s="121">
        <v>1.29247158</v>
      </c>
      <c r="H927" s="125">
        <f>SUM(G918:G927)</f>
        <v>14.918955079999996</v>
      </c>
      <c r="I927" s="125"/>
      <c r="J927" s="126"/>
      <c r="K927" s="126"/>
    </row>
    <row r="928" spans="1:11" s="117" customFormat="1" ht="13.5" customHeight="1">
      <c r="A928" s="127" t="s">
        <v>482</v>
      </c>
      <c r="B928" s="119" t="s">
        <v>533</v>
      </c>
      <c r="C928" s="127" t="s">
        <v>532</v>
      </c>
      <c r="D928" s="128" t="s">
        <v>76</v>
      </c>
      <c r="E928" s="129">
        <v>7649.9999999999991</v>
      </c>
      <c r="F928" s="130">
        <v>1.0149999999999998E-3</v>
      </c>
      <c r="G928" s="129">
        <v>7.7647499999999976</v>
      </c>
      <c r="H928" s="125"/>
      <c r="I928" s="132">
        <v>7.7647499999999976</v>
      </c>
      <c r="J928" s="133"/>
      <c r="K928" s="133"/>
    </row>
    <row r="929" spans="1:11" s="117" customFormat="1" ht="13.5" customHeight="1">
      <c r="A929" s="127"/>
      <c r="B929" s="119"/>
      <c r="C929" s="127"/>
      <c r="D929" s="128"/>
      <c r="E929" s="129"/>
      <c r="F929" s="130"/>
      <c r="G929" s="129">
        <f>SUM(G918:G928)</f>
        <v>22.683705079999996</v>
      </c>
      <c r="H929" s="125"/>
      <c r="I929" s="125"/>
      <c r="J929" s="133"/>
      <c r="K929" s="133"/>
    </row>
    <row r="930" spans="1:11" ht="13.5" customHeight="1">
      <c r="A930" s="119" t="s">
        <v>484</v>
      </c>
      <c r="B930" s="119" t="s">
        <v>534</v>
      </c>
      <c r="C930" s="119" t="s">
        <v>521</v>
      </c>
      <c r="D930" s="120" t="s">
        <v>76</v>
      </c>
      <c r="E930" s="121">
        <v>4873.6662281999998</v>
      </c>
      <c r="F930" s="122">
        <v>2.0000000000000001E-4</v>
      </c>
      <c r="G930" s="121">
        <v>0.97473324563999997</v>
      </c>
      <c r="H930" s="125"/>
      <c r="I930" s="125"/>
      <c r="J930" s="126"/>
      <c r="K930" s="126"/>
    </row>
    <row r="931" spans="1:11" ht="13.5" customHeight="1">
      <c r="A931" s="119" t="s">
        <v>484</v>
      </c>
      <c r="B931" s="119" t="s">
        <v>534</v>
      </c>
      <c r="C931" s="119" t="s">
        <v>522</v>
      </c>
      <c r="D931" s="120" t="s">
        <v>76</v>
      </c>
      <c r="E931" s="121">
        <v>2414.3558399999997</v>
      </c>
      <c r="F931" s="122">
        <v>2.0000000000000001E-4</v>
      </c>
      <c r="G931" s="121">
        <v>0.48287116799999996</v>
      </c>
      <c r="H931" s="125"/>
      <c r="I931" s="125"/>
      <c r="J931" s="126"/>
      <c r="K931" s="126"/>
    </row>
    <row r="932" spans="1:11" ht="13.5" customHeight="1">
      <c r="A932" s="119" t="s">
        <v>484</v>
      </c>
      <c r="B932" s="119" t="s">
        <v>534</v>
      </c>
      <c r="C932" s="119" t="s">
        <v>523</v>
      </c>
      <c r="D932" s="120" t="s">
        <v>76</v>
      </c>
      <c r="E932" s="121">
        <v>774.18022439999993</v>
      </c>
      <c r="F932" s="122">
        <v>2.0000000000000001E-4</v>
      </c>
      <c r="G932" s="121">
        <v>0.15483604488</v>
      </c>
      <c r="H932" s="125"/>
      <c r="I932" s="125"/>
      <c r="J932" s="126"/>
      <c r="K932" s="126"/>
    </row>
    <row r="933" spans="1:11" ht="13.5" customHeight="1">
      <c r="A933" s="119" t="s">
        <v>484</v>
      </c>
      <c r="B933" s="119" t="s">
        <v>534</v>
      </c>
      <c r="C933" s="119" t="s">
        <v>524</v>
      </c>
      <c r="D933" s="120" t="s">
        <v>76</v>
      </c>
      <c r="E933" s="121">
        <v>257.66060099999999</v>
      </c>
      <c r="F933" s="122">
        <v>2.0000000000000001E-4</v>
      </c>
      <c r="G933" s="121">
        <v>5.1532120199999996E-2</v>
      </c>
      <c r="H933" s="125"/>
      <c r="I933" s="125"/>
      <c r="J933" s="126"/>
      <c r="K933" s="126"/>
    </row>
    <row r="934" spans="1:11" ht="13.5" customHeight="1">
      <c r="A934" s="119" t="s">
        <v>484</v>
      </c>
      <c r="B934" s="119" t="s">
        <v>534</v>
      </c>
      <c r="C934" s="119" t="s">
        <v>525</v>
      </c>
      <c r="D934" s="120" t="s">
        <v>76</v>
      </c>
      <c r="E934" s="121">
        <v>18676.030076399999</v>
      </c>
      <c r="F934" s="122">
        <v>2.0000000000000001E-4</v>
      </c>
      <c r="G934" s="121">
        <v>3.7352060152799997</v>
      </c>
      <c r="H934" s="125"/>
      <c r="I934" s="125"/>
      <c r="J934" s="126"/>
      <c r="K934" s="126"/>
    </row>
    <row r="935" spans="1:11" ht="13.5" customHeight="1">
      <c r="A935" s="119" t="s">
        <v>484</v>
      </c>
      <c r="B935" s="119" t="s">
        <v>534</v>
      </c>
      <c r="C935" s="119" t="s">
        <v>526</v>
      </c>
      <c r="D935" s="120" t="s">
        <v>76</v>
      </c>
      <c r="E935" s="121">
        <v>5987.7450312000001</v>
      </c>
      <c r="F935" s="122">
        <v>2.0000000000000001E-4</v>
      </c>
      <c r="G935" s="121">
        <v>1.19754900624</v>
      </c>
      <c r="H935" s="125"/>
      <c r="I935" s="125"/>
      <c r="J935" s="126"/>
      <c r="K935" s="126"/>
    </row>
    <row r="936" spans="1:11" ht="13.5" customHeight="1">
      <c r="A936" s="119" t="s">
        <v>484</v>
      </c>
      <c r="B936" s="119" t="s">
        <v>534</v>
      </c>
      <c r="C936" s="119" t="s">
        <v>527</v>
      </c>
      <c r="D936" s="120" t="s">
        <v>76</v>
      </c>
      <c r="E936" s="121">
        <v>1996.4010312</v>
      </c>
      <c r="F936" s="122">
        <v>2.0000000000000001E-4</v>
      </c>
      <c r="G936" s="121">
        <v>0.39928020624000005</v>
      </c>
      <c r="H936" s="125"/>
      <c r="I936" s="125"/>
      <c r="J936" s="126"/>
      <c r="K936" s="126"/>
    </row>
    <row r="937" spans="1:11" ht="13.5" customHeight="1">
      <c r="A937" s="119" t="s">
        <v>484</v>
      </c>
      <c r="B937" s="119" t="s">
        <v>534</v>
      </c>
      <c r="C937" s="119" t="s">
        <v>528</v>
      </c>
      <c r="D937" s="120" t="s">
        <v>76</v>
      </c>
      <c r="E937" s="121">
        <v>10300.72559</v>
      </c>
      <c r="F937" s="122">
        <v>1.6000000000000001E-4</v>
      </c>
      <c r="G937" s="121">
        <v>1.6481160944000002</v>
      </c>
      <c r="H937" s="125"/>
      <c r="I937" s="125"/>
      <c r="J937" s="126"/>
      <c r="K937" s="126"/>
    </row>
    <row r="938" spans="1:11" ht="13.5" customHeight="1">
      <c r="A938" s="119" t="s">
        <v>484</v>
      </c>
      <c r="B938" s="119" t="s">
        <v>534</v>
      </c>
      <c r="C938" s="119" t="s">
        <v>529</v>
      </c>
      <c r="D938" s="120" t="s">
        <v>76</v>
      </c>
      <c r="E938" s="121">
        <v>659.20711679999999</v>
      </c>
      <c r="F938" s="122">
        <v>1.0149999999999998E-3</v>
      </c>
      <c r="G938" s="121">
        <v>0.66909522355199991</v>
      </c>
      <c r="H938" s="125"/>
      <c r="I938" s="125"/>
      <c r="J938" s="126"/>
      <c r="K938" s="126"/>
    </row>
    <row r="939" spans="1:11" ht="13.5" customHeight="1">
      <c r="A939" s="119" t="s">
        <v>484</v>
      </c>
      <c r="B939" s="119" t="s">
        <v>534</v>
      </c>
      <c r="C939" s="119" t="s">
        <v>530</v>
      </c>
      <c r="D939" s="120" t="s">
        <v>76</v>
      </c>
      <c r="E939" s="121">
        <v>582.87571739999998</v>
      </c>
      <c r="F939" s="122">
        <v>2.0000000000000001E-4</v>
      </c>
      <c r="G939" s="121">
        <v>0.11657514348</v>
      </c>
      <c r="H939" s="125">
        <f>SUM(G930:G939)</f>
        <v>9.4297942679120013</v>
      </c>
      <c r="I939" s="125"/>
      <c r="J939" s="126"/>
      <c r="K939" s="126"/>
    </row>
    <row r="940" spans="1:11" s="117" customFormat="1" ht="13.5" customHeight="1">
      <c r="A940" s="127" t="s">
        <v>484</v>
      </c>
      <c r="B940" s="119" t="s">
        <v>534</v>
      </c>
      <c r="C940" s="127" t="s">
        <v>532</v>
      </c>
      <c r="D940" s="128" t="s">
        <v>76</v>
      </c>
      <c r="E940" s="129">
        <v>365.65394759999998</v>
      </c>
      <c r="F940" s="130">
        <v>1.0149999999999998E-3</v>
      </c>
      <c r="G940" s="129">
        <v>0.37113875681399994</v>
      </c>
      <c r="H940" s="125"/>
      <c r="I940" s="132">
        <v>0.37113875681399994</v>
      </c>
      <c r="J940" s="133"/>
      <c r="K940" s="133"/>
    </row>
    <row r="941" spans="1:11" s="117" customFormat="1" ht="13.5" customHeight="1">
      <c r="A941" s="127"/>
      <c r="B941" s="119"/>
      <c r="C941" s="127"/>
      <c r="D941" s="128"/>
      <c r="E941" s="129"/>
      <c r="F941" s="130"/>
      <c r="G941" s="129">
        <f>SUM(G930:G940)</f>
        <v>9.8009330247260014</v>
      </c>
      <c r="H941" s="125"/>
      <c r="I941" s="125"/>
      <c r="J941" s="133"/>
      <c r="K941" s="133"/>
    </row>
    <row r="942" spans="1:11" ht="13.5" customHeight="1">
      <c r="A942" s="119" t="s">
        <v>486</v>
      </c>
      <c r="B942" s="119" t="s">
        <v>39</v>
      </c>
      <c r="C942" s="119" t="s">
        <v>521</v>
      </c>
      <c r="D942" s="120" t="s">
        <v>76</v>
      </c>
      <c r="E942" s="121">
        <v>71.367281800000001</v>
      </c>
      <c r="F942" s="122">
        <v>2.0000000000000001E-4</v>
      </c>
      <c r="G942" s="121">
        <v>1.4273456360000001E-2</v>
      </c>
      <c r="H942" s="125"/>
      <c r="I942" s="125"/>
      <c r="J942" s="126"/>
      <c r="K942" s="126"/>
    </row>
    <row r="943" spans="1:11" ht="13.5" customHeight="1">
      <c r="A943" s="119" t="s">
        <v>486</v>
      </c>
      <c r="B943" s="119" t="s">
        <v>39</v>
      </c>
      <c r="C943" s="119" t="s">
        <v>522</v>
      </c>
      <c r="D943" s="120" t="s">
        <v>76</v>
      </c>
      <c r="E943" s="121">
        <v>191.72929799999997</v>
      </c>
      <c r="F943" s="122">
        <v>2.0000000000000001E-4</v>
      </c>
      <c r="G943" s="121">
        <v>3.8345859599999997E-2</v>
      </c>
      <c r="H943" s="125"/>
      <c r="I943" s="125"/>
      <c r="J943" s="126"/>
      <c r="K943" s="126"/>
    </row>
    <row r="944" spans="1:11" ht="13.5" customHeight="1">
      <c r="A944" s="119" t="s">
        <v>486</v>
      </c>
      <c r="B944" s="119" t="s">
        <v>39</v>
      </c>
      <c r="C944" s="119" t="s">
        <v>523</v>
      </c>
      <c r="D944" s="120" t="s">
        <v>76</v>
      </c>
      <c r="E944" s="121">
        <v>61.402691000000004</v>
      </c>
      <c r="F944" s="122">
        <v>2.0000000000000001E-4</v>
      </c>
      <c r="G944" s="121">
        <v>1.2280538200000002E-2</v>
      </c>
      <c r="H944" s="125"/>
      <c r="I944" s="125"/>
      <c r="J944" s="126"/>
      <c r="K944" s="126"/>
    </row>
    <row r="945" spans="1:11" ht="13.5" customHeight="1">
      <c r="A945" s="119" t="s">
        <v>486</v>
      </c>
      <c r="B945" s="119" t="s">
        <v>39</v>
      </c>
      <c r="C945" s="119" t="s">
        <v>524</v>
      </c>
      <c r="D945" s="120" t="s">
        <v>76</v>
      </c>
      <c r="E945" s="121">
        <v>19.4407444</v>
      </c>
      <c r="F945" s="122">
        <v>2.0000000000000001E-4</v>
      </c>
      <c r="G945" s="121">
        <v>3.8881488800000001E-3</v>
      </c>
      <c r="H945" s="125"/>
      <c r="I945" s="125"/>
      <c r="J945" s="126"/>
      <c r="K945" s="126"/>
    </row>
    <row r="946" spans="1:11" ht="13.5" customHeight="1">
      <c r="A946" s="119" t="s">
        <v>486</v>
      </c>
      <c r="B946" s="119" t="s">
        <v>39</v>
      </c>
      <c r="C946" s="119" t="s">
        <v>525</v>
      </c>
      <c r="D946" s="120" t="s">
        <v>76</v>
      </c>
      <c r="E946" s="121">
        <v>575.82262639999999</v>
      </c>
      <c r="F946" s="122">
        <v>2.0000000000000001E-4</v>
      </c>
      <c r="G946" s="121">
        <v>0.11516452528</v>
      </c>
      <c r="H946" s="125"/>
      <c r="I946" s="125"/>
      <c r="J946" s="126"/>
      <c r="K946" s="126"/>
    </row>
    <row r="947" spans="1:11" ht="13.5" customHeight="1">
      <c r="A947" s="119" t="s">
        <v>486</v>
      </c>
      <c r="B947" s="119" t="s">
        <v>39</v>
      </c>
      <c r="C947" s="119" t="s">
        <v>526</v>
      </c>
      <c r="D947" s="120" t="s">
        <v>76</v>
      </c>
      <c r="E947" s="121">
        <v>184.23284879999997</v>
      </c>
      <c r="F947" s="122">
        <v>2.0000000000000001E-4</v>
      </c>
      <c r="G947" s="121">
        <v>3.6846569759999996E-2</v>
      </c>
      <c r="H947" s="125"/>
      <c r="I947" s="125"/>
      <c r="J947" s="126"/>
      <c r="K947" s="126"/>
    </row>
    <row r="948" spans="1:11" ht="13.5" customHeight="1">
      <c r="A948" s="119" t="s">
        <v>486</v>
      </c>
      <c r="B948" s="119" t="s">
        <v>39</v>
      </c>
      <c r="C948" s="119" t="s">
        <v>527</v>
      </c>
      <c r="D948" s="120" t="s">
        <v>76</v>
      </c>
      <c r="E948" s="121">
        <v>61.925342399999998</v>
      </c>
      <c r="F948" s="122">
        <v>2.0000000000000001E-4</v>
      </c>
      <c r="G948" s="121">
        <v>1.2385068480000001E-2</v>
      </c>
      <c r="H948" s="125"/>
      <c r="I948" s="125"/>
      <c r="J948" s="126"/>
      <c r="K948" s="126"/>
    </row>
    <row r="949" spans="1:11" ht="13.5" customHeight="1">
      <c r="A949" s="119" t="s">
        <v>486</v>
      </c>
      <c r="B949" s="119" t="s">
        <v>39</v>
      </c>
      <c r="C949" s="119" t="s">
        <v>528</v>
      </c>
      <c r="D949" s="120" t="s">
        <v>76</v>
      </c>
      <c r="E949" s="121">
        <v>239.60031000000001</v>
      </c>
      <c r="F949" s="122">
        <v>1.6000000000000001E-4</v>
      </c>
      <c r="G949" s="121">
        <v>3.8336049600000005E-2</v>
      </c>
      <c r="H949" s="125"/>
      <c r="I949" s="125"/>
      <c r="J949" s="126"/>
      <c r="K949" s="126"/>
    </row>
    <row r="950" spans="1:11" ht="13.5" customHeight="1">
      <c r="A950" s="119" t="s">
        <v>486</v>
      </c>
      <c r="B950" s="119" t="s">
        <v>39</v>
      </c>
      <c r="C950" s="119" t="s">
        <v>529</v>
      </c>
      <c r="D950" s="120" t="s">
        <v>76</v>
      </c>
      <c r="E950" s="121">
        <v>4750.073006399999</v>
      </c>
      <c r="F950" s="122">
        <v>1.0149999999999998E-3</v>
      </c>
      <c r="G950" s="121">
        <v>4.821324101495998</v>
      </c>
      <c r="H950" s="125"/>
      <c r="I950" s="125"/>
      <c r="J950" s="126"/>
      <c r="K950" s="126"/>
    </row>
    <row r="951" spans="1:11" ht="13.5" customHeight="1">
      <c r="A951" s="119" t="s">
        <v>486</v>
      </c>
      <c r="B951" s="119" t="s">
        <v>39</v>
      </c>
      <c r="C951" s="119" t="s">
        <v>530</v>
      </c>
      <c r="D951" s="120" t="s">
        <v>76</v>
      </c>
      <c r="E951" s="121">
        <v>14.083272600000001</v>
      </c>
      <c r="F951" s="122">
        <v>2.0000000000000001E-4</v>
      </c>
      <c r="G951" s="121">
        <v>2.8166545200000001E-3</v>
      </c>
      <c r="H951" s="125">
        <f>SUM(G942:G951)</f>
        <v>5.095660972175998</v>
      </c>
      <c r="I951" s="125"/>
      <c r="J951" s="126"/>
      <c r="K951" s="126"/>
    </row>
    <row r="952" spans="1:11" s="117" customFormat="1" ht="13.5" customHeight="1">
      <c r="A952" s="127" t="s">
        <v>486</v>
      </c>
      <c r="B952" s="119" t="s">
        <v>39</v>
      </c>
      <c r="C952" s="127" t="s">
        <v>532</v>
      </c>
      <c r="D952" s="128" t="s">
        <v>76</v>
      </c>
      <c r="E952" s="129">
        <v>2637.6033527999998</v>
      </c>
      <c r="F952" s="130">
        <v>1.0149999999999998E-3</v>
      </c>
      <c r="G952" s="129">
        <v>2.6771674030919992</v>
      </c>
      <c r="H952" s="125"/>
      <c r="I952" s="132">
        <v>2.6771674030919992</v>
      </c>
      <c r="J952" s="133"/>
      <c r="K952" s="133"/>
    </row>
    <row r="953" spans="1:11" s="117" customFormat="1" ht="13.5" customHeight="1">
      <c r="A953" s="127"/>
      <c r="B953" s="119"/>
      <c r="C953" s="127"/>
      <c r="D953" s="128"/>
      <c r="E953" s="129"/>
      <c r="F953" s="130"/>
      <c r="G953" s="129">
        <f>SUM(G942:G952)</f>
        <v>7.7728283752679967</v>
      </c>
      <c r="H953" s="125"/>
      <c r="I953" s="125"/>
      <c r="J953" s="133"/>
      <c r="K953" s="133"/>
    </row>
    <row r="954" spans="1:11" ht="13.5" customHeight="1">
      <c r="A954" s="119" t="s">
        <v>488</v>
      </c>
      <c r="B954" s="119" t="s">
        <v>40</v>
      </c>
      <c r="C954" s="119" t="s">
        <v>521</v>
      </c>
      <c r="D954" s="120" t="s">
        <v>76</v>
      </c>
      <c r="E954" s="121">
        <v>17454.833400000003</v>
      </c>
      <c r="F954" s="122">
        <v>2.0000000000000001E-4</v>
      </c>
      <c r="G954" s="121">
        <v>3.490966680000001</v>
      </c>
      <c r="H954" s="125"/>
      <c r="I954" s="125"/>
      <c r="J954" s="126"/>
      <c r="K954" s="126"/>
    </row>
    <row r="955" spans="1:11" ht="13.5" customHeight="1">
      <c r="A955" s="119" t="s">
        <v>488</v>
      </c>
      <c r="B955" s="119" t="s">
        <v>40</v>
      </c>
      <c r="C955" s="119" t="s">
        <v>522</v>
      </c>
      <c r="D955" s="120" t="s">
        <v>76</v>
      </c>
      <c r="E955" s="121">
        <v>23561.176650000001</v>
      </c>
      <c r="F955" s="122">
        <v>2.0000000000000001E-4</v>
      </c>
      <c r="G955" s="121">
        <v>4.7122353300000004</v>
      </c>
      <c r="H955" s="125"/>
      <c r="I955" s="125"/>
      <c r="J955" s="126"/>
      <c r="K955" s="126"/>
    </row>
    <row r="956" spans="1:11" ht="13.5" customHeight="1">
      <c r="A956" s="119" t="s">
        <v>488</v>
      </c>
      <c r="B956" s="119" t="s">
        <v>40</v>
      </c>
      <c r="C956" s="119" t="s">
        <v>523</v>
      </c>
      <c r="D956" s="120" t="s">
        <v>76</v>
      </c>
      <c r="E956" s="121">
        <v>7658.2344000000003</v>
      </c>
      <c r="F956" s="122">
        <v>2.0000000000000001E-4</v>
      </c>
      <c r="G956" s="121">
        <v>1.53164688</v>
      </c>
      <c r="H956" s="125"/>
      <c r="I956" s="125"/>
      <c r="J956" s="126"/>
      <c r="K956" s="126"/>
    </row>
    <row r="957" spans="1:11" ht="13.5" customHeight="1">
      <c r="A957" s="119" t="s">
        <v>488</v>
      </c>
      <c r="B957" s="119" t="s">
        <v>40</v>
      </c>
      <c r="C957" s="119" t="s">
        <v>524</v>
      </c>
      <c r="D957" s="120" t="s">
        <v>76</v>
      </c>
      <c r="E957" s="121">
        <v>2663.6983200000004</v>
      </c>
      <c r="F957" s="122">
        <v>2.0000000000000001E-4</v>
      </c>
      <c r="G957" s="121">
        <v>0.53273966400000006</v>
      </c>
      <c r="H957" s="125"/>
      <c r="I957" s="125"/>
      <c r="J957" s="126"/>
      <c r="K957" s="126"/>
    </row>
    <row r="958" spans="1:11" ht="13.5" customHeight="1">
      <c r="A958" s="119" t="s">
        <v>488</v>
      </c>
      <c r="B958" s="119" t="s">
        <v>40</v>
      </c>
      <c r="C958" s="119" t="s">
        <v>525</v>
      </c>
      <c r="D958" s="120" t="s">
        <v>76</v>
      </c>
      <c r="E958" s="121">
        <v>37526.772780000007</v>
      </c>
      <c r="F958" s="122">
        <v>2.0000000000000001E-4</v>
      </c>
      <c r="G958" s="121">
        <v>7.5053545560000021</v>
      </c>
      <c r="H958" s="125"/>
      <c r="I958" s="125"/>
      <c r="J958" s="126"/>
      <c r="K958" s="126"/>
    </row>
    <row r="959" spans="1:11" ht="13.5" customHeight="1">
      <c r="A959" s="119" t="s">
        <v>488</v>
      </c>
      <c r="B959" s="119" t="s">
        <v>40</v>
      </c>
      <c r="C959" s="119" t="s">
        <v>526</v>
      </c>
      <c r="D959" s="120" t="s">
        <v>76</v>
      </c>
      <c r="E959" s="121">
        <v>12393.15552</v>
      </c>
      <c r="F959" s="122">
        <v>2.0000000000000001E-4</v>
      </c>
      <c r="G959" s="121">
        <v>2.4786311040000002</v>
      </c>
      <c r="H959" s="125"/>
      <c r="I959" s="125"/>
      <c r="J959" s="126"/>
      <c r="K959" s="126"/>
    </row>
    <row r="960" spans="1:11" ht="13.5" customHeight="1">
      <c r="A960" s="119" t="s">
        <v>488</v>
      </c>
      <c r="B960" s="119" t="s">
        <v>40</v>
      </c>
      <c r="C960" s="119" t="s">
        <v>527</v>
      </c>
      <c r="D960" s="120" t="s">
        <v>76</v>
      </c>
      <c r="E960" s="121">
        <v>4283.6468400000003</v>
      </c>
      <c r="F960" s="122">
        <v>2.0000000000000001E-4</v>
      </c>
      <c r="G960" s="121">
        <v>0.8567293680000001</v>
      </c>
      <c r="H960" s="125"/>
      <c r="I960" s="125"/>
      <c r="J960" s="126"/>
      <c r="K960" s="126"/>
    </row>
    <row r="961" spans="1:11" ht="13.5" customHeight="1">
      <c r="A961" s="119" t="s">
        <v>488</v>
      </c>
      <c r="B961" s="119" t="s">
        <v>40</v>
      </c>
      <c r="C961" s="119" t="s">
        <v>528</v>
      </c>
      <c r="D961" s="120" t="s">
        <v>76</v>
      </c>
      <c r="E961" s="121">
        <v>4126</v>
      </c>
      <c r="F961" s="122">
        <v>1.6000000000000001E-4</v>
      </c>
      <c r="G961" s="121">
        <v>0.66016000000000008</v>
      </c>
      <c r="H961" s="125"/>
      <c r="I961" s="125"/>
      <c r="J961" s="126"/>
      <c r="K961" s="126"/>
    </row>
    <row r="962" spans="1:11" ht="13.5" customHeight="1">
      <c r="A962" s="119" t="s">
        <v>488</v>
      </c>
      <c r="B962" s="119" t="s">
        <v>40</v>
      </c>
      <c r="C962" s="119" t="s">
        <v>529</v>
      </c>
      <c r="D962" s="120" t="s">
        <v>76</v>
      </c>
      <c r="E962" s="121">
        <v>598.17240000000004</v>
      </c>
      <c r="F962" s="122">
        <v>1.0149999999999998E-3</v>
      </c>
      <c r="G962" s="121">
        <v>0.607144986</v>
      </c>
      <c r="H962" s="125"/>
      <c r="I962" s="125"/>
      <c r="J962" s="126"/>
      <c r="K962" s="126"/>
    </row>
    <row r="963" spans="1:11" ht="13.5" customHeight="1">
      <c r="A963" s="119" t="s">
        <v>488</v>
      </c>
      <c r="B963" s="119" t="s">
        <v>40</v>
      </c>
      <c r="C963" s="119" t="s">
        <v>530</v>
      </c>
      <c r="D963" s="120" t="s">
        <v>76</v>
      </c>
      <c r="E963" s="121">
        <v>20975.737184400004</v>
      </c>
      <c r="F963" s="122">
        <v>2.0000000000000001E-4</v>
      </c>
      <c r="G963" s="121">
        <v>4.195147436880001</v>
      </c>
      <c r="H963" s="125">
        <f>SUM(G954:G963)</f>
        <v>26.57075600488001</v>
      </c>
      <c r="I963" s="125"/>
      <c r="J963" s="126"/>
      <c r="K963" s="126"/>
    </row>
    <row r="964" spans="1:11" s="117" customFormat="1" ht="13.5" customHeight="1">
      <c r="A964" s="127" t="s">
        <v>488</v>
      </c>
      <c r="B964" s="119" t="s">
        <v>40</v>
      </c>
      <c r="C964" s="127" t="s">
        <v>532</v>
      </c>
      <c r="D964" s="128" t="s">
        <v>76</v>
      </c>
      <c r="E964" s="129">
        <v>585.96480000000008</v>
      </c>
      <c r="F964" s="130">
        <v>1.0149999999999998E-3</v>
      </c>
      <c r="G964" s="129">
        <v>0.59475427199999997</v>
      </c>
      <c r="H964" s="125"/>
      <c r="I964" s="132">
        <v>0.59475427199999997</v>
      </c>
      <c r="J964" s="133"/>
      <c r="K964" s="133"/>
    </row>
    <row r="965" spans="1:11" s="117" customFormat="1" ht="13.5" customHeight="1">
      <c r="A965" s="127"/>
      <c r="B965" s="119"/>
      <c r="C965" s="127"/>
      <c r="D965" s="128"/>
      <c r="E965" s="129"/>
      <c r="F965" s="130"/>
      <c r="G965" s="129">
        <f>SUM(G954:G964)</f>
        <v>27.16551027688001</v>
      </c>
      <c r="H965" s="125"/>
      <c r="I965" s="125"/>
      <c r="J965" s="133"/>
      <c r="K965" s="133"/>
    </row>
    <row r="966" spans="1:11" ht="13.5" customHeight="1">
      <c r="A966" s="119" t="s">
        <v>490</v>
      </c>
      <c r="B966" s="119" t="s">
        <v>535</v>
      </c>
      <c r="C966" s="119" t="s">
        <v>521</v>
      </c>
      <c r="D966" s="120" t="s">
        <v>76</v>
      </c>
      <c r="E966" s="121">
        <v>2325.7644</v>
      </c>
      <c r="F966" s="122">
        <v>2.0000000000000001E-4</v>
      </c>
      <c r="G966" s="121">
        <v>0.46515288000000005</v>
      </c>
      <c r="H966" s="125"/>
      <c r="I966" s="125"/>
      <c r="J966" s="126"/>
      <c r="K966" s="126"/>
    </row>
    <row r="967" spans="1:11" ht="13.5" customHeight="1">
      <c r="A967" s="119" t="s">
        <v>490</v>
      </c>
      <c r="B967" s="119" t="s">
        <v>535</v>
      </c>
      <c r="C967" s="119" t="s">
        <v>522</v>
      </c>
      <c r="D967" s="120" t="s">
        <v>76</v>
      </c>
      <c r="E967" s="121">
        <v>3141.3087</v>
      </c>
      <c r="F967" s="122">
        <v>2.0000000000000001E-4</v>
      </c>
      <c r="G967" s="121">
        <v>0.62826174000000001</v>
      </c>
      <c r="H967" s="125"/>
      <c r="I967" s="125"/>
      <c r="J967" s="126"/>
      <c r="K967" s="126"/>
    </row>
    <row r="968" spans="1:11" ht="13.5" customHeight="1">
      <c r="A968" s="119" t="s">
        <v>490</v>
      </c>
      <c r="B968" s="119" t="s">
        <v>535</v>
      </c>
      <c r="C968" s="119" t="s">
        <v>523</v>
      </c>
      <c r="D968" s="120" t="s">
        <v>76</v>
      </c>
      <c r="E968" s="121">
        <v>1018.8578399999999</v>
      </c>
      <c r="F968" s="122">
        <v>2.0000000000000001E-4</v>
      </c>
      <c r="G968" s="121">
        <v>0.20377156799999999</v>
      </c>
      <c r="H968" s="125"/>
      <c r="I968" s="125"/>
      <c r="J968" s="126"/>
      <c r="K968" s="126"/>
    </row>
    <row r="969" spans="1:11" ht="13.5" customHeight="1">
      <c r="A969" s="119" t="s">
        <v>490</v>
      </c>
      <c r="B969" s="119" t="s">
        <v>535</v>
      </c>
      <c r="C969" s="119" t="s">
        <v>524</v>
      </c>
      <c r="D969" s="120" t="s">
        <v>76</v>
      </c>
      <c r="E969" s="121">
        <v>355.22615999999994</v>
      </c>
      <c r="F969" s="122">
        <v>2.0000000000000001E-4</v>
      </c>
      <c r="G969" s="121">
        <v>7.1045231999999986E-2</v>
      </c>
      <c r="H969" s="125"/>
      <c r="I969" s="125"/>
      <c r="J969" s="126"/>
      <c r="K969" s="126"/>
    </row>
    <row r="970" spans="1:11" ht="13.5" customHeight="1">
      <c r="A970" s="119" t="s">
        <v>490</v>
      </c>
      <c r="B970" s="119" t="s">
        <v>535</v>
      </c>
      <c r="C970" s="119" t="s">
        <v>525</v>
      </c>
      <c r="D970" s="120" t="s">
        <v>76</v>
      </c>
      <c r="E970" s="121">
        <v>4997.0854799999997</v>
      </c>
      <c r="F970" s="122">
        <v>2.0000000000000001E-4</v>
      </c>
      <c r="G970" s="121">
        <v>0.99941709599999995</v>
      </c>
      <c r="H970" s="125"/>
      <c r="I970" s="125"/>
      <c r="J970" s="126"/>
      <c r="K970" s="126"/>
    </row>
    <row r="971" spans="1:11" ht="13.5" customHeight="1">
      <c r="A971" s="119" t="s">
        <v>490</v>
      </c>
      <c r="B971" s="119" t="s">
        <v>535</v>
      </c>
      <c r="C971" s="119" t="s">
        <v>526</v>
      </c>
      <c r="D971" s="120" t="s">
        <v>76</v>
      </c>
      <c r="E971" s="121">
        <v>1651.4454000000001</v>
      </c>
      <c r="F971" s="122">
        <v>2.0000000000000001E-4</v>
      </c>
      <c r="G971" s="121">
        <v>0.33028908000000001</v>
      </c>
      <c r="H971" s="125"/>
      <c r="I971" s="125"/>
      <c r="J971" s="126"/>
      <c r="K971" s="126"/>
    </row>
    <row r="972" spans="1:11" ht="13.5" customHeight="1">
      <c r="A972" s="119" t="s">
        <v>490</v>
      </c>
      <c r="B972" s="119" t="s">
        <v>535</v>
      </c>
      <c r="C972" s="119" t="s">
        <v>527</v>
      </c>
      <c r="D972" s="120" t="s">
        <v>76</v>
      </c>
      <c r="E972" s="121">
        <v>570.4993199999999</v>
      </c>
      <c r="F972" s="122">
        <v>2.0000000000000001E-4</v>
      </c>
      <c r="G972" s="121">
        <v>0.11409986399999998</v>
      </c>
      <c r="H972" s="125"/>
      <c r="I972" s="125"/>
      <c r="J972" s="126"/>
      <c r="K972" s="126"/>
    </row>
    <row r="973" spans="1:11" ht="13.5" customHeight="1">
      <c r="A973" s="119" t="s">
        <v>490</v>
      </c>
      <c r="B973" s="119" t="s">
        <v>535</v>
      </c>
      <c r="C973" s="119" t="s">
        <v>528</v>
      </c>
      <c r="D973" s="120" t="s">
        <v>76</v>
      </c>
      <c r="E973" s="121">
        <v>947</v>
      </c>
      <c r="F973" s="122">
        <v>1.6000000000000001E-4</v>
      </c>
      <c r="G973" s="121">
        <v>0.15152000000000002</v>
      </c>
      <c r="H973" s="125"/>
      <c r="I973" s="125"/>
      <c r="J973" s="126"/>
      <c r="K973" s="126"/>
    </row>
    <row r="974" spans="1:11" ht="13.5" customHeight="1">
      <c r="A974" s="119" t="s">
        <v>490</v>
      </c>
      <c r="B974" s="119" t="s">
        <v>535</v>
      </c>
      <c r="C974" s="119" t="s">
        <v>529</v>
      </c>
      <c r="D974" s="120" t="s">
        <v>76</v>
      </c>
      <c r="E974" s="121">
        <v>11132.625</v>
      </c>
      <c r="F974" s="122">
        <v>1.0149999999999998E-3</v>
      </c>
      <c r="G974" s="121">
        <v>11.299614374999999</v>
      </c>
      <c r="H974" s="125"/>
      <c r="I974" s="125"/>
      <c r="J974" s="126"/>
      <c r="K974" s="126"/>
    </row>
    <row r="975" spans="1:11" ht="13.5" customHeight="1">
      <c r="A975" s="119" t="s">
        <v>490</v>
      </c>
      <c r="B975" s="119" t="s">
        <v>535</v>
      </c>
      <c r="C975" s="119" t="s">
        <v>530</v>
      </c>
      <c r="D975" s="120" t="s">
        <v>76</v>
      </c>
      <c r="E975" s="121">
        <v>3494.7434616</v>
      </c>
      <c r="F975" s="122">
        <v>2.0000000000000001E-4</v>
      </c>
      <c r="G975" s="121">
        <v>0.69894869232000001</v>
      </c>
      <c r="H975" s="125">
        <f>SUM(G966:G975)</f>
        <v>14.96212052732</v>
      </c>
      <c r="I975" s="125"/>
      <c r="J975" s="126"/>
      <c r="K975" s="126"/>
    </row>
    <row r="976" spans="1:11" s="117" customFormat="1" ht="13.5" customHeight="1">
      <c r="A976" s="127" t="s">
        <v>490</v>
      </c>
      <c r="B976" s="119" t="s">
        <v>535</v>
      </c>
      <c r="C976" s="127" t="s">
        <v>532</v>
      </c>
      <c r="D976" s="128" t="s">
        <v>76</v>
      </c>
      <c r="E976" s="129">
        <v>10595.714400000001</v>
      </c>
      <c r="F976" s="130">
        <v>1.0149999999999998E-3</v>
      </c>
      <c r="G976" s="129">
        <v>10.754650115999999</v>
      </c>
      <c r="H976" s="125"/>
      <c r="I976" s="132">
        <v>10.754650115999999</v>
      </c>
      <c r="J976" s="133"/>
      <c r="K976" s="133"/>
    </row>
    <row r="977" spans="1:11" s="117" customFormat="1" ht="13.5" customHeight="1">
      <c r="A977" s="127"/>
      <c r="B977" s="119"/>
      <c r="C977" s="127"/>
      <c r="D977" s="128"/>
      <c r="E977" s="129"/>
      <c r="F977" s="130"/>
      <c r="G977" s="129">
        <f>SUM(G966:G976)</f>
        <v>25.716770643319997</v>
      </c>
      <c r="H977" s="125"/>
      <c r="I977" s="125"/>
      <c r="J977" s="133"/>
      <c r="K977" s="133"/>
    </row>
    <row r="978" spans="1:11" ht="13.5" customHeight="1">
      <c r="A978" s="119" t="s">
        <v>492</v>
      </c>
      <c r="B978" s="119" t="s">
        <v>536</v>
      </c>
      <c r="C978" s="119" t="s">
        <v>521</v>
      </c>
      <c r="D978" s="120" t="s">
        <v>76</v>
      </c>
      <c r="E978" s="121">
        <v>13319.4879</v>
      </c>
      <c r="F978" s="122">
        <v>2.0000000000000001E-4</v>
      </c>
      <c r="G978" s="121">
        <v>2.66389758</v>
      </c>
      <c r="H978" s="125"/>
      <c r="I978" s="125"/>
      <c r="J978" s="126"/>
      <c r="K978" s="126"/>
    </row>
    <row r="979" spans="1:11" ht="13.5" customHeight="1">
      <c r="A979" s="119" t="s">
        <v>492</v>
      </c>
      <c r="B979" s="119" t="s">
        <v>536</v>
      </c>
      <c r="C979" s="119" t="s">
        <v>522</v>
      </c>
      <c r="D979" s="120" t="s">
        <v>76</v>
      </c>
      <c r="E979" s="121">
        <v>17982.018100000001</v>
      </c>
      <c r="F979" s="122">
        <v>2.0000000000000001E-4</v>
      </c>
      <c r="G979" s="121">
        <v>3.5964036200000002</v>
      </c>
      <c r="H979" s="125"/>
      <c r="I979" s="125"/>
      <c r="J979" s="126"/>
      <c r="K979" s="126"/>
    </row>
    <row r="980" spans="1:11" ht="13.5" customHeight="1">
      <c r="A980" s="119" t="s">
        <v>492</v>
      </c>
      <c r="B980" s="119" t="s">
        <v>536</v>
      </c>
      <c r="C980" s="119" t="s">
        <v>523</v>
      </c>
      <c r="D980" s="120" t="s">
        <v>76</v>
      </c>
      <c r="E980" s="121">
        <v>5845.2508799999996</v>
      </c>
      <c r="F980" s="122">
        <v>2.0000000000000001E-4</v>
      </c>
      <c r="G980" s="121">
        <v>1.1690501760000001</v>
      </c>
      <c r="H980" s="125"/>
      <c r="I980" s="125"/>
      <c r="J980" s="126"/>
      <c r="K980" s="126"/>
    </row>
    <row r="981" spans="1:11" ht="13.5" customHeight="1">
      <c r="A981" s="119" t="s">
        <v>492</v>
      </c>
      <c r="B981" s="119" t="s">
        <v>536</v>
      </c>
      <c r="C981" s="119" t="s">
        <v>524</v>
      </c>
      <c r="D981" s="120" t="s">
        <v>76</v>
      </c>
      <c r="E981" s="121">
        <v>2034.28944</v>
      </c>
      <c r="F981" s="122">
        <v>2.0000000000000001E-4</v>
      </c>
      <c r="G981" s="121">
        <v>0.406857888</v>
      </c>
      <c r="H981" s="125"/>
      <c r="I981" s="125"/>
      <c r="J981" s="126"/>
      <c r="K981" s="126"/>
    </row>
    <row r="982" spans="1:11" ht="13.5" customHeight="1">
      <c r="A982" s="119" t="s">
        <v>492</v>
      </c>
      <c r="B982" s="119" t="s">
        <v>536</v>
      </c>
      <c r="C982" s="119" t="s">
        <v>525</v>
      </c>
      <c r="D982" s="120" t="s">
        <v>76</v>
      </c>
      <c r="E982" s="121">
        <v>28638.47208</v>
      </c>
      <c r="F982" s="122">
        <v>2.0000000000000001E-4</v>
      </c>
      <c r="G982" s="121">
        <v>5.7276944160000003</v>
      </c>
      <c r="H982" s="125"/>
      <c r="I982" s="125"/>
      <c r="J982" s="126"/>
      <c r="K982" s="126"/>
    </row>
    <row r="983" spans="1:11" ht="13.5" customHeight="1">
      <c r="A983" s="119" t="s">
        <v>492</v>
      </c>
      <c r="B983" s="119" t="s">
        <v>536</v>
      </c>
      <c r="C983" s="119" t="s">
        <v>526</v>
      </c>
      <c r="D983" s="120" t="s">
        <v>76</v>
      </c>
      <c r="E983" s="121">
        <v>9455.3496799999994</v>
      </c>
      <c r="F983" s="122">
        <v>2.0000000000000001E-4</v>
      </c>
      <c r="G983" s="121">
        <v>1.8910699360000001</v>
      </c>
      <c r="H983" s="125"/>
      <c r="I983" s="125"/>
      <c r="J983" s="126"/>
      <c r="K983" s="126"/>
    </row>
    <row r="984" spans="1:11" ht="13.5" customHeight="1">
      <c r="A984" s="119" t="s">
        <v>492</v>
      </c>
      <c r="B984" s="119" t="s">
        <v>536</v>
      </c>
      <c r="C984" s="119" t="s">
        <v>527</v>
      </c>
      <c r="D984" s="120" t="s">
        <v>76</v>
      </c>
      <c r="E984" s="121">
        <v>3269.0764799999997</v>
      </c>
      <c r="F984" s="122">
        <v>2.0000000000000001E-4</v>
      </c>
      <c r="G984" s="121">
        <v>0.65381529599999999</v>
      </c>
      <c r="H984" s="125"/>
      <c r="I984" s="125"/>
      <c r="J984" s="126"/>
      <c r="K984" s="126"/>
    </row>
    <row r="985" spans="1:11" ht="13.5" customHeight="1">
      <c r="A985" s="119" t="s">
        <v>492</v>
      </c>
      <c r="B985" s="119" t="s">
        <v>536</v>
      </c>
      <c r="C985" s="119" t="s">
        <v>528</v>
      </c>
      <c r="D985" s="120" t="s">
        <v>76</v>
      </c>
      <c r="E985" s="121">
        <v>5533</v>
      </c>
      <c r="F985" s="122">
        <v>1.6000000000000001E-4</v>
      </c>
      <c r="G985" s="121">
        <v>0.88528000000000007</v>
      </c>
      <c r="H985" s="125"/>
      <c r="I985" s="125"/>
      <c r="J985" s="126"/>
      <c r="K985" s="126"/>
    </row>
    <row r="986" spans="1:11" ht="13.5" customHeight="1">
      <c r="A986" s="119" t="s">
        <v>492</v>
      </c>
      <c r="B986" s="119" t="s">
        <v>536</v>
      </c>
      <c r="C986" s="119" t="s">
        <v>529</v>
      </c>
      <c r="D986" s="120" t="s">
        <v>76</v>
      </c>
      <c r="E986" s="121">
        <v>1468.222</v>
      </c>
      <c r="F986" s="122">
        <v>1.0149999999999998E-3</v>
      </c>
      <c r="G986" s="121">
        <v>1.4902453299999998</v>
      </c>
      <c r="H986" s="125"/>
      <c r="I986" s="125"/>
      <c r="J986" s="126"/>
      <c r="K986" s="126"/>
    </row>
    <row r="987" spans="1:11" ht="13.5" customHeight="1">
      <c r="A987" s="119" t="s">
        <v>492</v>
      </c>
      <c r="B987" s="119" t="s">
        <v>536</v>
      </c>
      <c r="C987" s="119" t="s">
        <v>530</v>
      </c>
      <c r="D987" s="120" t="s">
        <v>76</v>
      </c>
      <c r="E987" s="121">
        <v>19414.173658399999</v>
      </c>
      <c r="F987" s="122">
        <v>2.0000000000000001E-4</v>
      </c>
      <c r="G987" s="121">
        <v>3.88283473168</v>
      </c>
      <c r="H987" s="125">
        <f>SUM(G978:G987)</f>
        <v>22.367148973680003</v>
      </c>
      <c r="I987" s="125"/>
      <c r="J987" s="126"/>
      <c r="K987" s="126"/>
    </row>
    <row r="988" spans="1:11" s="117" customFormat="1" ht="13.5" customHeight="1">
      <c r="A988" s="127" t="s">
        <v>492</v>
      </c>
      <c r="B988" s="119" t="s">
        <v>536</v>
      </c>
      <c r="C988" s="127" t="s">
        <v>532</v>
      </c>
      <c r="D988" s="128" t="s">
        <v>76</v>
      </c>
      <c r="E988" s="129">
        <v>1406.5319999999999</v>
      </c>
      <c r="F988" s="130">
        <v>1.0149999999999998E-3</v>
      </c>
      <c r="G988" s="129">
        <v>1.4276299799999996</v>
      </c>
      <c r="H988" s="125"/>
      <c r="I988" s="132">
        <v>1.4276299799999996</v>
      </c>
      <c r="J988" s="133"/>
      <c r="K988" s="133"/>
    </row>
    <row r="989" spans="1:11" s="117" customFormat="1" ht="13.5" customHeight="1">
      <c r="A989" s="127"/>
      <c r="B989" s="119"/>
      <c r="C989" s="127"/>
      <c r="D989" s="128"/>
      <c r="E989" s="129"/>
      <c r="F989" s="130"/>
      <c r="G989" s="129">
        <f>SUM(G978:G988)</f>
        <v>23.794778953680002</v>
      </c>
      <c r="H989" s="125"/>
      <c r="I989" s="125"/>
      <c r="J989" s="133"/>
      <c r="K989" s="133"/>
    </row>
    <row r="990" spans="1:11" ht="13.5" customHeight="1">
      <c r="A990" s="119" t="s">
        <v>494</v>
      </c>
      <c r="B990" s="119" t="s">
        <v>537</v>
      </c>
      <c r="C990" s="119" t="s">
        <v>521</v>
      </c>
      <c r="D990" s="120" t="s">
        <v>76</v>
      </c>
      <c r="E990" s="121">
        <v>4201.7460000000001</v>
      </c>
      <c r="F990" s="122">
        <v>2.0000000000000001E-4</v>
      </c>
      <c r="G990" s="121">
        <v>0.84034920000000002</v>
      </c>
      <c r="H990" s="125"/>
      <c r="I990" s="125"/>
      <c r="J990" s="126"/>
      <c r="K990" s="126"/>
    </row>
    <row r="991" spans="1:11" ht="13.5" customHeight="1">
      <c r="A991" s="119" t="s">
        <v>494</v>
      </c>
      <c r="B991" s="119" t="s">
        <v>537</v>
      </c>
      <c r="C991" s="119" t="s">
        <v>522</v>
      </c>
      <c r="D991" s="120" t="s">
        <v>76</v>
      </c>
      <c r="E991" s="121">
        <v>5671.5220000000008</v>
      </c>
      <c r="F991" s="122">
        <v>2.0000000000000001E-4</v>
      </c>
      <c r="G991" s="121">
        <v>1.1343044000000002</v>
      </c>
      <c r="H991" s="125"/>
      <c r="I991" s="125"/>
      <c r="J991" s="126"/>
      <c r="K991" s="126"/>
    </row>
    <row r="992" spans="1:11" ht="13.5" customHeight="1">
      <c r="A992" s="119" t="s">
        <v>494</v>
      </c>
      <c r="B992" s="119" t="s">
        <v>537</v>
      </c>
      <c r="C992" s="119" t="s">
        <v>523</v>
      </c>
      <c r="D992" s="120" t="s">
        <v>76</v>
      </c>
      <c r="E992" s="121">
        <v>1843.9007999999999</v>
      </c>
      <c r="F992" s="122">
        <v>2.0000000000000001E-4</v>
      </c>
      <c r="G992" s="121">
        <v>0.36878015999999997</v>
      </c>
      <c r="H992" s="125"/>
      <c r="I992" s="125"/>
      <c r="J992" s="126"/>
      <c r="K992" s="126"/>
    </row>
    <row r="993" spans="1:11" ht="13.5" customHeight="1">
      <c r="A993" s="119" t="s">
        <v>494</v>
      </c>
      <c r="B993" s="119" t="s">
        <v>537</v>
      </c>
      <c r="C993" s="119" t="s">
        <v>524</v>
      </c>
      <c r="D993" s="120" t="s">
        <v>76</v>
      </c>
      <c r="E993" s="121">
        <v>642.3112000000001</v>
      </c>
      <c r="F993" s="122">
        <v>2.0000000000000001E-4</v>
      </c>
      <c r="G993" s="121">
        <v>0.12846224000000003</v>
      </c>
      <c r="H993" s="125"/>
      <c r="I993" s="125"/>
      <c r="J993" s="126"/>
      <c r="K993" s="126"/>
    </row>
    <row r="994" spans="1:11" ht="13.5" customHeight="1">
      <c r="A994" s="119" t="s">
        <v>494</v>
      </c>
      <c r="B994" s="119" t="s">
        <v>537</v>
      </c>
      <c r="C994" s="119" t="s">
        <v>525</v>
      </c>
      <c r="D994" s="120" t="s">
        <v>76</v>
      </c>
      <c r="E994" s="121">
        <v>9034.1118000000006</v>
      </c>
      <c r="F994" s="122">
        <v>2.0000000000000001E-4</v>
      </c>
      <c r="G994" s="121">
        <v>1.8068223600000002</v>
      </c>
      <c r="H994" s="125"/>
      <c r="I994" s="125"/>
      <c r="J994" s="126"/>
      <c r="K994" s="126"/>
    </row>
    <row r="995" spans="1:11" ht="13.5" customHeight="1">
      <c r="A995" s="119" t="s">
        <v>494</v>
      </c>
      <c r="B995" s="119" t="s">
        <v>537</v>
      </c>
      <c r="C995" s="119" t="s">
        <v>526</v>
      </c>
      <c r="D995" s="120" t="s">
        <v>76</v>
      </c>
      <c r="E995" s="121">
        <v>2982.9772000000003</v>
      </c>
      <c r="F995" s="122">
        <v>2.0000000000000001E-4</v>
      </c>
      <c r="G995" s="121">
        <v>0.59659544000000009</v>
      </c>
      <c r="H995" s="125"/>
      <c r="I995" s="125"/>
      <c r="J995" s="126"/>
      <c r="K995" s="126"/>
    </row>
    <row r="996" spans="1:11" ht="13.5" customHeight="1">
      <c r="A996" s="119" t="s">
        <v>494</v>
      </c>
      <c r="B996" s="119" t="s">
        <v>537</v>
      </c>
      <c r="C996" s="119" t="s">
        <v>527</v>
      </c>
      <c r="D996" s="120" t="s">
        <v>76</v>
      </c>
      <c r="E996" s="121">
        <v>1029.7975999999999</v>
      </c>
      <c r="F996" s="122">
        <v>2.0000000000000001E-4</v>
      </c>
      <c r="G996" s="121">
        <v>0.20595951999999998</v>
      </c>
      <c r="H996" s="125"/>
      <c r="I996" s="125"/>
      <c r="J996" s="126"/>
      <c r="K996" s="126"/>
    </row>
    <row r="997" spans="1:11" ht="13.5" customHeight="1">
      <c r="A997" s="119" t="s">
        <v>494</v>
      </c>
      <c r="B997" s="119" t="s">
        <v>537</v>
      </c>
      <c r="C997" s="119" t="s">
        <v>528</v>
      </c>
      <c r="D997" s="120" t="s">
        <v>76</v>
      </c>
      <c r="E997" s="121">
        <v>1827</v>
      </c>
      <c r="F997" s="122">
        <v>1.6000000000000001E-4</v>
      </c>
      <c r="G997" s="121">
        <v>0.29232000000000002</v>
      </c>
      <c r="H997" s="125"/>
      <c r="I997" s="125"/>
      <c r="J997" s="126"/>
      <c r="K997" s="126"/>
    </row>
    <row r="998" spans="1:11" ht="13.5" customHeight="1">
      <c r="A998" s="119" t="s">
        <v>494</v>
      </c>
      <c r="B998" s="119" t="s">
        <v>537</v>
      </c>
      <c r="C998" s="119" t="s">
        <v>529</v>
      </c>
      <c r="D998" s="120" t="s">
        <v>76</v>
      </c>
      <c r="E998" s="121">
        <v>3549.1750000000002</v>
      </c>
      <c r="F998" s="122">
        <v>1.0149999999999998E-3</v>
      </c>
      <c r="G998" s="121">
        <v>3.6024126249999995</v>
      </c>
      <c r="H998" s="125"/>
      <c r="I998" s="125"/>
      <c r="J998" s="126"/>
      <c r="K998" s="126"/>
    </row>
    <row r="999" spans="1:11" ht="13.5" customHeight="1">
      <c r="A999" s="119" t="s">
        <v>494</v>
      </c>
      <c r="B999" s="119" t="s">
        <v>537</v>
      </c>
      <c r="C999" s="119" t="s">
        <v>530</v>
      </c>
      <c r="D999" s="120" t="s">
        <v>76</v>
      </c>
      <c r="E999" s="121">
        <v>5921.889752000001</v>
      </c>
      <c r="F999" s="122">
        <v>2.0000000000000001E-4</v>
      </c>
      <c r="G999" s="121">
        <v>1.1843779504000003</v>
      </c>
      <c r="H999" s="125">
        <f>SUM(G990:G999)</f>
        <v>10.160383895400001</v>
      </c>
      <c r="I999" s="125"/>
      <c r="J999" s="126"/>
      <c r="K999" s="126"/>
    </row>
    <row r="1000" spans="1:11" s="117" customFormat="1" ht="13.5" customHeight="1">
      <c r="A1000" s="127" t="s">
        <v>494</v>
      </c>
      <c r="B1000" s="119" t="s">
        <v>537</v>
      </c>
      <c r="C1000" s="127" t="s">
        <v>532</v>
      </c>
      <c r="D1000" s="128" t="s">
        <v>76</v>
      </c>
      <c r="E1000" s="129">
        <v>3392.8920000000003</v>
      </c>
      <c r="F1000" s="130">
        <v>1.0149999999999998E-3</v>
      </c>
      <c r="G1000" s="129">
        <v>3.4437853799999996</v>
      </c>
      <c r="H1000" s="125"/>
      <c r="I1000" s="132">
        <v>3.4437853799999996</v>
      </c>
      <c r="J1000" s="133"/>
      <c r="K1000" s="133"/>
    </row>
    <row r="1001" spans="1:11" s="117" customFormat="1" ht="13.5" customHeight="1">
      <c r="A1001" s="127"/>
      <c r="B1001" s="119"/>
      <c r="C1001" s="127"/>
      <c r="D1001" s="128"/>
      <c r="E1001" s="129"/>
      <c r="F1001" s="130"/>
      <c r="G1001" s="129">
        <f>SUM(G990:G1000)</f>
        <v>13.6041692754</v>
      </c>
      <c r="H1001" s="125"/>
      <c r="I1001" s="125"/>
      <c r="J1001" s="133"/>
      <c r="K1001" s="133"/>
    </row>
    <row r="1002" spans="1:11" ht="13.5" customHeight="1">
      <c r="A1002" s="119" t="s">
        <v>496</v>
      </c>
      <c r="B1002" s="119" t="s">
        <v>538</v>
      </c>
      <c r="C1002" s="119" t="s">
        <v>521</v>
      </c>
      <c r="D1002" s="120" t="s">
        <v>76</v>
      </c>
      <c r="E1002" s="121">
        <v>22287.3235776</v>
      </c>
      <c r="F1002" s="122">
        <v>2.0000000000000001E-4</v>
      </c>
      <c r="G1002" s="121">
        <v>4.4574647155200005</v>
      </c>
      <c r="H1002" s="125"/>
      <c r="I1002" s="125"/>
      <c r="J1002" s="126"/>
      <c r="K1002" s="126"/>
    </row>
    <row r="1003" spans="1:11" ht="13.5" customHeight="1">
      <c r="A1003" s="119" t="s">
        <v>496</v>
      </c>
      <c r="B1003" s="119" t="s">
        <v>538</v>
      </c>
      <c r="C1003" s="119" t="s">
        <v>522</v>
      </c>
      <c r="D1003" s="120" t="s">
        <v>76</v>
      </c>
      <c r="E1003" s="121">
        <v>12512.616652799999</v>
      </c>
      <c r="F1003" s="122">
        <v>2.0000000000000001E-4</v>
      </c>
      <c r="G1003" s="121">
        <v>2.5025233305599999</v>
      </c>
      <c r="H1003" s="125"/>
      <c r="I1003" s="125"/>
      <c r="J1003" s="126"/>
      <c r="K1003" s="126"/>
    </row>
    <row r="1004" spans="1:11" ht="13.5" customHeight="1">
      <c r="A1004" s="119" t="s">
        <v>496</v>
      </c>
      <c r="B1004" s="119" t="s">
        <v>538</v>
      </c>
      <c r="C1004" s="119" t="s">
        <v>523</v>
      </c>
      <c r="D1004" s="120" t="s">
        <v>76</v>
      </c>
      <c r="E1004" s="121">
        <v>4015.0307520000001</v>
      </c>
      <c r="F1004" s="122">
        <v>2.0000000000000001E-4</v>
      </c>
      <c r="G1004" s="121">
        <v>0.80300615040000001</v>
      </c>
      <c r="H1004" s="125"/>
      <c r="I1004" s="125"/>
      <c r="J1004" s="126"/>
      <c r="K1004" s="126"/>
    </row>
    <row r="1005" spans="1:11" ht="13.5" customHeight="1">
      <c r="A1005" s="119" t="s">
        <v>496</v>
      </c>
      <c r="B1005" s="119" t="s">
        <v>538</v>
      </c>
      <c r="C1005" s="119" t="s">
        <v>524</v>
      </c>
      <c r="D1005" s="120" t="s">
        <v>76</v>
      </c>
      <c r="E1005" s="121">
        <v>1338.7729536000002</v>
      </c>
      <c r="F1005" s="122">
        <v>2.0000000000000001E-4</v>
      </c>
      <c r="G1005" s="121">
        <v>0.26775459072000002</v>
      </c>
      <c r="H1005" s="125"/>
      <c r="I1005" s="125"/>
      <c r="J1005" s="126"/>
      <c r="K1005" s="126"/>
    </row>
    <row r="1006" spans="1:11" ht="13.5" customHeight="1">
      <c r="A1006" s="119" t="s">
        <v>496</v>
      </c>
      <c r="B1006" s="119" t="s">
        <v>538</v>
      </c>
      <c r="C1006" s="119" t="s">
        <v>525</v>
      </c>
      <c r="D1006" s="120" t="s">
        <v>76</v>
      </c>
      <c r="E1006" s="121">
        <v>20360.609395200001</v>
      </c>
      <c r="F1006" s="122">
        <v>2.0000000000000001E-4</v>
      </c>
      <c r="G1006" s="121">
        <v>4.07212187904</v>
      </c>
      <c r="H1006" s="125"/>
      <c r="I1006" s="125"/>
      <c r="J1006" s="126"/>
      <c r="K1006" s="126"/>
    </row>
    <row r="1007" spans="1:11" ht="13.5" customHeight="1">
      <c r="A1007" s="119" t="s">
        <v>496</v>
      </c>
      <c r="B1007" s="119" t="s">
        <v>538</v>
      </c>
      <c r="C1007" s="119" t="s">
        <v>526</v>
      </c>
      <c r="D1007" s="120" t="s">
        <v>76</v>
      </c>
      <c r="E1007" s="121">
        <v>6526.9709567999998</v>
      </c>
      <c r="F1007" s="122">
        <v>2.0000000000000001E-4</v>
      </c>
      <c r="G1007" s="121">
        <v>1.30539419136</v>
      </c>
      <c r="H1007" s="125"/>
      <c r="I1007" s="125"/>
      <c r="J1007" s="126"/>
      <c r="K1007" s="126"/>
    </row>
    <row r="1008" spans="1:11" ht="13.5" customHeight="1">
      <c r="A1008" s="119" t="s">
        <v>496</v>
      </c>
      <c r="B1008" s="119" t="s">
        <v>538</v>
      </c>
      <c r="C1008" s="119" t="s">
        <v>527</v>
      </c>
      <c r="D1008" s="120" t="s">
        <v>76</v>
      </c>
      <c r="E1008" s="121">
        <v>2176.6565375999999</v>
      </c>
      <c r="F1008" s="122">
        <v>2.0000000000000001E-4</v>
      </c>
      <c r="G1008" s="121">
        <v>0.43533130751999999</v>
      </c>
      <c r="H1008" s="125"/>
      <c r="I1008" s="125"/>
      <c r="J1008" s="126"/>
      <c r="K1008" s="126"/>
    </row>
    <row r="1009" spans="1:11" ht="13.5" customHeight="1">
      <c r="A1009" s="119" t="s">
        <v>496</v>
      </c>
      <c r="B1009" s="119" t="s">
        <v>538</v>
      </c>
      <c r="C1009" s="119" t="s">
        <v>528</v>
      </c>
      <c r="D1009" s="120" t="s">
        <v>76</v>
      </c>
      <c r="E1009" s="121">
        <v>10163.751910000001</v>
      </c>
      <c r="F1009" s="122">
        <v>1.6000000000000001E-4</v>
      </c>
      <c r="G1009" s="121">
        <v>1.6262003056000003</v>
      </c>
      <c r="H1009" s="125"/>
      <c r="I1009" s="125"/>
      <c r="J1009" s="126"/>
      <c r="K1009" s="126"/>
    </row>
    <row r="1010" spans="1:11" ht="13.5" customHeight="1">
      <c r="A1010" s="119" t="s">
        <v>496</v>
      </c>
      <c r="B1010" s="119" t="s">
        <v>538</v>
      </c>
      <c r="C1010" s="119" t="s">
        <v>529</v>
      </c>
      <c r="D1010" s="120" t="s">
        <v>76</v>
      </c>
      <c r="E1010" s="121">
        <v>381.94778880000001</v>
      </c>
      <c r="F1010" s="122">
        <v>1.0149999999999998E-3</v>
      </c>
      <c r="G1010" s="121">
        <v>0.38767700563199997</v>
      </c>
      <c r="H1010" s="125"/>
      <c r="I1010" s="125"/>
      <c r="J1010" s="126"/>
      <c r="K1010" s="126"/>
    </row>
    <row r="1011" spans="1:11" ht="13.5" customHeight="1">
      <c r="A1011" s="119" t="s">
        <v>496</v>
      </c>
      <c r="B1011" s="119" t="s">
        <v>538</v>
      </c>
      <c r="C1011" s="119" t="s">
        <v>530</v>
      </c>
      <c r="D1011" s="120" t="s">
        <v>76</v>
      </c>
      <c r="E1011" s="121">
        <v>2221.9909631999999</v>
      </c>
      <c r="F1011" s="122">
        <v>2.0000000000000001E-4</v>
      </c>
      <c r="G1011" s="121">
        <v>0.44439819264000002</v>
      </c>
      <c r="H1011" s="125">
        <f>SUM(G1002:G1011)</f>
        <v>16.301871668992003</v>
      </c>
      <c r="I1011" s="125"/>
      <c r="J1011" s="126"/>
      <c r="K1011" s="126"/>
    </row>
    <row r="1012" spans="1:11" s="117" customFormat="1" ht="13.5" customHeight="1">
      <c r="A1012" s="127" t="s">
        <v>496</v>
      </c>
      <c r="B1012" s="119" t="s">
        <v>538</v>
      </c>
      <c r="C1012" s="127" t="s">
        <v>532</v>
      </c>
      <c r="D1012" s="128" t="s">
        <v>76</v>
      </c>
      <c r="E1012" s="129">
        <v>215.88353280000001</v>
      </c>
      <c r="F1012" s="130">
        <v>1.0149999999999998E-3</v>
      </c>
      <c r="G1012" s="129">
        <v>0.21912178579199998</v>
      </c>
      <c r="H1012" s="125"/>
      <c r="I1012" s="132">
        <v>0.21912178579199998</v>
      </c>
      <c r="J1012" s="133"/>
      <c r="K1012" s="133"/>
    </row>
    <row r="1013" spans="1:11" s="117" customFormat="1" ht="13.5" customHeight="1">
      <c r="A1013" s="127"/>
      <c r="B1013" s="119"/>
      <c r="C1013" s="127"/>
      <c r="D1013" s="128"/>
      <c r="E1013" s="129"/>
      <c r="F1013" s="130"/>
      <c r="G1013" s="129">
        <f>SUM(G1002:G1012)</f>
        <v>16.520993454784005</v>
      </c>
      <c r="H1013" s="125"/>
      <c r="I1013" s="125"/>
      <c r="J1013" s="133"/>
      <c r="K1013" s="133"/>
    </row>
    <row r="1014" spans="1:11" ht="13.5" customHeight="1">
      <c r="A1014" s="119" t="s">
        <v>498</v>
      </c>
      <c r="B1014" s="119" t="s">
        <v>539</v>
      </c>
      <c r="C1014" s="119" t="s">
        <v>521</v>
      </c>
      <c r="D1014" s="120" t="s">
        <v>76</v>
      </c>
      <c r="E1014" s="121">
        <v>43.040471800000006</v>
      </c>
      <c r="F1014" s="122">
        <v>2.0000000000000001E-4</v>
      </c>
      <c r="G1014" s="121">
        <v>8.6080943600000022E-3</v>
      </c>
      <c r="H1014" s="125"/>
      <c r="I1014" s="125"/>
      <c r="J1014" s="126"/>
      <c r="K1014" s="126"/>
    </row>
    <row r="1015" spans="1:11" ht="13.5" customHeight="1">
      <c r="A1015" s="119" t="s">
        <v>498</v>
      </c>
      <c r="B1015" s="119" t="s">
        <v>539</v>
      </c>
      <c r="C1015" s="119" t="s">
        <v>522</v>
      </c>
      <c r="D1015" s="120" t="s">
        <v>76</v>
      </c>
      <c r="E1015" s="121">
        <v>117.34500840000001</v>
      </c>
      <c r="F1015" s="122">
        <v>2.0000000000000001E-4</v>
      </c>
      <c r="G1015" s="121">
        <v>2.3469001680000004E-2</v>
      </c>
      <c r="H1015" s="125"/>
      <c r="I1015" s="125"/>
      <c r="J1015" s="126"/>
      <c r="K1015" s="126"/>
    </row>
    <row r="1016" spans="1:11" ht="13.5" customHeight="1">
      <c r="A1016" s="119" t="s">
        <v>498</v>
      </c>
      <c r="B1016" s="119" t="s">
        <v>539</v>
      </c>
      <c r="C1016" s="119" t="s">
        <v>523</v>
      </c>
      <c r="D1016" s="120" t="s">
        <v>76</v>
      </c>
      <c r="E1016" s="121">
        <v>39.913030600000006</v>
      </c>
      <c r="F1016" s="122">
        <v>2.0000000000000001E-4</v>
      </c>
      <c r="G1016" s="121">
        <v>7.982606120000001E-3</v>
      </c>
      <c r="H1016" s="125"/>
      <c r="I1016" s="125"/>
      <c r="J1016" s="126"/>
      <c r="K1016" s="126"/>
    </row>
    <row r="1017" spans="1:11" ht="13.5" customHeight="1">
      <c r="A1017" s="119" t="s">
        <v>498</v>
      </c>
      <c r="B1017" s="119" t="s">
        <v>539</v>
      </c>
      <c r="C1017" s="119" t="s">
        <v>524</v>
      </c>
      <c r="D1017" s="120" t="s">
        <v>76</v>
      </c>
      <c r="E1017" s="121">
        <v>12.178654400000001</v>
      </c>
      <c r="F1017" s="122">
        <v>2.0000000000000001E-4</v>
      </c>
      <c r="G1017" s="121">
        <v>2.4357308800000005E-3</v>
      </c>
      <c r="H1017" s="125"/>
      <c r="I1017" s="125"/>
      <c r="J1017" s="126"/>
      <c r="K1017" s="126"/>
    </row>
    <row r="1018" spans="1:11" ht="13.5" customHeight="1">
      <c r="A1018" s="119" t="s">
        <v>498</v>
      </c>
      <c r="B1018" s="119" t="s">
        <v>539</v>
      </c>
      <c r="C1018" s="119" t="s">
        <v>525</v>
      </c>
      <c r="D1018" s="120" t="s">
        <v>76</v>
      </c>
      <c r="E1018" s="121">
        <v>363.05738000000002</v>
      </c>
      <c r="F1018" s="122">
        <v>2.0000000000000001E-4</v>
      </c>
      <c r="G1018" s="121">
        <v>7.2611476000000008E-2</v>
      </c>
      <c r="H1018" s="125"/>
      <c r="I1018" s="125"/>
      <c r="J1018" s="126"/>
      <c r="K1018" s="126"/>
    </row>
    <row r="1019" spans="1:11" ht="13.5" customHeight="1">
      <c r="A1019" s="119" t="s">
        <v>498</v>
      </c>
      <c r="B1019" s="119" t="s">
        <v>539</v>
      </c>
      <c r="C1019" s="119" t="s">
        <v>526</v>
      </c>
      <c r="D1019" s="120" t="s">
        <v>76</v>
      </c>
      <c r="E1019" s="121">
        <v>113.870936</v>
      </c>
      <c r="F1019" s="122">
        <v>2.0000000000000001E-4</v>
      </c>
      <c r="G1019" s="121">
        <v>2.27741872E-2</v>
      </c>
      <c r="H1019" s="125"/>
      <c r="I1019" s="125"/>
      <c r="J1019" s="126"/>
      <c r="K1019" s="126"/>
    </row>
    <row r="1020" spans="1:11" ht="13.5" customHeight="1">
      <c r="A1020" s="119" t="s">
        <v>498</v>
      </c>
      <c r="B1020" s="119" t="s">
        <v>539</v>
      </c>
      <c r="C1020" s="119" t="s">
        <v>527</v>
      </c>
      <c r="D1020" s="120" t="s">
        <v>76</v>
      </c>
      <c r="E1020" s="121">
        <v>38.574361600000003</v>
      </c>
      <c r="F1020" s="122">
        <v>2.0000000000000001E-4</v>
      </c>
      <c r="G1020" s="121">
        <v>7.7148723200000007E-3</v>
      </c>
      <c r="H1020" s="125"/>
      <c r="I1020" s="125"/>
      <c r="J1020" s="126"/>
      <c r="K1020" s="126"/>
    </row>
    <row r="1021" spans="1:11" ht="13.5" customHeight="1">
      <c r="A1021" s="119" t="s">
        <v>498</v>
      </c>
      <c r="B1021" s="119" t="s">
        <v>539</v>
      </c>
      <c r="C1021" s="119" t="s">
        <v>528</v>
      </c>
      <c r="D1021" s="120" t="s">
        <v>76</v>
      </c>
      <c r="E1021" s="121">
        <v>146.79817</v>
      </c>
      <c r="F1021" s="122">
        <v>1.6000000000000001E-4</v>
      </c>
      <c r="G1021" s="121">
        <v>2.3487707200000003E-2</v>
      </c>
      <c r="H1021" s="125"/>
      <c r="I1021" s="125"/>
      <c r="J1021" s="126"/>
      <c r="K1021" s="126"/>
    </row>
    <row r="1022" spans="1:11" ht="13.5" customHeight="1">
      <c r="A1022" s="119" t="s">
        <v>498</v>
      </c>
      <c r="B1022" s="119" t="s">
        <v>539</v>
      </c>
      <c r="C1022" s="119" t="s">
        <v>529</v>
      </c>
      <c r="D1022" s="120" t="s">
        <v>76</v>
      </c>
      <c r="E1022" s="121">
        <v>3689.6977008000003</v>
      </c>
      <c r="F1022" s="122">
        <v>1.0149999999999998E-3</v>
      </c>
      <c r="G1022" s="121">
        <v>3.7450431663119996</v>
      </c>
      <c r="H1022" s="125"/>
      <c r="I1022" s="125"/>
      <c r="J1022" s="126"/>
      <c r="K1022" s="126"/>
    </row>
    <row r="1023" spans="1:11" ht="13.5" customHeight="1">
      <c r="A1023" s="119" t="s">
        <v>498</v>
      </c>
      <c r="B1023" s="119" t="s">
        <v>539</v>
      </c>
      <c r="C1023" s="119" t="s">
        <v>530</v>
      </c>
      <c r="D1023" s="120" t="s">
        <v>76</v>
      </c>
      <c r="E1023" s="121">
        <v>8.7265698</v>
      </c>
      <c r="F1023" s="122">
        <v>2.0000000000000001E-4</v>
      </c>
      <c r="G1023" s="121">
        <v>1.7453139600000001E-3</v>
      </c>
      <c r="H1023" s="125">
        <f>SUM(G1014:G1023)</f>
        <v>3.9158721560319996</v>
      </c>
      <c r="I1023" s="125"/>
      <c r="J1023" s="126"/>
      <c r="K1023" s="126"/>
    </row>
    <row r="1024" spans="1:11" s="117" customFormat="1" ht="13.5" customHeight="1">
      <c r="A1024" s="127" t="s">
        <v>498</v>
      </c>
      <c r="B1024" s="119" t="s">
        <v>539</v>
      </c>
      <c r="C1024" s="127" t="s">
        <v>532</v>
      </c>
      <c r="D1024" s="128" t="s">
        <v>76</v>
      </c>
      <c r="E1024" s="129">
        <v>2041.1093664000002</v>
      </c>
      <c r="F1024" s="130">
        <v>1.0149999999999998E-3</v>
      </c>
      <c r="G1024" s="129">
        <v>2.0717260068959997</v>
      </c>
      <c r="H1024" s="125"/>
      <c r="I1024" s="132">
        <v>2.0717260068959997</v>
      </c>
      <c r="J1024" s="133"/>
      <c r="K1024" s="133"/>
    </row>
    <row r="1025" spans="1:11" s="117" customFormat="1" ht="13.5" customHeight="1">
      <c r="A1025" s="127"/>
      <c r="B1025" s="119"/>
      <c r="C1025" s="127"/>
      <c r="D1025" s="128"/>
      <c r="E1025" s="129"/>
      <c r="F1025" s="130"/>
      <c r="G1025" s="129">
        <f>SUM(G1014:G1024)</f>
        <v>5.9875981629279993</v>
      </c>
      <c r="H1025" s="125"/>
      <c r="I1025" s="125"/>
      <c r="J1025" s="133"/>
      <c r="K1025" s="133"/>
    </row>
    <row r="1026" spans="1:11" ht="13.5" customHeight="1">
      <c r="A1026" s="119" t="s">
        <v>500</v>
      </c>
      <c r="B1026" s="119" t="s">
        <v>540</v>
      </c>
      <c r="C1026" s="119" t="s">
        <v>521</v>
      </c>
      <c r="D1026" s="120" t="s">
        <v>76</v>
      </c>
      <c r="E1026" s="121">
        <v>7817.8087106999992</v>
      </c>
      <c r="F1026" s="122">
        <v>2.0000000000000001E-4</v>
      </c>
      <c r="G1026" s="121">
        <v>1.5635617421399999</v>
      </c>
      <c r="H1026" s="125"/>
      <c r="I1026" s="125"/>
      <c r="J1026" s="126"/>
      <c r="K1026" s="126"/>
    </row>
    <row r="1027" spans="1:11" ht="13.5" customHeight="1">
      <c r="A1027" s="119" t="s">
        <v>500</v>
      </c>
      <c r="B1027" s="119" t="s">
        <v>540</v>
      </c>
      <c r="C1027" s="119" t="s">
        <v>522</v>
      </c>
      <c r="D1027" s="120" t="s">
        <v>76</v>
      </c>
      <c r="E1027" s="121">
        <v>4389.3233496000003</v>
      </c>
      <c r="F1027" s="122">
        <v>2.0000000000000001E-4</v>
      </c>
      <c r="G1027" s="121">
        <v>0.87786466992000012</v>
      </c>
      <c r="H1027" s="125"/>
      <c r="I1027" s="125"/>
      <c r="J1027" s="126"/>
      <c r="K1027" s="126"/>
    </row>
    <row r="1028" spans="1:11" ht="13.5" customHeight="1">
      <c r="A1028" s="119" t="s">
        <v>500</v>
      </c>
      <c r="B1028" s="119" t="s">
        <v>540</v>
      </c>
      <c r="C1028" s="119" t="s">
        <v>523</v>
      </c>
      <c r="D1028" s="120" t="s">
        <v>76</v>
      </c>
      <c r="E1028" s="121">
        <v>1407.2022663</v>
      </c>
      <c r="F1028" s="122">
        <v>2.0000000000000001E-4</v>
      </c>
      <c r="G1028" s="121">
        <v>0.28144045326</v>
      </c>
      <c r="H1028" s="125"/>
      <c r="I1028" s="125"/>
      <c r="J1028" s="126"/>
      <c r="K1028" s="126"/>
    </row>
    <row r="1029" spans="1:11" ht="13.5" customHeight="1">
      <c r="A1029" s="119" t="s">
        <v>500</v>
      </c>
      <c r="B1029" s="119" t="s">
        <v>540</v>
      </c>
      <c r="C1029" s="119" t="s">
        <v>524</v>
      </c>
      <c r="D1029" s="120" t="s">
        <v>76</v>
      </c>
      <c r="E1029" s="121">
        <v>469.81965120000001</v>
      </c>
      <c r="F1029" s="122">
        <v>2.0000000000000001E-4</v>
      </c>
      <c r="G1029" s="121">
        <v>9.3963930240000007E-2</v>
      </c>
      <c r="H1029" s="125"/>
      <c r="I1029" s="125"/>
      <c r="J1029" s="126"/>
      <c r="K1029" s="126"/>
    </row>
    <row r="1030" spans="1:11" ht="13.5" customHeight="1">
      <c r="A1030" s="119" t="s">
        <v>500</v>
      </c>
      <c r="B1030" s="119" t="s">
        <v>540</v>
      </c>
      <c r="C1030" s="119" t="s">
        <v>525</v>
      </c>
      <c r="D1030" s="120" t="s">
        <v>76</v>
      </c>
      <c r="E1030" s="121">
        <v>7143.2320679999993</v>
      </c>
      <c r="F1030" s="122">
        <v>2.0000000000000001E-4</v>
      </c>
      <c r="G1030" s="121">
        <v>1.4286464135999999</v>
      </c>
      <c r="H1030" s="125"/>
      <c r="I1030" s="125"/>
      <c r="J1030" s="126"/>
      <c r="K1030" s="126"/>
    </row>
    <row r="1031" spans="1:11" ht="13.5" customHeight="1">
      <c r="A1031" s="119" t="s">
        <v>500</v>
      </c>
      <c r="B1031" s="119" t="s">
        <v>540</v>
      </c>
      <c r="C1031" s="119" t="s">
        <v>526</v>
      </c>
      <c r="D1031" s="120" t="s">
        <v>76</v>
      </c>
      <c r="E1031" s="121">
        <v>2290.3984571999999</v>
      </c>
      <c r="F1031" s="122">
        <v>2.0000000000000001E-4</v>
      </c>
      <c r="G1031" s="121">
        <v>0.45807969143999999</v>
      </c>
      <c r="H1031" s="125"/>
      <c r="I1031" s="125"/>
      <c r="J1031" s="126"/>
      <c r="K1031" s="126"/>
    </row>
    <row r="1032" spans="1:11" ht="13.5" customHeight="1">
      <c r="A1032" s="119" t="s">
        <v>500</v>
      </c>
      <c r="B1032" s="119" t="s">
        <v>540</v>
      </c>
      <c r="C1032" s="119" t="s">
        <v>527</v>
      </c>
      <c r="D1032" s="120" t="s">
        <v>76</v>
      </c>
      <c r="E1032" s="121">
        <v>762.26419919999989</v>
      </c>
      <c r="F1032" s="122">
        <v>2.0000000000000001E-4</v>
      </c>
      <c r="G1032" s="121">
        <v>0.15245283983999999</v>
      </c>
      <c r="H1032" s="125"/>
      <c r="I1032" s="125"/>
      <c r="J1032" s="126"/>
      <c r="K1032" s="126"/>
    </row>
    <row r="1033" spans="1:11" ht="13.5" customHeight="1">
      <c r="A1033" s="119" t="s">
        <v>500</v>
      </c>
      <c r="B1033" s="119" t="s">
        <v>540</v>
      </c>
      <c r="C1033" s="119" t="s">
        <v>528</v>
      </c>
      <c r="D1033" s="120" t="s">
        <v>76</v>
      </c>
      <c r="E1033" s="121">
        <v>4529.1398099999997</v>
      </c>
      <c r="F1033" s="122">
        <v>1.6000000000000001E-4</v>
      </c>
      <c r="G1033" s="121">
        <v>0.72466236959999997</v>
      </c>
      <c r="H1033" s="125"/>
      <c r="I1033" s="125"/>
      <c r="J1033" s="126"/>
      <c r="K1033" s="126"/>
    </row>
    <row r="1034" spans="1:11" ht="13.5" customHeight="1">
      <c r="A1034" s="119" t="s">
        <v>500</v>
      </c>
      <c r="B1034" s="119" t="s">
        <v>540</v>
      </c>
      <c r="C1034" s="119" t="s">
        <v>529</v>
      </c>
      <c r="D1034" s="120" t="s">
        <v>76</v>
      </c>
      <c r="E1034" s="121">
        <v>332.24383439999997</v>
      </c>
      <c r="F1034" s="122">
        <v>1.0149999999999998E-3</v>
      </c>
      <c r="G1034" s="121">
        <v>0.33722749191599993</v>
      </c>
      <c r="H1034" s="125"/>
      <c r="I1034" s="125"/>
      <c r="J1034" s="126"/>
      <c r="K1034" s="126"/>
    </row>
    <row r="1035" spans="1:11" ht="13.5" customHeight="1">
      <c r="A1035" s="119" t="s">
        <v>500</v>
      </c>
      <c r="B1035" s="119" t="s">
        <v>540</v>
      </c>
      <c r="C1035" s="119" t="s">
        <v>530</v>
      </c>
      <c r="D1035" s="120" t="s">
        <v>76</v>
      </c>
      <c r="E1035" s="121">
        <v>615.4403724</v>
      </c>
      <c r="F1035" s="122">
        <v>2.0000000000000001E-4</v>
      </c>
      <c r="G1035" s="121">
        <v>0.12308807448</v>
      </c>
      <c r="H1035" s="125">
        <f>SUM(G1026:G1035)</f>
        <v>6.040987676436</v>
      </c>
      <c r="I1035" s="125"/>
      <c r="J1035" s="126"/>
      <c r="K1035" s="126"/>
    </row>
    <row r="1036" spans="1:11" s="117" customFormat="1" ht="13.5" customHeight="1">
      <c r="A1036" s="127" t="s">
        <v>500</v>
      </c>
      <c r="B1036" s="119" t="s">
        <v>540</v>
      </c>
      <c r="C1036" s="127" t="s">
        <v>532</v>
      </c>
      <c r="D1036" s="128" t="s">
        <v>76</v>
      </c>
      <c r="E1036" s="129">
        <v>183.60843479999997</v>
      </c>
      <c r="F1036" s="130">
        <v>1.0149999999999998E-3</v>
      </c>
      <c r="G1036" s="129">
        <v>0.18636256132199994</v>
      </c>
      <c r="H1036" s="125"/>
      <c r="I1036" s="132">
        <v>0.18636256132199994</v>
      </c>
      <c r="J1036" s="133"/>
      <c r="K1036" s="133"/>
    </row>
    <row r="1037" spans="1:11" s="117" customFormat="1" ht="13.5" customHeight="1">
      <c r="A1037" s="127"/>
      <c r="B1037" s="119"/>
      <c r="C1037" s="127"/>
      <c r="D1037" s="128"/>
      <c r="E1037" s="129"/>
      <c r="F1037" s="130"/>
      <c r="G1037" s="129">
        <f>SUM(G1026:G1036)</f>
        <v>6.2273502377580003</v>
      </c>
      <c r="H1037" s="125"/>
      <c r="I1037" s="125"/>
      <c r="J1037" s="133"/>
      <c r="K1037" s="133"/>
    </row>
    <row r="1038" spans="1:11" ht="13.5" customHeight="1">
      <c r="A1038" s="119" t="s">
        <v>502</v>
      </c>
      <c r="B1038" s="119" t="s">
        <v>541</v>
      </c>
      <c r="C1038" s="119" t="s">
        <v>521</v>
      </c>
      <c r="D1038" s="120" t="s">
        <v>76</v>
      </c>
      <c r="E1038" s="121">
        <v>5647.8557138999995</v>
      </c>
      <c r="F1038" s="122">
        <v>2.0000000000000001E-4</v>
      </c>
      <c r="G1038" s="121">
        <v>1.1295711427799999</v>
      </c>
      <c r="H1038" s="125"/>
      <c r="I1038" s="125"/>
      <c r="J1038" s="126"/>
      <c r="K1038" s="126"/>
    </row>
    <row r="1039" spans="1:11" ht="13.5" customHeight="1">
      <c r="A1039" s="119" t="s">
        <v>502</v>
      </c>
      <c r="B1039" s="119" t="s">
        <v>541</v>
      </c>
      <c r="C1039" s="119" t="s">
        <v>522</v>
      </c>
      <c r="D1039" s="120" t="s">
        <v>76</v>
      </c>
      <c r="E1039" s="121">
        <v>3171.1102931999999</v>
      </c>
      <c r="F1039" s="122">
        <v>2.0000000000000001E-4</v>
      </c>
      <c r="G1039" s="121">
        <v>0.63422205864000003</v>
      </c>
      <c r="H1039" s="125"/>
      <c r="I1039" s="125"/>
      <c r="J1039" s="126"/>
      <c r="K1039" s="126"/>
    </row>
    <row r="1040" spans="1:11" ht="13.5" customHeight="1">
      <c r="A1040" s="119" t="s">
        <v>502</v>
      </c>
      <c r="B1040" s="119" t="s">
        <v>541</v>
      </c>
      <c r="C1040" s="119" t="s">
        <v>523</v>
      </c>
      <c r="D1040" s="120" t="s">
        <v>76</v>
      </c>
      <c r="E1040" s="121">
        <v>1017.0601611</v>
      </c>
      <c r="F1040" s="122">
        <v>2.0000000000000001E-4</v>
      </c>
      <c r="G1040" s="121">
        <v>0.20341203222000001</v>
      </c>
      <c r="H1040" s="125"/>
      <c r="I1040" s="125"/>
      <c r="J1040" s="126"/>
      <c r="K1040" s="126"/>
    </row>
    <row r="1041" spans="1:11" ht="13.5" customHeight="1">
      <c r="A1041" s="119" t="s">
        <v>502</v>
      </c>
      <c r="B1041" s="119" t="s">
        <v>541</v>
      </c>
      <c r="C1041" s="119" t="s">
        <v>524</v>
      </c>
      <c r="D1041" s="120" t="s">
        <v>76</v>
      </c>
      <c r="E1041" s="121">
        <v>339.02005370000001</v>
      </c>
      <c r="F1041" s="122">
        <v>2.0000000000000001E-4</v>
      </c>
      <c r="G1041" s="121">
        <v>6.7804010740000004E-2</v>
      </c>
      <c r="H1041" s="125"/>
      <c r="I1041" s="125"/>
      <c r="J1041" s="126"/>
      <c r="K1041" s="126"/>
    </row>
    <row r="1042" spans="1:11" ht="13.5" customHeight="1">
      <c r="A1042" s="119" t="s">
        <v>502</v>
      </c>
      <c r="B1042" s="119" t="s">
        <v>541</v>
      </c>
      <c r="C1042" s="119" t="s">
        <v>525</v>
      </c>
      <c r="D1042" s="120" t="s">
        <v>76</v>
      </c>
      <c r="E1042" s="121">
        <v>5158.9760770000003</v>
      </c>
      <c r="F1042" s="122">
        <v>2.0000000000000001E-4</v>
      </c>
      <c r="G1042" s="121">
        <v>1.0317952154000001</v>
      </c>
      <c r="H1042" s="125"/>
      <c r="I1042" s="125"/>
      <c r="J1042" s="126"/>
      <c r="K1042" s="126"/>
    </row>
    <row r="1043" spans="1:11" ht="13.5" customHeight="1">
      <c r="A1043" s="119" t="s">
        <v>502</v>
      </c>
      <c r="B1043" s="119" t="s">
        <v>541</v>
      </c>
      <c r="C1043" s="119" t="s">
        <v>526</v>
      </c>
      <c r="D1043" s="120" t="s">
        <v>76</v>
      </c>
      <c r="E1043" s="121">
        <v>1653.1356375999999</v>
      </c>
      <c r="F1043" s="122">
        <v>2.0000000000000001E-4</v>
      </c>
      <c r="G1043" s="121">
        <v>0.33062712752000001</v>
      </c>
      <c r="H1043" s="125"/>
      <c r="I1043" s="125"/>
      <c r="J1043" s="126"/>
      <c r="K1043" s="126"/>
    </row>
    <row r="1044" spans="1:11" ht="13.5" customHeight="1">
      <c r="A1044" s="119" t="s">
        <v>502</v>
      </c>
      <c r="B1044" s="119" t="s">
        <v>541</v>
      </c>
      <c r="C1044" s="119" t="s">
        <v>527</v>
      </c>
      <c r="D1044" s="120" t="s">
        <v>76</v>
      </c>
      <c r="E1044" s="121">
        <v>549.80877079999993</v>
      </c>
      <c r="F1044" s="122">
        <v>2.0000000000000001E-4</v>
      </c>
      <c r="G1044" s="121">
        <v>0.10996175415999999</v>
      </c>
      <c r="H1044" s="125"/>
      <c r="I1044" s="125"/>
      <c r="J1044" s="126"/>
      <c r="K1044" s="126"/>
    </row>
    <row r="1045" spans="1:11" ht="13.5" customHeight="1">
      <c r="A1045" s="119" t="s">
        <v>502</v>
      </c>
      <c r="B1045" s="119" t="s">
        <v>541</v>
      </c>
      <c r="C1045" s="119" t="s">
        <v>528</v>
      </c>
      <c r="D1045" s="120" t="s">
        <v>76</v>
      </c>
      <c r="E1045" s="121">
        <v>3127.5761899999998</v>
      </c>
      <c r="F1045" s="122">
        <v>1.6000000000000001E-4</v>
      </c>
      <c r="G1045" s="121">
        <v>0.50041219039999996</v>
      </c>
      <c r="H1045" s="125"/>
      <c r="I1045" s="125"/>
      <c r="J1045" s="126"/>
      <c r="K1045" s="126"/>
    </row>
    <row r="1046" spans="1:11" ht="13.5" customHeight="1">
      <c r="A1046" s="119" t="s">
        <v>502</v>
      </c>
      <c r="B1046" s="119" t="s">
        <v>541</v>
      </c>
      <c r="C1046" s="119" t="s">
        <v>529</v>
      </c>
      <c r="D1046" s="120" t="s">
        <v>76</v>
      </c>
      <c r="E1046" s="121">
        <v>764.50152600000001</v>
      </c>
      <c r="F1046" s="122">
        <v>1.0149999999999998E-3</v>
      </c>
      <c r="G1046" s="121">
        <v>0.77596904888999985</v>
      </c>
      <c r="H1046" s="125"/>
      <c r="I1046" s="125"/>
      <c r="J1046" s="126"/>
      <c r="K1046" s="126"/>
    </row>
    <row r="1047" spans="1:11" ht="13.5" customHeight="1">
      <c r="A1047" s="119" t="s">
        <v>502</v>
      </c>
      <c r="B1047" s="119" t="s">
        <v>541</v>
      </c>
      <c r="C1047" s="119" t="s">
        <v>530</v>
      </c>
      <c r="D1047" s="120" t="s">
        <v>76</v>
      </c>
      <c r="E1047" s="121">
        <v>457.28991390000004</v>
      </c>
      <c r="F1047" s="122">
        <v>2.0000000000000001E-4</v>
      </c>
      <c r="G1047" s="121">
        <v>9.1457982780000016E-2</v>
      </c>
      <c r="H1047" s="125">
        <f>SUM(G1038:G1047)</f>
        <v>4.8752325635299991</v>
      </c>
      <c r="I1047" s="125"/>
      <c r="J1047" s="126"/>
      <c r="K1047" s="126"/>
    </row>
    <row r="1048" spans="1:11" s="117" customFormat="1" ht="13.5" customHeight="1">
      <c r="A1048" s="127" t="s">
        <v>502</v>
      </c>
      <c r="B1048" s="119" t="s">
        <v>541</v>
      </c>
      <c r="C1048" s="127" t="s">
        <v>532</v>
      </c>
      <c r="D1048" s="128" t="s">
        <v>76</v>
      </c>
      <c r="E1048" s="129">
        <v>427.22144099999997</v>
      </c>
      <c r="F1048" s="130">
        <v>1.0149999999999998E-3</v>
      </c>
      <c r="G1048" s="129">
        <v>0.43362976261499991</v>
      </c>
      <c r="H1048" s="125"/>
      <c r="I1048" s="132">
        <v>0.43362976261499991</v>
      </c>
      <c r="J1048" s="133"/>
      <c r="K1048" s="133"/>
    </row>
    <row r="1049" spans="1:11" s="117" customFormat="1" ht="13.5" customHeight="1">
      <c r="A1049" s="127"/>
      <c r="B1049" s="119"/>
      <c r="C1049" s="127"/>
      <c r="D1049" s="128"/>
      <c r="E1049" s="129"/>
      <c r="F1049" s="130"/>
      <c r="G1049" s="129">
        <f>SUM(G1038:G1048)</f>
        <v>5.3088623261449994</v>
      </c>
      <c r="H1049" s="125"/>
      <c r="I1049" s="125"/>
      <c r="J1049" s="133"/>
      <c r="K1049" s="133"/>
    </row>
    <row r="1050" spans="1:11" ht="13.5" customHeight="1">
      <c r="A1050" s="119" t="s">
        <v>504</v>
      </c>
      <c r="B1050" s="119" t="s">
        <v>542</v>
      </c>
      <c r="C1050" s="119" t="s">
        <v>521</v>
      </c>
      <c r="D1050" s="120" t="s">
        <v>76</v>
      </c>
      <c r="E1050" s="121">
        <v>13280.737258800002</v>
      </c>
      <c r="F1050" s="122">
        <v>2.0000000000000001E-4</v>
      </c>
      <c r="G1050" s="121">
        <v>2.6561474517600003</v>
      </c>
      <c r="H1050" s="125"/>
      <c r="I1050" s="125"/>
      <c r="J1050" s="126"/>
      <c r="K1050" s="126"/>
    </row>
    <row r="1051" spans="1:11" ht="13.5" customHeight="1">
      <c r="A1051" s="119" t="s">
        <v>504</v>
      </c>
      <c r="B1051" s="119" t="s">
        <v>542</v>
      </c>
      <c r="C1051" s="119" t="s">
        <v>522</v>
      </c>
      <c r="D1051" s="120" t="s">
        <v>76</v>
      </c>
      <c r="E1051" s="121">
        <v>7455.6801336000008</v>
      </c>
      <c r="F1051" s="122">
        <v>2.0000000000000001E-4</v>
      </c>
      <c r="G1051" s="121">
        <v>1.4911360267200002</v>
      </c>
      <c r="H1051" s="125"/>
      <c r="I1051" s="125"/>
      <c r="J1051" s="126"/>
      <c r="K1051" s="126"/>
    </row>
    <row r="1052" spans="1:11" ht="13.5" customHeight="1">
      <c r="A1052" s="119" t="s">
        <v>504</v>
      </c>
      <c r="B1052" s="119" t="s">
        <v>542</v>
      </c>
      <c r="C1052" s="119" t="s">
        <v>523</v>
      </c>
      <c r="D1052" s="120" t="s">
        <v>76</v>
      </c>
      <c r="E1052" s="121">
        <v>2392.5080388000001</v>
      </c>
      <c r="F1052" s="122">
        <v>2.0000000000000001E-4</v>
      </c>
      <c r="G1052" s="121">
        <v>0.47850160776000006</v>
      </c>
      <c r="H1052" s="125"/>
      <c r="I1052" s="125"/>
      <c r="J1052" s="126"/>
      <c r="K1052" s="126"/>
    </row>
    <row r="1053" spans="1:11" ht="13.5" customHeight="1">
      <c r="A1053" s="119" t="s">
        <v>504</v>
      </c>
      <c r="B1053" s="119" t="s">
        <v>542</v>
      </c>
      <c r="C1053" s="119" t="s">
        <v>524</v>
      </c>
      <c r="D1053" s="120" t="s">
        <v>76</v>
      </c>
      <c r="E1053" s="121">
        <v>798.12092480000013</v>
      </c>
      <c r="F1053" s="122">
        <v>2.0000000000000001E-4</v>
      </c>
      <c r="G1053" s="121">
        <v>0.15962418496000003</v>
      </c>
      <c r="H1053" s="125"/>
      <c r="I1053" s="125"/>
      <c r="J1053" s="126"/>
      <c r="K1053" s="126"/>
    </row>
    <row r="1054" spans="1:11" ht="13.5" customHeight="1">
      <c r="A1054" s="119" t="s">
        <v>504</v>
      </c>
      <c r="B1054" s="119" t="s">
        <v>542</v>
      </c>
      <c r="C1054" s="119" t="s">
        <v>525</v>
      </c>
      <c r="D1054" s="120" t="s">
        <v>76</v>
      </c>
      <c r="E1054" s="121">
        <v>12131.259050400002</v>
      </c>
      <c r="F1054" s="122">
        <v>2.0000000000000001E-4</v>
      </c>
      <c r="G1054" s="121">
        <v>2.4262518100800006</v>
      </c>
      <c r="H1054" s="125"/>
      <c r="I1054" s="125"/>
      <c r="J1054" s="126"/>
      <c r="K1054" s="126"/>
    </row>
    <row r="1055" spans="1:11" ht="13.5" customHeight="1">
      <c r="A1055" s="119" t="s">
        <v>504</v>
      </c>
      <c r="B1055" s="119" t="s">
        <v>542</v>
      </c>
      <c r="C1055" s="119" t="s">
        <v>526</v>
      </c>
      <c r="D1055" s="120" t="s">
        <v>76</v>
      </c>
      <c r="E1055" s="121">
        <v>3889.9987983999999</v>
      </c>
      <c r="F1055" s="122">
        <v>2.0000000000000001E-4</v>
      </c>
      <c r="G1055" s="121">
        <v>0.77799975968000001</v>
      </c>
      <c r="H1055" s="125"/>
      <c r="I1055" s="125"/>
      <c r="J1055" s="126"/>
      <c r="K1055" s="126"/>
    </row>
    <row r="1056" spans="1:11" ht="13.5" customHeight="1">
      <c r="A1056" s="119" t="s">
        <v>504</v>
      </c>
      <c r="B1056" s="119" t="s">
        <v>542</v>
      </c>
      <c r="C1056" s="119" t="s">
        <v>527</v>
      </c>
      <c r="D1056" s="120" t="s">
        <v>76</v>
      </c>
      <c r="E1056" s="121">
        <v>1295.4849608</v>
      </c>
      <c r="F1056" s="122">
        <v>2.0000000000000001E-4</v>
      </c>
      <c r="G1056" s="121">
        <v>0.25909699215999998</v>
      </c>
      <c r="H1056" s="125"/>
      <c r="I1056" s="125"/>
      <c r="J1056" s="126"/>
      <c r="K1056" s="126"/>
    </row>
    <row r="1057" spans="1:11" ht="13.5" customHeight="1">
      <c r="A1057" s="119" t="s">
        <v>504</v>
      </c>
      <c r="B1057" s="119" t="s">
        <v>542</v>
      </c>
      <c r="C1057" s="119" t="s">
        <v>528</v>
      </c>
      <c r="D1057" s="120" t="s">
        <v>76</v>
      </c>
      <c r="E1057" s="121">
        <v>4965.5808400000005</v>
      </c>
      <c r="F1057" s="122">
        <v>1.6000000000000001E-4</v>
      </c>
      <c r="G1057" s="121">
        <v>0.79449293440000013</v>
      </c>
      <c r="H1057" s="125"/>
      <c r="I1057" s="125"/>
      <c r="J1057" s="126"/>
      <c r="K1057" s="126"/>
    </row>
    <row r="1058" spans="1:11" ht="13.5" customHeight="1">
      <c r="A1058" s="119" t="s">
        <v>504</v>
      </c>
      <c r="B1058" s="119" t="s">
        <v>542</v>
      </c>
      <c r="C1058" s="119" t="s">
        <v>529</v>
      </c>
      <c r="D1058" s="120" t="s">
        <v>76</v>
      </c>
      <c r="E1058" s="121">
        <v>65.420172000000008</v>
      </c>
      <c r="F1058" s="122">
        <v>1.0149999999999998E-3</v>
      </c>
      <c r="G1058" s="121">
        <v>6.6401474579999994E-2</v>
      </c>
      <c r="H1058" s="125"/>
      <c r="I1058" s="125"/>
      <c r="J1058" s="126"/>
      <c r="K1058" s="126"/>
    </row>
    <row r="1059" spans="1:11" ht="13.5" customHeight="1">
      <c r="A1059" s="119" t="s">
        <v>504</v>
      </c>
      <c r="B1059" s="119" t="s">
        <v>542</v>
      </c>
      <c r="C1059" s="119" t="s">
        <v>530</v>
      </c>
      <c r="D1059" s="120" t="s">
        <v>76</v>
      </c>
      <c r="E1059" s="121">
        <v>1564.7410926</v>
      </c>
      <c r="F1059" s="122">
        <v>2.0000000000000001E-4</v>
      </c>
      <c r="G1059" s="121">
        <v>0.31294821851999999</v>
      </c>
      <c r="H1059" s="125">
        <f>SUM(G1050:G1059)</f>
        <v>9.4226004606200018</v>
      </c>
      <c r="I1059" s="125"/>
      <c r="J1059" s="126"/>
      <c r="K1059" s="126"/>
    </row>
    <row r="1060" spans="1:11" s="117" customFormat="1" ht="13.5" customHeight="1">
      <c r="A1060" s="127" t="s">
        <v>504</v>
      </c>
      <c r="B1060" s="119" t="s">
        <v>542</v>
      </c>
      <c r="C1060" s="127" t="s">
        <v>532</v>
      </c>
      <c r="D1060" s="128" t="s">
        <v>76</v>
      </c>
      <c r="E1060" s="129">
        <v>32.710086000000004</v>
      </c>
      <c r="F1060" s="130">
        <v>1.0149999999999998E-3</v>
      </c>
      <c r="G1060" s="129">
        <v>3.3200737289999997E-2</v>
      </c>
      <c r="H1060" s="125"/>
      <c r="I1060" s="132">
        <v>3.3200737289999997E-2</v>
      </c>
      <c r="J1060" s="133"/>
      <c r="K1060" s="133"/>
    </row>
    <row r="1061" spans="1:11" s="117" customFormat="1" ht="13.5" customHeight="1">
      <c r="A1061" s="127"/>
      <c r="B1061" s="144"/>
      <c r="C1061" s="127"/>
      <c r="D1061" s="128"/>
      <c r="E1061" s="129"/>
      <c r="F1061" s="130"/>
      <c r="G1061" s="129">
        <f>SUM(G1050:G1060)</f>
        <v>9.4558011979100023</v>
      </c>
      <c r="H1061" s="125"/>
      <c r="I1061" s="125"/>
      <c r="J1061" s="133"/>
      <c r="K1061" s="133"/>
    </row>
    <row r="1062" spans="1:11" ht="13.5" customHeight="1">
      <c r="A1062" s="119" t="s">
        <v>506</v>
      </c>
      <c r="B1062" s="115" t="s">
        <v>543</v>
      </c>
      <c r="C1062" s="119" t="s">
        <v>521</v>
      </c>
      <c r="D1062" s="120" t="s">
        <v>76</v>
      </c>
      <c r="E1062" s="121">
        <v>21620.146499999999</v>
      </c>
      <c r="F1062" s="122">
        <v>2.0000000000000001E-4</v>
      </c>
      <c r="G1062" s="121">
        <v>4.3240293000000003</v>
      </c>
      <c r="H1062" s="125"/>
      <c r="I1062" s="125"/>
      <c r="J1062" s="126"/>
      <c r="K1062" s="126"/>
    </row>
    <row r="1063" spans="1:11" ht="13.5" customHeight="1">
      <c r="A1063" s="119" t="s">
        <v>506</v>
      </c>
      <c r="B1063" s="115" t="s">
        <v>543</v>
      </c>
      <c r="C1063" s="119" t="s">
        <v>522</v>
      </c>
      <c r="D1063" s="120" t="s">
        <v>76</v>
      </c>
      <c r="E1063" s="121">
        <v>29185.711650000001</v>
      </c>
      <c r="F1063" s="122">
        <v>2.0000000000000001E-4</v>
      </c>
      <c r="G1063" s="121">
        <v>5.8371423300000007</v>
      </c>
      <c r="H1063" s="125"/>
      <c r="I1063" s="125"/>
      <c r="J1063" s="126"/>
      <c r="K1063" s="126"/>
    </row>
    <row r="1064" spans="1:11" ht="13.5" customHeight="1">
      <c r="A1064" s="119" t="s">
        <v>506</v>
      </c>
      <c r="B1064" s="115" t="s">
        <v>543</v>
      </c>
      <c r="C1064" s="119" t="s">
        <v>523</v>
      </c>
      <c r="D1064" s="120" t="s">
        <v>76</v>
      </c>
      <c r="E1064" s="121">
        <v>9483.1419600000008</v>
      </c>
      <c r="F1064" s="122">
        <v>2.0000000000000001E-4</v>
      </c>
      <c r="G1064" s="121">
        <v>1.8966283920000002</v>
      </c>
      <c r="H1064" s="125"/>
      <c r="I1064" s="125"/>
      <c r="J1064" s="126"/>
      <c r="K1064" s="126"/>
    </row>
    <row r="1065" spans="1:11" ht="13.5" customHeight="1">
      <c r="A1065" s="119" t="s">
        <v>506</v>
      </c>
      <c r="B1065" s="115" t="s">
        <v>543</v>
      </c>
      <c r="C1065" s="119" t="s">
        <v>524</v>
      </c>
      <c r="D1065" s="120" t="s">
        <v>76</v>
      </c>
      <c r="E1065" s="121">
        <v>3298.9597200000003</v>
      </c>
      <c r="F1065" s="122">
        <v>2.0000000000000001E-4</v>
      </c>
      <c r="G1065" s="121">
        <v>0.65979194400000007</v>
      </c>
      <c r="H1065" s="125"/>
      <c r="I1065" s="125"/>
      <c r="J1065" s="126"/>
      <c r="K1065" s="126"/>
    </row>
    <row r="1066" spans="1:11" ht="13.5" customHeight="1">
      <c r="A1066" s="119" t="s">
        <v>506</v>
      </c>
      <c r="B1066" s="115" t="s">
        <v>543</v>
      </c>
      <c r="C1066" s="119" t="s">
        <v>525</v>
      </c>
      <c r="D1066" s="120" t="s">
        <v>76</v>
      </c>
      <c r="E1066" s="121">
        <v>46483.37442</v>
      </c>
      <c r="F1066" s="122">
        <v>2.0000000000000001E-4</v>
      </c>
      <c r="G1066" s="121">
        <v>9.2966748839999998</v>
      </c>
      <c r="H1066" s="125"/>
      <c r="I1066" s="125"/>
      <c r="J1066" s="126"/>
      <c r="K1066" s="126"/>
    </row>
    <row r="1067" spans="1:11" ht="13.5" customHeight="1">
      <c r="A1067" s="119" t="s">
        <v>506</v>
      </c>
      <c r="B1067" s="115" t="s">
        <v>543</v>
      </c>
      <c r="C1067" s="119" t="s">
        <v>526</v>
      </c>
      <c r="D1067" s="120" t="s">
        <v>76</v>
      </c>
      <c r="E1067" s="121">
        <v>15350.60124</v>
      </c>
      <c r="F1067" s="122">
        <v>2.0000000000000001E-4</v>
      </c>
      <c r="G1067" s="121">
        <v>3.0701202480000003</v>
      </c>
      <c r="H1067" s="125"/>
      <c r="I1067" s="125"/>
      <c r="J1067" s="126"/>
      <c r="K1067" s="126"/>
    </row>
    <row r="1068" spans="1:11" ht="13.5" customHeight="1">
      <c r="A1068" s="119" t="s">
        <v>506</v>
      </c>
      <c r="B1068" s="115" t="s">
        <v>543</v>
      </c>
      <c r="C1068" s="119" t="s">
        <v>527</v>
      </c>
      <c r="D1068" s="120" t="s">
        <v>76</v>
      </c>
      <c r="E1068" s="121">
        <v>5305.8229199999996</v>
      </c>
      <c r="F1068" s="122">
        <v>2.0000000000000001E-4</v>
      </c>
      <c r="G1068" s="121">
        <v>1.0611645839999999</v>
      </c>
      <c r="H1068" s="125"/>
      <c r="I1068" s="125"/>
      <c r="J1068" s="126"/>
      <c r="K1068" s="126"/>
    </row>
    <row r="1069" spans="1:11" ht="13.5" customHeight="1">
      <c r="A1069" s="119" t="s">
        <v>506</v>
      </c>
      <c r="B1069" s="115" t="s">
        <v>543</v>
      </c>
      <c r="C1069" s="119" t="s">
        <v>528</v>
      </c>
      <c r="D1069" s="120" t="s">
        <v>76</v>
      </c>
      <c r="E1069" s="121">
        <v>9339</v>
      </c>
      <c r="F1069" s="122">
        <v>1.6000000000000001E-4</v>
      </c>
      <c r="G1069" s="121">
        <v>1.49424</v>
      </c>
      <c r="H1069" s="125"/>
      <c r="I1069" s="125"/>
      <c r="J1069" s="126"/>
      <c r="K1069" s="126"/>
    </row>
    <row r="1070" spans="1:11" ht="13.5" customHeight="1">
      <c r="A1070" s="119" t="s">
        <v>506</v>
      </c>
      <c r="B1070" s="115" t="s">
        <v>543</v>
      </c>
      <c r="C1070" s="119" t="s">
        <v>529</v>
      </c>
      <c r="D1070" s="120" t="s">
        <v>76</v>
      </c>
      <c r="E1070" s="121">
        <v>2013.9966000000002</v>
      </c>
      <c r="F1070" s="122">
        <v>1.0149999999999998E-3</v>
      </c>
      <c r="G1070" s="121">
        <v>2.0442065489999997</v>
      </c>
      <c r="H1070" s="125"/>
      <c r="I1070" s="125"/>
      <c r="J1070" s="126"/>
      <c r="K1070" s="126"/>
    </row>
    <row r="1071" spans="1:11" ht="13.5" customHeight="1">
      <c r="A1071" s="119" t="s">
        <v>506</v>
      </c>
      <c r="B1071" s="115" t="s">
        <v>543</v>
      </c>
      <c r="C1071" s="119" t="s">
        <v>530</v>
      </c>
      <c r="D1071" s="120" t="s">
        <v>76</v>
      </c>
      <c r="E1071" s="121">
        <v>30364.042329000004</v>
      </c>
      <c r="F1071" s="122">
        <v>2.0000000000000001E-4</v>
      </c>
      <c r="G1071" s="121">
        <v>6.0728084658000006</v>
      </c>
      <c r="H1071" s="125">
        <f>SUM(G1062:G1071)</f>
        <v>35.756806696799998</v>
      </c>
      <c r="I1071" s="125"/>
      <c r="J1071" s="126"/>
      <c r="K1071" s="126"/>
    </row>
    <row r="1072" spans="1:11" s="117" customFormat="1" ht="13.5" customHeight="1">
      <c r="A1072" s="127" t="s">
        <v>506</v>
      </c>
      <c r="B1072" s="115" t="s">
        <v>543</v>
      </c>
      <c r="C1072" s="127" t="s">
        <v>532</v>
      </c>
      <c r="D1072" s="128" t="s">
        <v>76</v>
      </c>
      <c r="E1072" s="129">
        <v>1911.7512000000002</v>
      </c>
      <c r="F1072" s="130">
        <v>1.0149999999999998E-3</v>
      </c>
      <c r="G1072" s="129">
        <v>1.9404274679999998</v>
      </c>
      <c r="H1072" s="131"/>
      <c r="I1072" s="132">
        <v>1.9404274679999998</v>
      </c>
      <c r="J1072" s="133"/>
      <c r="K1072" s="133"/>
    </row>
    <row r="1073" spans="1:11" s="117" customFormat="1" ht="13.5" customHeight="1">
      <c r="A1073" s="127"/>
      <c r="B1073" s="115"/>
      <c r="C1073" s="127"/>
      <c r="D1073" s="128"/>
      <c r="E1073" s="129"/>
      <c r="F1073" s="130"/>
      <c r="G1073" s="129">
        <f>SUM(G1062:G1072)</f>
        <v>37.697234164800001</v>
      </c>
      <c r="H1073" s="125"/>
      <c r="I1073" s="125"/>
      <c r="J1073" s="133"/>
      <c r="K1073" s="133"/>
    </row>
    <row r="1074" spans="1:11" ht="13.5" customHeight="1">
      <c r="A1074" s="119"/>
      <c r="B1074" s="119"/>
      <c r="C1074" s="119"/>
      <c r="D1074" s="120"/>
      <c r="E1074" s="121"/>
      <c r="F1074" s="122"/>
      <c r="G1074" s="129">
        <f>SUM(G906:G1073)/2</f>
        <v>218.02758935563898</v>
      </c>
      <c r="H1074" s="125">
        <f>SUM(H915:H1071)</f>
        <v>185.25930625119403</v>
      </c>
      <c r="I1074" s="125">
        <f>SUM(I915:I1072)</f>
        <v>32.768283104444997</v>
      </c>
      <c r="J1074" s="126"/>
      <c r="K1074" s="126"/>
    </row>
    <row r="1075" spans="1:11" ht="13.5" customHeight="1">
      <c r="A1075" s="119" t="s">
        <v>467</v>
      </c>
      <c r="B1075" s="119" t="s">
        <v>520</v>
      </c>
      <c r="C1075" s="119" t="s">
        <v>521</v>
      </c>
      <c r="D1075" s="120" t="s">
        <v>1</v>
      </c>
      <c r="E1075" s="121">
        <v>993.98954060000017</v>
      </c>
      <c r="F1075" s="122">
        <v>9.4500000000000001E-3</v>
      </c>
      <c r="G1075" s="121">
        <v>9.393201158670001</v>
      </c>
      <c r="H1075" s="125"/>
      <c r="I1075" s="125"/>
      <c r="J1075" s="126"/>
      <c r="K1075" s="126"/>
    </row>
    <row r="1076" spans="1:11" ht="13.5" customHeight="1">
      <c r="A1076" s="119" t="s">
        <v>467</v>
      </c>
      <c r="B1076" s="119" t="s">
        <v>520</v>
      </c>
      <c r="C1076" s="119" t="s">
        <v>522</v>
      </c>
      <c r="D1076" s="120" t="s">
        <v>1</v>
      </c>
      <c r="E1076" s="121">
        <v>2716.9626024000004</v>
      </c>
      <c r="F1076" s="122">
        <v>2.6499999999999999E-2</v>
      </c>
      <c r="G1076" s="121">
        <v>71.999508963600007</v>
      </c>
      <c r="H1076" s="125"/>
      <c r="I1076" s="125"/>
      <c r="J1076" s="126"/>
      <c r="K1076" s="126"/>
    </row>
    <row r="1077" spans="1:11" ht="13.5" customHeight="1">
      <c r="A1077" s="119" t="s">
        <v>467</v>
      </c>
      <c r="B1077" s="119" t="s">
        <v>520</v>
      </c>
      <c r="C1077" s="119" t="s">
        <v>523</v>
      </c>
      <c r="D1077" s="120" t="s">
        <v>1</v>
      </c>
      <c r="E1077" s="121">
        <v>872.38277920000007</v>
      </c>
      <c r="F1077" s="122">
        <v>6.0000000000000001E-3</v>
      </c>
      <c r="G1077" s="121">
        <v>5.2342966752000004</v>
      </c>
      <c r="H1077" s="125"/>
      <c r="I1077" s="125"/>
      <c r="J1077" s="126"/>
      <c r="K1077" s="126"/>
    </row>
    <row r="1078" spans="1:11" ht="13.5" customHeight="1">
      <c r="A1078" s="119" t="s">
        <v>467</v>
      </c>
      <c r="B1078" s="119" t="s">
        <v>520</v>
      </c>
      <c r="C1078" s="119" t="s">
        <v>524</v>
      </c>
      <c r="D1078" s="120" t="s">
        <v>1</v>
      </c>
      <c r="E1078" s="121">
        <v>292.42739280000001</v>
      </c>
      <c r="F1078" s="122">
        <v>7.4999999999999997E-3</v>
      </c>
      <c r="G1078" s="121">
        <v>2.1932054459999999</v>
      </c>
      <c r="H1078" s="125"/>
      <c r="I1078" s="125"/>
      <c r="J1078" s="126"/>
      <c r="K1078" s="126"/>
    </row>
    <row r="1079" spans="1:11" ht="13.5" customHeight="1">
      <c r="A1079" s="119" t="s">
        <v>467</v>
      </c>
      <c r="B1079" s="119" t="s">
        <v>520</v>
      </c>
      <c r="C1079" s="119" t="s">
        <v>525</v>
      </c>
      <c r="D1079" s="120" t="s">
        <v>1</v>
      </c>
      <c r="E1079" s="121">
        <v>8195.6239264000014</v>
      </c>
      <c r="F1079" s="122">
        <v>2.6499999999999999E-2</v>
      </c>
      <c r="G1079" s="121">
        <v>217.18403404960003</v>
      </c>
      <c r="H1079" s="125"/>
      <c r="I1079" s="125"/>
      <c r="J1079" s="126"/>
      <c r="K1079" s="126"/>
    </row>
    <row r="1080" spans="1:11" ht="13.5" customHeight="1">
      <c r="A1080" s="119" t="s">
        <v>467</v>
      </c>
      <c r="B1080" s="119" t="s">
        <v>520</v>
      </c>
      <c r="C1080" s="119" t="s">
        <v>526</v>
      </c>
      <c r="D1080" s="120" t="s">
        <v>1</v>
      </c>
      <c r="E1080" s="121">
        <v>2625.3174520000002</v>
      </c>
      <c r="F1080" s="122">
        <v>6.0000000000000001E-3</v>
      </c>
      <c r="G1080" s="121">
        <v>15.751904712000002</v>
      </c>
      <c r="H1080" s="125"/>
      <c r="I1080" s="125"/>
      <c r="J1080" s="126"/>
      <c r="K1080" s="126"/>
    </row>
    <row r="1081" spans="1:11" ht="13.5" customHeight="1">
      <c r="A1081" s="119" t="s">
        <v>467</v>
      </c>
      <c r="B1081" s="119" t="s">
        <v>520</v>
      </c>
      <c r="C1081" s="119" t="s">
        <v>527</v>
      </c>
      <c r="D1081" s="120" t="s">
        <v>1</v>
      </c>
      <c r="E1081" s="121">
        <v>873.92451200000005</v>
      </c>
      <c r="F1081" s="122">
        <v>7.4999999999999997E-3</v>
      </c>
      <c r="G1081" s="121">
        <v>6.5544338399999997</v>
      </c>
      <c r="H1081" s="125"/>
      <c r="I1081" s="125"/>
      <c r="J1081" s="126"/>
      <c r="K1081" s="126"/>
    </row>
    <row r="1082" spans="1:11" ht="13.5" customHeight="1">
      <c r="A1082" s="119" t="s">
        <v>467</v>
      </c>
      <c r="B1082" s="119" t="s">
        <v>520</v>
      </c>
      <c r="C1082" s="119" t="s">
        <v>528</v>
      </c>
      <c r="D1082" s="120" t="s">
        <v>1</v>
      </c>
      <c r="E1082" s="121">
        <v>3401.9963200000002</v>
      </c>
      <c r="F1082" s="122">
        <v>2.05E-5</v>
      </c>
      <c r="G1082" s="121">
        <v>6.9740924560000001E-2</v>
      </c>
      <c r="H1082" s="125"/>
      <c r="I1082" s="125"/>
      <c r="J1082" s="126"/>
      <c r="K1082" s="126"/>
    </row>
    <row r="1083" spans="1:11" ht="13.5" customHeight="1">
      <c r="A1083" s="119" t="s">
        <v>467</v>
      </c>
      <c r="B1083" s="119" t="s">
        <v>520</v>
      </c>
      <c r="C1083" s="119" t="s">
        <v>529</v>
      </c>
      <c r="D1083" s="120" t="s">
        <v>1</v>
      </c>
      <c r="E1083" s="121">
        <v>1517.7479903999999</v>
      </c>
      <c r="F1083" s="122">
        <v>5.8999999999999999E-3</v>
      </c>
      <c r="G1083" s="121">
        <v>8.9547131433599993</v>
      </c>
      <c r="H1083" s="125"/>
      <c r="I1083" s="125"/>
      <c r="J1083" s="126"/>
      <c r="K1083" s="126"/>
    </row>
    <row r="1084" spans="1:11" ht="13.5" customHeight="1">
      <c r="A1084" s="119" t="s">
        <v>467</v>
      </c>
      <c r="B1084" s="119" t="s">
        <v>520</v>
      </c>
      <c r="C1084" s="119" t="s">
        <v>530</v>
      </c>
      <c r="D1084" s="120" t="s">
        <v>1</v>
      </c>
      <c r="E1084" s="121">
        <v>210.78022440000004</v>
      </c>
      <c r="F1084" s="122">
        <v>9.4500000000000001E-3</v>
      </c>
      <c r="G1084" s="121">
        <v>1.9918731205800004</v>
      </c>
      <c r="H1084" s="125"/>
      <c r="I1084" s="125"/>
      <c r="J1084" s="126"/>
      <c r="K1084" s="126"/>
    </row>
    <row r="1085" spans="1:11" ht="13.5" customHeight="1">
      <c r="A1085" s="119" t="s">
        <v>467</v>
      </c>
      <c r="B1085" s="119" t="s">
        <v>520</v>
      </c>
      <c r="C1085" s="119" t="s">
        <v>531</v>
      </c>
      <c r="D1085" s="120" t="s">
        <v>1</v>
      </c>
      <c r="E1085" s="121">
        <v>232.12559475</v>
      </c>
      <c r="F1085" s="122">
        <v>1.9779999999999999E-2</v>
      </c>
      <c r="G1085" s="121">
        <v>4.5914442641550002</v>
      </c>
      <c r="H1085" s="125">
        <f>SUM(G1075:G1085)</f>
        <v>343.91835629772498</v>
      </c>
      <c r="I1085" s="125"/>
      <c r="J1085" s="126"/>
      <c r="K1085" s="126"/>
    </row>
    <row r="1086" spans="1:11" s="117" customFormat="1" ht="13.5" customHeight="1">
      <c r="A1086" s="127" t="s">
        <v>467</v>
      </c>
      <c r="B1086" s="119" t="s">
        <v>520</v>
      </c>
      <c r="C1086" s="127" t="s">
        <v>532</v>
      </c>
      <c r="D1086" s="128" t="s">
        <v>1</v>
      </c>
      <c r="E1086" s="129">
        <v>837.37820160000001</v>
      </c>
      <c r="F1086" s="130">
        <v>3.3700000000000001E-2</v>
      </c>
      <c r="G1086" s="129">
        <v>28.21964539392</v>
      </c>
      <c r="H1086" s="125"/>
      <c r="I1086" s="132">
        <v>28.21964539392</v>
      </c>
      <c r="J1086" s="133">
        <f>SUM(G1086*0.125)/92</f>
        <v>3.8341909502608698E-2</v>
      </c>
      <c r="K1086" s="133"/>
    </row>
    <row r="1087" spans="1:11" s="117" customFormat="1" ht="13.5" customHeight="1">
      <c r="A1087" s="127"/>
      <c r="B1087" s="119"/>
      <c r="C1087" s="127"/>
      <c r="D1087" s="128"/>
      <c r="E1087" s="129"/>
      <c r="F1087" s="130"/>
      <c r="G1087" s="129">
        <f>SUM(G1075:G1086)</f>
        <v>372.138001691645</v>
      </c>
      <c r="H1087" s="125"/>
      <c r="I1087" s="125"/>
      <c r="J1087" s="133"/>
      <c r="K1087" s="133"/>
    </row>
    <row r="1088" spans="1:11" ht="13.5" customHeight="1">
      <c r="A1088" s="119" t="s">
        <v>482</v>
      </c>
      <c r="B1088" s="119" t="s">
        <v>533</v>
      </c>
      <c r="C1088" s="119" t="s">
        <v>521</v>
      </c>
      <c r="D1088" s="120" t="s">
        <v>1</v>
      </c>
      <c r="E1088" s="121">
        <v>4291.0124999999998</v>
      </c>
      <c r="F1088" s="122">
        <v>9.4500000000000001E-3</v>
      </c>
      <c r="G1088" s="121">
        <v>40.550068124999996</v>
      </c>
      <c r="H1088" s="125"/>
      <c r="I1088" s="125"/>
      <c r="J1088" s="126"/>
      <c r="K1088" s="126"/>
    </row>
    <row r="1089" spans="1:11" ht="13.5" customHeight="1">
      <c r="A1089" s="119" t="s">
        <v>482</v>
      </c>
      <c r="B1089" s="119" t="s">
        <v>533</v>
      </c>
      <c r="C1089" s="119" t="s">
        <v>522</v>
      </c>
      <c r="D1089" s="120" t="s">
        <v>1</v>
      </c>
      <c r="E1089" s="121">
        <v>5794.2374999999993</v>
      </c>
      <c r="F1089" s="122">
        <v>2.6499999999999999E-2</v>
      </c>
      <c r="G1089" s="121">
        <v>153.54729374999997</v>
      </c>
      <c r="H1089" s="125"/>
      <c r="I1089" s="125"/>
      <c r="J1089" s="126"/>
      <c r="K1089" s="126"/>
    </row>
    <row r="1090" spans="1:11" ht="13.5" customHeight="1">
      <c r="A1090" s="119" t="s">
        <v>482</v>
      </c>
      <c r="B1090" s="119" t="s">
        <v>533</v>
      </c>
      <c r="C1090" s="119" t="s">
        <v>523</v>
      </c>
      <c r="D1090" s="120" t="s">
        <v>1</v>
      </c>
      <c r="E1090" s="121">
        <v>1879.86</v>
      </c>
      <c r="F1090" s="122">
        <v>6.0000000000000001E-3</v>
      </c>
      <c r="G1090" s="121">
        <v>11.279159999999999</v>
      </c>
      <c r="H1090" s="125"/>
      <c r="I1090" s="125"/>
      <c r="J1090" s="126"/>
      <c r="K1090" s="126"/>
    </row>
    <row r="1091" spans="1:11" ht="13.5" customHeight="1">
      <c r="A1091" s="119" t="s">
        <v>482</v>
      </c>
      <c r="B1091" s="119" t="s">
        <v>533</v>
      </c>
      <c r="C1091" s="119" t="s">
        <v>524</v>
      </c>
      <c r="D1091" s="120" t="s">
        <v>1</v>
      </c>
      <c r="E1091" s="121">
        <v>655.34999999999991</v>
      </c>
      <c r="F1091" s="122">
        <v>7.4999999999999997E-3</v>
      </c>
      <c r="G1091" s="121">
        <v>4.9151249999999989</v>
      </c>
      <c r="H1091" s="125"/>
      <c r="I1091" s="125"/>
      <c r="J1091" s="126"/>
      <c r="K1091" s="126"/>
    </row>
    <row r="1092" spans="1:11" ht="13.5" customHeight="1">
      <c r="A1092" s="119" t="s">
        <v>482</v>
      </c>
      <c r="B1092" s="119" t="s">
        <v>533</v>
      </c>
      <c r="C1092" s="119" t="s">
        <v>525</v>
      </c>
      <c r="D1092" s="120" t="s">
        <v>1</v>
      </c>
      <c r="E1092" s="121">
        <v>9224.369999999999</v>
      </c>
      <c r="F1092" s="122">
        <v>2.6499999999999999E-2</v>
      </c>
      <c r="G1092" s="121">
        <v>244.44580499999998</v>
      </c>
      <c r="H1092" s="125"/>
      <c r="I1092" s="125"/>
      <c r="J1092" s="126"/>
      <c r="K1092" s="126"/>
    </row>
    <row r="1093" spans="1:11" ht="13.5" customHeight="1">
      <c r="A1093" s="119" t="s">
        <v>482</v>
      </c>
      <c r="B1093" s="119" t="s">
        <v>533</v>
      </c>
      <c r="C1093" s="119" t="s">
        <v>526</v>
      </c>
      <c r="D1093" s="120" t="s">
        <v>1</v>
      </c>
      <c r="E1093" s="121">
        <v>3045.7199999999993</v>
      </c>
      <c r="F1093" s="122">
        <v>6.0000000000000001E-3</v>
      </c>
      <c r="G1093" s="121">
        <v>18.274319999999996</v>
      </c>
      <c r="H1093" s="125"/>
      <c r="I1093" s="125"/>
      <c r="J1093" s="126"/>
      <c r="K1093" s="126"/>
    </row>
    <row r="1094" spans="1:11" ht="13.5" customHeight="1">
      <c r="A1094" s="119" t="s">
        <v>482</v>
      </c>
      <c r="B1094" s="119" t="s">
        <v>533</v>
      </c>
      <c r="C1094" s="119" t="s">
        <v>527</v>
      </c>
      <c r="D1094" s="120" t="s">
        <v>1</v>
      </c>
      <c r="E1094" s="121">
        <v>1052.1299999999999</v>
      </c>
      <c r="F1094" s="122">
        <v>7.4999999999999997E-3</v>
      </c>
      <c r="G1094" s="121">
        <v>7.8909749999999992</v>
      </c>
      <c r="H1094" s="125"/>
      <c r="I1094" s="125"/>
      <c r="J1094" s="126"/>
      <c r="K1094" s="126"/>
    </row>
    <row r="1095" spans="1:11" ht="13.5" customHeight="1">
      <c r="A1095" s="119" t="s">
        <v>482</v>
      </c>
      <c r="B1095" s="119" t="s">
        <v>533</v>
      </c>
      <c r="C1095" s="119" t="s">
        <v>528</v>
      </c>
      <c r="D1095" s="120" t="s">
        <v>1</v>
      </c>
      <c r="E1095" s="121">
        <v>1781</v>
      </c>
      <c r="F1095" s="122">
        <v>2.05E-5</v>
      </c>
      <c r="G1095" s="121">
        <v>3.6510500000000001E-2</v>
      </c>
      <c r="H1095" s="125"/>
      <c r="I1095" s="125"/>
      <c r="J1095" s="126"/>
      <c r="K1095" s="126"/>
    </row>
    <row r="1096" spans="1:11" ht="13.5" customHeight="1">
      <c r="A1096" s="119" t="s">
        <v>482</v>
      </c>
      <c r="B1096" s="119" t="s">
        <v>533</v>
      </c>
      <c r="C1096" s="119" t="s">
        <v>529</v>
      </c>
      <c r="D1096" s="120" t="s">
        <v>1</v>
      </c>
      <c r="E1096" s="121">
        <v>8032.4999999999991</v>
      </c>
      <c r="F1096" s="122">
        <v>5.8999999999999999E-3</v>
      </c>
      <c r="G1096" s="121">
        <v>47.391749999999995</v>
      </c>
      <c r="H1096" s="125"/>
      <c r="I1096" s="125"/>
      <c r="J1096" s="126"/>
      <c r="K1096" s="126"/>
    </row>
    <row r="1097" spans="1:11" ht="13.5" customHeight="1">
      <c r="A1097" s="119" t="s">
        <v>482</v>
      </c>
      <c r="B1097" s="119" t="s">
        <v>533</v>
      </c>
      <c r="C1097" s="119" t="s">
        <v>530</v>
      </c>
      <c r="D1097" s="120" t="s">
        <v>1</v>
      </c>
      <c r="E1097" s="121">
        <v>6462.3579</v>
      </c>
      <c r="F1097" s="122">
        <v>9.4500000000000001E-3</v>
      </c>
      <c r="G1097" s="121">
        <v>61.069282155000003</v>
      </c>
      <c r="H1097" s="125"/>
      <c r="I1097" s="125"/>
      <c r="J1097" s="126"/>
      <c r="K1097" s="126"/>
    </row>
    <row r="1098" spans="1:11" ht="13.5" customHeight="1">
      <c r="A1098" s="119" t="s">
        <v>482</v>
      </c>
      <c r="B1098" s="119" t="s">
        <v>533</v>
      </c>
      <c r="C1098" s="119" t="s">
        <v>531</v>
      </c>
      <c r="D1098" s="120" t="s">
        <v>1</v>
      </c>
      <c r="E1098" s="121">
        <v>0</v>
      </c>
      <c r="F1098" s="122">
        <v>1.9779999999999999E-2</v>
      </c>
      <c r="G1098" s="121">
        <v>0</v>
      </c>
      <c r="H1098" s="125">
        <f>SUM(G1088:G1098)</f>
        <v>589.4002895299999</v>
      </c>
      <c r="I1098" s="125"/>
      <c r="J1098" s="126"/>
      <c r="K1098" s="126"/>
    </row>
    <row r="1099" spans="1:11" s="117" customFormat="1" ht="13.5" customHeight="1">
      <c r="A1099" s="127" t="s">
        <v>482</v>
      </c>
      <c r="B1099" s="119" t="s">
        <v>533</v>
      </c>
      <c r="C1099" s="127" t="s">
        <v>532</v>
      </c>
      <c r="D1099" s="128" t="s">
        <v>1</v>
      </c>
      <c r="E1099" s="129">
        <v>7649.9999999999991</v>
      </c>
      <c r="F1099" s="130">
        <v>3.3700000000000001E-2</v>
      </c>
      <c r="G1099" s="129">
        <v>257.80499999999995</v>
      </c>
      <c r="H1099" s="125"/>
      <c r="I1099" s="132">
        <v>257.80499999999995</v>
      </c>
      <c r="J1099" s="133">
        <f>SUM(G1099*0.125)/92</f>
        <v>0.35027853260869557</v>
      </c>
      <c r="K1099" s="133"/>
    </row>
    <row r="1100" spans="1:11" s="117" customFormat="1" ht="13.5" customHeight="1">
      <c r="A1100" s="127"/>
      <c r="B1100" s="119"/>
      <c r="C1100" s="127"/>
      <c r="D1100" s="128"/>
      <c r="E1100" s="129"/>
      <c r="F1100" s="130"/>
      <c r="G1100" s="129">
        <f>SUM(G1088:G1099)</f>
        <v>847.20528952999985</v>
      </c>
      <c r="H1100" s="125"/>
      <c r="I1100" s="125"/>
      <c r="J1100" s="133"/>
      <c r="K1100" s="133"/>
    </row>
    <row r="1101" spans="1:11" ht="13.5" customHeight="1">
      <c r="A1101" s="119" t="s">
        <v>484</v>
      </c>
      <c r="B1101" s="119" t="s">
        <v>534</v>
      </c>
      <c r="C1101" s="119" t="s">
        <v>521</v>
      </c>
      <c r="D1101" s="120" t="s">
        <v>1</v>
      </c>
      <c r="E1101" s="121">
        <v>4873.6662281999998</v>
      </c>
      <c r="F1101" s="122">
        <v>9.4500000000000001E-3</v>
      </c>
      <c r="G1101" s="121">
        <v>46.056145856489998</v>
      </c>
      <c r="H1101" s="125"/>
      <c r="I1101" s="125"/>
      <c r="J1101" s="126"/>
      <c r="K1101" s="126"/>
    </row>
    <row r="1102" spans="1:11" ht="13.5" customHeight="1">
      <c r="A1102" s="119" t="s">
        <v>484</v>
      </c>
      <c r="B1102" s="119" t="s">
        <v>534</v>
      </c>
      <c r="C1102" s="119" t="s">
        <v>522</v>
      </c>
      <c r="D1102" s="120" t="s">
        <v>1</v>
      </c>
      <c r="E1102" s="121">
        <v>2414.3558399999997</v>
      </c>
      <c r="F1102" s="122">
        <v>2.6499999999999999E-2</v>
      </c>
      <c r="G1102" s="121">
        <v>63.980429759999993</v>
      </c>
      <c r="H1102" s="125"/>
      <c r="I1102" s="125"/>
      <c r="J1102" s="126"/>
      <c r="K1102" s="126"/>
    </row>
    <row r="1103" spans="1:11" ht="13.5" customHeight="1">
      <c r="A1103" s="119" t="s">
        <v>484</v>
      </c>
      <c r="B1103" s="119" t="s">
        <v>534</v>
      </c>
      <c r="C1103" s="119" t="s">
        <v>523</v>
      </c>
      <c r="D1103" s="120" t="s">
        <v>1</v>
      </c>
      <c r="E1103" s="121">
        <v>774.18022439999993</v>
      </c>
      <c r="F1103" s="122">
        <v>6.0000000000000001E-3</v>
      </c>
      <c r="G1103" s="121">
        <v>4.6450813463999996</v>
      </c>
      <c r="H1103" s="125"/>
      <c r="I1103" s="125"/>
      <c r="J1103" s="126"/>
      <c r="K1103" s="126"/>
    </row>
    <row r="1104" spans="1:11" ht="13.5" customHeight="1">
      <c r="A1104" s="119" t="s">
        <v>484</v>
      </c>
      <c r="B1104" s="119" t="s">
        <v>534</v>
      </c>
      <c r="C1104" s="119" t="s">
        <v>524</v>
      </c>
      <c r="D1104" s="120" t="s">
        <v>1</v>
      </c>
      <c r="E1104" s="121">
        <v>257.66060099999999</v>
      </c>
      <c r="F1104" s="122">
        <v>7.4999999999999997E-3</v>
      </c>
      <c r="G1104" s="121">
        <v>1.9324545074999999</v>
      </c>
      <c r="H1104" s="125"/>
      <c r="I1104" s="125"/>
      <c r="J1104" s="126"/>
      <c r="K1104" s="126"/>
    </row>
    <row r="1105" spans="1:11" ht="13.5" customHeight="1">
      <c r="A1105" s="119" t="s">
        <v>484</v>
      </c>
      <c r="B1105" s="119" t="s">
        <v>534</v>
      </c>
      <c r="C1105" s="119" t="s">
        <v>525</v>
      </c>
      <c r="D1105" s="120" t="s">
        <v>1</v>
      </c>
      <c r="E1105" s="121">
        <v>18676.030076399999</v>
      </c>
      <c r="F1105" s="122">
        <v>2.6499999999999999E-2</v>
      </c>
      <c r="G1105" s="121">
        <v>494.91479702459992</v>
      </c>
      <c r="H1105" s="125"/>
      <c r="I1105" s="125"/>
      <c r="J1105" s="126"/>
      <c r="K1105" s="126"/>
    </row>
    <row r="1106" spans="1:11" ht="13.5" customHeight="1">
      <c r="A1106" s="119" t="s">
        <v>484</v>
      </c>
      <c r="B1106" s="119" t="s">
        <v>534</v>
      </c>
      <c r="C1106" s="119" t="s">
        <v>526</v>
      </c>
      <c r="D1106" s="120" t="s">
        <v>1</v>
      </c>
      <c r="E1106" s="121">
        <v>5987.7450312000001</v>
      </c>
      <c r="F1106" s="122">
        <v>6.0000000000000001E-3</v>
      </c>
      <c r="G1106" s="121">
        <v>35.926470187200003</v>
      </c>
      <c r="H1106" s="125"/>
      <c r="I1106" s="125"/>
      <c r="J1106" s="126"/>
      <c r="K1106" s="126"/>
    </row>
    <row r="1107" spans="1:11" ht="13.5" customHeight="1">
      <c r="A1107" s="119" t="s">
        <v>484</v>
      </c>
      <c r="B1107" s="119" t="s">
        <v>534</v>
      </c>
      <c r="C1107" s="119" t="s">
        <v>527</v>
      </c>
      <c r="D1107" s="120" t="s">
        <v>1</v>
      </c>
      <c r="E1107" s="121">
        <v>1996.4010312</v>
      </c>
      <c r="F1107" s="122">
        <v>7.4999999999999997E-3</v>
      </c>
      <c r="G1107" s="121">
        <v>14.973007733999999</v>
      </c>
      <c r="H1107" s="125"/>
      <c r="I1107" s="125"/>
      <c r="J1107" s="126"/>
      <c r="K1107" s="126"/>
    </row>
    <row r="1108" spans="1:11" ht="13.5" customHeight="1">
      <c r="A1108" s="119" t="s">
        <v>484</v>
      </c>
      <c r="B1108" s="119" t="s">
        <v>534</v>
      </c>
      <c r="C1108" s="119" t="s">
        <v>528</v>
      </c>
      <c r="D1108" s="120" t="s">
        <v>1</v>
      </c>
      <c r="E1108" s="121">
        <v>10300.72559</v>
      </c>
      <c r="F1108" s="122">
        <v>2.05E-5</v>
      </c>
      <c r="G1108" s="121">
        <v>0.211164874595</v>
      </c>
      <c r="H1108" s="125"/>
      <c r="I1108" s="125"/>
      <c r="J1108" s="126"/>
      <c r="K1108" s="126"/>
    </row>
    <row r="1109" spans="1:11" ht="13.5" customHeight="1">
      <c r="A1109" s="119" t="s">
        <v>484</v>
      </c>
      <c r="B1109" s="119" t="s">
        <v>534</v>
      </c>
      <c r="C1109" s="119" t="s">
        <v>529</v>
      </c>
      <c r="D1109" s="120" t="s">
        <v>1</v>
      </c>
      <c r="E1109" s="121">
        <v>659.20711679999999</v>
      </c>
      <c r="F1109" s="122">
        <v>5.8999999999999999E-3</v>
      </c>
      <c r="G1109" s="121">
        <v>3.8893219891199999</v>
      </c>
      <c r="H1109" s="125"/>
      <c r="I1109" s="125"/>
      <c r="J1109" s="126"/>
      <c r="K1109" s="126"/>
    </row>
    <row r="1110" spans="1:11" ht="13.5" customHeight="1">
      <c r="A1110" s="119" t="s">
        <v>484</v>
      </c>
      <c r="B1110" s="119" t="s">
        <v>534</v>
      </c>
      <c r="C1110" s="119" t="s">
        <v>530</v>
      </c>
      <c r="D1110" s="120" t="s">
        <v>1</v>
      </c>
      <c r="E1110" s="121">
        <v>582.87571739999998</v>
      </c>
      <c r="F1110" s="122">
        <v>9.4500000000000001E-3</v>
      </c>
      <c r="G1110" s="121">
        <v>5.5081755294299999</v>
      </c>
      <c r="H1110" s="125"/>
      <c r="I1110" s="125"/>
      <c r="J1110" s="126"/>
      <c r="K1110" s="126"/>
    </row>
    <row r="1111" spans="1:11" ht="13.5" customHeight="1">
      <c r="A1111" s="119" t="s">
        <v>484</v>
      </c>
      <c r="B1111" s="119" t="s">
        <v>534</v>
      </c>
      <c r="C1111" s="119" t="s">
        <v>531</v>
      </c>
      <c r="D1111" s="120" t="s">
        <v>1</v>
      </c>
      <c r="E1111" s="121">
        <v>1862.3354931000001</v>
      </c>
      <c r="F1111" s="122">
        <v>1.9779999999999999E-2</v>
      </c>
      <c r="G1111" s="121">
        <v>36.836996053518</v>
      </c>
      <c r="H1111" s="125">
        <f>SUM(G1101:G1111)</f>
        <v>708.874044862853</v>
      </c>
      <c r="I1111" s="125"/>
      <c r="J1111" s="126"/>
      <c r="K1111" s="126"/>
    </row>
    <row r="1112" spans="1:11" s="117" customFormat="1" ht="13.5" customHeight="1">
      <c r="A1112" s="127" t="s">
        <v>484</v>
      </c>
      <c r="B1112" s="119" t="s">
        <v>534</v>
      </c>
      <c r="C1112" s="127" t="s">
        <v>532</v>
      </c>
      <c r="D1112" s="128" t="s">
        <v>1</v>
      </c>
      <c r="E1112" s="129">
        <v>365.65394759999998</v>
      </c>
      <c r="F1112" s="130">
        <v>3.3700000000000001E-2</v>
      </c>
      <c r="G1112" s="129">
        <v>12.322538034119999</v>
      </c>
      <c r="H1112" s="125"/>
      <c r="I1112" s="132">
        <v>12.322538034119999</v>
      </c>
      <c r="J1112" s="133">
        <f>SUM(G1112*0.125)/92</f>
        <v>1.674257885070652E-2</v>
      </c>
      <c r="K1112" s="133"/>
    </row>
    <row r="1113" spans="1:11" s="117" customFormat="1" ht="13.5" customHeight="1">
      <c r="A1113" s="127"/>
      <c r="B1113" s="119"/>
      <c r="C1113" s="127"/>
      <c r="D1113" s="128"/>
      <c r="E1113" s="129"/>
      <c r="F1113" s="130"/>
      <c r="G1113" s="129">
        <f>SUM(G1101:G1112)</f>
        <v>721.19658289697304</v>
      </c>
      <c r="H1113" s="125"/>
      <c r="I1113" s="125"/>
      <c r="J1113" s="133"/>
      <c r="K1113" s="133"/>
    </row>
    <row r="1114" spans="1:11" ht="13.5" customHeight="1">
      <c r="A1114" s="119" t="s">
        <v>486</v>
      </c>
      <c r="B1114" s="119" t="s">
        <v>39</v>
      </c>
      <c r="C1114" s="119" t="s">
        <v>521</v>
      </c>
      <c r="D1114" s="120" t="s">
        <v>1</v>
      </c>
      <c r="E1114" s="121">
        <v>71.367281800000001</v>
      </c>
      <c r="F1114" s="122">
        <v>9.4500000000000001E-3</v>
      </c>
      <c r="G1114" s="121">
        <v>0.67442081301000001</v>
      </c>
      <c r="H1114" s="125"/>
      <c r="I1114" s="125"/>
      <c r="J1114" s="126"/>
      <c r="K1114" s="126"/>
    </row>
    <row r="1115" spans="1:11" ht="13.5" customHeight="1">
      <c r="A1115" s="119" t="s">
        <v>486</v>
      </c>
      <c r="B1115" s="119" t="s">
        <v>39</v>
      </c>
      <c r="C1115" s="119" t="s">
        <v>522</v>
      </c>
      <c r="D1115" s="120" t="s">
        <v>1</v>
      </c>
      <c r="E1115" s="121">
        <v>191.72929799999997</v>
      </c>
      <c r="F1115" s="122">
        <v>2.6499999999999999E-2</v>
      </c>
      <c r="G1115" s="121">
        <v>5.0808263969999992</v>
      </c>
      <c r="H1115" s="125"/>
      <c r="I1115" s="125"/>
      <c r="J1115" s="126"/>
      <c r="K1115" s="126"/>
    </row>
    <row r="1116" spans="1:11" ht="13.5" customHeight="1">
      <c r="A1116" s="119" t="s">
        <v>486</v>
      </c>
      <c r="B1116" s="119" t="s">
        <v>39</v>
      </c>
      <c r="C1116" s="119" t="s">
        <v>523</v>
      </c>
      <c r="D1116" s="120" t="s">
        <v>1</v>
      </c>
      <c r="E1116" s="121">
        <v>61.402691000000004</v>
      </c>
      <c r="F1116" s="122">
        <v>6.0000000000000001E-3</v>
      </c>
      <c r="G1116" s="121">
        <v>0.36841614600000006</v>
      </c>
      <c r="H1116" s="125"/>
      <c r="I1116" s="125"/>
      <c r="J1116" s="126"/>
      <c r="K1116" s="126"/>
    </row>
    <row r="1117" spans="1:11" ht="13.5" customHeight="1">
      <c r="A1117" s="119" t="s">
        <v>486</v>
      </c>
      <c r="B1117" s="119" t="s">
        <v>39</v>
      </c>
      <c r="C1117" s="119" t="s">
        <v>524</v>
      </c>
      <c r="D1117" s="120" t="s">
        <v>1</v>
      </c>
      <c r="E1117" s="121">
        <v>19.4407444</v>
      </c>
      <c r="F1117" s="122">
        <v>7.4999999999999997E-3</v>
      </c>
      <c r="G1117" s="121">
        <v>0.14580558299999999</v>
      </c>
      <c r="H1117" s="125"/>
      <c r="I1117" s="125"/>
      <c r="J1117" s="126"/>
      <c r="K1117" s="126"/>
    </row>
    <row r="1118" spans="1:11" ht="13.5" customHeight="1">
      <c r="A1118" s="119" t="s">
        <v>486</v>
      </c>
      <c r="B1118" s="119" t="s">
        <v>39</v>
      </c>
      <c r="C1118" s="119" t="s">
        <v>525</v>
      </c>
      <c r="D1118" s="120" t="s">
        <v>1</v>
      </c>
      <c r="E1118" s="121">
        <v>575.82262639999999</v>
      </c>
      <c r="F1118" s="122">
        <v>2.6499999999999999E-2</v>
      </c>
      <c r="G1118" s="121">
        <v>15.259299599599998</v>
      </c>
      <c r="H1118" s="125"/>
      <c r="I1118" s="125"/>
      <c r="J1118" s="126"/>
      <c r="K1118" s="126"/>
    </row>
    <row r="1119" spans="1:11" ht="13.5" customHeight="1">
      <c r="A1119" s="119" t="s">
        <v>486</v>
      </c>
      <c r="B1119" s="119" t="s">
        <v>39</v>
      </c>
      <c r="C1119" s="119" t="s">
        <v>526</v>
      </c>
      <c r="D1119" s="120" t="s">
        <v>1</v>
      </c>
      <c r="E1119" s="121">
        <v>184.23284879999997</v>
      </c>
      <c r="F1119" s="122">
        <v>6.0000000000000001E-3</v>
      </c>
      <c r="G1119" s="121">
        <v>1.1053970927999999</v>
      </c>
      <c r="H1119" s="125"/>
      <c r="I1119" s="125"/>
      <c r="J1119" s="126"/>
      <c r="K1119" s="126"/>
    </row>
    <row r="1120" spans="1:11" ht="13.5" customHeight="1">
      <c r="A1120" s="119" t="s">
        <v>486</v>
      </c>
      <c r="B1120" s="119" t="s">
        <v>39</v>
      </c>
      <c r="C1120" s="119" t="s">
        <v>527</v>
      </c>
      <c r="D1120" s="120" t="s">
        <v>1</v>
      </c>
      <c r="E1120" s="121">
        <v>61.925342399999998</v>
      </c>
      <c r="F1120" s="122">
        <v>7.4999999999999997E-3</v>
      </c>
      <c r="G1120" s="121">
        <v>0.46444006799999998</v>
      </c>
      <c r="H1120" s="125"/>
      <c r="I1120" s="125"/>
      <c r="J1120" s="126"/>
      <c r="K1120" s="126"/>
    </row>
    <row r="1121" spans="1:11" ht="13.5" customHeight="1">
      <c r="A1121" s="119" t="s">
        <v>486</v>
      </c>
      <c r="B1121" s="119" t="s">
        <v>39</v>
      </c>
      <c r="C1121" s="119" t="s">
        <v>528</v>
      </c>
      <c r="D1121" s="120" t="s">
        <v>1</v>
      </c>
      <c r="E1121" s="121">
        <v>239.60031000000001</v>
      </c>
      <c r="F1121" s="122">
        <v>2.05E-5</v>
      </c>
      <c r="G1121" s="121">
        <v>4.9118063550000002E-3</v>
      </c>
      <c r="H1121" s="125"/>
      <c r="I1121" s="125"/>
      <c r="J1121" s="126"/>
      <c r="K1121" s="126"/>
    </row>
    <row r="1122" spans="1:11" ht="13.5" customHeight="1">
      <c r="A1122" s="119" t="s">
        <v>486</v>
      </c>
      <c r="B1122" s="119" t="s">
        <v>39</v>
      </c>
      <c r="C1122" s="119" t="s">
        <v>529</v>
      </c>
      <c r="D1122" s="120" t="s">
        <v>1</v>
      </c>
      <c r="E1122" s="121">
        <v>4750.073006399999</v>
      </c>
      <c r="F1122" s="122">
        <v>5.8999999999999999E-3</v>
      </c>
      <c r="G1122" s="121">
        <v>28.025430737759994</v>
      </c>
      <c r="H1122" s="125"/>
      <c r="I1122" s="125"/>
      <c r="J1122" s="126"/>
      <c r="K1122" s="126"/>
    </row>
    <row r="1123" spans="1:11" ht="13.5" customHeight="1">
      <c r="A1123" s="119" t="s">
        <v>486</v>
      </c>
      <c r="B1123" s="119" t="s">
        <v>39</v>
      </c>
      <c r="C1123" s="119" t="s">
        <v>530</v>
      </c>
      <c r="D1123" s="120" t="s">
        <v>1</v>
      </c>
      <c r="E1123" s="121">
        <v>14.083272600000001</v>
      </c>
      <c r="F1123" s="122">
        <v>9.4500000000000001E-3</v>
      </c>
      <c r="G1123" s="121">
        <v>0.13308692607</v>
      </c>
      <c r="H1123" s="125"/>
      <c r="I1123" s="125"/>
      <c r="J1123" s="126"/>
      <c r="K1123" s="126"/>
    </row>
    <row r="1124" spans="1:11" ht="13.5" customHeight="1">
      <c r="A1124" s="119" t="s">
        <v>486</v>
      </c>
      <c r="B1124" s="119" t="s">
        <v>39</v>
      </c>
      <c r="C1124" s="119" t="s">
        <v>531</v>
      </c>
      <c r="D1124" s="120" t="s">
        <v>1</v>
      </c>
      <c r="E1124" s="121">
        <v>18.349147800000001</v>
      </c>
      <c r="F1124" s="122">
        <v>1.9779999999999999E-2</v>
      </c>
      <c r="G1124" s="121">
        <v>0.36294614348400001</v>
      </c>
      <c r="H1124" s="125">
        <f>SUM(G1114:G1124)</f>
        <v>51.62498131307899</v>
      </c>
      <c r="I1124" s="125"/>
      <c r="J1124" s="126"/>
      <c r="K1124" s="126"/>
    </row>
    <row r="1125" spans="1:11" s="117" customFormat="1" ht="13.5" customHeight="1">
      <c r="A1125" s="127" t="s">
        <v>486</v>
      </c>
      <c r="B1125" s="119" t="s">
        <v>39</v>
      </c>
      <c r="C1125" s="127" t="s">
        <v>532</v>
      </c>
      <c r="D1125" s="128" t="s">
        <v>1</v>
      </c>
      <c r="E1125" s="129">
        <v>2637.6033527999998</v>
      </c>
      <c r="F1125" s="130">
        <v>3.3700000000000001E-2</v>
      </c>
      <c r="G1125" s="129">
        <v>88.887232989360001</v>
      </c>
      <c r="H1125" s="125"/>
      <c r="I1125" s="132">
        <v>88.887232989360001</v>
      </c>
      <c r="J1125" s="133">
        <f>SUM(G1125*0.125)/92</f>
        <v>0.12077069699641305</v>
      </c>
      <c r="K1125" s="133"/>
    </row>
    <row r="1126" spans="1:11" s="117" customFormat="1" ht="13.5" customHeight="1">
      <c r="A1126" s="127"/>
      <c r="B1126" s="119"/>
      <c r="C1126" s="127"/>
      <c r="D1126" s="128"/>
      <c r="E1126" s="129"/>
      <c r="F1126" s="130"/>
      <c r="G1126" s="129">
        <f>SUM(G1114:G1125)</f>
        <v>140.51221430243899</v>
      </c>
      <c r="H1126" s="125"/>
      <c r="I1126" s="125"/>
      <c r="J1126" s="133"/>
      <c r="K1126" s="133"/>
    </row>
    <row r="1127" spans="1:11" ht="13.5" customHeight="1">
      <c r="A1127" s="119" t="s">
        <v>488</v>
      </c>
      <c r="B1127" s="119" t="s">
        <v>40</v>
      </c>
      <c r="C1127" s="119" t="s">
        <v>521</v>
      </c>
      <c r="D1127" s="120" t="s">
        <v>1</v>
      </c>
      <c r="E1127" s="121">
        <v>17454.833400000003</v>
      </c>
      <c r="F1127" s="122">
        <v>9.4500000000000001E-3</v>
      </c>
      <c r="G1127" s="121">
        <v>164.94817563000004</v>
      </c>
      <c r="H1127" s="125"/>
      <c r="I1127" s="125"/>
      <c r="J1127" s="126"/>
      <c r="K1127" s="126"/>
    </row>
    <row r="1128" spans="1:11" ht="13.5" customHeight="1">
      <c r="A1128" s="119" t="s">
        <v>488</v>
      </c>
      <c r="B1128" s="119" t="s">
        <v>40</v>
      </c>
      <c r="C1128" s="119" t="s">
        <v>522</v>
      </c>
      <c r="D1128" s="120" t="s">
        <v>1</v>
      </c>
      <c r="E1128" s="121">
        <v>23561.176650000001</v>
      </c>
      <c r="F1128" s="122">
        <v>2.6499999999999999E-2</v>
      </c>
      <c r="G1128" s="121">
        <v>624.37118122499999</v>
      </c>
      <c r="H1128" s="125"/>
      <c r="I1128" s="125"/>
      <c r="J1128" s="126"/>
      <c r="K1128" s="126"/>
    </row>
    <row r="1129" spans="1:11" ht="13.5" customHeight="1">
      <c r="A1129" s="119" t="s">
        <v>488</v>
      </c>
      <c r="B1129" s="119" t="s">
        <v>40</v>
      </c>
      <c r="C1129" s="119" t="s">
        <v>523</v>
      </c>
      <c r="D1129" s="120" t="s">
        <v>1</v>
      </c>
      <c r="E1129" s="121">
        <v>7658.2344000000003</v>
      </c>
      <c r="F1129" s="122">
        <v>6.0000000000000001E-3</v>
      </c>
      <c r="G1129" s="121">
        <v>45.949406400000001</v>
      </c>
      <c r="H1129" s="125"/>
      <c r="I1129" s="125"/>
      <c r="J1129" s="126"/>
      <c r="K1129" s="126"/>
    </row>
    <row r="1130" spans="1:11" ht="13.5" customHeight="1">
      <c r="A1130" s="119" t="s">
        <v>488</v>
      </c>
      <c r="B1130" s="119" t="s">
        <v>40</v>
      </c>
      <c r="C1130" s="119" t="s">
        <v>524</v>
      </c>
      <c r="D1130" s="120" t="s">
        <v>1</v>
      </c>
      <c r="E1130" s="121">
        <v>2663.6983200000004</v>
      </c>
      <c r="F1130" s="122">
        <v>7.4999999999999997E-3</v>
      </c>
      <c r="G1130" s="121">
        <v>19.977737400000002</v>
      </c>
      <c r="H1130" s="125"/>
      <c r="I1130" s="125"/>
      <c r="J1130" s="126"/>
      <c r="K1130" s="126"/>
    </row>
    <row r="1131" spans="1:11" ht="13.5" customHeight="1">
      <c r="A1131" s="119" t="s">
        <v>488</v>
      </c>
      <c r="B1131" s="119" t="s">
        <v>40</v>
      </c>
      <c r="C1131" s="119" t="s">
        <v>525</v>
      </c>
      <c r="D1131" s="120" t="s">
        <v>1</v>
      </c>
      <c r="E1131" s="121">
        <v>37526.772780000007</v>
      </c>
      <c r="F1131" s="122">
        <v>2.6499999999999999E-2</v>
      </c>
      <c r="G1131" s="121">
        <v>994.45947867000018</v>
      </c>
      <c r="H1131" s="125"/>
      <c r="I1131" s="125"/>
      <c r="J1131" s="126"/>
      <c r="K1131" s="126"/>
    </row>
    <row r="1132" spans="1:11" ht="13.5" customHeight="1">
      <c r="A1132" s="119" t="s">
        <v>488</v>
      </c>
      <c r="B1132" s="119" t="s">
        <v>40</v>
      </c>
      <c r="C1132" s="119" t="s">
        <v>526</v>
      </c>
      <c r="D1132" s="120" t="s">
        <v>1</v>
      </c>
      <c r="E1132" s="121">
        <v>12393.15552</v>
      </c>
      <c r="F1132" s="122">
        <v>6.0000000000000001E-3</v>
      </c>
      <c r="G1132" s="121">
        <v>74.358933120000003</v>
      </c>
      <c r="H1132" s="125"/>
      <c r="I1132" s="125"/>
      <c r="J1132" s="126"/>
      <c r="K1132" s="126"/>
    </row>
    <row r="1133" spans="1:11" ht="13.5" customHeight="1">
      <c r="A1133" s="119" t="s">
        <v>488</v>
      </c>
      <c r="B1133" s="119" t="s">
        <v>40</v>
      </c>
      <c r="C1133" s="119" t="s">
        <v>527</v>
      </c>
      <c r="D1133" s="120" t="s">
        <v>1</v>
      </c>
      <c r="E1133" s="121">
        <v>4283.6468400000003</v>
      </c>
      <c r="F1133" s="122">
        <v>7.4999999999999997E-3</v>
      </c>
      <c r="G1133" s="121">
        <v>32.127351300000001</v>
      </c>
      <c r="H1133" s="125"/>
      <c r="I1133" s="125"/>
      <c r="J1133" s="126"/>
      <c r="K1133" s="126"/>
    </row>
    <row r="1134" spans="1:11" ht="13.5" customHeight="1">
      <c r="A1134" s="119" t="s">
        <v>488</v>
      </c>
      <c r="B1134" s="119" t="s">
        <v>40</v>
      </c>
      <c r="C1134" s="119" t="s">
        <v>528</v>
      </c>
      <c r="D1134" s="120" t="s">
        <v>1</v>
      </c>
      <c r="E1134" s="121">
        <v>4126</v>
      </c>
      <c r="F1134" s="122">
        <v>2.05E-5</v>
      </c>
      <c r="G1134" s="121">
        <v>8.4583000000000005E-2</v>
      </c>
      <c r="H1134" s="125"/>
      <c r="I1134" s="125"/>
      <c r="J1134" s="126"/>
      <c r="K1134" s="126"/>
    </row>
    <row r="1135" spans="1:11" ht="13.5" customHeight="1">
      <c r="A1135" s="119" t="s">
        <v>488</v>
      </c>
      <c r="B1135" s="119" t="s">
        <v>40</v>
      </c>
      <c r="C1135" s="119" t="s">
        <v>529</v>
      </c>
      <c r="D1135" s="120" t="s">
        <v>1</v>
      </c>
      <c r="E1135" s="121">
        <v>598.17240000000004</v>
      </c>
      <c r="F1135" s="122">
        <v>5.8999999999999999E-3</v>
      </c>
      <c r="G1135" s="121">
        <v>3.52921716</v>
      </c>
      <c r="H1135" s="125"/>
      <c r="I1135" s="125"/>
      <c r="J1135" s="126"/>
      <c r="K1135" s="126"/>
    </row>
    <row r="1136" spans="1:11" ht="13.5" customHeight="1">
      <c r="A1136" s="119" t="s">
        <v>488</v>
      </c>
      <c r="B1136" s="119" t="s">
        <v>40</v>
      </c>
      <c r="C1136" s="119" t="s">
        <v>530</v>
      </c>
      <c r="D1136" s="120" t="s">
        <v>1</v>
      </c>
      <c r="E1136" s="121">
        <v>20975.737184400004</v>
      </c>
      <c r="F1136" s="122">
        <v>9.4500000000000001E-3</v>
      </c>
      <c r="G1136" s="121">
        <v>198.22071639258004</v>
      </c>
      <c r="H1136" s="125"/>
      <c r="I1136" s="125"/>
      <c r="J1136" s="126"/>
      <c r="K1136" s="126"/>
    </row>
    <row r="1137" spans="1:11" ht="13.5" customHeight="1">
      <c r="A1137" s="119" t="s">
        <v>488</v>
      </c>
      <c r="B1137" s="119" t="s">
        <v>40</v>
      </c>
      <c r="C1137" s="119" t="s">
        <v>531</v>
      </c>
      <c r="D1137" s="120" t="s">
        <v>1</v>
      </c>
      <c r="E1137" s="121">
        <v>0</v>
      </c>
      <c r="F1137" s="122">
        <v>1.9779999999999999E-2</v>
      </c>
      <c r="G1137" s="121">
        <v>0</v>
      </c>
      <c r="H1137" s="125">
        <f>SUM(G1127:G1137)</f>
        <v>2158.0267802975804</v>
      </c>
      <c r="I1137" s="125"/>
      <c r="J1137" s="126"/>
      <c r="K1137" s="126"/>
    </row>
    <row r="1138" spans="1:11" s="117" customFormat="1" ht="13.5" customHeight="1">
      <c r="A1138" s="127" t="s">
        <v>488</v>
      </c>
      <c r="B1138" s="119" t="s">
        <v>40</v>
      </c>
      <c r="C1138" s="127" t="s">
        <v>532</v>
      </c>
      <c r="D1138" s="128" t="s">
        <v>1</v>
      </c>
      <c r="E1138" s="129">
        <v>585.96480000000008</v>
      </c>
      <c r="F1138" s="130">
        <v>3.3700000000000001E-2</v>
      </c>
      <c r="G1138" s="129">
        <v>19.747013760000002</v>
      </c>
      <c r="H1138" s="125"/>
      <c r="I1138" s="132">
        <v>19.747013760000002</v>
      </c>
      <c r="J1138" s="133">
        <f>SUM(G1138*0.125)/92</f>
        <v>2.6830181739130435E-2</v>
      </c>
      <c r="K1138" s="133"/>
    </row>
    <row r="1139" spans="1:11" s="117" customFormat="1" ht="13.5" customHeight="1">
      <c r="A1139" s="127"/>
      <c r="B1139" s="119"/>
      <c r="C1139" s="127"/>
      <c r="D1139" s="128"/>
      <c r="E1139" s="129"/>
      <c r="F1139" s="130"/>
      <c r="G1139" s="129">
        <f>SUM(G1127:G1138)</f>
        <v>2177.7737940575803</v>
      </c>
      <c r="H1139" s="125"/>
      <c r="I1139" s="125"/>
      <c r="J1139" s="133"/>
      <c r="K1139" s="133"/>
    </row>
    <row r="1140" spans="1:11" ht="13.5" customHeight="1">
      <c r="A1140" s="119" t="s">
        <v>490</v>
      </c>
      <c r="B1140" s="119" t="s">
        <v>535</v>
      </c>
      <c r="C1140" s="119" t="s">
        <v>521</v>
      </c>
      <c r="D1140" s="120" t="s">
        <v>1</v>
      </c>
      <c r="E1140" s="121">
        <v>2325.7644</v>
      </c>
      <c r="F1140" s="122">
        <v>9.4500000000000001E-3</v>
      </c>
      <c r="G1140" s="121">
        <v>21.978473579999999</v>
      </c>
      <c r="H1140" s="125"/>
      <c r="I1140" s="125"/>
      <c r="J1140" s="126"/>
      <c r="K1140" s="126"/>
    </row>
    <row r="1141" spans="1:11" ht="13.5" customHeight="1">
      <c r="A1141" s="119" t="s">
        <v>490</v>
      </c>
      <c r="B1141" s="119" t="s">
        <v>535</v>
      </c>
      <c r="C1141" s="119" t="s">
        <v>522</v>
      </c>
      <c r="D1141" s="120" t="s">
        <v>1</v>
      </c>
      <c r="E1141" s="121">
        <v>3141.3087</v>
      </c>
      <c r="F1141" s="122">
        <v>2.6499999999999999E-2</v>
      </c>
      <c r="G1141" s="121">
        <v>83.244680549999998</v>
      </c>
      <c r="H1141" s="125"/>
      <c r="I1141" s="125"/>
      <c r="J1141" s="126"/>
      <c r="K1141" s="126"/>
    </row>
    <row r="1142" spans="1:11" ht="13.5" customHeight="1">
      <c r="A1142" s="119" t="s">
        <v>490</v>
      </c>
      <c r="B1142" s="119" t="s">
        <v>535</v>
      </c>
      <c r="C1142" s="119" t="s">
        <v>523</v>
      </c>
      <c r="D1142" s="120" t="s">
        <v>1</v>
      </c>
      <c r="E1142" s="121">
        <v>1018.8578399999999</v>
      </c>
      <c r="F1142" s="122">
        <v>6.0000000000000001E-3</v>
      </c>
      <c r="G1142" s="121">
        <v>6.1131470399999994</v>
      </c>
      <c r="H1142" s="125"/>
      <c r="I1142" s="125"/>
      <c r="J1142" s="126"/>
      <c r="K1142" s="126"/>
    </row>
    <row r="1143" spans="1:11" ht="13.5" customHeight="1">
      <c r="A1143" s="119" t="s">
        <v>490</v>
      </c>
      <c r="B1143" s="119" t="s">
        <v>535</v>
      </c>
      <c r="C1143" s="119" t="s">
        <v>524</v>
      </c>
      <c r="D1143" s="120" t="s">
        <v>1</v>
      </c>
      <c r="E1143" s="121">
        <v>355.22615999999994</v>
      </c>
      <c r="F1143" s="122">
        <v>7.4999999999999997E-3</v>
      </c>
      <c r="G1143" s="121">
        <v>2.6641961999999992</v>
      </c>
      <c r="H1143" s="125"/>
      <c r="I1143" s="125"/>
      <c r="J1143" s="126"/>
      <c r="K1143" s="126"/>
    </row>
    <row r="1144" spans="1:11" ht="13.5" customHeight="1">
      <c r="A1144" s="119" t="s">
        <v>490</v>
      </c>
      <c r="B1144" s="119" t="s">
        <v>535</v>
      </c>
      <c r="C1144" s="119" t="s">
        <v>525</v>
      </c>
      <c r="D1144" s="120" t="s">
        <v>1</v>
      </c>
      <c r="E1144" s="121">
        <v>4997.0854799999997</v>
      </c>
      <c r="F1144" s="122">
        <v>2.6499999999999999E-2</v>
      </c>
      <c r="G1144" s="121">
        <v>132.42276522</v>
      </c>
      <c r="H1144" s="125"/>
      <c r="I1144" s="125"/>
      <c r="J1144" s="126"/>
      <c r="K1144" s="126"/>
    </row>
    <row r="1145" spans="1:11" ht="13.5" customHeight="1">
      <c r="A1145" s="119" t="s">
        <v>490</v>
      </c>
      <c r="B1145" s="119" t="s">
        <v>535</v>
      </c>
      <c r="C1145" s="119" t="s">
        <v>526</v>
      </c>
      <c r="D1145" s="120" t="s">
        <v>1</v>
      </c>
      <c r="E1145" s="121">
        <v>1651.4454000000001</v>
      </c>
      <c r="F1145" s="122">
        <v>6.0000000000000001E-3</v>
      </c>
      <c r="G1145" s="121">
        <v>9.9086724000000004</v>
      </c>
      <c r="H1145" s="125"/>
      <c r="I1145" s="125"/>
      <c r="J1145" s="126"/>
      <c r="K1145" s="126"/>
    </row>
    <row r="1146" spans="1:11" ht="13.5" customHeight="1">
      <c r="A1146" s="119" t="s">
        <v>490</v>
      </c>
      <c r="B1146" s="119" t="s">
        <v>535</v>
      </c>
      <c r="C1146" s="119" t="s">
        <v>527</v>
      </c>
      <c r="D1146" s="120" t="s">
        <v>1</v>
      </c>
      <c r="E1146" s="121">
        <v>570.4993199999999</v>
      </c>
      <c r="F1146" s="122">
        <v>7.4999999999999997E-3</v>
      </c>
      <c r="G1146" s="121">
        <v>4.2787448999999995</v>
      </c>
      <c r="H1146" s="125"/>
      <c r="I1146" s="125"/>
      <c r="J1146" s="126"/>
      <c r="K1146" s="126"/>
    </row>
    <row r="1147" spans="1:11" ht="13.5" customHeight="1">
      <c r="A1147" s="119" t="s">
        <v>490</v>
      </c>
      <c r="B1147" s="119" t="s">
        <v>535</v>
      </c>
      <c r="C1147" s="119" t="s">
        <v>528</v>
      </c>
      <c r="D1147" s="120" t="s">
        <v>1</v>
      </c>
      <c r="E1147" s="121">
        <v>947</v>
      </c>
      <c r="F1147" s="122">
        <v>2.05E-5</v>
      </c>
      <c r="G1147" s="121">
        <v>1.94135E-2</v>
      </c>
      <c r="H1147" s="125"/>
      <c r="I1147" s="125"/>
      <c r="J1147" s="126"/>
      <c r="K1147" s="126"/>
    </row>
    <row r="1148" spans="1:11" ht="13.5" customHeight="1">
      <c r="A1148" s="119" t="s">
        <v>490</v>
      </c>
      <c r="B1148" s="119" t="s">
        <v>535</v>
      </c>
      <c r="C1148" s="119" t="s">
        <v>529</v>
      </c>
      <c r="D1148" s="120" t="s">
        <v>1</v>
      </c>
      <c r="E1148" s="121">
        <v>11132.625</v>
      </c>
      <c r="F1148" s="122">
        <v>5.8999999999999999E-3</v>
      </c>
      <c r="G1148" s="121">
        <v>65.682487499999993</v>
      </c>
      <c r="H1148" s="125"/>
      <c r="I1148" s="125"/>
      <c r="J1148" s="126"/>
      <c r="K1148" s="126"/>
    </row>
    <row r="1149" spans="1:11" ht="13.5" customHeight="1">
      <c r="A1149" s="119" t="s">
        <v>490</v>
      </c>
      <c r="B1149" s="119" t="s">
        <v>535</v>
      </c>
      <c r="C1149" s="119" t="s">
        <v>530</v>
      </c>
      <c r="D1149" s="120" t="s">
        <v>1</v>
      </c>
      <c r="E1149" s="121">
        <v>3494.7434616</v>
      </c>
      <c r="F1149" s="122">
        <v>9.4500000000000001E-3</v>
      </c>
      <c r="G1149" s="121">
        <v>33.025325712120001</v>
      </c>
      <c r="H1149" s="125"/>
      <c r="I1149" s="125"/>
      <c r="J1149" s="126"/>
      <c r="K1149" s="126"/>
    </row>
    <row r="1150" spans="1:11" ht="13.5" customHeight="1">
      <c r="A1150" s="119" t="s">
        <v>490</v>
      </c>
      <c r="B1150" s="119" t="s">
        <v>535</v>
      </c>
      <c r="C1150" s="119" t="s">
        <v>531</v>
      </c>
      <c r="D1150" s="120" t="s">
        <v>1</v>
      </c>
      <c r="E1150" s="121">
        <v>0</v>
      </c>
      <c r="F1150" s="122">
        <v>1.9779999999999999E-2</v>
      </c>
      <c r="G1150" s="121">
        <v>0</v>
      </c>
      <c r="H1150" s="125">
        <f>SUM(G1140:G1150)</f>
        <v>359.33790660211997</v>
      </c>
      <c r="I1150" s="125"/>
      <c r="J1150" s="126"/>
      <c r="K1150" s="126"/>
    </row>
    <row r="1151" spans="1:11" s="117" customFormat="1" ht="13.5" customHeight="1">
      <c r="A1151" s="127" t="s">
        <v>490</v>
      </c>
      <c r="B1151" s="119" t="s">
        <v>535</v>
      </c>
      <c r="C1151" s="127" t="s">
        <v>532</v>
      </c>
      <c r="D1151" s="128" t="s">
        <v>1</v>
      </c>
      <c r="E1151" s="129">
        <v>10595.714400000001</v>
      </c>
      <c r="F1151" s="130">
        <v>3.3700000000000001E-2</v>
      </c>
      <c r="G1151" s="129">
        <v>357.07557528000001</v>
      </c>
      <c r="H1151" s="125"/>
      <c r="I1151" s="132">
        <v>357.07557528000001</v>
      </c>
      <c r="J1151" s="133">
        <f>SUM(G1151*0.125)/92</f>
        <v>0.48515703163043478</v>
      </c>
      <c r="K1151" s="133"/>
    </row>
    <row r="1152" spans="1:11" s="117" customFormat="1" ht="13.5" customHeight="1">
      <c r="A1152" s="127"/>
      <c r="B1152" s="119"/>
      <c r="C1152" s="127"/>
      <c r="D1152" s="128"/>
      <c r="E1152" s="129"/>
      <c r="F1152" s="130"/>
      <c r="G1152" s="129">
        <f>SUM(G1140:G1151)</f>
        <v>716.41348188211998</v>
      </c>
      <c r="H1152" s="125"/>
      <c r="I1152" s="125"/>
      <c r="J1152" s="133"/>
      <c r="K1152" s="133"/>
    </row>
    <row r="1153" spans="1:11" ht="13.5" customHeight="1">
      <c r="A1153" s="119" t="s">
        <v>492</v>
      </c>
      <c r="B1153" s="119" t="s">
        <v>536</v>
      </c>
      <c r="C1153" s="119" t="s">
        <v>521</v>
      </c>
      <c r="D1153" s="120" t="s">
        <v>1</v>
      </c>
      <c r="E1153" s="121">
        <v>13319.4879</v>
      </c>
      <c r="F1153" s="122">
        <v>9.4500000000000001E-3</v>
      </c>
      <c r="G1153" s="121">
        <v>125.869160655</v>
      </c>
      <c r="H1153" s="125"/>
      <c r="I1153" s="125"/>
      <c r="J1153" s="126"/>
      <c r="K1153" s="126"/>
    </row>
    <row r="1154" spans="1:11" ht="13.5" customHeight="1">
      <c r="A1154" s="119" t="s">
        <v>492</v>
      </c>
      <c r="B1154" s="119" t="s">
        <v>536</v>
      </c>
      <c r="C1154" s="119" t="s">
        <v>522</v>
      </c>
      <c r="D1154" s="120" t="s">
        <v>1</v>
      </c>
      <c r="E1154" s="121">
        <v>17982.018100000001</v>
      </c>
      <c r="F1154" s="122">
        <v>2.6499999999999999E-2</v>
      </c>
      <c r="G1154" s="121">
        <v>476.52347965000001</v>
      </c>
      <c r="H1154" s="125"/>
      <c r="I1154" s="125"/>
      <c r="J1154" s="126"/>
      <c r="K1154" s="126"/>
    </row>
    <row r="1155" spans="1:11" ht="13.5" customHeight="1">
      <c r="A1155" s="119" t="s">
        <v>492</v>
      </c>
      <c r="B1155" s="119" t="s">
        <v>536</v>
      </c>
      <c r="C1155" s="119" t="s">
        <v>523</v>
      </c>
      <c r="D1155" s="120" t="s">
        <v>1</v>
      </c>
      <c r="E1155" s="121">
        <v>5845.2508799999996</v>
      </c>
      <c r="F1155" s="122">
        <v>6.0000000000000001E-3</v>
      </c>
      <c r="G1155" s="121">
        <v>35.071505279999997</v>
      </c>
      <c r="H1155" s="125"/>
      <c r="I1155" s="125"/>
      <c r="J1155" s="126"/>
      <c r="K1155" s="126"/>
    </row>
    <row r="1156" spans="1:11" ht="13.5" customHeight="1">
      <c r="A1156" s="119" t="s">
        <v>492</v>
      </c>
      <c r="B1156" s="119" t="s">
        <v>536</v>
      </c>
      <c r="C1156" s="119" t="s">
        <v>524</v>
      </c>
      <c r="D1156" s="120" t="s">
        <v>1</v>
      </c>
      <c r="E1156" s="121">
        <v>2034.28944</v>
      </c>
      <c r="F1156" s="122">
        <v>7.4999999999999997E-3</v>
      </c>
      <c r="G1156" s="121">
        <v>15.257170799999999</v>
      </c>
      <c r="H1156" s="125"/>
      <c r="I1156" s="125"/>
      <c r="J1156" s="126"/>
      <c r="K1156" s="126"/>
    </row>
    <row r="1157" spans="1:11" ht="13.5" customHeight="1">
      <c r="A1157" s="119" t="s">
        <v>492</v>
      </c>
      <c r="B1157" s="119" t="s">
        <v>536</v>
      </c>
      <c r="C1157" s="119" t="s">
        <v>525</v>
      </c>
      <c r="D1157" s="120" t="s">
        <v>1</v>
      </c>
      <c r="E1157" s="121">
        <v>28638.47208</v>
      </c>
      <c r="F1157" s="122">
        <v>2.6499999999999999E-2</v>
      </c>
      <c r="G1157" s="121">
        <v>758.91951011999993</v>
      </c>
      <c r="H1157" s="125"/>
      <c r="I1157" s="125"/>
      <c r="J1157" s="126"/>
      <c r="K1157" s="126"/>
    </row>
    <row r="1158" spans="1:11" ht="13.5" customHeight="1">
      <c r="A1158" s="119" t="s">
        <v>492</v>
      </c>
      <c r="B1158" s="119" t="s">
        <v>536</v>
      </c>
      <c r="C1158" s="119" t="s">
        <v>526</v>
      </c>
      <c r="D1158" s="120" t="s">
        <v>1</v>
      </c>
      <c r="E1158" s="121">
        <v>9455.3496799999994</v>
      </c>
      <c r="F1158" s="122">
        <v>6.0000000000000001E-3</v>
      </c>
      <c r="G1158" s="121">
        <v>56.73209808</v>
      </c>
      <c r="H1158" s="125"/>
      <c r="I1158" s="125"/>
      <c r="J1158" s="126"/>
      <c r="K1158" s="126"/>
    </row>
    <row r="1159" spans="1:11" ht="13.5" customHeight="1">
      <c r="A1159" s="119" t="s">
        <v>492</v>
      </c>
      <c r="B1159" s="119" t="s">
        <v>536</v>
      </c>
      <c r="C1159" s="119" t="s">
        <v>527</v>
      </c>
      <c r="D1159" s="120" t="s">
        <v>1</v>
      </c>
      <c r="E1159" s="121">
        <v>3269.0764799999997</v>
      </c>
      <c r="F1159" s="122">
        <v>7.4999999999999997E-3</v>
      </c>
      <c r="G1159" s="121">
        <v>24.518073599999997</v>
      </c>
      <c r="H1159" s="125"/>
      <c r="I1159" s="125"/>
      <c r="J1159" s="126"/>
      <c r="K1159" s="126"/>
    </row>
    <row r="1160" spans="1:11" ht="13.5" customHeight="1">
      <c r="A1160" s="119" t="s">
        <v>492</v>
      </c>
      <c r="B1160" s="119" t="s">
        <v>536</v>
      </c>
      <c r="C1160" s="119" t="s">
        <v>528</v>
      </c>
      <c r="D1160" s="120" t="s">
        <v>1</v>
      </c>
      <c r="E1160" s="121">
        <v>5533</v>
      </c>
      <c r="F1160" s="122">
        <v>2.05E-5</v>
      </c>
      <c r="G1160" s="121">
        <v>0.1134265</v>
      </c>
      <c r="H1160" s="125"/>
      <c r="I1160" s="125"/>
      <c r="J1160" s="126"/>
      <c r="K1160" s="126"/>
    </row>
    <row r="1161" spans="1:11" ht="13.5" customHeight="1">
      <c r="A1161" s="119" t="s">
        <v>492</v>
      </c>
      <c r="B1161" s="119" t="s">
        <v>536</v>
      </c>
      <c r="C1161" s="119" t="s">
        <v>529</v>
      </c>
      <c r="D1161" s="120" t="s">
        <v>1</v>
      </c>
      <c r="E1161" s="121">
        <v>1468.222</v>
      </c>
      <c r="F1161" s="122">
        <v>5.8999999999999999E-3</v>
      </c>
      <c r="G1161" s="121">
        <v>8.6625098000000005</v>
      </c>
      <c r="H1161" s="125"/>
      <c r="I1161" s="125"/>
      <c r="J1161" s="126"/>
      <c r="K1161" s="126"/>
    </row>
    <row r="1162" spans="1:11" ht="13.5" customHeight="1">
      <c r="A1162" s="119" t="s">
        <v>492</v>
      </c>
      <c r="B1162" s="119" t="s">
        <v>536</v>
      </c>
      <c r="C1162" s="119" t="s">
        <v>530</v>
      </c>
      <c r="D1162" s="120" t="s">
        <v>1</v>
      </c>
      <c r="E1162" s="121">
        <v>19414.173658399999</v>
      </c>
      <c r="F1162" s="122">
        <v>9.4500000000000001E-3</v>
      </c>
      <c r="G1162" s="121">
        <v>183.46394107187999</v>
      </c>
      <c r="H1162" s="125"/>
      <c r="I1162" s="125"/>
      <c r="J1162" s="126"/>
      <c r="K1162" s="126"/>
    </row>
    <row r="1163" spans="1:11" ht="13.5" customHeight="1">
      <c r="A1163" s="119" t="s">
        <v>492</v>
      </c>
      <c r="B1163" s="119" t="s">
        <v>536</v>
      </c>
      <c r="C1163" s="119" t="s">
        <v>531</v>
      </c>
      <c r="D1163" s="120" t="s">
        <v>1</v>
      </c>
      <c r="E1163" s="121">
        <v>0</v>
      </c>
      <c r="F1163" s="122">
        <v>1.9779999999999999E-2</v>
      </c>
      <c r="G1163" s="121">
        <v>0</v>
      </c>
      <c r="H1163" s="125">
        <f>SUM(G1153:G1163)</f>
        <v>1685.13087555688</v>
      </c>
      <c r="I1163" s="125"/>
      <c r="J1163" s="126"/>
      <c r="K1163" s="126"/>
    </row>
    <row r="1164" spans="1:11" s="117" customFormat="1" ht="13.5" customHeight="1">
      <c r="A1164" s="127" t="s">
        <v>492</v>
      </c>
      <c r="B1164" s="119" t="s">
        <v>536</v>
      </c>
      <c r="C1164" s="127" t="s">
        <v>532</v>
      </c>
      <c r="D1164" s="128" t="s">
        <v>1</v>
      </c>
      <c r="E1164" s="129">
        <v>1406.5319999999999</v>
      </c>
      <c r="F1164" s="130">
        <v>3.3700000000000001E-2</v>
      </c>
      <c r="G1164" s="129">
        <v>47.4001284</v>
      </c>
      <c r="H1164" s="125"/>
      <c r="I1164" s="132">
        <v>47.4001284</v>
      </c>
      <c r="J1164" s="133">
        <f>SUM(G1164*0.125)/92</f>
        <v>6.4402348369565224E-2</v>
      </c>
      <c r="K1164" s="133"/>
    </row>
    <row r="1165" spans="1:11" s="117" customFormat="1" ht="13.5" customHeight="1">
      <c r="A1165" s="127"/>
      <c r="B1165" s="119"/>
      <c r="C1165" s="127"/>
      <c r="D1165" s="128"/>
      <c r="E1165" s="129"/>
      <c r="F1165" s="130"/>
      <c r="G1165" s="129">
        <f>SUM(G1153:G1164)</f>
        <v>1732.5310039568801</v>
      </c>
      <c r="H1165" s="125"/>
      <c r="I1165" s="125"/>
      <c r="J1165" s="133"/>
      <c r="K1165" s="133"/>
    </row>
    <row r="1166" spans="1:11" ht="13.5" customHeight="1">
      <c r="A1166" s="119" t="s">
        <v>494</v>
      </c>
      <c r="B1166" s="119" t="s">
        <v>537</v>
      </c>
      <c r="C1166" s="119" t="s">
        <v>521</v>
      </c>
      <c r="D1166" s="120" t="s">
        <v>1</v>
      </c>
      <c r="E1166" s="121">
        <v>4201.7460000000001</v>
      </c>
      <c r="F1166" s="122">
        <v>9.4500000000000001E-3</v>
      </c>
      <c r="G1166" s="121">
        <v>39.706499700000002</v>
      </c>
      <c r="H1166" s="125"/>
      <c r="I1166" s="125"/>
      <c r="J1166" s="126"/>
      <c r="K1166" s="126"/>
    </row>
    <row r="1167" spans="1:11" ht="13.5" customHeight="1">
      <c r="A1167" s="119" t="s">
        <v>494</v>
      </c>
      <c r="B1167" s="119" t="s">
        <v>537</v>
      </c>
      <c r="C1167" s="119" t="s">
        <v>522</v>
      </c>
      <c r="D1167" s="120" t="s">
        <v>1</v>
      </c>
      <c r="E1167" s="121">
        <v>5671.5220000000008</v>
      </c>
      <c r="F1167" s="122">
        <v>2.6499999999999999E-2</v>
      </c>
      <c r="G1167" s="121">
        <v>150.29533300000003</v>
      </c>
      <c r="H1167" s="125"/>
      <c r="I1167" s="125"/>
      <c r="J1167" s="126"/>
      <c r="K1167" s="126"/>
    </row>
    <row r="1168" spans="1:11" ht="13.5" customHeight="1">
      <c r="A1168" s="119" t="s">
        <v>494</v>
      </c>
      <c r="B1168" s="119" t="s">
        <v>537</v>
      </c>
      <c r="C1168" s="119" t="s">
        <v>523</v>
      </c>
      <c r="D1168" s="120" t="s">
        <v>1</v>
      </c>
      <c r="E1168" s="121">
        <v>1843.9007999999999</v>
      </c>
      <c r="F1168" s="122">
        <v>6.0000000000000001E-3</v>
      </c>
      <c r="G1168" s="121">
        <v>11.063404799999999</v>
      </c>
      <c r="H1168" s="125"/>
      <c r="I1168" s="125"/>
      <c r="J1168" s="126"/>
      <c r="K1168" s="126"/>
    </row>
    <row r="1169" spans="1:11" ht="13.5" customHeight="1">
      <c r="A1169" s="119" t="s">
        <v>494</v>
      </c>
      <c r="B1169" s="119" t="s">
        <v>537</v>
      </c>
      <c r="C1169" s="119" t="s">
        <v>524</v>
      </c>
      <c r="D1169" s="120" t="s">
        <v>1</v>
      </c>
      <c r="E1169" s="121">
        <v>642.3112000000001</v>
      </c>
      <c r="F1169" s="122">
        <v>7.4999999999999997E-3</v>
      </c>
      <c r="G1169" s="121">
        <v>4.8173340000000007</v>
      </c>
      <c r="H1169" s="125"/>
      <c r="I1169" s="125"/>
      <c r="J1169" s="126"/>
      <c r="K1169" s="126"/>
    </row>
    <row r="1170" spans="1:11" ht="13.5" customHeight="1">
      <c r="A1170" s="119" t="s">
        <v>494</v>
      </c>
      <c r="B1170" s="119" t="s">
        <v>537</v>
      </c>
      <c r="C1170" s="119" t="s">
        <v>525</v>
      </c>
      <c r="D1170" s="120" t="s">
        <v>1</v>
      </c>
      <c r="E1170" s="121">
        <v>9034.1118000000006</v>
      </c>
      <c r="F1170" s="122">
        <v>2.6499999999999999E-2</v>
      </c>
      <c r="G1170" s="121">
        <v>239.40396270000002</v>
      </c>
      <c r="H1170" s="125"/>
      <c r="I1170" s="125"/>
      <c r="J1170" s="126"/>
      <c r="K1170" s="126"/>
    </row>
    <row r="1171" spans="1:11" ht="13.5" customHeight="1">
      <c r="A1171" s="119" t="s">
        <v>494</v>
      </c>
      <c r="B1171" s="119" t="s">
        <v>537</v>
      </c>
      <c r="C1171" s="119" t="s">
        <v>526</v>
      </c>
      <c r="D1171" s="120" t="s">
        <v>1</v>
      </c>
      <c r="E1171" s="121">
        <v>2982.9772000000003</v>
      </c>
      <c r="F1171" s="122">
        <v>6.0000000000000001E-3</v>
      </c>
      <c r="G1171" s="121">
        <v>17.897863200000003</v>
      </c>
      <c r="H1171" s="125"/>
      <c r="I1171" s="125"/>
      <c r="J1171" s="126"/>
      <c r="K1171" s="126"/>
    </row>
    <row r="1172" spans="1:11" ht="13.5" customHeight="1">
      <c r="A1172" s="119" t="s">
        <v>494</v>
      </c>
      <c r="B1172" s="119" t="s">
        <v>537</v>
      </c>
      <c r="C1172" s="119" t="s">
        <v>527</v>
      </c>
      <c r="D1172" s="120" t="s">
        <v>1</v>
      </c>
      <c r="E1172" s="121">
        <v>1029.7975999999999</v>
      </c>
      <c r="F1172" s="122">
        <v>7.4999999999999997E-3</v>
      </c>
      <c r="G1172" s="121">
        <v>7.7234819999999988</v>
      </c>
      <c r="H1172" s="125"/>
      <c r="I1172" s="125"/>
      <c r="J1172" s="126"/>
      <c r="K1172" s="126"/>
    </row>
    <row r="1173" spans="1:11" ht="13.5" customHeight="1">
      <c r="A1173" s="119" t="s">
        <v>494</v>
      </c>
      <c r="B1173" s="119" t="s">
        <v>537</v>
      </c>
      <c r="C1173" s="119" t="s">
        <v>528</v>
      </c>
      <c r="D1173" s="120" t="s">
        <v>1</v>
      </c>
      <c r="E1173" s="121">
        <v>1827</v>
      </c>
      <c r="F1173" s="122">
        <v>2.05E-5</v>
      </c>
      <c r="G1173" s="121">
        <v>3.7453500000000001E-2</v>
      </c>
      <c r="H1173" s="125"/>
      <c r="I1173" s="125"/>
      <c r="J1173" s="126"/>
      <c r="K1173" s="126"/>
    </row>
    <row r="1174" spans="1:11" ht="13.5" customHeight="1">
      <c r="A1174" s="119" t="s">
        <v>494</v>
      </c>
      <c r="B1174" s="119" t="s">
        <v>537</v>
      </c>
      <c r="C1174" s="119" t="s">
        <v>529</v>
      </c>
      <c r="D1174" s="120" t="s">
        <v>1</v>
      </c>
      <c r="E1174" s="121">
        <v>3549.1750000000002</v>
      </c>
      <c r="F1174" s="122">
        <v>5.8999999999999999E-3</v>
      </c>
      <c r="G1174" s="121">
        <v>20.940132500000001</v>
      </c>
      <c r="H1174" s="125"/>
      <c r="I1174" s="125"/>
      <c r="J1174" s="126"/>
      <c r="K1174" s="126"/>
    </row>
    <row r="1175" spans="1:11" ht="13.5" customHeight="1">
      <c r="A1175" s="119" t="s">
        <v>494</v>
      </c>
      <c r="B1175" s="119" t="s">
        <v>537</v>
      </c>
      <c r="C1175" s="119" t="s">
        <v>530</v>
      </c>
      <c r="D1175" s="120" t="s">
        <v>1</v>
      </c>
      <c r="E1175" s="121">
        <v>5921.889752000001</v>
      </c>
      <c r="F1175" s="122">
        <v>9.4500000000000001E-3</v>
      </c>
      <c r="G1175" s="121">
        <v>55.961858156400012</v>
      </c>
      <c r="H1175" s="125"/>
      <c r="I1175" s="125"/>
      <c r="J1175" s="126"/>
      <c r="K1175" s="126"/>
    </row>
    <row r="1176" spans="1:11" ht="13.5" customHeight="1">
      <c r="A1176" s="119" t="s">
        <v>494</v>
      </c>
      <c r="B1176" s="119" t="s">
        <v>537</v>
      </c>
      <c r="C1176" s="119" t="s">
        <v>531</v>
      </c>
      <c r="D1176" s="120" t="s">
        <v>1</v>
      </c>
      <c r="E1176" s="121">
        <v>0</v>
      </c>
      <c r="F1176" s="122">
        <v>1.9779999999999999E-2</v>
      </c>
      <c r="G1176" s="121">
        <v>0</v>
      </c>
      <c r="H1176" s="125">
        <f>SUM(G1166:G1176)</f>
        <v>547.84732355640006</v>
      </c>
      <c r="I1176" s="125"/>
      <c r="J1176" s="126"/>
      <c r="K1176" s="126"/>
    </row>
    <row r="1177" spans="1:11" s="117" customFormat="1" ht="13.5" customHeight="1">
      <c r="A1177" s="127" t="s">
        <v>494</v>
      </c>
      <c r="B1177" s="119" t="s">
        <v>537</v>
      </c>
      <c r="C1177" s="127" t="s">
        <v>532</v>
      </c>
      <c r="D1177" s="128" t="s">
        <v>1</v>
      </c>
      <c r="E1177" s="129">
        <v>3392.8920000000003</v>
      </c>
      <c r="F1177" s="130">
        <v>3.3700000000000001E-2</v>
      </c>
      <c r="G1177" s="129">
        <v>114.34046040000001</v>
      </c>
      <c r="H1177" s="125"/>
      <c r="I1177" s="132">
        <v>114.34046040000001</v>
      </c>
      <c r="J1177" s="133">
        <f>SUM(G1177*0.125)/92</f>
        <v>0.15535388641304348</v>
      </c>
      <c r="K1177" s="133"/>
    </row>
    <row r="1178" spans="1:11" s="117" customFormat="1" ht="13.5" customHeight="1">
      <c r="A1178" s="127"/>
      <c r="B1178" s="119"/>
      <c r="C1178" s="127"/>
      <c r="D1178" s="128"/>
      <c r="E1178" s="129"/>
      <c r="F1178" s="130"/>
      <c r="G1178" s="129">
        <f>SUM(G1166:G1177)</f>
        <v>662.18778395640004</v>
      </c>
      <c r="H1178" s="125"/>
      <c r="I1178" s="125"/>
      <c r="J1178" s="133"/>
      <c r="K1178" s="133"/>
    </row>
    <row r="1179" spans="1:11" ht="13.5" customHeight="1">
      <c r="A1179" s="119" t="s">
        <v>496</v>
      </c>
      <c r="B1179" s="119" t="s">
        <v>538</v>
      </c>
      <c r="C1179" s="119" t="s">
        <v>521</v>
      </c>
      <c r="D1179" s="120" t="s">
        <v>1</v>
      </c>
      <c r="E1179" s="121">
        <v>22287.3235776</v>
      </c>
      <c r="F1179" s="122">
        <v>9.4500000000000001E-3</v>
      </c>
      <c r="G1179" s="121">
        <v>210.61520780832001</v>
      </c>
      <c r="H1179" s="125"/>
      <c r="I1179" s="125"/>
      <c r="J1179" s="126"/>
      <c r="K1179" s="126"/>
    </row>
    <row r="1180" spans="1:11" ht="13.5" customHeight="1">
      <c r="A1180" s="119" t="s">
        <v>496</v>
      </c>
      <c r="B1180" s="119" t="s">
        <v>538</v>
      </c>
      <c r="C1180" s="119" t="s">
        <v>522</v>
      </c>
      <c r="D1180" s="120" t="s">
        <v>1</v>
      </c>
      <c r="E1180" s="121">
        <v>12512.616652799999</v>
      </c>
      <c r="F1180" s="122">
        <v>2.6499999999999999E-2</v>
      </c>
      <c r="G1180" s="121">
        <v>331.58434129919999</v>
      </c>
      <c r="H1180" s="125"/>
      <c r="I1180" s="125"/>
      <c r="J1180" s="126"/>
      <c r="K1180" s="126"/>
    </row>
    <row r="1181" spans="1:11" ht="13.5" customHeight="1">
      <c r="A1181" s="119" t="s">
        <v>496</v>
      </c>
      <c r="B1181" s="119" t="s">
        <v>538</v>
      </c>
      <c r="C1181" s="119" t="s">
        <v>523</v>
      </c>
      <c r="D1181" s="120" t="s">
        <v>1</v>
      </c>
      <c r="E1181" s="121">
        <v>4015.0307520000001</v>
      </c>
      <c r="F1181" s="122">
        <v>6.0000000000000001E-3</v>
      </c>
      <c r="G1181" s="121">
        <v>24.090184512</v>
      </c>
      <c r="H1181" s="125"/>
      <c r="I1181" s="125"/>
      <c r="J1181" s="126"/>
      <c r="K1181" s="126"/>
    </row>
    <row r="1182" spans="1:11" ht="13.5" customHeight="1">
      <c r="A1182" s="119" t="s">
        <v>496</v>
      </c>
      <c r="B1182" s="119" t="s">
        <v>538</v>
      </c>
      <c r="C1182" s="119" t="s">
        <v>524</v>
      </c>
      <c r="D1182" s="120" t="s">
        <v>1</v>
      </c>
      <c r="E1182" s="121">
        <v>1338.7729536000002</v>
      </c>
      <c r="F1182" s="122">
        <v>7.4999999999999997E-3</v>
      </c>
      <c r="G1182" s="121">
        <v>10.040797152000001</v>
      </c>
      <c r="H1182" s="125"/>
      <c r="I1182" s="125"/>
      <c r="J1182" s="126"/>
      <c r="K1182" s="126"/>
    </row>
    <row r="1183" spans="1:11" ht="13.5" customHeight="1">
      <c r="A1183" s="119" t="s">
        <v>496</v>
      </c>
      <c r="B1183" s="119" t="s">
        <v>538</v>
      </c>
      <c r="C1183" s="119" t="s">
        <v>525</v>
      </c>
      <c r="D1183" s="120" t="s">
        <v>1</v>
      </c>
      <c r="E1183" s="121">
        <v>20360.609395200001</v>
      </c>
      <c r="F1183" s="122">
        <v>2.6499999999999999E-2</v>
      </c>
      <c r="G1183" s="121">
        <v>539.55614897279997</v>
      </c>
      <c r="H1183" s="125"/>
      <c r="I1183" s="125"/>
      <c r="J1183" s="126"/>
      <c r="K1183" s="126"/>
    </row>
    <row r="1184" spans="1:11" ht="13.5" customHeight="1">
      <c r="A1184" s="119" t="s">
        <v>496</v>
      </c>
      <c r="B1184" s="119" t="s">
        <v>538</v>
      </c>
      <c r="C1184" s="119" t="s">
        <v>526</v>
      </c>
      <c r="D1184" s="120" t="s">
        <v>1</v>
      </c>
      <c r="E1184" s="121">
        <v>6526.9709567999998</v>
      </c>
      <c r="F1184" s="122">
        <v>6.0000000000000001E-3</v>
      </c>
      <c r="G1184" s="121">
        <v>39.161825740799998</v>
      </c>
      <c r="H1184" s="125"/>
      <c r="I1184" s="125"/>
      <c r="J1184" s="126"/>
      <c r="K1184" s="126"/>
    </row>
    <row r="1185" spans="1:11" ht="13.5" customHeight="1">
      <c r="A1185" s="119" t="s">
        <v>496</v>
      </c>
      <c r="B1185" s="119" t="s">
        <v>538</v>
      </c>
      <c r="C1185" s="119" t="s">
        <v>527</v>
      </c>
      <c r="D1185" s="120" t="s">
        <v>1</v>
      </c>
      <c r="E1185" s="121">
        <v>2176.6565375999999</v>
      </c>
      <c r="F1185" s="122">
        <v>7.4999999999999997E-3</v>
      </c>
      <c r="G1185" s="121">
        <v>16.324924031999998</v>
      </c>
      <c r="H1185" s="125"/>
      <c r="I1185" s="125"/>
      <c r="J1185" s="126"/>
      <c r="K1185" s="126"/>
    </row>
    <row r="1186" spans="1:11" ht="13.5" customHeight="1">
      <c r="A1186" s="119" t="s">
        <v>496</v>
      </c>
      <c r="B1186" s="119" t="s">
        <v>538</v>
      </c>
      <c r="C1186" s="119" t="s">
        <v>528</v>
      </c>
      <c r="D1186" s="120" t="s">
        <v>1</v>
      </c>
      <c r="E1186" s="121">
        <v>10163.751910000001</v>
      </c>
      <c r="F1186" s="122">
        <v>2.05E-5</v>
      </c>
      <c r="G1186" s="121">
        <v>0.20835691415500002</v>
      </c>
      <c r="H1186" s="125"/>
      <c r="I1186" s="125"/>
      <c r="J1186" s="126"/>
      <c r="K1186" s="126"/>
    </row>
    <row r="1187" spans="1:11" ht="13.5" customHeight="1">
      <c r="A1187" s="119" t="s">
        <v>496</v>
      </c>
      <c r="B1187" s="119" t="s">
        <v>538</v>
      </c>
      <c r="C1187" s="119" t="s">
        <v>529</v>
      </c>
      <c r="D1187" s="120" t="s">
        <v>1</v>
      </c>
      <c r="E1187" s="121">
        <v>381.94778880000001</v>
      </c>
      <c r="F1187" s="122">
        <v>5.8999999999999999E-3</v>
      </c>
      <c r="G1187" s="121">
        <v>2.2534919539200002</v>
      </c>
      <c r="H1187" s="125"/>
      <c r="I1187" s="125"/>
      <c r="J1187" s="126"/>
      <c r="K1187" s="126"/>
    </row>
    <row r="1188" spans="1:11" ht="13.5" customHeight="1">
      <c r="A1188" s="119" t="s">
        <v>496</v>
      </c>
      <c r="B1188" s="119" t="s">
        <v>538</v>
      </c>
      <c r="C1188" s="119" t="s">
        <v>530</v>
      </c>
      <c r="D1188" s="120" t="s">
        <v>1</v>
      </c>
      <c r="E1188" s="121">
        <v>2221.9909631999999</v>
      </c>
      <c r="F1188" s="122">
        <v>9.4500000000000001E-3</v>
      </c>
      <c r="G1188" s="121">
        <v>20.997814602239998</v>
      </c>
      <c r="H1188" s="125"/>
      <c r="I1188" s="125"/>
      <c r="J1188" s="126"/>
      <c r="K1188" s="126"/>
    </row>
    <row r="1189" spans="1:11" ht="13.5" customHeight="1">
      <c r="A1189" s="119" t="s">
        <v>496</v>
      </c>
      <c r="B1189" s="119" t="s">
        <v>538</v>
      </c>
      <c r="C1189" s="119" t="s">
        <v>531</v>
      </c>
      <c r="D1189" s="120" t="s">
        <v>1</v>
      </c>
      <c r="E1189" s="121">
        <v>6650.508797550001</v>
      </c>
      <c r="F1189" s="122">
        <v>1.9779999999999999E-2</v>
      </c>
      <c r="G1189" s="121">
        <v>131.54706401553901</v>
      </c>
      <c r="H1189" s="125">
        <f>SUM(G1179:G1189)</f>
        <v>1326.3801570029736</v>
      </c>
      <c r="I1189" s="125"/>
      <c r="J1189" s="126"/>
      <c r="K1189" s="126"/>
    </row>
    <row r="1190" spans="1:11" s="117" customFormat="1" ht="13.5" customHeight="1">
      <c r="A1190" s="127" t="s">
        <v>496</v>
      </c>
      <c r="B1190" s="119" t="s">
        <v>538</v>
      </c>
      <c r="C1190" s="127" t="s">
        <v>532</v>
      </c>
      <c r="D1190" s="128" t="s">
        <v>1</v>
      </c>
      <c r="E1190" s="129">
        <v>215.88353280000001</v>
      </c>
      <c r="F1190" s="130">
        <v>3.3700000000000001E-2</v>
      </c>
      <c r="G1190" s="129">
        <v>7.2752750553600007</v>
      </c>
      <c r="H1190" s="125"/>
      <c r="I1190" s="132">
        <v>7.2752750553600007</v>
      </c>
      <c r="J1190" s="133">
        <f>SUM(G1190*0.125)/92</f>
        <v>9.8848845860869568E-3</v>
      </c>
      <c r="K1190" s="133"/>
    </row>
    <row r="1191" spans="1:11" s="117" customFormat="1" ht="13.5" customHeight="1">
      <c r="A1191" s="127"/>
      <c r="B1191" s="119"/>
      <c r="C1191" s="127"/>
      <c r="D1191" s="128"/>
      <c r="E1191" s="129"/>
      <c r="F1191" s="130"/>
      <c r="G1191" s="129">
        <f>SUM(G1179:G1190)</f>
        <v>1333.6554320583336</v>
      </c>
      <c r="H1191" s="125"/>
      <c r="I1191" s="125"/>
      <c r="J1191" s="133"/>
      <c r="K1191" s="133"/>
    </row>
    <row r="1192" spans="1:11" ht="13.5" customHeight="1">
      <c r="A1192" s="119" t="s">
        <v>498</v>
      </c>
      <c r="B1192" s="119" t="s">
        <v>539</v>
      </c>
      <c r="C1192" s="119" t="s">
        <v>521</v>
      </c>
      <c r="D1192" s="120" t="s">
        <v>1</v>
      </c>
      <c r="E1192" s="121">
        <v>43.040471800000006</v>
      </c>
      <c r="F1192" s="122">
        <v>9.4500000000000001E-3</v>
      </c>
      <c r="G1192" s="121">
        <v>0.40673245851000006</v>
      </c>
      <c r="H1192" s="125"/>
      <c r="I1192" s="125"/>
      <c r="J1192" s="126"/>
      <c r="K1192" s="126"/>
    </row>
    <row r="1193" spans="1:11" ht="13.5" customHeight="1">
      <c r="A1193" s="119" t="s">
        <v>498</v>
      </c>
      <c r="B1193" s="119" t="s">
        <v>539</v>
      </c>
      <c r="C1193" s="119" t="s">
        <v>522</v>
      </c>
      <c r="D1193" s="120" t="s">
        <v>1</v>
      </c>
      <c r="E1193" s="121">
        <v>117.34500840000001</v>
      </c>
      <c r="F1193" s="122">
        <v>2.6499999999999999E-2</v>
      </c>
      <c r="G1193" s="121">
        <v>3.1096427226000003</v>
      </c>
      <c r="H1193" s="125"/>
      <c r="I1193" s="125"/>
      <c r="J1193" s="126"/>
      <c r="K1193" s="126"/>
    </row>
    <row r="1194" spans="1:11" ht="13.5" customHeight="1">
      <c r="A1194" s="119" t="s">
        <v>498</v>
      </c>
      <c r="B1194" s="119" t="s">
        <v>539</v>
      </c>
      <c r="C1194" s="119" t="s">
        <v>523</v>
      </c>
      <c r="D1194" s="120" t="s">
        <v>1</v>
      </c>
      <c r="E1194" s="121">
        <v>39.913030600000006</v>
      </c>
      <c r="F1194" s="122">
        <v>6.0000000000000001E-3</v>
      </c>
      <c r="G1194" s="121">
        <v>0.23947818360000003</v>
      </c>
      <c r="H1194" s="125"/>
      <c r="I1194" s="125"/>
      <c r="J1194" s="126"/>
      <c r="K1194" s="126"/>
    </row>
    <row r="1195" spans="1:11" ht="13.5" customHeight="1">
      <c r="A1195" s="119" t="s">
        <v>498</v>
      </c>
      <c r="B1195" s="119" t="s">
        <v>539</v>
      </c>
      <c r="C1195" s="119" t="s">
        <v>524</v>
      </c>
      <c r="D1195" s="120" t="s">
        <v>1</v>
      </c>
      <c r="E1195" s="121">
        <v>12.178654400000001</v>
      </c>
      <c r="F1195" s="122">
        <v>7.4999999999999997E-3</v>
      </c>
      <c r="G1195" s="121">
        <v>9.1339907999999997E-2</v>
      </c>
      <c r="H1195" s="125"/>
      <c r="I1195" s="125"/>
      <c r="J1195" s="126"/>
      <c r="K1195" s="126"/>
    </row>
    <row r="1196" spans="1:11" ht="13.5" customHeight="1">
      <c r="A1196" s="119" t="s">
        <v>498</v>
      </c>
      <c r="B1196" s="119" t="s">
        <v>539</v>
      </c>
      <c r="C1196" s="119" t="s">
        <v>525</v>
      </c>
      <c r="D1196" s="120" t="s">
        <v>1</v>
      </c>
      <c r="E1196" s="121">
        <v>363.05738000000002</v>
      </c>
      <c r="F1196" s="122">
        <v>2.6499999999999999E-2</v>
      </c>
      <c r="G1196" s="121">
        <v>9.6210205700000007</v>
      </c>
      <c r="H1196" s="125"/>
      <c r="I1196" s="125"/>
      <c r="J1196" s="126"/>
      <c r="K1196" s="126"/>
    </row>
    <row r="1197" spans="1:11" ht="13.5" customHeight="1">
      <c r="A1197" s="119" t="s">
        <v>498</v>
      </c>
      <c r="B1197" s="119" t="s">
        <v>539</v>
      </c>
      <c r="C1197" s="119" t="s">
        <v>526</v>
      </c>
      <c r="D1197" s="120" t="s">
        <v>1</v>
      </c>
      <c r="E1197" s="121">
        <v>113.870936</v>
      </c>
      <c r="F1197" s="122">
        <v>6.0000000000000001E-3</v>
      </c>
      <c r="G1197" s="121">
        <v>0.68322561599999998</v>
      </c>
      <c r="H1197" s="125"/>
      <c r="I1197" s="125"/>
      <c r="J1197" s="126"/>
      <c r="K1197" s="126"/>
    </row>
    <row r="1198" spans="1:11" ht="13.5" customHeight="1">
      <c r="A1198" s="119" t="s">
        <v>498</v>
      </c>
      <c r="B1198" s="119" t="s">
        <v>539</v>
      </c>
      <c r="C1198" s="119" t="s">
        <v>527</v>
      </c>
      <c r="D1198" s="120" t="s">
        <v>1</v>
      </c>
      <c r="E1198" s="121">
        <v>38.574361600000003</v>
      </c>
      <c r="F1198" s="122">
        <v>7.4999999999999997E-3</v>
      </c>
      <c r="G1198" s="121">
        <v>0.28930771199999999</v>
      </c>
      <c r="H1198" s="125"/>
      <c r="I1198" s="125"/>
      <c r="J1198" s="126"/>
      <c r="K1198" s="126"/>
    </row>
    <row r="1199" spans="1:11" ht="13.5" customHeight="1">
      <c r="A1199" s="119" t="s">
        <v>498</v>
      </c>
      <c r="B1199" s="119" t="s">
        <v>539</v>
      </c>
      <c r="C1199" s="119" t="s">
        <v>528</v>
      </c>
      <c r="D1199" s="120" t="s">
        <v>1</v>
      </c>
      <c r="E1199" s="121">
        <v>146.79817</v>
      </c>
      <c r="F1199" s="122">
        <v>2.05E-5</v>
      </c>
      <c r="G1199" s="121">
        <v>3.009362485E-3</v>
      </c>
      <c r="H1199" s="125"/>
      <c r="I1199" s="125"/>
      <c r="J1199" s="126"/>
      <c r="K1199" s="126"/>
    </row>
    <row r="1200" spans="1:11" ht="13.5" customHeight="1">
      <c r="A1200" s="119" t="s">
        <v>498</v>
      </c>
      <c r="B1200" s="119" t="s">
        <v>539</v>
      </c>
      <c r="C1200" s="119" t="s">
        <v>529</v>
      </c>
      <c r="D1200" s="120" t="s">
        <v>1</v>
      </c>
      <c r="E1200" s="121">
        <v>3689.6977008000003</v>
      </c>
      <c r="F1200" s="122">
        <v>5.8999999999999999E-3</v>
      </c>
      <c r="G1200" s="121">
        <v>21.769216434720001</v>
      </c>
      <c r="H1200" s="125"/>
      <c r="I1200" s="125"/>
      <c r="J1200" s="126"/>
      <c r="K1200" s="126"/>
    </row>
    <row r="1201" spans="1:11" ht="13.5" customHeight="1">
      <c r="A1201" s="119" t="s">
        <v>498</v>
      </c>
      <c r="B1201" s="119" t="s">
        <v>539</v>
      </c>
      <c r="C1201" s="119" t="s">
        <v>530</v>
      </c>
      <c r="D1201" s="120" t="s">
        <v>1</v>
      </c>
      <c r="E1201" s="121">
        <v>8.7265698</v>
      </c>
      <c r="F1201" s="122">
        <v>9.4500000000000001E-3</v>
      </c>
      <c r="G1201" s="121">
        <v>8.2466084610000004E-2</v>
      </c>
      <c r="H1201" s="125"/>
      <c r="I1201" s="125"/>
      <c r="J1201" s="126"/>
      <c r="K1201" s="126"/>
    </row>
    <row r="1202" spans="1:11" ht="13.5" customHeight="1">
      <c r="A1202" s="119" t="s">
        <v>498</v>
      </c>
      <c r="B1202" s="119" t="s">
        <v>539</v>
      </c>
      <c r="C1202" s="119" t="s">
        <v>531</v>
      </c>
      <c r="D1202" s="120" t="s">
        <v>1</v>
      </c>
      <c r="E1202" s="121">
        <v>10.212790050000001</v>
      </c>
      <c r="F1202" s="122">
        <v>1.9779999999999999E-2</v>
      </c>
      <c r="G1202" s="121">
        <v>0.20200898718900001</v>
      </c>
      <c r="H1202" s="125">
        <f>SUM(G1192:G1202)</f>
        <v>36.497448039713994</v>
      </c>
      <c r="I1202" s="125"/>
      <c r="J1202" s="126"/>
      <c r="K1202" s="126"/>
    </row>
    <row r="1203" spans="1:11" s="117" customFormat="1" ht="13.5" customHeight="1">
      <c r="A1203" s="127" t="s">
        <v>498</v>
      </c>
      <c r="B1203" s="119" t="s">
        <v>539</v>
      </c>
      <c r="C1203" s="127" t="s">
        <v>532</v>
      </c>
      <c r="D1203" s="128" t="s">
        <v>1</v>
      </c>
      <c r="E1203" s="129">
        <v>2041.1093664000002</v>
      </c>
      <c r="F1203" s="130">
        <v>3.3700000000000001E-2</v>
      </c>
      <c r="G1203" s="129">
        <v>68.785385647680016</v>
      </c>
      <c r="H1203" s="125"/>
      <c r="I1203" s="132">
        <v>68.785385647680016</v>
      </c>
      <c r="J1203" s="133">
        <f>SUM(G1203*0.125)/92</f>
        <v>9.345840441260872E-2</v>
      </c>
      <c r="K1203" s="133"/>
    </row>
    <row r="1204" spans="1:11" s="117" customFormat="1" ht="13.5" customHeight="1">
      <c r="A1204" s="127"/>
      <c r="B1204" s="119"/>
      <c r="C1204" s="127"/>
      <c r="D1204" s="128"/>
      <c r="E1204" s="129"/>
      <c r="F1204" s="130"/>
      <c r="G1204" s="129">
        <f>SUM(G1192:G1203)</f>
        <v>105.282833687394</v>
      </c>
      <c r="H1204" s="125"/>
      <c r="I1204" s="125"/>
      <c r="J1204" s="133"/>
      <c r="K1204" s="133"/>
    </row>
    <row r="1205" spans="1:11" ht="13.5" customHeight="1">
      <c r="A1205" s="119" t="s">
        <v>500</v>
      </c>
      <c r="B1205" s="119" t="s">
        <v>540</v>
      </c>
      <c r="C1205" s="119" t="s">
        <v>521</v>
      </c>
      <c r="D1205" s="120" t="s">
        <v>1</v>
      </c>
      <c r="E1205" s="121">
        <v>7817.8087106999992</v>
      </c>
      <c r="F1205" s="122">
        <v>9.4500000000000001E-3</v>
      </c>
      <c r="G1205" s="121">
        <v>73.878292316114994</v>
      </c>
      <c r="H1205" s="125"/>
      <c r="I1205" s="125"/>
      <c r="J1205" s="126"/>
      <c r="K1205" s="126"/>
    </row>
    <row r="1206" spans="1:11" ht="13.5" customHeight="1">
      <c r="A1206" s="119" t="s">
        <v>500</v>
      </c>
      <c r="B1206" s="119" t="s">
        <v>540</v>
      </c>
      <c r="C1206" s="119" t="s">
        <v>522</v>
      </c>
      <c r="D1206" s="120" t="s">
        <v>1</v>
      </c>
      <c r="E1206" s="121">
        <v>4389.3233496000003</v>
      </c>
      <c r="F1206" s="122">
        <v>2.6499999999999999E-2</v>
      </c>
      <c r="G1206" s="121">
        <v>116.31706876440001</v>
      </c>
      <c r="H1206" s="125"/>
      <c r="I1206" s="125"/>
      <c r="J1206" s="126"/>
      <c r="K1206" s="126"/>
    </row>
    <row r="1207" spans="1:11" ht="13.5" customHeight="1">
      <c r="A1207" s="119" t="s">
        <v>500</v>
      </c>
      <c r="B1207" s="119" t="s">
        <v>540</v>
      </c>
      <c r="C1207" s="119" t="s">
        <v>523</v>
      </c>
      <c r="D1207" s="120" t="s">
        <v>1</v>
      </c>
      <c r="E1207" s="121">
        <v>1407.2022663</v>
      </c>
      <c r="F1207" s="122">
        <v>6.0000000000000001E-3</v>
      </c>
      <c r="G1207" s="121">
        <v>8.4432135977999998</v>
      </c>
      <c r="H1207" s="125"/>
      <c r="I1207" s="125"/>
      <c r="J1207" s="126"/>
      <c r="K1207" s="126"/>
    </row>
    <row r="1208" spans="1:11" ht="13.5" customHeight="1">
      <c r="A1208" s="119" t="s">
        <v>500</v>
      </c>
      <c r="B1208" s="119" t="s">
        <v>540</v>
      </c>
      <c r="C1208" s="119" t="s">
        <v>524</v>
      </c>
      <c r="D1208" s="120" t="s">
        <v>1</v>
      </c>
      <c r="E1208" s="121">
        <v>469.81965120000001</v>
      </c>
      <c r="F1208" s="122">
        <v>7.4999999999999997E-3</v>
      </c>
      <c r="G1208" s="121">
        <v>3.5236473839999998</v>
      </c>
      <c r="H1208" s="125"/>
      <c r="I1208" s="125"/>
      <c r="J1208" s="126"/>
      <c r="K1208" s="126"/>
    </row>
    <row r="1209" spans="1:11" ht="13.5" customHeight="1">
      <c r="A1209" s="119" t="s">
        <v>500</v>
      </c>
      <c r="B1209" s="119" t="s">
        <v>540</v>
      </c>
      <c r="C1209" s="119" t="s">
        <v>525</v>
      </c>
      <c r="D1209" s="120" t="s">
        <v>1</v>
      </c>
      <c r="E1209" s="121">
        <v>7143.2320679999993</v>
      </c>
      <c r="F1209" s="122">
        <v>2.6499999999999999E-2</v>
      </c>
      <c r="G1209" s="121">
        <v>189.29564980199999</v>
      </c>
      <c r="H1209" s="125"/>
      <c r="I1209" s="125"/>
      <c r="J1209" s="126"/>
      <c r="K1209" s="126"/>
    </row>
    <row r="1210" spans="1:11" ht="13.5" customHeight="1">
      <c r="A1210" s="119" t="s">
        <v>500</v>
      </c>
      <c r="B1210" s="119" t="s">
        <v>540</v>
      </c>
      <c r="C1210" s="119" t="s">
        <v>526</v>
      </c>
      <c r="D1210" s="120" t="s">
        <v>1</v>
      </c>
      <c r="E1210" s="121">
        <v>2290.3984571999999</v>
      </c>
      <c r="F1210" s="122">
        <v>6.0000000000000001E-3</v>
      </c>
      <c r="G1210" s="121">
        <v>13.7423907432</v>
      </c>
      <c r="H1210" s="125"/>
      <c r="I1210" s="125"/>
      <c r="J1210" s="126"/>
      <c r="K1210" s="126"/>
    </row>
    <row r="1211" spans="1:11" ht="13.5" customHeight="1">
      <c r="A1211" s="119" t="s">
        <v>500</v>
      </c>
      <c r="B1211" s="119" t="s">
        <v>540</v>
      </c>
      <c r="C1211" s="119" t="s">
        <v>527</v>
      </c>
      <c r="D1211" s="120" t="s">
        <v>1</v>
      </c>
      <c r="E1211" s="121">
        <v>762.26419919999989</v>
      </c>
      <c r="F1211" s="122">
        <v>7.4999999999999997E-3</v>
      </c>
      <c r="G1211" s="121">
        <v>5.7169814939999988</v>
      </c>
      <c r="H1211" s="125"/>
      <c r="I1211" s="125"/>
      <c r="J1211" s="126"/>
      <c r="K1211" s="126"/>
    </row>
    <row r="1212" spans="1:11" ht="13.5" customHeight="1">
      <c r="A1212" s="119" t="s">
        <v>500</v>
      </c>
      <c r="B1212" s="119" t="s">
        <v>540</v>
      </c>
      <c r="C1212" s="119" t="s">
        <v>528</v>
      </c>
      <c r="D1212" s="120" t="s">
        <v>1</v>
      </c>
      <c r="E1212" s="121">
        <v>4529.1398099999997</v>
      </c>
      <c r="F1212" s="122">
        <v>2.05E-5</v>
      </c>
      <c r="G1212" s="121">
        <v>9.2847366104999995E-2</v>
      </c>
      <c r="H1212" s="125"/>
      <c r="I1212" s="125"/>
      <c r="J1212" s="126"/>
      <c r="K1212" s="126"/>
    </row>
    <row r="1213" spans="1:11" ht="13.5" customHeight="1">
      <c r="A1213" s="119" t="s">
        <v>500</v>
      </c>
      <c r="B1213" s="119" t="s">
        <v>540</v>
      </c>
      <c r="C1213" s="119" t="s">
        <v>529</v>
      </c>
      <c r="D1213" s="120" t="s">
        <v>1</v>
      </c>
      <c r="E1213" s="121">
        <v>332.24383439999997</v>
      </c>
      <c r="F1213" s="122">
        <v>5.8999999999999999E-3</v>
      </c>
      <c r="G1213" s="121">
        <v>1.9602386229599997</v>
      </c>
      <c r="H1213" s="125"/>
      <c r="I1213" s="125"/>
      <c r="J1213" s="126"/>
      <c r="K1213" s="126"/>
    </row>
    <row r="1214" spans="1:11" ht="13.5" customHeight="1">
      <c r="A1214" s="119" t="s">
        <v>500</v>
      </c>
      <c r="B1214" s="119" t="s">
        <v>540</v>
      </c>
      <c r="C1214" s="119" t="s">
        <v>530</v>
      </c>
      <c r="D1214" s="120" t="s">
        <v>1</v>
      </c>
      <c r="E1214" s="121">
        <v>615.4403724</v>
      </c>
      <c r="F1214" s="122">
        <v>9.4500000000000001E-3</v>
      </c>
      <c r="G1214" s="121">
        <v>5.8159115191800002</v>
      </c>
      <c r="H1214" s="125"/>
      <c r="I1214" s="125"/>
      <c r="J1214" s="126"/>
      <c r="K1214" s="126"/>
    </row>
    <row r="1215" spans="1:11" ht="13.5" customHeight="1">
      <c r="A1215" s="119" t="s">
        <v>500</v>
      </c>
      <c r="B1215" s="119" t="s">
        <v>540</v>
      </c>
      <c r="C1215" s="119" t="s">
        <v>531</v>
      </c>
      <c r="D1215" s="120" t="s">
        <v>1</v>
      </c>
      <c r="E1215" s="121">
        <v>2953.7617126499999</v>
      </c>
      <c r="F1215" s="122">
        <v>1.9779999999999999E-2</v>
      </c>
      <c r="G1215" s="121">
        <v>58.425406676216994</v>
      </c>
      <c r="H1215" s="125">
        <f>SUM(G1205:G1215)</f>
        <v>477.21164828597693</v>
      </c>
      <c r="I1215" s="125"/>
      <c r="J1215" s="126"/>
      <c r="K1215" s="126"/>
    </row>
    <row r="1216" spans="1:11" s="117" customFormat="1" ht="13.5" customHeight="1">
      <c r="A1216" s="127" t="s">
        <v>500</v>
      </c>
      <c r="B1216" s="119" t="s">
        <v>540</v>
      </c>
      <c r="C1216" s="127" t="s">
        <v>532</v>
      </c>
      <c r="D1216" s="128" t="s">
        <v>1</v>
      </c>
      <c r="E1216" s="129">
        <v>183.60843479999997</v>
      </c>
      <c r="F1216" s="130">
        <v>3.3700000000000001E-2</v>
      </c>
      <c r="G1216" s="129">
        <v>6.187604252759999</v>
      </c>
      <c r="H1216" s="125"/>
      <c r="I1216" s="132">
        <v>6.187604252759999</v>
      </c>
      <c r="J1216" s="133">
        <f>SUM(G1216*0.125)/92</f>
        <v>8.4070709955978255E-3</v>
      </c>
      <c r="K1216" s="133"/>
    </row>
    <row r="1217" spans="1:11" s="117" customFormat="1" ht="13.5" customHeight="1">
      <c r="A1217" s="127"/>
      <c r="B1217" s="119"/>
      <c r="C1217" s="127"/>
      <c r="D1217" s="128"/>
      <c r="E1217" s="129"/>
      <c r="F1217" s="130"/>
      <c r="G1217" s="129">
        <f>SUM(G1205:G1216)</f>
        <v>483.39925253873696</v>
      </c>
      <c r="H1217" s="125"/>
      <c r="I1217" s="125"/>
      <c r="J1217" s="133"/>
      <c r="K1217" s="133"/>
    </row>
    <row r="1218" spans="1:11" ht="13.5" customHeight="1">
      <c r="A1218" s="119" t="s">
        <v>502</v>
      </c>
      <c r="B1218" s="119" t="s">
        <v>541</v>
      </c>
      <c r="C1218" s="119" t="s">
        <v>521</v>
      </c>
      <c r="D1218" s="120" t="s">
        <v>1</v>
      </c>
      <c r="E1218" s="121">
        <v>5647.8557138999995</v>
      </c>
      <c r="F1218" s="122">
        <v>9.4500000000000001E-3</v>
      </c>
      <c r="G1218" s="121">
        <v>53.372236496354994</v>
      </c>
      <c r="H1218" s="125"/>
      <c r="I1218" s="125"/>
      <c r="J1218" s="126"/>
      <c r="K1218" s="126"/>
    </row>
    <row r="1219" spans="1:11" ht="13.5" customHeight="1">
      <c r="A1219" s="119" t="s">
        <v>502</v>
      </c>
      <c r="B1219" s="119" t="s">
        <v>541</v>
      </c>
      <c r="C1219" s="119" t="s">
        <v>522</v>
      </c>
      <c r="D1219" s="120" t="s">
        <v>1</v>
      </c>
      <c r="E1219" s="121">
        <v>3171.1102931999999</v>
      </c>
      <c r="F1219" s="122">
        <v>2.6499999999999999E-2</v>
      </c>
      <c r="G1219" s="121">
        <v>84.034422769799988</v>
      </c>
      <c r="H1219" s="125"/>
      <c r="I1219" s="125"/>
      <c r="J1219" s="126"/>
      <c r="K1219" s="126"/>
    </row>
    <row r="1220" spans="1:11" ht="13.5" customHeight="1">
      <c r="A1220" s="119" t="s">
        <v>502</v>
      </c>
      <c r="B1220" s="119" t="s">
        <v>541</v>
      </c>
      <c r="C1220" s="119" t="s">
        <v>523</v>
      </c>
      <c r="D1220" s="120" t="s">
        <v>1</v>
      </c>
      <c r="E1220" s="121">
        <v>1017.0601611</v>
      </c>
      <c r="F1220" s="122">
        <v>6.0000000000000001E-3</v>
      </c>
      <c r="G1220" s="121">
        <v>6.1023609666</v>
      </c>
      <c r="H1220" s="125"/>
      <c r="I1220" s="125"/>
      <c r="J1220" s="126"/>
      <c r="K1220" s="126"/>
    </row>
    <row r="1221" spans="1:11" ht="13.5" customHeight="1">
      <c r="A1221" s="119" t="s">
        <v>502</v>
      </c>
      <c r="B1221" s="119" t="s">
        <v>541</v>
      </c>
      <c r="C1221" s="119" t="s">
        <v>524</v>
      </c>
      <c r="D1221" s="120" t="s">
        <v>1</v>
      </c>
      <c r="E1221" s="121">
        <v>339.02005370000001</v>
      </c>
      <c r="F1221" s="122">
        <v>7.4999999999999997E-3</v>
      </c>
      <c r="G1221" s="121">
        <v>2.5426504027500001</v>
      </c>
      <c r="H1221" s="125"/>
      <c r="I1221" s="125"/>
      <c r="J1221" s="126"/>
      <c r="K1221" s="126"/>
    </row>
    <row r="1222" spans="1:11" ht="13.5" customHeight="1">
      <c r="A1222" s="119" t="s">
        <v>502</v>
      </c>
      <c r="B1222" s="119" t="s">
        <v>541</v>
      </c>
      <c r="C1222" s="119" t="s">
        <v>525</v>
      </c>
      <c r="D1222" s="120" t="s">
        <v>1</v>
      </c>
      <c r="E1222" s="121">
        <v>5158.9760770000003</v>
      </c>
      <c r="F1222" s="122">
        <v>2.6499999999999999E-2</v>
      </c>
      <c r="G1222" s="121">
        <v>136.71286604049999</v>
      </c>
      <c r="H1222" s="125"/>
      <c r="I1222" s="125"/>
      <c r="J1222" s="126"/>
      <c r="K1222" s="126"/>
    </row>
    <row r="1223" spans="1:11" ht="13.5" customHeight="1">
      <c r="A1223" s="119" t="s">
        <v>502</v>
      </c>
      <c r="B1223" s="119" t="s">
        <v>541</v>
      </c>
      <c r="C1223" s="119" t="s">
        <v>526</v>
      </c>
      <c r="D1223" s="120" t="s">
        <v>1</v>
      </c>
      <c r="E1223" s="121">
        <v>1653.1356375999999</v>
      </c>
      <c r="F1223" s="122">
        <v>6.0000000000000001E-3</v>
      </c>
      <c r="G1223" s="121">
        <v>9.9188138255999991</v>
      </c>
      <c r="H1223" s="125"/>
      <c r="I1223" s="125"/>
      <c r="J1223" s="126"/>
      <c r="K1223" s="126"/>
    </row>
    <row r="1224" spans="1:11" ht="13.5" customHeight="1">
      <c r="A1224" s="119" t="s">
        <v>502</v>
      </c>
      <c r="B1224" s="119" t="s">
        <v>541</v>
      </c>
      <c r="C1224" s="119" t="s">
        <v>527</v>
      </c>
      <c r="D1224" s="120" t="s">
        <v>1</v>
      </c>
      <c r="E1224" s="121">
        <v>549.80877079999993</v>
      </c>
      <c r="F1224" s="122">
        <v>7.4999999999999997E-3</v>
      </c>
      <c r="G1224" s="121">
        <v>4.123565780999999</v>
      </c>
      <c r="H1224" s="125"/>
      <c r="I1224" s="125"/>
      <c r="J1224" s="126"/>
      <c r="K1224" s="126"/>
    </row>
    <row r="1225" spans="1:11" ht="13.5" customHeight="1">
      <c r="A1225" s="119" t="s">
        <v>502</v>
      </c>
      <c r="B1225" s="119" t="s">
        <v>541</v>
      </c>
      <c r="C1225" s="119" t="s">
        <v>528</v>
      </c>
      <c r="D1225" s="120" t="s">
        <v>1</v>
      </c>
      <c r="E1225" s="121">
        <v>3127.5761899999998</v>
      </c>
      <c r="F1225" s="122">
        <v>2.05E-5</v>
      </c>
      <c r="G1225" s="121">
        <v>6.4115311894999999E-2</v>
      </c>
      <c r="H1225" s="125"/>
      <c r="I1225" s="125"/>
      <c r="J1225" s="126"/>
      <c r="K1225" s="126"/>
    </row>
    <row r="1226" spans="1:11" ht="13.5" customHeight="1">
      <c r="A1226" s="119" t="s">
        <v>502</v>
      </c>
      <c r="B1226" s="119" t="s">
        <v>541</v>
      </c>
      <c r="C1226" s="119" t="s">
        <v>529</v>
      </c>
      <c r="D1226" s="120" t="s">
        <v>1</v>
      </c>
      <c r="E1226" s="121">
        <v>764.50152600000001</v>
      </c>
      <c r="F1226" s="122">
        <v>5.8999999999999999E-3</v>
      </c>
      <c r="G1226" s="121">
        <v>4.5105590034</v>
      </c>
      <c r="H1226" s="125"/>
      <c r="I1226" s="125"/>
      <c r="J1226" s="126"/>
      <c r="K1226" s="126"/>
    </row>
    <row r="1227" spans="1:11" ht="13.5" customHeight="1">
      <c r="A1227" s="119" t="s">
        <v>502</v>
      </c>
      <c r="B1227" s="119" t="s">
        <v>541</v>
      </c>
      <c r="C1227" s="119" t="s">
        <v>530</v>
      </c>
      <c r="D1227" s="120" t="s">
        <v>1</v>
      </c>
      <c r="E1227" s="121">
        <v>457.28991390000004</v>
      </c>
      <c r="F1227" s="122">
        <v>9.4500000000000001E-3</v>
      </c>
      <c r="G1227" s="121">
        <v>4.3213896863550003</v>
      </c>
      <c r="H1227" s="125"/>
      <c r="I1227" s="125"/>
      <c r="J1227" s="126"/>
      <c r="K1227" s="126"/>
    </row>
    <row r="1228" spans="1:11" ht="13.5" customHeight="1">
      <c r="A1228" s="119" t="s">
        <v>502</v>
      </c>
      <c r="B1228" s="119" t="s">
        <v>541</v>
      </c>
      <c r="C1228" s="119" t="s">
        <v>531</v>
      </c>
      <c r="D1228" s="120" t="s">
        <v>1</v>
      </c>
      <c r="E1228" s="121">
        <v>2074.3506612000001</v>
      </c>
      <c r="F1228" s="122">
        <v>1.9779999999999999E-2</v>
      </c>
      <c r="G1228" s="121">
        <v>41.030656078535998</v>
      </c>
      <c r="H1228" s="125">
        <f>SUM(G1218:G1228)</f>
        <v>346.733636362791</v>
      </c>
      <c r="I1228" s="125"/>
      <c r="J1228" s="126"/>
      <c r="K1228" s="126"/>
    </row>
    <row r="1229" spans="1:11" s="117" customFormat="1" ht="13.5" customHeight="1">
      <c r="A1229" s="127" t="s">
        <v>502</v>
      </c>
      <c r="B1229" s="119" t="s">
        <v>541</v>
      </c>
      <c r="C1229" s="127" t="s">
        <v>532</v>
      </c>
      <c r="D1229" s="128" t="s">
        <v>1</v>
      </c>
      <c r="E1229" s="129">
        <v>427.22144099999997</v>
      </c>
      <c r="F1229" s="130">
        <v>3.3700000000000001E-2</v>
      </c>
      <c r="G1229" s="129">
        <v>14.3973625617</v>
      </c>
      <c r="H1229" s="125"/>
      <c r="I1229" s="132">
        <v>14.3973625617</v>
      </c>
      <c r="J1229" s="133">
        <f>SUM(G1229*0.125)/92</f>
        <v>1.956163391535326E-2</v>
      </c>
      <c r="K1229" s="133"/>
    </row>
    <row r="1230" spans="1:11" s="117" customFormat="1" ht="13.5" customHeight="1">
      <c r="A1230" s="127"/>
      <c r="B1230" s="119"/>
      <c r="C1230" s="127"/>
      <c r="D1230" s="128"/>
      <c r="E1230" s="129"/>
      <c r="F1230" s="130"/>
      <c r="G1230" s="129">
        <f>SUM(G1218:G1229)</f>
        <v>361.130998924491</v>
      </c>
      <c r="H1230" s="125"/>
      <c r="I1230" s="125"/>
      <c r="J1230" s="133"/>
      <c r="K1230" s="133"/>
    </row>
    <row r="1231" spans="1:11" ht="13.5" customHeight="1">
      <c r="A1231" s="119" t="s">
        <v>504</v>
      </c>
      <c r="B1231" s="119" t="s">
        <v>542</v>
      </c>
      <c r="C1231" s="119" t="s">
        <v>521</v>
      </c>
      <c r="D1231" s="120" t="s">
        <v>1</v>
      </c>
      <c r="E1231" s="121">
        <v>13280.737258800002</v>
      </c>
      <c r="F1231" s="122">
        <v>9.4500000000000001E-3</v>
      </c>
      <c r="G1231" s="121">
        <v>125.50296709566001</v>
      </c>
      <c r="H1231" s="125"/>
      <c r="I1231" s="125"/>
      <c r="J1231" s="126"/>
      <c r="K1231" s="126"/>
    </row>
    <row r="1232" spans="1:11" ht="13.5" customHeight="1">
      <c r="A1232" s="119" t="s">
        <v>504</v>
      </c>
      <c r="B1232" s="119" t="s">
        <v>542</v>
      </c>
      <c r="C1232" s="119" t="s">
        <v>522</v>
      </c>
      <c r="D1232" s="120" t="s">
        <v>1</v>
      </c>
      <c r="E1232" s="121">
        <v>7455.6801336000008</v>
      </c>
      <c r="F1232" s="122">
        <v>2.6499999999999999E-2</v>
      </c>
      <c r="G1232" s="121">
        <v>197.57552354040001</v>
      </c>
      <c r="H1232" s="125"/>
      <c r="I1232" s="125"/>
      <c r="J1232" s="126"/>
      <c r="K1232" s="126"/>
    </row>
    <row r="1233" spans="1:11" ht="13.5" customHeight="1">
      <c r="A1233" s="119" t="s">
        <v>504</v>
      </c>
      <c r="B1233" s="119" t="s">
        <v>542</v>
      </c>
      <c r="C1233" s="119" t="s">
        <v>523</v>
      </c>
      <c r="D1233" s="120" t="s">
        <v>1</v>
      </c>
      <c r="E1233" s="121">
        <v>2392.5080388000001</v>
      </c>
      <c r="F1233" s="122">
        <v>6.0000000000000001E-3</v>
      </c>
      <c r="G1233" s="121">
        <v>14.355048232800002</v>
      </c>
      <c r="H1233" s="125"/>
      <c r="I1233" s="125"/>
      <c r="J1233" s="126"/>
      <c r="K1233" s="126"/>
    </row>
    <row r="1234" spans="1:11" ht="13.5" customHeight="1">
      <c r="A1234" s="119" t="s">
        <v>504</v>
      </c>
      <c r="B1234" s="119" t="s">
        <v>542</v>
      </c>
      <c r="C1234" s="119" t="s">
        <v>524</v>
      </c>
      <c r="D1234" s="120" t="s">
        <v>1</v>
      </c>
      <c r="E1234" s="121">
        <v>798.12092480000013</v>
      </c>
      <c r="F1234" s="122">
        <v>7.4999999999999997E-3</v>
      </c>
      <c r="G1234" s="121">
        <v>5.985906936000001</v>
      </c>
      <c r="H1234" s="125"/>
      <c r="I1234" s="125"/>
      <c r="J1234" s="126"/>
      <c r="K1234" s="126"/>
    </row>
    <row r="1235" spans="1:11" ht="13.5" customHeight="1">
      <c r="A1235" s="119" t="s">
        <v>504</v>
      </c>
      <c r="B1235" s="119" t="s">
        <v>542</v>
      </c>
      <c r="C1235" s="119" t="s">
        <v>525</v>
      </c>
      <c r="D1235" s="120" t="s">
        <v>1</v>
      </c>
      <c r="E1235" s="121">
        <v>12131.259050400002</v>
      </c>
      <c r="F1235" s="122">
        <v>2.6499999999999999E-2</v>
      </c>
      <c r="G1235" s="121">
        <v>321.47836483560002</v>
      </c>
      <c r="H1235" s="125"/>
      <c r="I1235" s="125"/>
      <c r="J1235" s="126"/>
      <c r="K1235" s="126"/>
    </row>
    <row r="1236" spans="1:11" ht="13.5" customHeight="1">
      <c r="A1236" s="119" t="s">
        <v>504</v>
      </c>
      <c r="B1236" s="119" t="s">
        <v>542</v>
      </c>
      <c r="C1236" s="119" t="s">
        <v>526</v>
      </c>
      <c r="D1236" s="120" t="s">
        <v>1</v>
      </c>
      <c r="E1236" s="121">
        <v>3889.9987983999999</v>
      </c>
      <c r="F1236" s="122">
        <v>6.0000000000000001E-3</v>
      </c>
      <c r="G1236" s="121">
        <v>23.3399927904</v>
      </c>
      <c r="H1236" s="125"/>
      <c r="I1236" s="125"/>
      <c r="J1236" s="126"/>
      <c r="K1236" s="126"/>
    </row>
    <row r="1237" spans="1:11" ht="13.5" customHeight="1">
      <c r="A1237" s="119" t="s">
        <v>504</v>
      </c>
      <c r="B1237" s="119" t="s">
        <v>542</v>
      </c>
      <c r="C1237" s="119" t="s">
        <v>527</v>
      </c>
      <c r="D1237" s="120" t="s">
        <v>1</v>
      </c>
      <c r="E1237" s="121">
        <v>1295.4849608</v>
      </c>
      <c r="F1237" s="122">
        <v>7.4999999999999997E-3</v>
      </c>
      <c r="G1237" s="121">
        <v>9.7161372059999991</v>
      </c>
      <c r="H1237" s="125"/>
      <c r="I1237" s="125"/>
      <c r="J1237" s="126"/>
      <c r="K1237" s="126"/>
    </row>
    <row r="1238" spans="1:11" ht="13.5" customHeight="1">
      <c r="A1238" s="119" t="s">
        <v>504</v>
      </c>
      <c r="B1238" s="119" t="s">
        <v>542</v>
      </c>
      <c r="C1238" s="119" t="s">
        <v>528</v>
      </c>
      <c r="D1238" s="120" t="s">
        <v>1</v>
      </c>
      <c r="E1238" s="121">
        <v>4965.5808400000005</v>
      </c>
      <c r="F1238" s="122">
        <v>2.05E-5</v>
      </c>
      <c r="G1238" s="121">
        <v>0.10179440722000001</v>
      </c>
      <c r="H1238" s="125"/>
      <c r="I1238" s="125"/>
      <c r="J1238" s="126"/>
      <c r="K1238" s="126"/>
    </row>
    <row r="1239" spans="1:11" ht="13.5" customHeight="1">
      <c r="A1239" s="119" t="s">
        <v>504</v>
      </c>
      <c r="B1239" s="119" t="s">
        <v>542</v>
      </c>
      <c r="C1239" s="119" t="s">
        <v>529</v>
      </c>
      <c r="D1239" s="120" t="s">
        <v>1</v>
      </c>
      <c r="E1239" s="121">
        <v>65.420172000000008</v>
      </c>
      <c r="F1239" s="122">
        <v>5.8999999999999999E-3</v>
      </c>
      <c r="G1239" s="121">
        <v>0.38597901480000002</v>
      </c>
      <c r="H1239" s="125"/>
      <c r="I1239" s="125"/>
      <c r="J1239" s="126"/>
      <c r="K1239" s="126"/>
    </row>
    <row r="1240" spans="1:11" ht="13.5" customHeight="1">
      <c r="A1240" s="119" t="s">
        <v>504</v>
      </c>
      <c r="B1240" s="119" t="s">
        <v>542</v>
      </c>
      <c r="C1240" s="119" t="s">
        <v>530</v>
      </c>
      <c r="D1240" s="120" t="s">
        <v>1</v>
      </c>
      <c r="E1240" s="121">
        <v>1564.7410926</v>
      </c>
      <c r="F1240" s="122">
        <v>9.4500000000000001E-3</v>
      </c>
      <c r="G1240" s="121">
        <v>14.78680332507</v>
      </c>
      <c r="H1240" s="125"/>
      <c r="I1240" s="125"/>
      <c r="J1240" s="126"/>
      <c r="K1240" s="126"/>
    </row>
    <row r="1241" spans="1:11" ht="13.5" customHeight="1">
      <c r="A1241" s="119" t="s">
        <v>504</v>
      </c>
      <c r="B1241" s="119" t="s">
        <v>542</v>
      </c>
      <c r="C1241" s="119" t="s">
        <v>531</v>
      </c>
      <c r="D1241" s="120" t="s">
        <v>1</v>
      </c>
      <c r="E1241" s="121">
        <v>3353.1720322500005</v>
      </c>
      <c r="F1241" s="122">
        <v>1.9779999999999999E-2</v>
      </c>
      <c r="G1241" s="121">
        <v>66.325742797905008</v>
      </c>
      <c r="H1241" s="125">
        <f>SUM(G1231:G1241)</f>
        <v>779.55426018185494</v>
      </c>
      <c r="I1241" s="125"/>
      <c r="J1241" s="126"/>
      <c r="K1241" s="126"/>
    </row>
    <row r="1242" spans="1:11" s="117" customFormat="1" ht="13.5" customHeight="1">
      <c r="A1242" s="127" t="s">
        <v>504</v>
      </c>
      <c r="B1242" s="119" t="s">
        <v>542</v>
      </c>
      <c r="C1242" s="127" t="s">
        <v>532</v>
      </c>
      <c r="D1242" s="128" t="s">
        <v>1</v>
      </c>
      <c r="E1242" s="129">
        <v>32.710086000000004</v>
      </c>
      <c r="F1242" s="130">
        <v>3.3700000000000001E-2</v>
      </c>
      <c r="G1242" s="129">
        <v>1.1023298982000003</v>
      </c>
      <c r="H1242" s="125"/>
      <c r="I1242" s="132">
        <v>1.1023298982000003</v>
      </c>
      <c r="J1242" s="133">
        <f>SUM(G1242*0.125)/92</f>
        <v>1.4977308399456526E-3</v>
      </c>
      <c r="K1242" s="133"/>
    </row>
    <row r="1243" spans="1:11" s="117" customFormat="1" ht="13.5" customHeight="1">
      <c r="A1243" s="127"/>
      <c r="B1243" s="119"/>
      <c r="C1243" s="127"/>
      <c r="D1243" s="128"/>
      <c r="E1243" s="129"/>
      <c r="F1243" s="130"/>
      <c r="G1243" s="129">
        <f>SUM(G1231:G1242)</f>
        <v>780.65659008005491</v>
      </c>
      <c r="H1243" s="125"/>
      <c r="I1243" s="125"/>
      <c r="J1243" s="133"/>
      <c r="K1243" s="133"/>
    </row>
    <row r="1244" spans="1:11" ht="13.5" customHeight="1">
      <c r="A1244" s="119" t="s">
        <v>506</v>
      </c>
      <c r="B1244" s="119" t="s">
        <v>543</v>
      </c>
      <c r="C1244" s="119" t="s">
        <v>521</v>
      </c>
      <c r="D1244" s="120" t="s">
        <v>1</v>
      </c>
      <c r="E1244" s="121">
        <v>21620.146499999999</v>
      </c>
      <c r="F1244" s="122">
        <v>9.4500000000000001E-3</v>
      </c>
      <c r="G1244" s="121">
        <v>204.310384425</v>
      </c>
      <c r="H1244" s="125"/>
      <c r="I1244" s="125"/>
      <c r="J1244" s="126"/>
      <c r="K1244" s="126"/>
    </row>
    <row r="1245" spans="1:11" ht="13.5" customHeight="1">
      <c r="A1245" s="119" t="s">
        <v>506</v>
      </c>
      <c r="B1245" s="119" t="s">
        <v>543</v>
      </c>
      <c r="C1245" s="119" t="s">
        <v>522</v>
      </c>
      <c r="D1245" s="120" t="s">
        <v>1</v>
      </c>
      <c r="E1245" s="121">
        <v>29185.711650000001</v>
      </c>
      <c r="F1245" s="122">
        <v>2.6499999999999999E-2</v>
      </c>
      <c r="G1245" s="121">
        <v>773.421358725</v>
      </c>
      <c r="H1245" s="125"/>
      <c r="I1245" s="125"/>
      <c r="J1245" s="126"/>
      <c r="K1245" s="126"/>
    </row>
    <row r="1246" spans="1:11" ht="13.5" customHeight="1">
      <c r="A1246" s="119" t="s">
        <v>506</v>
      </c>
      <c r="B1246" s="119" t="s">
        <v>543</v>
      </c>
      <c r="C1246" s="119" t="s">
        <v>523</v>
      </c>
      <c r="D1246" s="120" t="s">
        <v>1</v>
      </c>
      <c r="E1246" s="121">
        <v>9483.1419600000008</v>
      </c>
      <c r="F1246" s="122">
        <v>6.0000000000000001E-3</v>
      </c>
      <c r="G1246" s="121">
        <v>56.898851760000007</v>
      </c>
      <c r="H1246" s="125"/>
      <c r="I1246" s="125"/>
      <c r="J1246" s="126"/>
      <c r="K1246" s="126"/>
    </row>
    <row r="1247" spans="1:11" ht="13.5" customHeight="1">
      <c r="A1247" s="119" t="s">
        <v>506</v>
      </c>
      <c r="B1247" s="119" t="s">
        <v>543</v>
      </c>
      <c r="C1247" s="119" t="s">
        <v>524</v>
      </c>
      <c r="D1247" s="120" t="s">
        <v>1</v>
      </c>
      <c r="E1247" s="121">
        <v>3298.9597200000003</v>
      </c>
      <c r="F1247" s="122">
        <v>7.4999999999999997E-3</v>
      </c>
      <c r="G1247" s="121">
        <v>24.742197900000001</v>
      </c>
      <c r="H1247" s="125"/>
      <c r="I1247" s="125"/>
      <c r="J1247" s="126"/>
      <c r="K1247" s="126"/>
    </row>
    <row r="1248" spans="1:11" ht="13.5" customHeight="1">
      <c r="A1248" s="119" t="s">
        <v>506</v>
      </c>
      <c r="B1248" s="119" t="s">
        <v>543</v>
      </c>
      <c r="C1248" s="119" t="s">
        <v>525</v>
      </c>
      <c r="D1248" s="120" t="s">
        <v>1</v>
      </c>
      <c r="E1248" s="121">
        <v>46483.37442</v>
      </c>
      <c r="F1248" s="122">
        <v>2.6499999999999999E-2</v>
      </c>
      <c r="G1248" s="121">
        <v>1231.80942213</v>
      </c>
      <c r="H1248" s="125"/>
      <c r="I1248" s="125"/>
      <c r="J1248" s="126"/>
      <c r="K1248" s="126"/>
    </row>
    <row r="1249" spans="1:11" ht="13.5" customHeight="1">
      <c r="A1249" s="119" t="s">
        <v>506</v>
      </c>
      <c r="B1249" s="119" t="s">
        <v>543</v>
      </c>
      <c r="C1249" s="119" t="s">
        <v>526</v>
      </c>
      <c r="D1249" s="120" t="s">
        <v>1</v>
      </c>
      <c r="E1249" s="121">
        <v>15350.60124</v>
      </c>
      <c r="F1249" s="122">
        <v>6.0000000000000001E-3</v>
      </c>
      <c r="G1249" s="121">
        <v>92.103607440000005</v>
      </c>
      <c r="H1249" s="125"/>
      <c r="I1249" s="125"/>
      <c r="J1249" s="126"/>
      <c r="K1249" s="126"/>
    </row>
    <row r="1250" spans="1:11" ht="13.5" customHeight="1">
      <c r="A1250" s="119" t="s">
        <v>506</v>
      </c>
      <c r="B1250" s="119" t="s">
        <v>543</v>
      </c>
      <c r="C1250" s="119" t="s">
        <v>527</v>
      </c>
      <c r="D1250" s="120" t="s">
        <v>1</v>
      </c>
      <c r="E1250" s="121">
        <v>5305.8229199999996</v>
      </c>
      <c r="F1250" s="122">
        <v>7.4999999999999997E-3</v>
      </c>
      <c r="G1250" s="121">
        <v>39.793671899999993</v>
      </c>
      <c r="H1250" s="125"/>
      <c r="I1250" s="125"/>
      <c r="J1250" s="126"/>
      <c r="K1250" s="126"/>
    </row>
    <row r="1251" spans="1:11" ht="13.5" customHeight="1">
      <c r="A1251" s="119" t="s">
        <v>506</v>
      </c>
      <c r="B1251" s="119" t="s">
        <v>543</v>
      </c>
      <c r="C1251" s="119" t="s">
        <v>528</v>
      </c>
      <c r="D1251" s="120" t="s">
        <v>1</v>
      </c>
      <c r="E1251" s="121">
        <v>9339</v>
      </c>
      <c r="F1251" s="122">
        <v>2.05E-5</v>
      </c>
      <c r="G1251" s="121">
        <v>0.19144949999999999</v>
      </c>
      <c r="H1251" s="125"/>
      <c r="I1251" s="125"/>
      <c r="J1251" s="126"/>
      <c r="K1251" s="126"/>
    </row>
    <row r="1252" spans="1:11" ht="13.5" customHeight="1">
      <c r="A1252" s="119" t="s">
        <v>506</v>
      </c>
      <c r="B1252" s="119" t="s">
        <v>543</v>
      </c>
      <c r="C1252" s="119" t="s">
        <v>529</v>
      </c>
      <c r="D1252" s="120" t="s">
        <v>1</v>
      </c>
      <c r="E1252" s="121">
        <v>2013.9966000000002</v>
      </c>
      <c r="F1252" s="122">
        <v>5.8999999999999999E-3</v>
      </c>
      <c r="G1252" s="121">
        <v>11.882579940000001</v>
      </c>
      <c r="H1252" s="125"/>
      <c r="I1252" s="125"/>
      <c r="J1252" s="126"/>
      <c r="K1252" s="126"/>
    </row>
    <row r="1253" spans="1:11" ht="13.5" customHeight="1">
      <c r="A1253" s="119" t="s">
        <v>506</v>
      </c>
      <c r="B1253" s="119" t="s">
        <v>543</v>
      </c>
      <c r="C1253" s="119" t="s">
        <v>530</v>
      </c>
      <c r="D1253" s="120" t="s">
        <v>1</v>
      </c>
      <c r="E1253" s="121">
        <v>30364.042329000004</v>
      </c>
      <c r="F1253" s="122">
        <v>9.4500000000000001E-3</v>
      </c>
      <c r="G1253" s="121">
        <v>286.94020000905005</v>
      </c>
      <c r="H1253" s="125"/>
      <c r="I1253" s="125"/>
      <c r="J1253" s="126"/>
      <c r="K1253" s="126"/>
    </row>
    <row r="1254" spans="1:11" ht="13.5" customHeight="1">
      <c r="A1254" s="119" t="s">
        <v>506</v>
      </c>
      <c r="B1254" s="119" t="s">
        <v>543</v>
      </c>
      <c r="C1254" s="119" t="s">
        <v>531</v>
      </c>
      <c r="D1254" s="120" t="s">
        <v>1</v>
      </c>
      <c r="E1254" s="121">
        <v>0</v>
      </c>
      <c r="F1254" s="122">
        <v>1.9779999999999999E-2</v>
      </c>
      <c r="G1254" s="121">
        <v>0</v>
      </c>
      <c r="H1254" s="125">
        <f>SUM(G1244:G1254)</f>
        <v>2722.0937237290505</v>
      </c>
      <c r="I1254" s="125"/>
      <c r="J1254" s="126"/>
      <c r="K1254" s="126"/>
    </row>
    <row r="1255" spans="1:11" s="117" customFormat="1" ht="13.5" customHeight="1">
      <c r="A1255" s="127" t="s">
        <v>506</v>
      </c>
      <c r="B1255" s="119" t="s">
        <v>543</v>
      </c>
      <c r="C1255" s="127" t="s">
        <v>532</v>
      </c>
      <c r="D1255" s="128" t="s">
        <v>1</v>
      </c>
      <c r="E1255" s="129">
        <v>1911.7512000000002</v>
      </c>
      <c r="F1255" s="130">
        <v>3.3700000000000001E-2</v>
      </c>
      <c r="G1255" s="129">
        <v>64.42601544</v>
      </c>
      <c r="H1255" s="125"/>
      <c r="I1255" s="132">
        <v>64.42601544</v>
      </c>
      <c r="J1255" s="133">
        <f>SUM(G1255*0.125)/92</f>
        <v>8.7535347065217387E-2</v>
      </c>
      <c r="K1255" s="133"/>
    </row>
    <row r="1256" spans="1:11" ht="13.5" customHeight="1">
      <c r="G1256" s="133">
        <f>SUM(G1244:G1255)</f>
        <v>2786.5197391690504</v>
      </c>
      <c r="H1256" s="146"/>
      <c r="I1256" s="131"/>
      <c r="J1256" s="126">
        <f>SUM(J1084:J1255)</f>
        <v>1.478222237925408</v>
      </c>
      <c r="K1256" s="126"/>
    </row>
    <row r="1257" spans="1:11" ht="13.5" customHeight="1">
      <c r="G1257" s="133">
        <f>SUM(G1075:G1256)/2</f>
        <v>13220.602998732094</v>
      </c>
      <c r="H1257" s="131">
        <f>SUM(H1085:H1254)</f>
        <v>12132.631431618998</v>
      </c>
      <c r="I1257" s="131">
        <f>SUM(I1085:I1255)</f>
        <v>1087.9715671131</v>
      </c>
      <c r="J1257" s="126"/>
      <c r="K1257" s="1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Z47"/>
  <sheetViews>
    <sheetView workbookViewId="0">
      <selection sqref="A1:IV65536"/>
    </sheetView>
  </sheetViews>
  <sheetFormatPr defaultColWidth="9.75" defaultRowHeight="10.9" customHeight="1"/>
  <cols>
    <col min="1" max="1" width="4.375" style="20" customWidth="1"/>
    <col min="2" max="2" width="7" style="19" customWidth="1"/>
    <col min="3" max="3" width="6.875" style="20" customWidth="1"/>
    <col min="4" max="4" width="6" style="20" customWidth="1"/>
    <col min="5" max="5" width="6.25" style="20" customWidth="1"/>
    <col min="6" max="6" width="5.5" style="20" customWidth="1"/>
    <col min="7" max="7" width="7.125" style="20" customWidth="1"/>
    <col min="8" max="8" width="6.625" style="20" customWidth="1"/>
    <col min="9" max="9" width="5.25" style="20" customWidth="1"/>
    <col min="10" max="10" width="5.875" style="20" customWidth="1"/>
    <col min="11" max="11" width="5.25" style="20" customWidth="1"/>
    <col min="12" max="12" width="5.375" style="20" customWidth="1"/>
    <col min="13" max="13" width="5.125" style="20" customWidth="1"/>
    <col min="14" max="14" width="4.875" style="20" customWidth="1"/>
    <col min="15" max="15" width="5.125" style="20" customWidth="1"/>
    <col min="16" max="16" width="5.875" style="19" customWidth="1"/>
    <col min="17" max="17" width="7.375" style="20" customWidth="1"/>
    <col min="18" max="18" width="7.25" style="20" customWidth="1"/>
    <col min="19" max="20" width="5.875" style="20" customWidth="1"/>
    <col min="21" max="21" width="5.75" style="20" customWidth="1"/>
    <col min="22" max="22" width="1" style="20" customWidth="1"/>
    <col min="23" max="23" width="4.625" style="1" customWidth="1"/>
    <col min="24" max="24" width="8.25" style="1" customWidth="1"/>
    <col min="25" max="25" width="5.75" style="1" customWidth="1"/>
    <col min="26" max="26" width="8.875" style="1" customWidth="1"/>
    <col min="27" max="27" width="8.5" style="1" customWidth="1"/>
    <col min="28" max="28" width="6.5" style="1" customWidth="1"/>
    <col min="29" max="29" width="5.75" style="1" customWidth="1"/>
    <col min="30" max="30" width="9.125" style="1" customWidth="1"/>
    <col min="31" max="31" width="5.375" style="1" customWidth="1"/>
    <col min="32" max="32" width="7.875" style="1" customWidth="1"/>
    <col min="33" max="34" width="5.125" style="1" customWidth="1"/>
    <col min="35" max="35" width="7.875" style="1" customWidth="1"/>
    <col min="36" max="36" width="5.75" style="5" customWidth="1"/>
    <col min="37" max="37" width="7.625" style="8" customWidth="1"/>
    <col min="38" max="38" width="5.5" style="1" customWidth="1"/>
    <col min="39" max="39" width="6.5" style="9" customWidth="1"/>
    <col min="40" max="40" width="6.5" style="5" customWidth="1"/>
    <col min="41" max="41" width="6.125" style="5" customWidth="1"/>
    <col min="42" max="42" width="0.875" style="20" customWidth="1"/>
    <col min="43" max="43" width="4.625" style="1" customWidth="1"/>
    <col min="44" max="44" width="7.75" style="1" customWidth="1"/>
    <col min="45" max="45" width="5.75" style="1" customWidth="1"/>
    <col min="46" max="46" width="7.125" style="1" customWidth="1"/>
    <col min="47" max="47" width="8.625" style="1" customWidth="1"/>
    <col min="48" max="48" width="7.25" style="9" customWidth="1"/>
    <col min="49" max="49" width="5.875" style="9" customWidth="1"/>
    <col min="50" max="50" width="9.125" style="1" customWidth="1"/>
    <col min="51" max="51" width="5.625" style="9" customWidth="1"/>
    <col min="52" max="52" width="8.125" style="1" customWidth="1"/>
    <col min="53" max="53" width="5.125" style="9" customWidth="1"/>
    <col min="54" max="54" width="5.375" style="1" customWidth="1"/>
    <col min="55" max="55" width="7" style="1" customWidth="1"/>
    <col min="56" max="56" width="5.875" style="8" customWidth="1"/>
    <col min="57" max="57" width="6" style="8" customWidth="1"/>
    <col min="58" max="58" width="5.875" style="9" customWidth="1"/>
    <col min="59" max="59" width="5.5" style="9" customWidth="1"/>
    <col min="60" max="60" width="6" style="5" customWidth="1"/>
    <col min="61" max="61" width="5.625" style="9" customWidth="1"/>
    <col min="62" max="62" width="1" style="20" customWidth="1"/>
    <col min="63" max="63" width="6" style="20" customWidth="1"/>
    <col min="64" max="64" width="7.25" style="20" customWidth="1"/>
    <col min="65" max="65" width="5.75" style="20" customWidth="1"/>
    <col min="66" max="67" width="7.125" style="20" customWidth="1"/>
    <col min="68" max="68" width="7.25" style="20" customWidth="1"/>
    <col min="69" max="69" width="5.125" style="20" customWidth="1"/>
    <col min="70" max="70" width="7.5" style="20" customWidth="1"/>
    <col min="71" max="71" width="5.25" style="20" customWidth="1"/>
    <col min="72" max="72" width="7" style="20" customWidth="1"/>
    <col min="73" max="73" width="4.875" style="20" customWidth="1"/>
    <col min="74" max="74" width="5.625" style="20" customWidth="1"/>
    <col min="75" max="75" width="7.375" style="20" customWidth="1"/>
    <col min="76" max="76" width="7.625" style="153" customWidth="1"/>
    <col min="77" max="77" width="7" style="19" customWidth="1"/>
    <col min="78" max="78" width="6.875" style="154" customWidth="1"/>
    <col min="79" max="79" width="6.875" style="20" customWidth="1"/>
    <col min="80" max="80" width="6.375" style="20" customWidth="1"/>
    <col min="81" max="81" width="5.875" style="20" customWidth="1"/>
    <col min="82" max="82" width="1.125" style="20" customWidth="1"/>
    <col min="83" max="83" width="4.625" style="20" customWidth="1"/>
    <col min="84" max="84" width="7.125" style="20" customWidth="1"/>
    <col min="85" max="85" width="5.75" style="20" customWidth="1"/>
    <col min="86" max="86" width="7.125" style="20" customWidth="1"/>
    <col min="87" max="87" width="7.75" style="20" customWidth="1"/>
    <col min="88" max="88" width="7.5" style="20" customWidth="1"/>
    <col min="89" max="89" width="6.375" style="20" customWidth="1"/>
    <col min="90" max="90" width="6.625" style="20" customWidth="1"/>
    <col min="91" max="91" width="5.625" style="20" customWidth="1"/>
    <col min="92" max="92" width="8.625" style="20" customWidth="1"/>
    <col min="93" max="93" width="5.125" style="20" customWidth="1"/>
    <col min="94" max="95" width="5.5" style="20" customWidth="1"/>
    <col min="96" max="97" width="7" style="19" customWidth="1"/>
    <col min="98" max="98" width="7.375" style="20" customWidth="1"/>
    <col min="99" max="99" width="7.125" style="20" customWidth="1"/>
    <col min="100" max="100" width="6.75" style="20" customWidth="1"/>
    <col min="101" max="101" width="5.5" style="20" customWidth="1"/>
    <col min="102" max="102" width="0.875" style="20" customWidth="1"/>
    <col min="103" max="103" width="4.625" style="1" customWidth="1"/>
    <col min="104" max="104" width="7.5" style="1" customWidth="1"/>
    <col min="105" max="105" width="5.75" style="1" customWidth="1"/>
    <col min="106" max="108" width="7.125" style="1" customWidth="1"/>
    <col min="109" max="109" width="6.5" style="1" customWidth="1"/>
    <col min="110" max="110" width="7.875" style="1" customWidth="1"/>
    <col min="111" max="111" width="5.625" style="1" customWidth="1"/>
    <col min="112" max="112" width="7.25" style="1" customWidth="1"/>
    <col min="113" max="113" width="5.125" style="1" customWidth="1"/>
    <col min="114" max="114" width="5.5" style="1" customWidth="1"/>
    <col min="115" max="115" width="6.625" style="1" customWidth="1"/>
    <col min="116" max="116" width="7" style="5" customWidth="1"/>
    <col min="117" max="117" width="7" style="8" customWidth="1"/>
    <col min="118" max="118" width="6.875" style="1" customWidth="1"/>
    <col min="119" max="119" width="6.875" style="8" customWidth="1"/>
    <col min="120" max="120" width="6.75" style="5" customWidth="1"/>
    <col min="121" max="121" width="5.75" style="1" customWidth="1"/>
    <col min="122" max="122" width="1" style="20" customWidth="1"/>
    <col min="123" max="123" width="4" style="20" customWidth="1"/>
    <col min="124" max="124" width="7.75" style="20" customWidth="1"/>
    <col min="125" max="125" width="5.375" style="20" customWidth="1"/>
    <col min="126" max="126" width="7.25" style="20" customWidth="1"/>
    <col min="127" max="128" width="7.5" style="20" customWidth="1"/>
    <col min="129" max="129" width="5.5" style="20" customWidth="1"/>
    <col min="130" max="130" width="7.375" style="20" customWidth="1"/>
    <col min="131" max="131" width="5.25" style="20" customWidth="1"/>
    <col min="132" max="132" width="7.25" style="20" customWidth="1"/>
    <col min="133" max="133" width="5.125" style="20" customWidth="1"/>
    <col min="134" max="134" width="5" style="20" customWidth="1"/>
    <col min="135" max="135" width="6.5" style="20" customWidth="1"/>
    <col min="136" max="136" width="7" style="153" customWidth="1"/>
    <col min="137" max="137" width="6.5" style="19" customWidth="1"/>
    <col min="138" max="138" width="6.875" style="154" customWidth="1"/>
    <col min="139" max="140" width="6.875" style="20" customWidth="1"/>
    <col min="141" max="141" width="5.5" style="20" customWidth="1"/>
    <col min="142" max="142" width="12.125" style="20" customWidth="1"/>
    <col min="143" max="143" width="7" style="20" customWidth="1"/>
    <col min="144" max="144" width="6.5" style="20" customWidth="1"/>
    <col min="145" max="145" width="8.75" style="20" customWidth="1"/>
    <col min="146" max="146" width="7.125" style="20" customWidth="1"/>
    <col min="147" max="147" width="8.375" style="20" customWidth="1"/>
    <col min="148" max="148" width="6.375" style="20" customWidth="1"/>
    <col min="149" max="149" width="7.25" style="20" customWidth="1"/>
    <col min="150" max="150" width="8.375" style="20" customWidth="1"/>
    <col min="151" max="151" width="8.75" style="20" customWidth="1"/>
    <col min="152" max="152" width="7.625" style="20" customWidth="1"/>
    <col min="153" max="153" width="8.375" style="20" customWidth="1"/>
    <col min="154" max="154" width="7" style="20" customWidth="1"/>
    <col min="155" max="155" width="7.625" style="20" customWidth="1"/>
    <col min="156" max="156" width="7.25" style="20" customWidth="1"/>
    <col min="157" max="157" width="2.5" style="20" customWidth="1"/>
    <col min="158" max="228" width="9.75" style="20" customWidth="1"/>
    <col min="229" max="16384" width="9.75" style="20"/>
  </cols>
  <sheetData>
    <row r="1" spans="1:156" ht="21" customHeight="1">
      <c r="F1" s="2" t="s">
        <v>207</v>
      </c>
      <c r="V1" s="152"/>
      <c r="AB1" s="2" t="s">
        <v>208</v>
      </c>
      <c r="AP1" s="152"/>
      <c r="AV1" s="9" t="s">
        <v>209</v>
      </c>
      <c r="BJ1" s="152"/>
      <c r="BO1" s="2" t="s">
        <v>210</v>
      </c>
      <c r="CD1" s="152"/>
      <c r="CJ1" s="2" t="s">
        <v>211</v>
      </c>
      <c r="CX1" s="152"/>
      <c r="DD1" s="2" t="s">
        <v>212</v>
      </c>
      <c r="DR1" s="152"/>
      <c r="DX1" s="2" t="s">
        <v>213</v>
      </c>
      <c r="EM1" s="16" t="s">
        <v>214</v>
      </c>
      <c r="EO1" s="9"/>
      <c r="EP1" s="1"/>
    </row>
    <row r="2" spans="1:156" ht="13.9" customHeight="1">
      <c r="A2" s="23" t="s">
        <v>215</v>
      </c>
      <c r="B2" s="105"/>
      <c r="E2" s="153"/>
      <c r="F2" s="155"/>
      <c r="G2" s="155"/>
      <c r="V2" s="152"/>
      <c r="W2" s="23" t="s">
        <v>215</v>
      </c>
      <c r="Y2" s="8"/>
      <c r="Z2" s="2"/>
      <c r="AA2" s="2"/>
      <c r="AP2" s="152"/>
      <c r="AQ2" s="23" t="s">
        <v>215</v>
      </c>
      <c r="AS2" s="8"/>
      <c r="AT2" s="2"/>
      <c r="AU2" s="2"/>
      <c r="AW2" s="1" t="s">
        <v>216</v>
      </c>
      <c r="BJ2" s="152"/>
      <c r="BK2" s="23" t="s">
        <v>215</v>
      </c>
      <c r="CD2" s="152"/>
      <c r="CE2" s="23" t="s">
        <v>215</v>
      </c>
      <c r="CG2" s="153"/>
      <c r="CH2" s="155"/>
      <c r="CI2" s="155"/>
      <c r="CX2" s="152"/>
      <c r="CY2" s="23" t="s">
        <v>215</v>
      </c>
      <c r="DR2" s="152"/>
      <c r="DS2" s="23" t="s">
        <v>215</v>
      </c>
      <c r="DU2" s="153"/>
      <c r="DV2" s="155"/>
      <c r="DW2" s="155"/>
      <c r="EL2" s="16" t="s">
        <v>217</v>
      </c>
      <c r="EM2" s="13"/>
      <c r="EN2" s="9"/>
      <c r="EO2" s="9"/>
      <c r="EP2" s="1"/>
    </row>
    <row r="3" spans="1:156" ht="15.6" customHeight="1">
      <c r="A3" s="23" t="s">
        <v>218</v>
      </c>
      <c r="B3" s="105"/>
      <c r="I3" s="105" t="s">
        <v>0</v>
      </c>
      <c r="J3" s="23" t="s">
        <v>219</v>
      </c>
      <c r="V3" s="152"/>
      <c r="W3" s="23" t="s">
        <v>220</v>
      </c>
      <c r="Z3" s="17" t="s">
        <v>0</v>
      </c>
      <c r="AA3" s="17" t="s">
        <v>221</v>
      </c>
      <c r="AC3" s="1" t="s">
        <v>222</v>
      </c>
      <c r="AH3" s="1" t="s">
        <v>223</v>
      </c>
      <c r="AK3" s="5" t="s">
        <v>2</v>
      </c>
      <c r="AM3" s="5" t="s">
        <v>224</v>
      </c>
      <c r="AP3" s="152"/>
      <c r="AQ3" s="23" t="s">
        <v>220</v>
      </c>
      <c r="AV3" s="1" t="s">
        <v>225</v>
      </c>
      <c r="BA3" s="1"/>
      <c r="BD3" s="5"/>
      <c r="BE3" s="5"/>
      <c r="BF3" s="1"/>
      <c r="BG3" s="1"/>
      <c r="BI3" s="1"/>
      <c r="BJ3" s="152"/>
      <c r="BK3" s="23" t="s">
        <v>218</v>
      </c>
      <c r="BQ3" s="23" t="s">
        <v>226</v>
      </c>
      <c r="BR3" s="23"/>
      <c r="BT3" s="20" t="s">
        <v>227</v>
      </c>
      <c r="CD3" s="152"/>
      <c r="CE3" s="23" t="s">
        <v>218</v>
      </c>
      <c r="CH3" s="23"/>
      <c r="CI3" s="23"/>
      <c r="CJ3" s="23" t="s">
        <v>228</v>
      </c>
      <c r="CL3" s="20" t="s">
        <v>229</v>
      </c>
      <c r="CX3" s="152"/>
      <c r="CY3" s="23" t="s">
        <v>218</v>
      </c>
      <c r="DD3" s="21" t="s">
        <v>0</v>
      </c>
      <c r="DE3" s="17" t="s">
        <v>230</v>
      </c>
      <c r="DG3" s="1" t="s">
        <v>231</v>
      </c>
      <c r="DR3" s="152"/>
      <c r="DS3" s="23" t="s">
        <v>547</v>
      </c>
      <c r="DX3" s="23" t="s">
        <v>0</v>
      </c>
      <c r="DY3" s="23" t="s">
        <v>232</v>
      </c>
      <c r="DZ3" s="23"/>
      <c r="EB3" s="20" t="s">
        <v>233</v>
      </c>
      <c r="EL3" s="23" t="s">
        <v>215</v>
      </c>
      <c r="EN3" s="9"/>
      <c r="EO3" s="9"/>
      <c r="EP3" s="1"/>
    </row>
    <row r="4" spans="1:156" ht="10.9" customHeight="1">
      <c r="C4" s="156"/>
      <c r="D4" s="156"/>
      <c r="F4" s="19"/>
      <c r="H4" s="22"/>
      <c r="I4" s="20" t="s">
        <v>234</v>
      </c>
      <c r="P4" s="19" t="s">
        <v>2</v>
      </c>
      <c r="V4" s="152"/>
      <c r="W4" s="17"/>
      <c r="X4" s="18"/>
      <c r="AA4" s="24" t="s">
        <v>235</v>
      </c>
      <c r="AI4" s="5" t="s">
        <v>76</v>
      </c>
      <c r="AJ4" s="5" t="s">
        <v>2</v>
      </c>
      <c r="AK4" s="5" t="s">
        <v>63</v>
      </c>
      <c r="AL4" s="5" t="s">
        <v>224</v>
      </c>
      <c r="AM4" s="5" t="s">
        <v>63</v>
      </c>
      <c r="AN4" s="5" t="s">
        <v>236</v>
      </c>
      <c r="AP4" s="152"/>
      <c r="AR4" s="18"/>
      <c r="AS4" s="17" t="s">
        <v>0</v>
      </c>
      <c r="AT4" s="17" t="s">
        <v>237</v>
      </c>
      <c r="AU4" s="17"/>
      <c r="AY4" s="1"/>
      <c r="BA4" s="1"/>
      <c r="BC4" s="5" t="s">
        <v>76</v>
      </c>
      <c r="BD4" s="5" t="s">
        <v>238</v>
      </c>
      <c r="BE4" s="5" t="s">
        <v>238</v>
      </c>
      <c r="BF4" s="5" t="s">
        <v>239</v>
      </c>
      <c r="BG4" s="5" t="s">
        <v>239</v>
      </c>
      <c r="BH4" s="5" t="s">
        <v>240</v>
      </c>
      <c r="BI4" s="1"/>
      <c r="BJ4" s="152"/>
      <c r="BN4" s="22" t="s">
        <v>241</v>
      </c>
      <c r="BO4" s="22"/>
      <c r="CD4" s="152"/>
      <c r="CF4" s="156"/>
      <c r="CJ4" s="22" t="s">
        <v>242</v>
      </c>
      <c r="CX4" s="152"/>
      <c r="CZ4" s="18"/>
      <c r="DB4" s="24" t="s">
        <v>243</v>
      </c>
      <c r="DM4" s="5" t="s">
        <v>79</v>
      </c>
      <c r="DO4" s="5" t="s">
        <v>81</v>
      </c>
      <c r="DR4" s="152"/>
      <c r="DT4" s="156"/>
      <c r="DU4" s="157" t="s">
        <v>244</v>
      </c>
      <c r="EL4" s="23" t="s">
        <v>548</v>
      </c>
    </row>
    <row r="5" spans="1:156" ht="10.5" customHeight="1">
      <c r="B5" s="5">
        <v>2010</v>
      </c>
      <c r="C5" s="1">
        <v>2010</v>
      </c>
      <c r="D5" s="1">
        <v>2010</v>
      </c>
      <c r="E5" s="19" t="s">
        <v>245</v>
      </c>
      <c r="F5" s="19" t="s">
        <v>246</v>
      </c>
      <c r="G5" s="105" t="s">
        <v>77</v>
      </c>
      <c r="H5" s="105" t="s">
        <v>5</v>
      </c>
      <c r="J5" s="19" t="s">
        <v>132</v>
      </c>
      <c r="O5" s="19"/>
      <c r="P5" s="19" t="s">
        <v>63</v>
      </c>
      <c r="Q5" s="19" t="s">
        <v>80</v>
      </c>
      <c r="R5" s="19" t="s">
        <v>81</v>
      </c>
      <c r="S5" s="19" t="s">
        <v>82</v>
      </c>
      <c r="T5" s="19" t="s">
        <v>68</v>
      </c>
      <c r="U5" s="19" t="s">
        <v>70</v>
      </c>
      <c r="V5" s="152"/>
      <c r="X5" s="1">
        <v>2010</v>
      </c>
      <c r="AA5" s="21" t="s">
        <v>77</v>
      </c>
      <c r="AB5" s="21" t="s">
        <v>5</v>
      </c>
      <c r="AI5" s="5" t="s">
        <v>247</v>
      </c>
      <c r="AJ5" s="5" t="s">
        <v>248</v>
      </c>
      <c r="AK5" s="21" t="s">
        <v>249</v>
      </c>
      <c r="AL5" s="5" t="s">
        <v>248</v>
      </c>
      <c r="AM5" s="5" t="s">
        <v>250</v>
      </c>
      <c r="AN5" s="5" t="s">
        <v>251</v>
      </c>
      <c r="AO5" s="5" t="s">
        <v>70</v>
      </c>
      <c r="AP5" s="152"/>
      <c r="AR5" s="1">
        <v>2010</v>
      </c>
      <c r="AU5" s="21" t="s">
        <v>165</v>
      </c>
      <c r="AV5" s="21" t="s">
        <v>5</v>
      </c>
      <c r="AW5" s="1"/>
      <c r="AY5" s="1"/>
      <c r="BA5" s="1"/>
      <c r="BC5" s="5" t="s">
        <v>252</v>
      </c>
      <c r="BD5" s="5" t="s">
        <v>63</v>
      </c>
      <c r="BE5" s="5" t="s">
        <v>248</v>
      </c>
      <c r="BF5" s="5" t="s">
        <v>63</v>
      </c>
      <c r="BG5" s="5" t="s">
        <v>248</v>
      </c>
      <c r="BH5" s="5" t="s">
        <v>251</v>
      </c>
      <c r="BI5" s="5" t="s">
        <v>70</v>
      </c>
      <c r="BJ5" s="152"/>
      <c r="BL5" s="19">
        <v>2010</v>
      </c>
      <c r="BP5" s="105" t="s">
        <v>5</v>
      </c>
      <c r="BW5" s="19"/>
      <c r="BX5" s="19" t="s">
        <v>79</v>
      </c>
      <c r="BZ5" s="19" t="s">
        <v>81</v>
      </c>
      <c r="CD5" s="152"/>
      <c r="CF5" s="105">
        <v>2010</v>
      </c>
      <c r="CH5" s="105" t="s">
        <v>4</v>
      </c>
      <c r="CI5" s="105" t="s">
        <v>253</v>
      </c>
      <c r="CJ5" s="105" t="s">
        <v>5</v>
      </c>
      <c r="CL5" s="105" t="s">
        <v>6</v>
      </c>
      <c r="CQ5" s="19"/>
      <c r="CR5" s="19" t="s">
        <v>79</v>
      </c>
      <c r="CS5" s="19" t="s">
        <v>80</v>
      </c>
      <c r="CT5" s="19" t="s">
        <v>254</v>
      </c>
      <c r="CU5" s="19" t="s">
        <v>255</v>
      </c>
      <c r="CV5" s="19" t="s">
        <v>68</v>
      </c>
      <c r="CW5" s="19" t="s">
        <v>70</v>
      </c>
      <c r="CX5" s="152"/>
      <c r="CZ5" s="1">
        <v>2010</v>
      </c>
      <c r="DD5" s="21" t="s">
        <v>5</v>
      </c>
      <c r="DK5" s="5"/>
      <c r="DL5" s="5" t="s">
        <v>80</v>
      </c>
      <c r="DM5" s="5" t="s">
        <v>148</v>
      </c>
      <c r="DN5" s="5" t="s">
        <v>82</v>
      </c>
      <c r="DO5" s="5" t="s">
        <v>149</v>
      </c>
      <c r="DP5" s="5" t="s">
        <v>68</v>
      </c>
      <c r="DQ5" s="5" t="s">
        <v>70</v>
      </c>
      <c r="DR5" s="152"/>
      <c r="DT5" s="1">
        <v>2010</v>
      </c>
      <c r="DV5" s="105" t="s">
        <v>4</v>
      </c>
      <c r="DX5" s="105" t="s">
        <v>5</v>
      </c>
      <c r="EE5" s="19"/>
      <c r="EF5" s="153" t="s">
        <v>79</v>
      </c>
      <c r="EG5" s="19" t="s">
        <v>80</v>
      </c>
    </row>
    <row r="6" spans="1:156" ht="12" customHeight="1">
      <c r="A6" s="23"/>
      <c r="B6" s="105" t="s">
        <v>256</v>
      </c>
      <c r="C6" s="5" t="s">
        <v>257</v>
      </c>
      <c r="D6" s="5" t="s">
        <v>245</v>
      </c>
      <c r="E6" s="19" t="s">
        <v>258</v>
      </c>
      <c r="F6" s="105" t="s">
        <v>259</v>
      </c>
      <c r="G6" s="105" t="s">
        <v>131</v>
      </c>
      <c r="H6" s="105" t="s">
        <v>13</v>
      </c>
      <c r="I6" s="105" t="s">
        <v>1</v>
      </c>
      <c r="J6" s="105" t="s">
        <v>102</v>
      </c>
      <c r="K6" s="105" t="s">
        <v>132</v>
      </c>
      <c r="L6" s="105" t="s">
        <v>8</v>
      </c>
      <c r="M6" s="105" t="s">
        <v>133</v>
      </c>
      <c r="N6" s="105" t="s">
        <v>133</v>
      </c>
      <c r="O6" s="19" t="s">
        <v>76</v>
      </c>
      <c r="P6" s="19" t="s">
        <v>260</v>
      </c>
      <c r="Q6" s="19" t="s">
        <v>261</v>
      </c>
      <c r="R6" s="19" t="s">
        <v>262</v>
      </c>
      <c r="S6" s="19" t="s">
        <v>263</v>
      </c>
      <c r="T6" s="19" t="s">
        <v>264</v>
      </c>
      <c r="U6" s="19" t="s">
        <v>157</v>
      </c>
      <c r="V6" s="152"/>
      <c r="W6" s="17"/>
      <c r="X6" s="5" t="s">
        <v>257</v>
      </c>
      <c r="Z6" s="21" t="s">
        <v>4</v>
      </c>
      <c r="AA6" s="5" t="s">
        <v>265</v>
      </c>
      <c r="AB6" s="21" t="s">
        <v>13</v>
      </c>
      <c r="AC6" s="21" t="s">
        <v>1</v>
      </c>
      <c r="AD6" s="21" t="s">
        <v>6</v>
      </c>
      <c r="AE6" s="21" t="s">
        <v>84</v>
      </c>
      <c r="AF6" s="21" t="s">
        <v>8</v>
      </c>
      <c r="AG6" s="21" t="s">
        <v>85</v>
      </c>
      <c r="AH6" s="21" t="s">
        <v>133</v>
      </c>
      <c r="AI6" s="5" t="s">
        <v>266</v>
      </c>
      <c r="AJ6" s="21" t="s">
        <v>267</v>
      </c>
      <c r="AK6" s="5" t="s">
        <v>87</v>
      </c>
      <c r="AL6" s="21" t="s">
        <v>90</v>
      </c>
      <c r="AM6" s="21" t="s">
        <v>89</v>
      </c>
      <c r="AN6" s="5" t="s">
        <v>91</v>
      </c>
      <c r="AO6" s="5" t="s">
        <v>92</v>
      </c>
      <c r="AP6" s="152"/>
      <c r="AQ6" s="17"/>
      <c r="AR6" s="5" t="s">
        <v>257</v>
      </c>
      <c r="AT6" s="21" t="s">
        <v>4</v>
      </c>
      <c r="AU6" s="21" t="s">
        <v>12</v>
      </c>
      <c r="AV6" s="21" t="s">
        <v>13</v>
      </c>
      <c r="AW6" s="21" t="s">
        <v>1</v>
      </c>
      <c r="AX6" s="21" t="s">
        <v>6</v>
      </c>
      <c r="AY6" s="21" t="s">
        <v>132</v>
      </c>
      <c r="AZ6" s="21" t="s">
        <v>8</v>
      </c>
      <c r="BA6" s="21" t="s">
        <v>133</v>
      </c>
      <c r="BB6" s="21" t="s">
        <v>85</v>
      </c>
      <c r="BC6" s="5" t="s">
        <v>268</v>
      </c>
      <c r="BD6" s="21">
        <v>5.15</v>
      </c>
      <c r="BE6" s="21" t="s">
        <v>269</v>
      </c>
      <c r="BF6" s="21" t="s">
        <v>270</v>
      </c>
      <c r="BG6" s="21" t="s">
        <v>271</v>
      </c>
      <c r="BH6" s="5" t="s">
        <v>272</v>
      </c>
      <c r="BI6" s="5" t="s">
        <v>138</v>
      </c>
      <c r="BJ6" s="158"/>
      <c r="BK6" s="23"/>
      <c r="BL6" s="19" t="s">
        <v>273</v>
      </c>
      <c r="BN6" s="105" t="s">
        <v>4</v>
      </c>
      <c r="BO6" s="105" t="s">
        <v>12</v>
      </c>
      <c r="BP6" s="105" t="s">
        <v>13</v>
      </c>
      <c r="BQ6" s="105" t="s">
        <v>1</v>
      </c>
      <c r="BR6" s="105" t="s">
        <v>6</v>
      </c>
      <c r="BS6" s="105" t="s">
        <v>84</v>
      </c>
      <c r="BT6" s="105" t="s">
        <v>8</v>
      </c>
      <c r="BU6" s="105" t="s">
        <v>133</v>
      </c>
      <c r="BV6" s="105" t="s">
        <v>133</v>
      </c>
      <c r="BW6" s="19" t="s">
        <v>76</v>
      </c>
      <c r="BX6" s="19" t="s">
        <v>274</v>
      </c>
      <c r="BY6" s="19" t="s">
        <v>80</v>
      </c>
      <c r="BZ6" s="20" t="s">
        <v>275</v>
      </c>
      <c r="CA6" s="19" t="s">
        <v>82</v>
      </c>
      <c r="CB6" s="19" t="s">
        <v>68</v>
      </c>
      <c r="CC6" s="19" t="s">
        <v>70</v>
      </c>
      <c r="CD6" s="152"/>
      <c r="CE6" s="23"/>
      <c r="CF6" s="19" t="s">
        <v>273</v>
      </c>
      <c r="CH6" s="105" t="s">
        <v>12</v>
      </c>
      <c r="CI6" s="19" t="s">
        <v>131</v>
      </c>
      <c r="CJ6" s="105" t="s">
        <v>13</v>
      </c>
      <c r="CK6" s="105" t="s">
        <v>1</v>
      </c>
      <c r="CL6" s="105" t="s">
        <v>15</v>
      </c>
      <c r="CM6" s="105" t="s">
        <v>132</v>
      </c>
      <c r="CN6" s="105" t="s">
        <v>8</v>
      </c>
      <c r="CO6" s="105" t="s">
        <v>133</v>
      </c>
      <c r="CP6" s="105" t="s">
        <v>133</v>
      </c>
      <c r="CQ6" s="19" t="s">
        <v>76</v>
      </c>
      <c r="CR6" s="105" t="s">
        <v>135</v>
      </c>
      <c r="CS6" s="105" t="s">
        <v>264</v>
      </c>
      <c r="CT6" s="105" t="s">
        <v>137</v>
      </c>
      <c r="CU6" s="105" t="s">
        <v>276</v>
      </c>
      <c r="CV6" s="105" t="s">
        <v>91</v>
      </c>
      <c r="CW6" s="105" t="s">
        <v>277</v>
      </c>
      <c r="CX6" s="152"/>
      <c r="CY6" s="17"/>
      <c r="CZ6" s="5" t="s">
        <v>273</v>
      </c>
      <c r="DB6" s="21" t="s">
        <v>4</v>
      </c>
      <c r="DC6" s="21" t="s">
        <v>77</v>
      </c>
      <c r="DD6" s="21" t="s">
        <v>13</v>
      </c>
      <c r="DE6" s="21" t="s">
        <v>83</v>
      </c>
      <c r="DF6" s="21" t="s">
        <v>6</v>
      </c>
      <c r="DG6" s="21" t="s">
        <v>132</v>
      </c>
      <c r="DH6" s="21" t="s">
        <v>8</v>
      </c>
      <c r="DI6" s="21" t="s">
        <v>85</v>
      </c>
      <c r="DJ6" s="21" t="s">
        <v>85</v>
      </c>
      <c r="DK6" s="5" t="s">
        <v>76</v>
      </c>
      <c r="DL6" s="21" t="s">
        <v>150</v>
      </c>
      <c r="DM6" s="21" t="s">
        <v>151</v>
      </c>
      <c r="DN6" s="5" t="s">
        <v>278</v>
      </c>
      <c r="DO6" s="5" t="s">
        <v>153</v>
      </c>
      <c r="DP6" s="5" t="s">
        <v>157</v>
      </c>
      <c r="DQ6" s="1">
        <v>0.05</v>
      </c>
      <c r="DR6" s="152"/>
      <c r="DS6" s="23"/>
      <c r="DT6" s="5" t="s">
        <v>257</v>
      </c>
      <c r="DV6" s="105" t="s">
        <v>12</v>
      </c>
      <c r="DW6" s="105" t="s">
        <v>77</v>
      </c>
      <c r="DX6" s="105" t="s">
        <v>13</v>
      </c>
      <c r="DY6" s="105" t="s">
        <v>83</v>
      </c>
      <c r="DZ6" s="105" t="s">
        <v>6</v>
      </c>
      <c r="EA6" s="105" t="s">
        <v>84</v>
      </c>
      <c r="EB6" s="105" t="s">
        <v>8</v>
      </c>
      <c r="EC6" s="105" t="s">
        <v>133</v>
      </c>
      <c r="ED6" s="105" t="s">
        <v>85</v>
      </c>
      <c r="EE6" s="19" t="s">
        <v>76</v>
      </c>
      <c r="EF6" s="159" t="s">
        <v>279</v>
      </c>
      <c r="EG6" s="159" t="s">
        <v>280</v>
      </c>
      <c r="EH6" s="153" t="s">
        <v>81</v>
      </c>
      <c r="EI6" s="19" t="s">
        <v>82</v>
      </c>
      <c r="EJ6" s="19" t="s">
        <v>68</v>
      </c>
      <c r="EK6" s="19" t="s">
        <v>70</v>
      </c>
      <c r="EM6" s="8" t="s">
        <v>1</v>
      </c>
      <c r="EN6" s="8" t="s">
        <v>1</v>
      </c>
      <c r="EO6" s="8" t="s">
        <v>164</v>
      </c>
      <c r="EP6" s="8" t="s">
        <v>164</v>
      </c>
      <c r="EQ6" s="8" t="s">
        <v>133</v>
      </c>
      <c r="ER6" s="8" t="s">
        <v>133</v>
      </c>
      <c r="ES6" s="8" t="s">
        <v>133</v>
      </c>
      <c r="ET6" s="8" t="s">
        <v>76</v>
      </c>
      <c r="EU6" s="8" t="s">
        <v>127</v>
      </c>
      <c r="EV6" s="8" t="s">
        <v>128</v>
      </c>
      <c r="EW6" s="8" t="s">
        <v>175</v>
      </c>
      <c r="EX6" s="8" t="s">
        <v>281</v>
      </c>
      <c r="EY6" s="8" t="s">
        <v>282</v>
      </c>
      <c r="EZ6" s="8" t="s">
        <v>70</v>
      </c>
    </row>
    <row r="7" spans="1:156" ht="10.9" customHeight="1">
      <c r="A7" s="23" t="s">
        <v>11</v>
      </c>
      <c r="B7" s="105"/>
      <c r="C7" s="5" t="s">
        <v>283</v>
      </c>
      <c r="D7" s="5" t="s">
        <v>258</v>
      </c>
      <c r="E7" s="19" t="s">
        <v>12</v>
      </c>
      <c r="F7" s="105" t="s">
        <v>284</v>
      </c>
      <c r="G7" s="105" t="s">
        <v>22</v>
      </c>
      <c r="H7" s="19" t="s">
        <v>151</v>
      </c>
      <c r="I7" s="105" t="s">
        <v>14</v>
      </c>
      <c r="J7" s="19" t="s">
        <v>285</v>
      </c>
      <c r="K7" s="105" t="s">
        <v>14</v>
      </c>
      <c r="L7" s="19" t="s">
        <v>286</v>
      </c>
      <c r="M7" s="105" t="s">
        <v>14</v>
      </c>
      <c r="N7" s="105" t="s">
        <v>16</v>
      </c>
      <c r="O7" s="19" t="s">
        <v>287</v>
      </c>
      <c r="P7" s="105" t="s">
        <v>288</v>
      </c>
      <c r="Q7" s="105" t="s">
        <v>288</v>
      </c>
      <c r="R7" s="105" t="s">
        <v>288</v>
      </c>
      <c r="S7" s="105" t="s">
        <v>288</v>
      </c>
      <c r="T7" s="105" t="s">
        <v>288</v>
      </c>
      <c r="U7" s="105" t="s">
        <v>288</v>
      </c>
      <c r="V7" s="152"/>
      <c r="W7" s="17" t="s">
        <v>11</v>
      </c>
      <c r="X7" s="5" t="s">
        <v>283</v>
      </c>
      <c r="Z7" s="21" t="s">
        <v>12</v>
      </c>
      <c r="AA7" s="21" t="s">
        <v>22</v>
      </c>
      <c r="AB7" s="5" t="s">
        <v>289</v>
      </c>
      <c r="AC7" s="21" t="s">
        <v>14</v>
      </c>
      <c r="AD7" s="21" t="s">
        <v>15</v>
      </c>
      <c r="AE7" s="21" t="s">
        <v>14</v>
      </c>
      <c r="AF7" s="21" t="s">
        <v>15</v>
      </c>
      <c r="AG7" s="21" t="s">
        <v>14</v>
      </c>
      <c r="AH7" s="21" t="s">
        <v>16</v>
      </c>
      <c r="AI7" s="5" t="s">
        <v>290</v>
      </c>
      <c r="AJ7" s="21" t="s">
        <v>95</v>
      </c>
      <c r="AK7" s="21" t="s">
        <v>95</v>
      </c>
      <c r="AL7" s="21" t="s">
        <v>95</v>
      </c>
      <c r="AM7" s="21" t="s">
        <v>95</v>
      </c>
      <c r="AN7" s="21" t="s">
        <v>95</v>
      </c>
      <c r="AO7" s="21" t="s">
        <v>95</v>
      </c>
      <c r="AP7" s="152"/>
      <c r="AQ7" s="17" t="s">
        <v>11</v>
      </c>
      <c r="AR7" s="5" t="s">
        <v>283</v>
      </c>
      <c r="AT7" s="21" t="s">
        <v>12</v>
      </c>
      <c r="AU7" s="21" t="s">
        <v>291</v>
      </c>
      <c r="AV7" s="5" t="s">
        <v>292</v>
      </c>
      <c r="AW7" s="21" t="s">
        <v>14</v>
      </c>
      <c r="AX7" s="21" t="s">
        <v>15</v>
      </c>
      <c r="AY7" s="21" t="s">
        <v>14</v>
      </c>
      <c r="AZ7" s="21" t="s">
        <v>15</v>
      </c>
      <c r="BA7" s="21" t="s">
        <v>14</v>
      </c>
      <c r="BB7" s="21" t="s">
        <v>16</v>
      </c>
      <c r="BC7" s="5" t="s">
        <v>293</v>
      </c>
      <c r="BD7" s="21" t="s">
        <v>95</v>
      </c>
      <c r="BE7" s="21" t="s">
        <v>95</v>
      </c>
      <c r="BF7" s="21" t="s">
        <v>95</v>
      </c>
      <c r="BG7" s="21" t="s">
        <v>95</v>
      </c>
      <c r="BH7" s="21" t="s">
        <v>95</v>
      </c>
      <c r="BI7" s="21" t="s">
        <v>95</v>
      </c>
      <c r="BJ7" s="160"/>
      <c r="BK7" s="23" t="s">
        <v>11</v>
      </c>
      <c r="BL7" s="5" t="s">
        <v>283</v>
      </c>
      <c r="BN7" s="105" t="s">
        <v>12</v>
      </c>
      <c r="BO7" s="105" t="s">
        <v>22</v>
      </c>
      <c r="BP7" s="19" t="s">
        <v>114</v>
      </c>
      <c r="BQ7" s="105" t="s">
        <v>14</v>
      </c>
      <c r="BR7" s="105" t="s">
        <v>294</v>
      </c>
      <c r="BS7" s="105" t="s">
        <v>14</v>
      </c>
      <c r="BT7" s="105" t="s">
        <v>295</v>
      </c>
      <c r="BU7" s="105" t="s">
        <v>14</v>
      </c>
      <c r="BV7" s="105" t="s">
        <v>16</v>
      </c>
      <c r="BW7" s="105" t="s">
        <v>117</v>
      </c>
      <c r="BX7" s="105" t="s">
        <v>119</v>
      </c>
      <c r="BY7" s="105" t="s">
        <v>118</v>
      </c>
      <c r="BZ7" s="105" t="s">
        <v>296</v>
      </c>
      <c r="CA7" s="105" t="s">
        <v>120</v>
      </c>
      <c r="CB7" s="105" t="s">
        <v>297</v>
      </c>
      <c r="CC7" s="19" t="s">
        <v>298</v>
      </c>
      <c r="CD7" s="152"/>
      <c r="CE7" s="23" t="s">
        <v>11</v>
      </c>
      <c r="CF7" s="5" t="s">
        <v>283</v>
      </c>
      <c r="CH7" s="105" t="s">
        <v>22</v>
      </c>
      <c r="CI7" s="105" t="s">
        <v>22</v>
      </c>
      <c r="CJ7" s="19" t="s">
        <v>299</v>
      </c>
      <c r="CK7" s="105" t="s">
        <v>14</v>
      </c>
      <c r="CL7" s="105" t="s">
        <v>300</v>
      </c>
      <c r="CM7" s="105" t="s">
        <v>14</v>
      </c>
      <c r="CN7" s="105" t="s">
        <v>15</v>
      </c>
      <c r="CO7" s="105" t="s">
        <v>14</v>
      </c>
      <c r="CP7" s="105" t="s">
        <v>16</v>
      </c>
      <c r="CQ7" s="19" t="s">
        <v>301</v>
      </c>
      <c r="CR7" s="105" t="s">
        <v>95</v>
      </c>
      <c r="CS7" s="105" t="s">
        <v>95</v>
      </c>
      <c r="CT7" s="105" t="s">
        <v>95</v>
      </c>
      <c r="CU7" s="105" t="s">
        <v>95</v>
      </c>
      <c r="CV7" s="105" t="s">
        <v>95</v>
      </c>
      <c r="CW7" s="105" t="s">
        <v>95</v>
      </c>
      <c r="CX7" s="152"/>
      <c r="CY7" s="17" t="s">
        <v>11</v>
      </c>
      <c r="CZ7" s="5" t="s">
        <v>283</v>
      </c>
      <c r="DB7" s="21" t="s">
        <v>12</v>
      </c>
      <c r="DC7" s="21" t="s">
        <v>12</v>
      </c>
      <c r="DD7" s="5" t="s">
        <v>302</v>
      </c>
      <c r="DE7" s="21" t="s">
        <v>14</v>
      </c>
      <c r="DF7" s="21" t="s">
        <v>15</v>
      </c>
      <c r="DG7" s="21" t="s">
        <v>14</v>
      </c>
      <c r="DH7" s="21" t="s">
        <v>15</v>
      </c>
      <c r="DI7" s="21" t="s">
        <v>14</v>
      </c>
      <c r="DJ7" s="21" t="s">
        <v>16</v>
      </c>
      <c r="DK7" s="5" t="s">
        <v>156</v>
      </c>
      <c r="DL7" s="21" t="s">
        <v>95</v>
      </c>
      <c r="DM7" s="21" t="s">
        <v>95</v>
      </c>
      <c r="DN7" s="21" t="s">
        <v>95</v>
      </c>
      <c r="DO7" s="21" t="s">
        <v>95</v>
      </c>
      <c r="DP7" s="21" t="s">
        <v>95</v>
      </c>
      <c r="DQ7" s="21" t="s">
        <v>95</v>
      </c>
      <c r="DR7" s="152"/>
      <c r="DS7" s="23" t="s">
        <v>11</v>
      </c>
      <c r="DT7" s="5" t="s">
        <v>283</v>
      </c>
      <c r="DU7" s="20" t="s">
        <v>303</v>
      </c>
      <c r="DV7" s="105" t="s">
        <v>22</v>
      </c>
      <c r="DW7" s="105" t="s">
        <v>12</v>
      </c>
      <c r="DX7" s="19" t="s">
        <v>304</v>
      </c>
      <c r="DY7" s="105" t="s">
        <v>14</v>
      </c>
      <c r="DZ7" s="105" t="s">
        <v>305</v>
      </c>
      <c r="EA7" s="105" t="s">
        <v>14</v>
      </c>
      <c r="EB7" s="105" t="s">
        <v>117</v>
      </c>
      <c r="EC7" s="105" t="s">
        <v>14</v>
      </c>
      <c r="ED7" s="105" t="s">
        <v>16</v>
      </c>
      <c r="EE7" s="19" t="s">
        <v>306</v>
      </c>
      <c r="EF7" s="159" t="s">
        <v>307</v>
      </c>
      <c r="EG7" s="105" t="s">
        <v>307</v>
      </c>
      <c r="EH7" s="153" t="s">
        <v>308</v>
      </c>
      <c r="EI7" s="19" t="s">
        <v>296</v>
      </c>
      <c r="EJ7" s="20" t="s">
        <v>309</v>
      </c>
      <c r="EK7" s="19" t="s">
        <v>310</v>
      </c>
      <c r="EM7" s="8" t="s">
        <v>169</v>
      </c>
      <c r="EN7" s="8" t="s">
        <v>169</v>
      </c>
      <c r="EO7" s="8" t="s">
        <v>169</v>
      </c>
      <c r="EP7" s="8" t="s">
        <v>169</v>
      </c>
      <c r="EQ7" s="8" t="s">
        <v>169</v>
      </c>
      <c r="ER7" s="8" t="s">
        <v>169</v>
      </c>
      <c r="ES7" s="8" t="s">
        <v>169</v>
      </c>
      <c r="ET7" s="8" t="s">
        <v>169</v>
      </c>
      <c r="EU7" s="8" t="s">
        <v>169</v>
      </c>
      <c r="EV7" s="8" t="s">
        <v>169</v>
      </c>
      <c r="EW7" s="8" t="s">
        <v>169</v>
      </c>
      <c r="EX7" s="8" t="s">
        <v>169</v>
      </c>
      <c r="EY7" s="8" t="s">
        <v>169</v>
      </c>
      <c r="EZ7" s="8" t="s">
        <v>169</v>
      </c>
    </row>
    <row r="8" spans="1:156" ht="10.9" customHeight="1">
      <c r="A8" s="23" t="s">
        <v>19</v>
      </c>
      <c r="B8" s="105"/>
      <c r="C8" s="5" t="s">
        <v>311</v>
      </c>
      <c r="D8" s="5" t="s">
        <v>312</v>
      </c>
      <c r="E8" s="105" t="s">
        <v>21</v>
      </c>
      <c r="F8" s="105"/>
      <c r="G8" s="19" t="s">
        <v>313</v>
      </c>
      <c r="H8" s="105" t="s">
        <v>288</v>
      </c>
      <c r="I8" s="105" t="s">
        <v>99</v>
      </c>
      <c r="J8" s="105" t="s">
        <v>288</v>
      </c>
      <c r="K8" s="105" t="s">
        <v>99</v>
      </c>
      <c r="L8" s="105" t="s">
        <v>288</v>
      </c>
      <c r="M8" s="105" t="s">
        <v>99</v>
      </c>
      <c r="N8" s="105" t="s">
        <v>314</v>
      </c>
      <c r="O8" s="105" t="s">
        <v>288</v>
      </c>
      <c r="P8" s="105" t="s">
        <v>102</v>
      </c>
      <c r="Q8" s="105" t="s">
        <v>102</v>
      </c>
      <c r="R8" s="105" t="s">
        <v>102</v>
      </c>
      <c r="S8" s="105" t="s">
        <v>102</v>
      </c>
      <c r="T8" s="105" t="s">
        <v>102</v>
      </c>
      <c r="U8" s="105" t="s">
        <v>102</v>
      </c>
      <c r="V8" s="152"/>
      <c r="W8" s="17" t="s">
        <v>19</v>
      </c>
      <c r="X8" s="5" t="s">
        <v>311</v>
      </c>
      <c r="Y8" s="21" t="s">
        <v>21</v>
      </c>
      <c r="Z8" s="21" t="s">
        <v>22</v>
      </c>
      <c r="AA8" s="1" t="s">
        <v>315</v>
      </c>
      <c r="AB8" s="21" t="s">
        <v>98</v>
      </c>
      <c r="AC8" s="21" t="s">
        <v>99</v>
      </c>
      <c r="AD8" s="21" t="s">
        <v>316</v>
      </c>
      <c r="AE8" s="21" t="s">
        <v>99</v>
      </c>
      <c r="AF8" s="21" t="s">
        <v>101</v>
      </c>
      <c r="AG8" s="21" t="s">
        <v>99</v>
      </c>
      <c r="AH8" s="21">
        <v>0.46</v>
      </c>
      <c r="AI8" s="5" t="s">
        <v>102</v>
      </c>
      <c r="AJ8" s="21" t="s">
        <v>102</v>
      </c>
      <c r="AK8" s="21" t="s">
        <v>102</v>
      </c>
      <c r="AL8" s="21" t="s">
        <v>102</v>
      </c>
      <c r="AM8" s="21" t="s">
        <v>102</v>
      </c>
      <c r="AN8" s="21" t="s">
        <v>102</v>
      </c>
      <c r="AO8" s="21" t="s">
        <v>102</v>
      </c>
      <c r="AP8" s="152"/>
      <c r="AQ8" s="17" t="s">
        <v>19</v>
      </c>
      <c r="AR8" s="5" t="s">
        <v>311</v>
      </c>
      <c r="AS8" s="38" t="s">
        <v>21</v>
      </c>
      <c r="AT8" s="21" t="s">
        <v>22</v>
      </c>
      <c r="AU8" s="1" t="s">
        <v>317</v>
      </c>
      <c r="AV8" s="21" t="s">
        <v>98</v>
      </c>
      <c r="AW8" s="21" t="s">
        <v>99</v>
      </c>
      <c r="AX8" s="21" t="s">
        <v>318</v>
      </c>
      <c r="AY8" s="21" t="s">
        <v>99</v>
      </c>
      <c r="AZ8" s="21" t="s">
        <v>101</v>
      </c>
      <c r="BA8" s="21" t="s">
        <v>99</v>
      </c>
      <c r="BB8" s="21">
        <v>0.46</v>
      </c>
      <c r="BC8" s="5" t="s">
        <v>319</v>
      </c>
      <c r="BD8" s="21" t="s">
        <v>102</v>
      </c>
      <c r="BE8" s="21" t="s">
        <v>102</v>
      </c>
      <c r="BF8" s="21" t="s">
        <v>102</v>
      </c>
      <c r="BG8" s="21" t="s">
        <v>102</v>
      </c>
      <c r="BH8" s="21" t="s">
        <v>102</v>
      </c>
      <c r="BI8" s="21" t="s">
        <v>102</v>
      </c>
      <c r="BJ8" s="160"/>
      <c r="BK8" s="23" t="s">
        <v>19</v>
      </c>
      <c r="BL8" s="5" t="s">
        <v>311</v>
      </c>
      <c r="BM8" s="161" t="s">
        <v>21</v>
      </c>
      <c r="BN8" s="105" t="s">
        <v>22</v>
      </c>
      <c r="BO8" s="20" t="s">
        <v>320</v>
      </c>
      <c r="BP8" s="105" t="s">
        <v>123</v>
      </c>
      <c r="BQ8" s="105" t="s">
        <v>99</v>
      </c>
      <c r="BR8" s="105" t="s">
        <v>123</v>
      </c>
      <c r="BS8" s="105" t="s">
        <v>99</v>
      </c>
      <c r="BT8" s="105" t="s">
        <v>123</v>
      </c>
      <c r="BU8" s="105" t="s">
        <v>99</v>
      </c>
      <c r="BV8" s="105" t="s">
        <v>314</v>
      </c>
      <c r="BW8" s="105" t="s">
        <v>123</v>
      </c>
      <c r="BX8" s="105" t="s">
        <v>123</v>
      </c>
      <c r="BY8" s="105" t="s">
        <v>123</v>
      </c>
      <c r="BZ8" s="105" t="s">
        <v>123</v>
      </c>
      <c r="CA8" s="105" t="s">
        <v>123</v>
      </c>
      <c r="CB8" s="105" t="s">
        <v>123</v>
      </c>
      <c r="CC8" s="105" t="s">
        <v>123</v>
      </c>
      <c r="CD8" s="152"/>
      <c r="CE8" s="23" t="s">
        <v>19</v>
      </c>
      <c r="CF8" s="5" t="s">
        <v>311</v>
      </c>
      <c r="CG8" s="161" t="s">
        <v>21</v>
      </c>
      <c r="CH8" s="20" t="s">
        <v>321</v>
      </c>
      <c r="CI8" s="105" t="s">
        <v>322</v>
      </c>
      <c r="CJ8" s="105" t="s">
        <v>98</v>
      </c>
      <c r="CK8" s="105" t="s">
        <v>99</v>
      </c>
      <c r="CL8" s="105" t="s">
        <v>323</v>
      </c>
      <c r="CM8" s="105" t="s">
        <v>99</v>
      </c>
      <c r="CN8" s="105" t="s">
        <v>324</v>
      </c>
      <c r="CO8" s="105" t="s">
        <v>99</v>
      </c>
      <c r="CP8" s="105">
        <v>0.46</v>
      </c>
      <c r="CQ8" s="19" t="s">
        <v>102</v>
      </c>
      <c r="CR8" s="105" t="s">
        <v>102</v>
      </c>
      <c r="CS8" s="105" t="s">
        <v>102</v>
      </c>
      <c r="CT8" s="105" t="s">
        <v>102</v>
      </c>
      <c r="CU8" s="105" t="s">
        <v>102</v>
      </c>
      <c r="CV8" s="105" t="s">
        <v>102</v>
      </c>
      <c r="CW8" s="105" t="s">
        <v>102</v>
      </c>
      <c r="CX8" s="152"/>
      <c r="CY8" s="17" t="s">
        <v>19</v>
      </c>
      <c r="CZ8" s="5" t="s">
        <v>311</v>
      </c>
      <c r="DA8" s="21" t="s">
        <v>21</v>
      </c>
      <c r="DB8" s="21" t="s">
        <v>22</v>
      </c>
      <c r="DC8" s="21" t="s">
        <v>22</v>
      </c>
      <c r="DD8" s="21" t="s">
        <v>98</v>
      </c>
      <c r="DE8" s="21" t="s">
        <v>99</v>
      </c>
      <c r="DF8" s="21" t="s">
        <v>325</v>
      </c>
      <c r="DG8" s="21" t="s">
        <v>99</v>
      </c>
      <c r="DH8" s="21" t="s">
        <v>326</v>
      </c>
      <c r="DI8" s="21" t="s">
        <v>99</v>
      </c>
      <c r="DJ8" s="21">
        <v>0.46</v>
      </c>
      <c r="DK8" s="5" t="s">
        <v>102</v>
      </c>
      <c r="DL8" s="21" t="s">
        <v>102</v>
      </c>
      <c r="DM8" s="21" t="s">
        <v>102</v>
      </c>
      <c r="DN8" s="21" t="s">
        <v>102</v>
      </c>
      <c r="DO8" s="21" t="s">
        <v>102</v>
      </c>
      <c r="DP8" s="21" t="s">
        <v>102</v>
      </c>
      <c r="DQ8" s="21" t="s">
        <v>102</v>
      </c>
      <c r="DR8" s="152"/>
      <c r="DS8" s="23" t="s">
        <v>19</v>
      </c>
      <c r="DT8" s="5" t="s">
        <v>311</v>
      </c>
      <c r="DU8" s="105" t="s">
        <v>21</v>
      </c>
      <c r="DV8" s="19" t="s">
        <v>307</v>
      </c>
      <c r="DW8" s="105" t="s">
        <v>22</v>
      </c>
      <c r="DX8" s="105" t="s">
        <v>307</v>
      </c>
      <c r="DY8" s="105" t="s">
        <v>99</v>
      </c>
      <c r="DZ8" s="105" t="s">
        <v>307</v>
      </c>
      <c r="EA8" s="105" t="s">
        <v>99</v>
      </c>
      <c r="EB8" s="105" t="s">
        <v>307</v>
      </c>
      <c r="EC8" s="105" t="s">
        <v>99</v>
      </c>
      <c r="ED8" s="105">
        <v>0.46</v>
      </c>
      <c r="EE8" s="105" t="s">
        <v>307</v>
      </c>
      <c r="EF8" s="159" t="s">
        <v>102</v>
      </c>
      <c r="EG8" s="105" t="s">
        <v>102</v>
      </c>
      <c r="EH8" s="159" t="s">
        <v>307</v>
      </c>
      <c r="EI8" s="105" t="s">
        <v>307</v>
      </c>
      <c r="EJ8" s="105" t="s">
        <v>307</v>
      </c>
      <c r="EK8" s="105" t="s">
        <v>307</v>
      </c>
      <c r="EL8" s="17" t="s">
        <v>19</v>
      </c>
      <c r="EM8" s="8" t="s">
        <v>102</v>
      </c>
      <c r="EN8" s="8" t="s">
        <v>14</v>
      </c>
      <c r="EO8" s="8" t="s">
        <v>102</v>
      </c>
      <c r="EP8" s="8" t="s">
        <v>14</v>
      </c>
      <c r="EQ8" s="8" t="s">
        <v>102</v>
      </c>
      <c r="ER8" s="8" t="s">
        <v>14</v>
      </c>
      <c r="ES8" s="8" t="s">
        <v>16</v>
      </c>
      <c r="ET8" s="8" t="s">
        <v>102</v>
      </c>
      <c r="EU8" s="8" t="s">
        <v>102</v>
      </c>
      <c r="EV8" s="8" t="s">
        <v>102</v>
      </c>
      <c r="EW8" s="8" t="s">
        <v>102</v>
      </c>
      <c r="EX8" s="8" t="s">
        <v>102</v>
      </c>
      <c r="EY8" s="8" t="s">
        <v>102</v>
      </c>
      <c r="EZ8" s="8" t="s">
        <v>102</v>
      </c>
    </row>
    <row r="9" spans="1:156" ht="10.9" customHeight="1">
      <c r="A9" s="23" t="s">
        <v>27</v>
      </c>
      <c r="B9" s="105" t="s">
        <v>34</v>
      </c>
      <c r="C9" s="21" t="s">
        <v>327</v>
      </c>
      <c r="D9" s="21" t="s">
        <v>32</v>
      </c>
      <c r="E9" s="105" t="s">
        <v>29</v>
      </c>
      <c r="F9" s="105" t="s">
        <v>30</v>
      </c>
      <c r="G9" s="105" t="s">
        <v>30</v>
      </c>
      <c r="H9" s="105" t="s">
        <v>31</v>
      </c>
      <c r="I9" s="105" t="s">
        <v>32</v>
      </c>
      <c r="J9" s="105" t="s">
        <v>33</v>
      </c>
      <c r="K9" s="105" t="s">
        <v>34</v>
      </c>
      <c r="L9" s="105" t="s">
        <v>35</v>
      </c>
      <c r="M9" s="105" t="s">
        <v>35</v>
      </c>
      <c r="N9" s="105" t="s">
        <v>35</v>
      </c>
      <c r="O9" s="105" t="s">
        <v>35</v>
      </c>
      <c r="P9" s="105" t="s">
        <v>32</v>
      </c>
      <c r="Q9" s="105" t="s">
        <v>32</v>
      </c>
      <c r="R9" s="105" t="s">
        <v>32</v>
      </c>
      <c r="S9" s="105" t="s">
        <v>32</v>
      </c>
      <c r="T9" s="105" t="s">
        <v>32</v>
      </c>
      <c r="U9" s="105" t="s">
        <v>32</v>
      </c>
      <c r="V9" s="152"/>
      <c r="W9" s="17" t="s">
        <v>27</v>
      </c>
      <c r="X9" s="21" t="s">
        <v>327</v>
      </c>
      <c r="Y9" s="21" t="s">
        <v>29</v>
      </c>
      <c r="Z9" s="21" t="s">
        <v>30</v>
      </c>
      <c r="AA9" s="21" t="s">
        <v>30</v>
      </c>
      <c r="AB9" s="21" t="s">
        <v>31</v>
      </c>
      <c r="AC9" s="21" t="s">
        <v>32</v>
      </c>
      <c r="AD9" s="21" t="s">
        <v>33</v>
      </c>
      <c r="AE9" s="21" t="s">
        <v>34</v>
      </c>
      <c r="AF9" s="21" t="s">
        <v>35</v>
      </c>
      <c r="AG9" s="21" t="s">
        <v>35</v>
      </c>
      <c r="AH9" s="21" t="s">
        <v>35</v>
      </c>
      <c r="AI9" s="21" t="s">
        <v>35</v>
      </c>
      <c r="AJ9" s="21" t="s">
        <v>32</v>
      </c>
      <c r="AK9" s="21" t="s">
        <v>32</v>
      </c>
      <c r="AL9" s="21" t="s">
        <v>32</v>
      </c>
      <c r="AM9" s="21" t="s">
        <v>32</v>
      </c>
      <c r="AN9" s="21" t="s">
        <v>32</v>
      </c>
      <c r="AO9" s="21" t="s">
        <v>32</v>
      </c>
      <c r="AP9" s="152"/>
      <c r="AQ9" s="17" t="s">
        <v>27</v>
      </c>
      <c r="AR9" s="21" t="s">
        <v>327</v>
      </c>
      <c r="AS9" s="21" t="s">
        <v>29</v>
      </c>
      <c r="AT9" s="21" t="s">
        <v>30</v>
      </c>
      <c r="AU9" s="21" t="s">
        <v>30</v>
      </c>
      <c r="AV9" s="21" t="s">
        <v>31</v>
      </c>
      <c r="AW9" s="21" t="s">
        <v>32</v>
      </c>
      <c r="AX9" s="21" t="s">
        <v>33</v>
      </c>
      <c r="AY9" s="21" t="s">
        <v>34</v>
      </c>
      <c r="AZ9" s="21" t="s">
        <v>35</v>
      </c>
      <c r="BA9" s="21" t="s">
        <v>35</v>
      </c>
      <c r="BB9" s="21" t="s">
        <v>35</v>
      </c>
      <c r="BC9" s="21" t="s">
        <v>35</v>
      </c>
      <c r="BD9" s="21" t="s">
        <v>32</v>
      </c>
      <c r="BE9" s="21" t="s">
        <v>32</v>
      </c>
      <c r="BF9" s="21" t="s">
        <v>32</v>
      </c>
      <c r="BG9" s="21" t="s">
        <v>32</v>
      </c>
      <c r="BH9" s="21" t="s">
        <v>32</v>
      </c>
      <c r="BI9" s="21" t="s">
        <v>32</v>
      </c>
      <c r="BJ9" s="160"/>
      <c r="BK9" s="23" t="s">
        <v>27</v>
      </c>
      <c r="BL9" s="21" t="s">
        <v>327</v>
      </c>
      <c r="BM9" s="105" t="s">
        <v>29</v>
      </c>
      <c r="BN9" s="105" t="s">
        <v>30</v>
      </c>
      <c r="BO9" s="105" t="s">
        <v>30</v>
      </c>
      <c r="BP9" s="105" t="s">
        <v>31</v>
      </c>
      <c r="BQ9" s="105" t="s">
        <v>32</v>
      </c>
      <c r="BR9" s="105" t="s">
        <v>33</v>
      </c>
      <c r="BS9" s="105" t="s">
        <v>34</v>
      </c>
      <c r="BT9" s="105" t="s">
        <v>35</v>
      </c>
      <c r="BU9" s="105" t="s">
        <v>35</v>
      </c>
      <c r="BV9" s="105" t="s">
        <v>35</v>
      </c>
      <c r="BW9" s="105" t="s">
        <v>35</v>
      </c>
      <c r="BX9" s="105" t="s">
        <v>32</v>
      </c>
      <c r="BY9" s="105" t="s">
        <v>32</v>
      </c>
      <c r="BZ9" s="105" t="s">
        <v>32</v>
      </c>
      <c r="CA9" s="105" t="s">
        <v>32</v>
      </c>
      <c r="CB9" s="105" t="s">
        <v>32</v>
      </c>
      <c r="CC9" s="105" t="s">
        <v>32</v>
      </c>
      <c r="CD9" s="152"/>
      <c r="CE9" s="23" t="s">
        <v>27</v>
      </c>
      <c r="CF9" s="21" t="s">
        <v>327</v>
      </c>
      <c r="CG9" s="105" t="s">
        <v>29</v>
      </c>
      <c r="CH9" s="105" t="s">
        <v>30</v>
      </c>
      <c r="CI9" s="105" t="s">
        <v>30</v>
      </c>
      <c r="CJ9" s="105" t="s">
        <v>31</v>
      </c>
      <c r="CK9" s="105" t="s">
        <v>32</v>
      </c>
      <c r="CL9" s="105" t="s">
        <v>33</v>
      </c>
      <c r="CM9" s="105" t="s">
        <v>34</v>
      </c>
      <c r="CN9" s="105" t="s">
        <v>35</v>
      </c>
      <c r="CO9" s="105" t="s">
        <v>35</v>
      </c>
      <c r="CP9" s="105" t="s">
        <v>35</v>
      </c>
      <c r="CQ9" s="105" t="s">
        <v>35</v>
      </c>
      <c r="CR9" s="105" t="s">
        <v>32</v>
      </c>
      <c r="CS9" s="105" t="s">
        <v>32</v>
      </c>
      <c r="CT9" s="105" t="s">
        <v>32</v>
      </c>
      <c r="CU9" s="105" t="s">
        <v>32</v>
      </c>
      <c r="CV9" s="105" t="s">
        <v>32</v>
      </c>
      <c r="CW9" s="105" t="s">
        <v>32</v>
      </c>
      <c r="CX9" s="152"/>
      <c r="CY9" s="17" t="s">
        <v>27</v>
      </c>
      <c r="CZ9" s="21" t="s">
        <v>327</v>
      </c>
      <c r="DA9" s="21" t="s">
        <v>29</v>
      </c>
      <c r="DB9" s="21" t="s">
        <v>30</v>
      </c>
      <c r="DC9" s="21" t="s">
        <v>30</v>
      </c>
      <c r="DD9" s="21" t="s">
        <v>31</v>
      </c>
      <c r="DE9" s="21" t="s">
        <v>32</v>
      </c>
      <c r="DF9" s="21" t="s">
        <v>33</v>
      </c>
      <c r="DG9" s="21" t="s">
        <v>34</v>
      </c>
      <c r="DH9" s="21" t="s">
        <v>35</v>
      </c>
      <c r="DI9" s="21" t="s">
        <v>35</v>
      </c>
      <c r="DJ9" s="21" t="s">
        <v>35</v>
      </c>
      <c r="DK9" s="21" t="s">
        <v>35</v>
      </c>
      <c r="DL9" s="21" t="s">
        <v>32</v>
      </c>
      <c r="DM9" s="21" t="s">
        <v>32</v>
      </c>
      <c r="DN9" s="21" t="s">
        <v>32</v>
      </c>
      <c r="DO9" s="21" t="s">
        <v>32</v>
      </c>
      <c r="DP9" s="21" t="s">
        <v>32</v>
      </c>
      <c r="DQ9" s="21" t="s">
        <v>32</v>
      </c>
      <c r="DR9" s="152"/>
      <c r="DS9" s="23" t="s">
        <v>27</v>
      </c>
      <c r="DT9" s="21" t="s">
        <v>327</v>
      </c>
      <c r="DU9" s="105" t="s">
        <v>29</v>
      </c>
      <c r="DV9" s="105" t="s">
        <v>30</v>
      </c>
      <c r="DW9" s="105" t="s">
        <v>30</v>
      </c>
      <c r="DX9" s="105" t="s">
        <v>31</v>
      </c>
      <c r="DY9" s="105" t="s">
        <v>32</v>
      </c>
      <c r="DZ9" s="105" t="s">
        <v>33</v>
      </c>
      <c r="EA9" s="105" t="s">
        <v>34</v>
      </c>
      <c r="EB9" s="105" t="s">
        <v>35</v>
      </c>
      <c r="EC9" s="105" t="s">
        <v>35</v>
      </c>
      <c r="ED9" s="105" t="s">
        <v>35</v>
      </c>
      <c r="EE9" s="105" t="s">
        <v>35</v>
      </c>
      <c r="EF9" s="159" t="s">
        <v>32</v>
      </c>
      <c r="EG9" s="105" t="s">
        <v>32</v>
      </c>
      <c r="EH9" s="159" t="s">
        <v>32</v>
      </c>
      <c r="EI9" s="105" t="s">
        <v>32</v>
      </c>
      <c r="EJ9" s="105" t="s">
        <v>32</v>
      </c>
      <c r="EK9" s="105" t="s">
        <v>32</v>
      </c>
      <c r="EL9" s="17" t="s">
        <v>27</v>
      </c>
      <c r="EM9" s="39" t="s">
        <v>174</v>
      </c>
      <c r="EN9" s="39" t="s">
        <v>174</v>
      </c>
      <c r="EO9" s="39" t="s">
        <v>174</v>
      </c>
      <c r="EP9" s="39" t="s">
        <v>174</v>
      </c>
      <c r="EQ9" s="39" t="s">
        <v>174</v>
      </c>
      <c r="ER9" s="39" t="s">
        <v>174</v>
      </c>
      <c r="ES9" s="39" t="s">
        <v>174</v>
      </c>
      <c r="ET9" s="39" t="s">
        <v>174</v>
      </c>
      <c r="EU9" s="39" t="s">
        <v>174</v>
      </c>
      <c r="EV9" s="39" t="s">
        <v>174</v>
      </c>
      <c r="EW9" s="39" t="s">
        <v>174</v>
      </c>
      <c r="EX9" s="39" t="s">
        <v>174</v>
      </c>
      <c r="EY9" s="39" t="s">
        <v>174</v>
      </c>
      <c r="EZ9" s="39" t="s">
        <v>174</v>
      </c>
    </row>
    <row r="10" spans="1:156" ht="18" customHeight="1">
      <c r="A10" s="23" t="s">
        <v>36</v>
      </c>
      <c r="B10" s="105">
        <v>68819</v>
      </c>
      <c r="C10" s="162">
        <v>2065</v>
      </c>
      <c r="D10" s="162">
        <f>SUM(B10-C10)</f>
        <v>66754</v>
      </c>
      <c r="E10" s="163">
        <f>SUM(D10/2666712)</f>
        <v>2.5032324450484342E-2</v>
      </c>
      <c r="F10" s="111">
        <f>SUM(E10*0)</f>
        <v>0</v>
      </c>
      <c r="G10" s="164">
        <f>SUM(F10*0.09)/92</f>
        <v>0</v>
      </c>
      <c r="H10" s="165">
        <f>SUM(F10*0.05)/2000</f>
        <v>0</v>
      </c>
      <c r="I10" s="164">
        <f t="shared" ref="I10:I23" si="0">SUM(H10*0.09)/92</f>
        <v>0</v>
      </c>
      <c r="J10" s="165">
        <f>SUM(F10*11)/2000</f>
        <v>0</v>
      </c>
      <c r="K10" s="164">
        <f t="shared" ref="K10:K25" si="1">SUM(J10*0.09)/92</f>
        <v>0</v>
      </c>
      <c r="L10" s="165">
        <f t="shared" ref="L10:L23" si="2">SUM(F10*5)/2000</f>
        <v>0</v>
      </c>
      <c r="M10" s="164">
        <f t="shared" ref="M10:M23" si="3">SUM(L10*0.09)/92</f>
        <v>0</v>
      </c>
      <c r="N10" s="164">
        <f>SUM(L10*0.46)/92</f>
        <v>0</v>
      </c>
      <c r="O10" s="165">
        <f>SUM(F10*38)/2000</f>
        <v>0</v>
      </c>
      <c r="P10" s="112">
        <f>SUM(F10*13.04)/2000</f>
        <v>0</v>
      </c>
      <c r="Q10" s="112">
        <f>SUM(F10*12)/2000</f>
        <v>0</v>
      </c>
      <c r="R10" s="165">
        <f>SUM(F10*2.44)/2000</f>
        <v>0</v>
      </c>
      <c r="S10" s="165">
        <f>SUM(F10*1.4)/2000</f>
        <v>0</v>
      </c>
      <c r="T10" s="165">
        <f>SUM(F10*1.04)/2000</f>
        <v>0</v>
      </c>
      <c r="U10" s="165">
        <f>SUM(G10*0.03)/2000</f>
        <v>0</v>
      </c>
      <c r="V10" s="152"/>
      <c r="W10" s="17" t="s">
        <v>36</v>
      </c>
      <c r="X10" s="162">
        <v>66754</v>
      </c>
      <c r="Y10" s="166">
        <f>SUM(X10/2666712)</f>
        <v>2.5032324450484342E-2</v>
      </c>
      <c r="Z10" s="44">
        <f>SUM(Y10*224247.5)</f>
        <v>5613.4361772099874</v>
      </c>
      <c r="AA10" s="45">
        <f>SUM(Z10*0.09)/92</f>
        <v>5.4914049559662912</v>
      </c>
      <c r="AB10" s="45">
        <f t="shared" ref="AB10:AB23" si="4">SUM(Z10*0.34)/2000</f>
        <v>0.95428415012569789</v>
      </c>
      <c r="AC10" s="46">
        <f t="shared" ref="AC10:AC23" si="5">SUM(AB10*0.09)/78</f>
        <v>1.1010970962988822E-3</v>
      </c>
      <c r="AD10" s="45">
        <f t="shared" ref="AD10:AD23" si="6">SUM(Z10*20)/2000</f>
        <v>56.134361772099872</v>
      </c>
      <c r="AE10" s="46">
        <f t="shared" ref="AE10:AE23" si="7">SUM(AD10*0.09)/78</f>
        <v>6.4770417429346E-2</v>
      </c>
      <c r="AF10" s="45">
        <f t="shared" ref="AF10:AF23" si="8">SUM(Z10*5)/2000</f>
        <v>14.033590443024968</v>
      </c>
      <c r="AG10" s="46">
        <f t="shared" ref="AG10:AG23" si="9">SUM(AF10*0.09)/78</f>
        <v>1.61926043573365E-2</v>
      </c>
      <c r="AH10" s="45">
        <f t="shared" ref="AH10:AH23" si="10">SUM(AF10*0.46)/78</f>
        <v>8.2762200048608792E-2</v>
      </c>
      <c r="AI10" s="45">
        <f t="shared" ref="AI10:AI23" si="11">SUM(Z10*42.6)/2000</f>
        <v>119.56619057457274</v>
      </c>
      <c r="AJ10" s="45">
        <f t="shared" ref="AJ10:AJ23" si="12">SUM(Z10*1.08)/2000</f>
        <v>3.0312555356933935</v>
      </c>
      <c r="AK10" s="45">
        <f>SUM(Z10*2.38)/2000</f>
        <v>6.6799890508798843</v>
      </c>
      <c r="AL10" s="45">
        <f t="shared" ref="AL10:AL23" si="13">SUM(Z10*0.83)/2000</f>
        <v>2.3295760135421446</v>
      </c>
      <c r="AM10" s="45">
        <f>SUM(Z10*2.13)/2000</f>
        <v>5.9783095287286363</v>
      </c>
      <c r="AN10" s="45">
        <f>SUM(Z10*1.3)/2000</f>
        <v>3.6487335151864917</v>
      </c>
      <c r="AO10" s="45">
        <f>SUM(Z10*1)/2000</f>
        <v>2.8067180886049936</v>
      </c>
      <c r="AP10" s="152"/>
      <c r="AQ10" s="17" t="s">
        <v>36</v>
      </c>
      <c r="AR10" s="162">
        <v>66754</v>
      </c>
      <c r="AS10" s="166">
        <f>SUM(AR10/2666712)</f>
        <v>2.5032324450484342E-2</v>
      </c>
      <c r="AT10" s="44">
        <f>SUM(AS10*18090.1)</f>
        <v>452.83725254170679</v>
      </c>
      <c r="AU10" s="45">
        <f>SUM(AT10*0.09)/78</f>
        <v>0.52250452216350773</v>
      </c>
      <c r="AV10" s="45">
        <f>SUM(AT10*1.13)/2000</f>
        <v>0.25585304768606432</v>
      </c>
      <c r="AW10" s="46">
        <f>SUM(AV10*0.09)/78</f>
        <v>2.9521505502238187E-4</v>
      </c>
      <c r="AX10" s="45">
        <f>SUM(AT10*55)/2000</f>
        <v>12.453024444896936</v>
      </c>
      <c r="AY10" s="46">
        <f>SUM(AX10*0.09)/78</f>
        <v>1.4368874359496466E-2</v>
      </c>
      <c r="AZ10" s="45">
        <f t="shared" ref="AZ10:AZ23" si="14">SUM(AT10*5)/2000</f>
        <v>1.1320931313542668</v>
      </c>
      <c r="BA10" s="46">
        <f>SUM(AZ10*0.09)/78</f>
        <v>1.3062613054087692E-3</v>
      </c>
      <c r="BB10" s="46">
        <f>SUM(AZ10*0.46)/78</f>
        <v>6.6764466720892661E-3</v>
      </c>
      <c r="BC10" s="45">
        <f>SUM(AT10*105.9)/2000</f>
        <v>23.977732522083379</v>
      </c>
      <c r="BD10" s="45">
        <f>SUM(AT10*5.15)/2000</f>
        <v>1.1660559252948952</v>
      </c>
      <c r="BE10" s="45">
        <f>SUM(AT10*3.65)/2000</f>
        <v>0.82642798588861488</v>
      </c>
      <c r="BF10" s="45">
        <f t="shared" ref="BF10:BF23" si="15">SUM(AT10*2.86)/2000</f>
        <v>0.64755727113464068</v>
      </c>
      <c r="BG10" s="45">
        <f>SUM(AT10*1.36)/2000</f>
        <v>0.30792933172836062</v>
      </c>
      <c r="BH10" s="97">
        <f>SUM(AT10*1.5)/2000</f>
        <v>0.33962793940628011</v>
      </c>
      <c r="BI10" s="97">
        <f>SUM(AT10*0.8)/2000</f>
        <v>0.18113490101668273</v>
      </c>
      <c r="BJ10" s="167"/>
      <c r="BK10" s="23" t="s">
        <v>36</v>
      </c>
      <c r="BL10" s="162">
        <v>66754</v>
      </c>
      <c r="BM10" s="163">
        <f>SUM(BL10/2666712)</f>
        <v>2.5032324450484342E-2</v>
      </c>
      <c r="BN10" s="112">
        <f>SUM(BM10*52426.5)</f>
        <v>1312.3571578033175</v>
      </c>
      <c r="BO10" s="165">
        <f>SUM(BN10*0.09)/78</f>
        <v>1.5142582590038278</v>
      </c>
      <c r="BP10" s="165">
        <f t="shared" ref="BP10:BP23" si="16">SUM(BN10*5.5)/2000</f>
        <v>3.6089821839591232</v>
      </c>
      <c r="BQ10" s="164">
        <f>SUM(BP10*0.09)/78</f>
        <v>4.1642102122605267E-3</v>
      </c>
      <c r="BR10" s="165">
        <f t="shared" ref="BR10:BR23" si="17">SUM(BN10*100)/2000</f>
        <v>65.61785789016588</v>
      </c>
      <c r="BS10" s="164">
        <f>SUM(BR10*0.09)/78</f>
        <v>7.5712912950191391E-2</v>
      </c>
      <c r="BT10" s="165">
        <f t="shared" ref="BT10:BT23" si="18">SUM(BN10*84)/2000</f>
        <v>55.119000627739332</v>
      </c>
      <c r="BU10" s="164">
        <f>SUM(BT10*0.09)/78</f>
        <v>6.3598846878160767E-2</v>
      </c>
      <c r="BV10" s="164">
        <f>SUM(BT10*0.46)/78</f>
        <v>0.32506077293282171</v>
      </c>
      <c r="BW10" s="165">
        <f t="shared" ref="BW10:BW23" si="19">SUM(BN10*0.6)/2000</f>
        <v>0.39370714734099521</v>
      </c>
      <c r="BX10" s="165">
        <f t="shared" ref="BX10:BX23" si="20">SUM(BN10*0.52)/2000</f>
        <v>0.34121286102886256</v>
      </c>
      <c r="BY10" s="165">
        <f>SUM(BN10*0.2)/2000</f>
        <v>0.13123571578033175</v>
      </c>
      <c r="BZ10" s="165">
        <f t="shared" ref="BZ10:BZ23" si="21">SUM(BN10*0.43)/2000</f>
        <v>0.28215678892771323</v>
      </c>
      <c r="CA10" s="165">
        <f>SUM(BN10*0.11)/2000</f>
        <v>7.2179643679182462E-2</v>
      </c>
      <c r="CB10" s="165">
        <f>SUM(BN10*0.32)/2000</f>
        <v>0.20997714524853081</v>
      </c>
      <c r="CC10" s="165">
        <f>SUM(BN10*0.49)/2000</f>
        <v>0.32152750366181276</v>
      </c>
      <c r="CD10" s="152"/>
      <c r="CE10" s="23" t="s">
        <v>36</v>
      </c>
      <c r="CF10" s="162">
        <v>66754</v>
      </c>
      <c r="CG10" s="163">
        <f>SUM(CF10/2666712)</f>
        <v>2.5032324450484342E-2</v>
      </c>
      <c r="CH10" s="112">
        <f>SUM(CG10*1161.6)</f>
        <v>29.077548081682611</v>
      </c>
      <c r="CI10" s="165">
        <f>SUM(CH10*0.09)/92</f>
        <v>2.8445427471211249E-2</v>
      </c>
      <c r="CJ10" s="164">
        <f>SUM(CH10*0.33)/2000</f>
        <v>4.7977954334776311E-3</v>
      </c>
      <c r="CK10" s="164">
        <f t="shared" ref="CK10:CK23" si="22">SUM(CJ10*0.09)/78</f>
        <v>5.5359178078588047E-6</v>
      </c>
      <c r="CL10" s="165">
        <f>SUM(CH10*19.3)/2000</f>
        <v>0.28059833898823722</v>
      </c>
      <c r="CM10" s="164">
        <f t="shared" ref="CM10:CM23" si="23">SUM(CL10*0.09)/78</f>
        <v>3.2376731421719678E-4</v>
      </c>
      <c r="CN10" s="165">
        <f>SUM(CH10*4.8)/2000</f>
        <v>6.9786115396038267E-2</v>
      </c>
      <c r="CO10" s="164">
        <f t="shared" ref="CO10:CO25" si="24">SUM(CN10*0.09)/78</f>
        <v>8.0522440841582612E-5</v>
      </c>
      <c r="CP10" s="164">
        <f t="shared" ref="CP10:CP25" si="25">SUM(CN10*0.46)/78</f>
        <v>4.1155914207920006E-4</v>
      </c>
      <c r="CQ10" s="165">
        <f>SUM(CH10*142)/2000</f>
        <v>2.0645059137994655</v>
      </c>
      <c r="CR10" s="164">
        <f>SUM(CH10*2.34)/2000</f>
        <v>3.4020731255568655E-2</v>
      </c>
      <c r="CS10" s="164">
        <f>SUM(CH10*1.04)/2000</f>
        <v>1.5120325002474958E-2</v>
      </c>
      <c r="CT10" s="165">
        <f>SUM(CH10*2.1)/2000</f>
        <v>3.0531425485766744E-2</v>
      </c>
      <c r="CU10" s="168">
        <f>SUM(CH10*0.08)/2000</f>
        <v>1.1631019232673046E-3</v>
      </c>
      <c r="CV10" s="165">
        <f>SUM(CH10*1.3)/2000</f>
        <v>1.89004062530937E-2</v>
      </c>
      <c r="CW10" s="165">
        <f>SUM(CH10*0.08)/2000</f>
        <v>1.1631019232673046E-3</v>
      </c>
      <c r="CX10" s="152"/>
      <c r="CY10" s="17" t="s">
        <v>36</v>
      </c>
      <c r="CZ10" s="162">
        <v>66754</v>
      </c>
      <c r="DA10" s="166">
        <f>SUM(CZ10/2666712)</f>
        <v>2.5032324450484342E-2</v>
      </c>
      <c r="DB10" s="48">
        <f>SUM(DA10*24398.6)</f>
        <v>610.75367133758721</v>
      </c>
      <c r="DC10" s="45">
        <f>SUM(DB10*0.09)/78</f>
        <v>0.70471577462029289</v>
      </c>
      <c r="DD10" s="45">
        <f>SUM(DB10*0.52)/2000</f>
        <v>0.15879595454777268</v>
      </c>
      <c r="DE10" s="46">
        <f t="shared" ref="DE10:DE23" si="26">SUM(DD10*0.09)/78</f>
        <v>1.8322610140127617E-4</v>
      </c>
      <c r="DF10" s="45">
        <f>SUM(DB10*9.49)/2000</f>
        <v>2.8980261704968511</v>
      </c>
      <c r="DG10" s="46">
        <f t="shared" ref="DG10:DG23" si="27">SUM(DF10*0.09)/78</f>
        <v>3.3438763505732895E-3</v>
      </c>
      <c r="DH10" s="45">
        <f>SUM(DB10*11.95)/2000</f>
        <v>3.6492531862420834</v>
      </c>
      <c r="DI10" s="46">
        <f t="shared" ref="DI10:DI23" si="28">SUM(DH10*0.09)/78</f>
        <v>4.2106767533562498E-3</v>
      </c>
      <c r="DJ10" s="46">
        <f t="shared" ref="DJ10:DJ23" si="29">SUM(DH10*0.46)/78</f>
        <v>2.1521236739376393E-2</v>
      </c>
      <c r="DK10" s="45">
        <f>SUM(DB10*0.06)/2000</f>
        <v>1.8322610140127614E-2</v>
      </c>
      <c r="DL10" s="46">
        <f>SUM(DB10*0.02)/2000</f>
        <v>6.1075367133758716E-3</v>
      </c>
      <c r="DM10" s="46">
        <f>SUM(DB10*0.05)/2000</f>
        <v>1.5268841783439681E-2</v>
      </c>
      <c r="DN10" s="46">
        <f>SUM(DB10*0.01)/2000</f>
        <v>3.0537683566879358E-3</v>
      </c>
      <c r="DO10" s="100">
        <f>SUM(DB10*0.04)/2000</f>
        <v>1.2215073426751743E-2</v>
      </c>
      <c r="DP10" s="100">
        <f>SUM(DB10*0.03)/2000</f>
        <v>9.161305070063807E-3</v>
      </c>
      <c r="DQ10" s="46">
        <f>SUM(DB10*0.05)/2000</f>
        <v>1.5268841783439681E-2</v>
      </c>
      <c r="DR10" s="152"/>
      <c r="DS10" s="23" t="s">
        <v>36</v>
      </c>
      <c r="DT10" s="162">
        <v>66754</v>
      </c>
      <c r="DU10" s="163">
        <f>SUM(DT10/2666712)</f>
        <v>2.5032324450484342E-2</v>
      </c>
      <c r="DV10" s="111">
        <f>SUM(DU10*1094252)</f>
        <v>27391.671094591391</v>
      </c>
      <c r="DW10" s="111">
        <f t="shared" ref="DW10:DW23" si="30">SUM(DV10*0.09)</f>
        <v>2465.2503985132253</v>
      </c>
      <c r="DX10" s="165">
        <f t="shared" ref="DX10:DX23" si="31">SUM(DV10*0.017)/2000</f>
        <v>0.23282920430402684</v>
      </c>
      <c r="DY10" s="164">
        <f t="shared" ref="DY10:DY23" si="32">SUM(DX10*0.09)/78</f>
        <v>2.6864908188926174E-4</v>
      </c>
      <c r="DZ10" s="112">
        <f t="shared" ref="DZ10:DZ23" si="33">SUM(DV10*0.22)/2000</f>
        <v>3.0130838204050527</v>
      </c>
      <c r="EA10" s="164">
        <f t="shared" ref="EA10:EA23" si="34">SUM(DZ10*0.09)/78</f>
        <v>3.4766351773904457E-3</v>
      </c>
      <c r="EB10" s="112">
        <f t="shared" ref="EB10:EB23" si="35">SUM(DV10*0.6)/2000</f>
        <v>8.2175013283774163</v>
      </c>
      <c r="EC10" s="164">
        <f t="shared" ref="EC10:EC23" si="36">SUM(EB10*0.09)/78</f>
        <v>9.481732301973942E-3</v>
      </c>
      <c r="ED10" s="164">
        <f t="shared" ref="ED10:ED23" si="37">SUM(EB10*0.46)/78</f>
        <v>4.8462187321200154E-2</v>
      </c>
      <c r="EE10" s="165">
        <f t="shared" ref="EE10:EE23" si="38">SUM(DV10*0.025)/2000</f>
        <v>0.3423958886823924</v>
      </c>
      <c r="EF10" s="169">
        <f>SUM(DV10*0.5032)/2000</f>
        <v>6.8917444473991933</v>
      </c>
      <c r="EG10" s="165">
        <f>SUM(DV10*0.5)/2000</f>
        <v>6.8479177736478478</v>
      </c>
      <c r="EH10" s="169">
        <f>SUM(DV10*0.4345)/2000</f>
        <v>5.9508405452999797</v>
      </c>
      <c r="EI10" s="165">
        <f>SUM(DV10*0.43)/2000</f>
        <v>5.8892092853371487</v>
      </c>
      <c r="EJ10" s="165">
        <f>SUM(DV10*0.0048)/2000</f>
        <v>6.5740010627019327E-2</v>
      </c>
      <c r="EK10" s="165">
        <f>SUM(DV10*0.012)/2000</f>
        <v>0.16435002656754835</v>
      </c>
      <c r="EL10" s="17" t="s">
        <v>36</v>
      </c>
      <c r="EM10" s="77">
        <f t="shared" ref="EM10:ET25" si="39">SUM(H10,AB10,AV10,BP10,CJ10,DD10,DX10)</f>
        <v>5.2155423360561626</v>
      </c>
      <c r="EN10" s="82">
        <f t="shared" si="39"/>
        <v>6.0179334646801872E-3</v>
      </c>
      <c r="EO10" s="77">
        <f>SUM(J10,AD10,AX10,BR10,CL10,DF10,DZ10)</f>
        <v>140.39695243705282</v>
      </c>
      <c r="EP10" s="77">
        <f t="shared" si="39"/>
        <v>0.1619964835812148</v>
      </c>
      <c r="EQ10" s="77">
        <f t="shared" si="39"/>
        <v>82.221224832134112</v>
      </c>
      <c r="ER10" s="77">
        <f t="shared" si="39"/>
        <v>9.4870644037077803E-2</v>
      </c>
      <c r="ES10" s="77">
        <f t="shared" si="39"/>
        <v>0.48489440285617552</v>
      </c>
      <c r="ET10" s="77">
        <f t="shared" si="39"/>
        <v>146.36285465661913</v>
      </c>
      <c r="EU10" s="77">
        <f>SUM(P10,AK10,BD10,BX10,CR10,DM10,EF10)</f>
        <v>15.128291857641845</v>
      </c>
      <c r="EV10" s="77">
        <f>SUM(Q10,AJ10,BE10,BY10,CS10,DL10,EG10)</f>
        <v>10.85806487272604</v>
      </c>
      <c r="EW10" s="77">
        <f>SUM(R10,AM10,BF10,BZ10,CT10,DO10,EH10)</f>
        <v>12.901610633003489</v>
      </c>
      <c r="EX10" s="77">
        <f>SUM(S10,AL10,BG10,CA10,CU10,DN10,EI10)</f>
        <v>8.6031111445667925</v>
      </c>
      <c r="EY10" s="77">
        <f>SUM(T10,AN10,BH10,CB10,CV10,DP10,EJ10)</f>
        <v>4.2921403217914795</v>
      </c>
      <c r="EZ10" s="77">
        <f>SUM(U10,AO10,BI10,CC10,CW10,DQ10,EK10)</f>
        <v>3.4901624635577444</v>
      </c>
    </row>
    <row r="11" spans="1:156" ht="18" customHeight="1">
      <c r="A11" s="23" t="s">
        <v>37</v>
      </c>
      <c r="B11" s="105">
        <v>53706</v>
      </c>
      <c r="C11" s="162">
        <v>4911</v>
      </c>
      <c r="D11" s="162">
        <f t="shared" ref="D11:D25" si="40">SUM(B11-C11)</f>
        <v>48795</v>
      </c>
      <c r="E11" s="163">
        <f t="shared" ref="E11:E25" si="41">SUM(D11/2666712)</f>
        <v>1.8297813937163069E-2</v>
      </c>
      <c r="F11" s="111">
        <f t="shared" ref="F11:F25" si="42">SUM(E11*0)</f>
        <v>0</v>
      </c>
      <c r="G11" s="164">
        <f t="shared" ref="G11:G25" si="43">SUM(F11*0.09)/92</f>
        <v>0</v>
      </c>
      <c r="H11" s="165">
        <f t="shared" ref="H11:H25" si="44">SUM(F11*0.05)/2000</f>
        <v>0</v>
      </c>
      <c r="I11" s="164">
        <f t="shared" si="0"/>
        <v>0</v>
      </c>
      <c r="J11" s="165">
        <f t="shared" ref="J11:J25" si="45">SUM(F11*11)/2000</f>
        <v>0</v>
      </c>
      <c r="K11" s="164">
        <f t="shared" si="1"/>
        <v>0</v>
      </c>
      <c r="L11" s="165">
        <f t="shared" si="2"/>
        <v>0</v>
      </c>
      <c r="M11" s="164">
        <f t="shared" si="3"/>
        <v>0</v>
      </c>
      <c r="N11" s="164">
        <f t="shared" ref="N11:N25" si="46">SUM(L11*0.46)/92</f>
        <v>0</v>
      </c>
      <c r="O11" s="165">
        <f t="shared" ref="O11:O25" si="47">SUM(F11*38)/2000</f>
        <v>0</v>
      </c>
      <c r="P11" s="112">
        <f t="shared" ref="P11:P25" si="48">SUM(F11*13.04)/2000</f>
        <v>0</v>
      </c>
      <c r="Q11" s="112">
        <f t="shared" ref="Q11:Q25" si="49">SUM(F11*12)/2000</f>
        <v>0</v>
      </c>
      <c r="R11" s="165">
        <f t="shared" ref="R11:R25" si="50">SUM(F11*2.44)/2000</f>
        <v>0</v>
      </c>
      <c r="S11" s="165">
        <f t="shared" ref="S11:S25" si="51">SUM(F11*1.4)/2000</f>
        <v>0</v>
      </c>
      <c r="T11" s="165">
        <f t="shared" ref="T11:T25" si="52">SUM(F11*1.04)/2000</f>
        <v>0</v>
      </c>
      <c r="U11" s="165">
        <f t="shared" ref="U11:U25" si="53">SUM(G11*0.03)/2000</f>
        <v>0</v>
      </c>
      <c r="V11" s="152"/>
      <c r="W11" s="17" t="s">
        <v>37</v>
      </c>
      <c r="X11" s="162">
        <v>48795</v>
      </c>
      <c r="Y11" s="166">
        <f t="shared" ref="Y11:Y25" si="54">SUM(X11/2666712)</f>
        <v>1.8297813937163069E-2</v>
      </c>
      <c r="Z11" s="44">
        <f t="shared" ref="Z11:Z25" si="55">SUM(Y11*224247.5)</f>
        <v>4103.239030873975</v>
      </c>
      <c r="AA11" s="45">
        <f t="shared" ref="AA11:AA25" si="56">SUM(Z11*0.09)/92</f>
        <v>4.0140381823767148</v>
      </c>
      <c r="AB11" s="45">
        <f t="shared" si="4"/>
        <v>0.69755063524857575</v>
      </c>
      <c r="AC11" s="46">
        <f t="shared" si="5"/>
        <v>8.0486611759451041E-4</v>
      </c>
      <c r="AD11" s="45">
        <f t="shared" si="6"/>
        <v>41.03239030873975</v>
      </c>
      <c r="AE11" s="46">
        <f t="shared" si="7"/>
        <v>4.7345065740853558E-2</v>
      </c>
      <c r="AF11" s="45">
        <f t="shared" si="8"/>
        <v>10.258097577184937</v>
      </c>
      <c r="AG11" s="46">
        <f t="shared" si="9"/>
        <v>1.1836266435213389E-2</v>
      </c>
      <c r="AH11" s="45">
        <f t="shared" si="10"/>
        <v>6.0496472891090662E-2</v>
      </c>
      <c r="AI11" s="45">
        <f t="shared" si="11"/>
        <v>87.398991357615671</v>
      </c>
      <c r="AJ11" s="45">
        <f t="shared" si="12"/>
        <v>2.2157490766719468</v>
      </c>
      <c r="AK11" s="45">
        <f t="shared" ref="AK11:AK25" si="57">SUM(Z11*2.38)/2000</f>
        <v>4.8828544467400299</v>
      </c>
      <c r="AL11" s="45">
        <f t="shared" si="13"/>
        <v>1.7028441978126996</v>
      </c>
      <c r="AM11" s="45">
        <f t="shared" ref="AM11:AM25" si="58">SUM(Z11*2.13)/2000</f>
        <v>4.3699495678807834</v>
      </c>
      <c r="AN11" s="45">
        <f t="shared" ref="AN11:AN25" si="59">SUM(Z11*1.3)/2000</f>
        <v>2.667105370068084</v>
      </c>
      <c r="AO11" s="45">
        <f t="shared" ref="AO11:AO25" si="60">SUM(Z11*1)/2000</f>
        <v>2.0516195154369874</v>
      </c>
      <c r="AP11" s="152"/>
      <c r="AQ11" s="17" t="s">
        <v>37</v>
      </c>
      <c r="AR11" s="162">
        <v>48795</v>
      </c>
      <c r="AS11" s="166">
        <f t="shared" ref="AS11:AS25" si="61">SUM(AR11/2666712)</f>
        <v>1.8297813937163069E-2</v>
      </c>
      <c r="AT11" s="44">
        <f t="shared" ref="AT11:AT25" si="62">SUM(AS11*18090.1)</f>
        <v>331.00928390467362</v>
      </c>
      <c r="AU11" s="45">
        <f t="shared" ref="AU11:AU25" si="63">SUM(AT11*0.09)/78</f>
        <v>0.38193378912077725</v>
      </c>
      <c r="AV11" s="45">
        <f t="shared" ref="AV11:AV25" si="64">SUM(AT11*1.13)/2000</f>
        <v>0.1870202454061406</v>
      </c>
      <c r="AW11" s="46">
        <f t="shared" ref="AW11:AW25" si="65">SUM(AV11*0.09)/78</f>
        <v>2.1579259085323916E-4</v>
      </c>
      <c r="AX11" s="45">
        <f t="shared" ref="AX11:AX25" si="66">SUM(AT11*55)/2000</f>
        <v>9.1027553073785246</v>
      </c>
      <c r="AY11" s="46">
        <f t="shared" ref="AY11:AY26" si="67">SUM(AX11*0.09)/78</f>
        <v>1.0503179200821375E-2</v>
      </c>
      <c r="AZ11" s="45">
        <f t="shared" si="14"/>
        <v>0.82752320976168403</v>
      </c>
      <c r="BA11" s="46">
        <f t="shared" ref="BA11:BA25" si="68">SUM(AZ11*0.09)/78</f>
        <v>9.548344728019431E-4</v>
      </c>
      <c r="BB11" s="46">
        <f t="shared" ref="BB11:BB25" si="69">SUM(AZ11*0.46)/78</f>
        <v>4.880265083209932E-3</v>
      </c>
      <c r="BC11" s="45">
        <f t="shared" ref="BC11:BC25" si="70">SUM(AT11*105.9)/2000</f>
        <v>17.526941582752467</v>
      </c>
      <c r="BD11" s="45">
        <f t="shared" ref="BD11:BD25" si="71">SUM(AT11*5.15)/2000</f>
        <v>0.85234890605453462</v>
      </c>
      <c r="BE11" s="45">
        <f t="shared" ref="BE11:BE25" si="72">SUM(AT11*3.65)/2000</f>
        <v>0.60409194312602943</v>
      </c>
      <c r="BF11" s="45">
        <f t="shared" si="15"/>
        <v>0.47334327598368325</v>
      </c>
      <c r="BG11" s="45">
        <f t="shared" ref="BG11:BG25" si="73">SUM(AT11*1.36)/2000</f>
        <v>0.22508631305517807</v>
      </c>
      <c r="BH11" s="97">
        <f t="shared" ref="BH11:BH25" si="74">SUM(AT11*1.5)/2000</f>
        <v>0.24825696292850524</v>
      </c>
      <c r="BI11" s="97">
        <f t="shared" ref="BI11:BI25" si="75">SUM(AT11*0.8)/2000</f>
        <v>0.13240371356186947</v>
      </c>
      <c r="BJ11" s="167"/>
      <c r="BK11" s="23" t="s">
        <v>37</v>
      </c>
      <c r="BL11" s="162">
        <v>48795</v>
      </c>
      <c r="BM11" s="163">
        <f t="shared" ref="BM11:BM25" si="76">SUM(BL11/2666712)</f>
        <v>1.8297813937163069E-2</v>
      </c>
      <c r="BN11" s="112">
        <f t="shared" ref="BN11:BN25" si="77">SUM(BM11*52426.5)</f>
        <v>959.29034237667963</v>
      </c>
      <c r="BO11" s="165">
        <f t="shared" ref="BO11:BO23" si="78">SUM(BN11*0.09)/78</f>
        <v>1.1068734719730919</v>
      </c>
      <c r="BP11" s="165">
        <f t="shared" si="16"/>
        <v>2.6380484415358691</v>
      </c>
      <c r="BQ11" s="164">
        <f t="shared" ref="BQ11:BQ25" si="79">SUM(BP11*0.09)/78</f>
        <v>3.0439020479260024E-3</v>
      </c>
      <c r="BR11" s="165">
        <f t="shared" si="17"/>
        <v>47.964517118833982</v>
      </c>
      <c r="BS11" s="164">
        <f t="shared" ref="BS11:BS26" si="80">SUM(BR11*0.09)/78</f>
        <v>5.5343673598654594E-2</v>
      </c>
      <c r="BT11" s="165">
        <f t="shared" si="18"/>
        <v>40.290194379820548</v>
      </c>
      <c r="BU11" s="164">
        <f t="shared" ref="BU11:BU25" si="81">SUM(BT11*0.09)/78</f>
        <v>4.6488685822869864E-2</v>
      </c>
      <c r="BV11" s="164">
        <f t="shared" ref="BV11:BV25" si="82">SUM(BT11*0.46)/78</f>
        <v>0.23760883865022378</v>
      </c>
      <c r="BW11" s="165">
        <f t="shared" si="19"/>
        <v>0.2877871027130039</v>
      </c>
      <c r="BX11" s="165">
        <f t="shared" si="20"/>
        <v>0.24941548901793673</v>
      </c>
      <c r="BY11" s="165">
        <f t="shared" ref="BY11:BY25" si="83">SUM(BN11*0.2)/2000</f>
        <v>9.5929034237667965E-2</v>
      </c>
      <c r="BZ11" s="165">
        <f t="shared" si="21"/>
        <v>0.20624742361098611</v>
      </c>
      <c r="CA11" s="165">
        <f t="shared" ref="CA11:CA25" si="84">SUM(BN11*0.11)/2000</f>
        <v>5.2760968830717382E-2</v>
      </c>
      <c r="CB11" s="165">
        <f t="shared" ref="CB11:CB25" si="85">SUM(BN11*0.32)/2000</f>
        <v>0.15348645478026876</v>
      </c>
      <c r="CC11" s="165">
        <f t="shared" ref="CC11:CC25" si="86">SUM(BN11*0.49)/2000</f>
        <v>0.23502613388228649</v>
      </c>
      <c r="CD11" s="152"/>
      <c r="CE11" s="23" t="s">
        <v>37</v>
      </c>
      <c r="CF11" s="162">
        <v>48795</v>
      </c>
      <c r="CG11" s="163">
        <f t="shared" ref="CG11:CG25" si="87">SUM(CF11/2666712)</f>
        <v>1.8297813937163069E-2</v>
      </c>
      <c r="CH11" s="112">
        <f t="shared" ref="CH11:CH25" si="88">SUM(CG11*1161.6)</f>
        <v>21.254740669408619</v>
      </c>
      <c r="CI11" s="165">
        <f t="shared" ref="CI11:CI25" si="89">SUM(CH11*0.09)/92</f>
        <v>2.0792681089638866E-2</v>
      </c>
      <c r="CJ11" s="164">
        <f t="shared" ref="CJ11:CJ25" si="90">SUM(CH11*0.33)/2000</f>
        <v>3.5070322104524222E-3</v>
      </c>
      <c r="CK11" s="164">
        <f t="shared" si="22"/>
        <v>4.0465756274451024E-6</v>
      </c>
      <c r="CL11" s="165">
        <f t="shared" ref="CL11:CL25" si="91">SUM(CH11*19.3)/2000</f>
        <v>0.20510824745979317</v>
      </c>
      <c r="CM11" s="164">
        <f t="shared" si="23"/>
        <v>2.3666336245360749E-4</v>
      </c>
      <c r="CN11" s="165">
        <f t="shared" ref="CN11:CN25" si="92">SUM(CH11*4.8)/2000</f>
        <v>5.1011377606580685E-2</v>
      </c>
      <c r="CO11" s="164">
        <f t="shared" si="24"/>
        <v>5.8859281853746946E-5</v>
      </c>
      <c r="CP11" s="164">
        <f t="shared" si="25"/>
        <v>3.008363294747066E-4</v>
      </c>
      <c r="CQ11" s="165">
        <f t="shared" ref="CQ11:CQ25" si="93">SUM(CH11*142)/2000</f>
        <v>1.5090865875280119</v>
      </c>
      <c r="CR11" s="164">
        <f t="shared" ref="CR11:CR25" si="94">SUM(CH11*2.34)/2000</f>
        <v>2.4868046583208084E-2</v>
      </c>
      <c r="CS11" s="164">
        <f t="shared" ref="CS11:CS25" si="95">SUM(CH11*1.04)/2000</f>
        <v>1.1052465148092482E-2</v>
      </c>
      <c r="CT11" s="165">
        <f t="shared" ref="CT11:CT25" si="96">SUM(CH11*2.1)/2000</f>
        <v>2.2317477702879049E-2</v>
      </c>
      <c r="CU11" s="168">
        <f t="shared" ref="CU11:CU25" si="97">SUM(CH11*0.08)/2000</f>
        <v>8.501896267763448E-4</v>
      </c>
      <c r="CV11" s="165">
        <f t="shared" ref="CV11:CV25" si="98">SUM(CH11*1.3)/2000</f>
        <v>1.3815581435115602E-2</v>
      </c>
      <c r="CW11" s="165">
        <f t="shared" ref="CW11:CW25" si="99">SUM(CH11*0.08)/2000</f>
        <v>8.501896267763448E-4</v>
      </c>
      <c r="CX11" s="152"/>
      <c r="CY11" s="17" t="s">
        <v>37</v>
      </c>
      <c r="CZ11" s="162">
        <v>48795</v>
      </c>
      <c r="DA11" s="166">
        <f t="shared" ref="DA11:DA25" si="100">SUM(CZ11/2666712)</f>
        <v>1.8297813937163069E-2</v>
      </c>
      <c r="DB11" s="48">
        <f t="shared" ref="DB11:DB25" si="101">SUM(DA11*24398.6)</f>
        <v>446.44104312726682</v>
      </c>
      <c r="DC11" s="45">
        <f t="shared" ref="DC11:DC25" si="102">SUM(DB11*0.09)/78</f>
        <v>0.51512428053146175</v>
      </c>
      <c r="DD11" s="45">
        <f t="shared" ref="DD11:DD25" si="103">SUM(DB11*0.52)/2000</f>
        <v>0.11607467121308937</v>
      </c>
      <c r="DE11" s="46">
        <f t="shared" si="26"/>
        <v>1.3393231293818005E-4</v>
      </c>
      <c r="DF11" s="45">
        <f t="shared" ref="DF11:DF25" si="104">SUM(DB11*9.49)/2000</f>
        <v>2.118362749638881</v>
      </c>
      <c r="DG11" s="46">
        <f t="shared" si="27"/>
        <v>2.4442647111217858E-3</v>
      </c>
      <c r="DH11" s="45">
        <f t="shared" ref="DH11:DH25" si="105">SUM(DB11*11.95)/2000</f>
        <v>2.6674852326854195</v>
      </c>
      <c r="DI11" s="46">
        <f t="shared" si="28"/>
        <v>3.0778675761754838E-3</v>
      </c>
      <c r="DJ11" s="46">
        <f t="shared" si="29"/>
        <v>1.573132316711914E-2</v>
      </c>
      <c r="DK11" s="45">
        <f t="shared" ref="DK11:DK25" si="106">SUM(DB11*0.06)/2000</f>
        <v>1.3393231293818005E-2</v>
      </c>
      <c r="DL11" s="46">
        <f t="shared" ref="DL11:DL25" si="107">SUM(DB11*0.02)/2000</f>
        <v>4.464410431272668E-3</v>
      </c>
      <c r="DM11" s="46">
        <f t="shared" ref="DM11:DM25" si="108">SUM(DB11*0.05)/2000</f>
        <v>1.116102607818167E-2</v>
      </c>
      <c r="DN11" s="46">
        <f t="shared" ref="DN11:DN25" si="109">SUM(DB11*0.01)/2000</f>
        <v>2.232205215636334E-3</v>
      </c>
      <c r="DO11" s="100">
        <f t="shared" ref="DO11:DO25" si="110">SUM(DB11*0.04)/2000</f>
        <v>8.928820862545336E-3</v>
      </c>
      <c r="DP11" s="100">
        <f t="shared" ref="DP11:DP25" si="111">SUM(DB11*0.03)/2000</f>
        <v>6.6966156469090024E-3</v>
      </c>
      <c r="DQ11" s="46">
        <f t="shared" ref="DQ11:DQ25" si="112">SUM(DB11*0.05)/2000</f>
        <v>1.116102607818167E-2</v>
      </c>
      <c r="DR11" s="152"/>
      <c r="DS11" s="23" t="s">
        <v>37</v>
      </c>
      <c r="DT11" s="162">
        <v>48795</v>
      </c>
      <c r="DU11" s="163">
        <f t="shared" ref="DU11:DU23" si="113">SUM(DT11/2666712)</f>
        <v>1.8297813937163069E-2</v>
      </c>
      <c r="DV11" s="111">
        <f t="shared" ref="DV11:DV25" si="114">SUM(DU11*1094252)</f>
        <v>20022.419496368562</v>
      </c>
      <c r="DW11" s="111">
        <f t="shared" si="30"/>
        <v>1802.0177546731704</v>
      </c>
      <c r="DX11" s="165">
        <f t="shared" si="31"/>
        <v>0.1701905657191328</v>
      </c>
      <c r="DY11" s="164">
        <f t="shared" si="32"/>
        <v>1.9637372967592245E-4</v>
      </c>
      <c r="DZ11" s="112">
        <f t="shared" si="33"/>
        <v>2.202466144600542</v>
      </c>
      <c r="EA11" s="164">
        <f t="shared" si="34"/>
        <v>2.5413070899237022E-3</v>
      </c>
      <c r="EB11" s="112">
        <f t="shared" si="35"/>
        <v>6.0067258489105688</v>
      </c>
      <c r="EC11" s="164">
        <f t="shared" si="36"/>
        <v>6.9308375179737329E-3</v>
      </c>
      <c r="ED11" s="164">
        <f t="shared" si="37"/>
        <v>3.5424280647421307E-2</v>
      </c>
      <c r="EE11" s="165">
        <f t="shared" si="38"/>
        <v>0.25028024370460705</v>
      </c>
      <c r="EF11" s="169">
        <f t="shared" ref="EF11:EF25" si="115">SUM(DV11*0.5032)/2000</f>
        <v>5.0376407452863301</v>
      </c>
      <c r="EG11" s="165">
        <f t="shared" ref="EG11:EG25" si="116">SUM(DV11*0.5)/2000</f>
        <v>5.0056048740921408</v>
      </c>
      <c r="EH11" s="169">
        <f t="shared" ref="EH11:EH25" si="117">SUM(DV11*0.4345)/2000</f>
        <v>4.3498706355860701</v>
      </c>
      <c r="EI11" s="165">
        <f t="shared" ref="EI11:EI25" si="118">SUM(DV11*0.43)/2000</f>
        <v>4.3048201917192408</v>
      </c>
      <c r="EJ11" s="165">
        <f t="shared" ref="EJ11:EJ25" si="119">SUM(DV11*0.0048)/2000</f>
        <v>4.8053806791284542E-2</v>
      </c>
      <c r="EK11" s="165">
        <f t="shared" ref="EK11:EK25" si="120">SUM(DV11*0.012)/2000</f>
        <v>0.12013451697821138</v>
      </c>
      <c r="EL11" s="17" t="s">
        <v>37</v>
      </c>
      <c r="EM11" s="77">
        <f t="shared" si="39"/>
        <v>3.81239159133326</v>
      </c>
      <c r="EN11" s="82">
        <f t="shared" si="39"/>
        <v>4.3989133746152997E-3</v>
      </c>
      <c r="EO11" s="77">
        <f>SUM(J11,AD11,AX11,BR11,CL11,DF11,DZ11)</f>
        <v>102.62559987665146</v>
      </c>
      <c r="EP11" s="77">
        <f t="shared" si="39"/>
        <v>0.11841415370382863</v>
      </c>
      <c r="EQ11" s="77">
        <f t="shared" si="39"/>
        <v>60.101037625969738</v>
      </c>
      <c r="ER11" s="77">
        <f t="shared" si="39"/>
        <v>6.9347351106888167E-2</v>
      </c>
      <c r="ES11" s="77">
        <f t="shared" si="39"/>
        <v>0.35444201676853948</v>
      </c>
      <c r="ET11" s="77">
        <f t="shared" si="39"/>
        <v>106.98648010560758</v>
      </c>
      <c r="EU11" s="77">
        <f t="shared" ref="EU11:EU25" si="121">SUM(P11,AK11,BD11,BX11,CR11,DM11,EF11)</f>
        <v>11.058288659760221</v>
      </c>
      <c r="EV11" s="77">
        <f t="shared" ref="EV11:EV25" si="122">SUM(Q11,AJ11,BE11,BY11,CS11,DL11,EG11)</f>
        <v>7.9368918037071499</v>
      </c>
      <c r="EW11" s="77">
        <f t="shared" ref="EW11:EW23" si="123">SUM(R11,AM11,BF11,BZ11,CT11,DO11,EH11)</f>
        <v>9.4306572016269463</v>
      </c>
      <c r="EX11" s="77">
        <f t="shared" ref="EX11:EX23" si="124">SUM(S11,AL11,BG11,CA11,CU11,DN11,EI11)</f>
        <v>6.2885940662602486</v>
      </c>
      <c r="EY11" s="77">
        <f t="shared" ref="EY11:EZ25" si="125">SUM(T11,AN11,BH11,CB11,CV11,DP11,EJ11)</f>
        <v>3.1374147916501669</v>
      </c>
      <c r="EZ11" s="77">
        <f t="shared" si="125"/>
        <v>2.5511950955643132</v>
      </c>
    </row>
    <row r="12" spans="1:156" ht="18" customHeight="1">
      <c r="A12" s="23" t="s">
        <v>38</v>
      </c>
      <c r="B12" s="105">
        <v>192766</v>
      </c>
      <c r="C12" s="162">
        <v>27739</v>
      </c>
      <c r="D12" s="162">
        <f t="shared" si="40"/>
        <v>165027</v>
      </c>
      <c r="E12" s="163">
        <f t="shared" si="41"/>
        <v>6.1884072970759499E-2</v>
      </c>
      <c r="F12" s="111">
        <f t="shared" si="42"/>
        <v>0</v>
      </c>
      <c r="G12" s="164">
        <f t="shared" si="43"/>
        <v>0</v>
      </c>
      <c r="H12" s="165">
        <f t="shared" si="44"/>
        <v>0</v>
      </c>
      <c r="I12" s="164">
        <f t="shared" si="0"/>
        <v>0</v>
      </c>
      <c r="J12" s="165">
        <f t="shared" si="45"/>
        <v>0</v>
      </c>
      <c r="K12" s="164">
        <f t="shared" si="1"/>
        <v>0</v>
      </c>
      <c r="L12" s="165">
        <f t="shared" si="2"/>
        <v>0</v>
      </c>
      <c r="M12" s="164">
        <f t="shared" si="3"/>
        <v>0</v>
      </c>
      <c r="N12" s="164">
        <f t="shared" si="46"/>
        <v>0</v>
      </c>
      <c r="O12" s="165">
        <f t="shared" si="47"/>
        <v>0</v>
      </c>
      <c r="P12" s="112">
        <f t="shared" si="48"/>
        <v>0</v>
      </c>
      <c r="Q12" s="112">
        <f t="shared" si="49"/>
        <v>0</v>
      </c>
      <c r="R12" s="165">
        <f t="shared" si="50"/>
        <v>0</v>
      </c>
      <c r="S12" s="165">
        <f t="shared" si="51"/>
        <v>0</v>
      </c>
      <c r="T12" s="165">
        <f t="shared" si="52"/>
        <v>0</v>
      </c>
      <c r="U12" s="165">
        <f t="shared" si="53"/>
        <v>0</v>
      </c>
      <c r="V12" s="152"/>
      <c r="W12" s="17" t="s">
        <v>38</v>
      </c>
      <c r="X12" s="162">
        <v>165027</v>
      </c>
      <c r="Y12" s="166">
        <f t="shared" si="54"/>
        <v>6.1884072970759499E-2</v>
      </c>
      <c r="Z12" s="44">
        <f t="shared" si="55"/>
        <v>13877.348653510391</v>
      </c>
      <c r="AA12" s="45">
        <f t="shared" si="56"/>
        <v>13.575667161042773</v>
      </c>
      <c r="AB12" s="45">
        <f t="shared" si="4"/>
        <v>2.3591492710967668</v>
      </c>
      <c r="AC12" s="46">
        <f t="shared" si="5"/>
        <v>2.7220953128039614E-3</v>
      </c>
      <c r="AD12" s="45">
        <f t="shared" si="6"/>
        <v>138.7734865351039</v>
      </c>
      <c r="AE12" s="46">
        <f t="shared" si="7"/>
        <v>0.16012325369435063</v>
      </c>
      <c r="AF12" s="45">
        <f t="shared" si="8"/>
        <v>34.693371633775975</v>
      </c>
      <c r="AG12" s="46">
        <f t="shared" si="9"/>
        <v>4.0030813423587656E-2</v>
      </c>
      <c r="AH12" s="45">
        <f t="shared" si="10"/>
        <v>0.20460193527611473</v>
      </c>
      <c r="AI12" s="45">
        <f t="shared" si="11"/>
        <v>295.58752631977137</v>
      </c>
      <c r="AJ12" s="45">
        <f t="shared" si="12"/>
        <v>7.4937682728956112</v>
      </c>
      <c r="AK12" s="45">
        <f t="shared" si="57"/>
        <v>16.514044897677365</v>
      </c>
      <c r="AL12" s="45">
        <f t="shared" si="13"/>
        <v>5.7590996912068118</v>
      </c>
      <c r="AM12" s="45">
        <f t="shared" si="58"/>
        <v>14.779376315988566</v>
      </c>
      <c r="AN12" s="45">
        <f t="shared" si="59"/>
        <v>9.0202766247817543</v>
      </c>
      <c r="AO12" s="45">
        <f t="shared" si="60"/>
        <v>6.938674326755196</v>
      </c>
      <c r="AP12" s="152"/>
      <c r="AQ12" s="17" t="s">
        <v>38</v>
      </c>
      <c r="AR12" s="162">
        <v>165027</v>
      </c>
      <c r="AS12" s="166">
        <f t="shared" si="61"/>
        <v>6.1884072970759499E-2</v>
      </c>
      <c r="AT12" s="44">
        <f t="shared" si="62"/>
        <v>1119.4890684483364</v>
      </c>
      <c r="AU12" s="45">
        <f t="shared" si="63"/>
        <v>1.2917181559019266</v>
      </c>
      <c r="AV12" s="45">
        <f t="shared" si="64"/>
        <v>0.63251132367330998</v>
      </c>
      <c r="AW12" s="46">
        <f t="shared" si="65"/>
        <v>7.2982075808458843E-4</v>
      </c>
      <c r="AX12" s="45">
        <f t="shared" si="66"/>
        <v>30.78594938232925</v>
      </c>
      <c r="AY12" s="46">
        <f t="shared" si="67"/>
        <v>3.5522249287302979E-2</v>
      </c>
      <c r="AZ12" s="45">
        <f t="shared" si="14"/>
        <v>2.7987226711208408</v>
      </c>
      <c r="BA12" s="46">
        <f t="shared" si="68"/>
        <v>3.2292953897548162E-3</v>
      </c>
      <c r="BB12" s="46">
        <f t="shared" si="69"/>
        <v>1.6505287547635729E-2</v>
      </c>
      <c r="BC12" s="45">
        <f t="shared" si="70"/>
        <v>59.276946174339415</v>
      </c>
      <c r="BD12" s="45">
        <f t="shared" si="71"/>
        <v>2.8826843512544666</v>
      </c>
      <c r="BE12" s="45">
        <f t="shared" si="72"/>
        <v>2.0430675499182138</v>
      </c>
      <c r="BF12" s="45">
        <f t="shared" si="15"/>
        <v>1.600869367881121</v>
      </c>
      <c r="BG12" s="45">
        <f t="shared" si="73"/>
        <v>0.76125256654486884</v>
      </c>
      <c r="BH12" s="97">
        <f t="shared" si="74"/>
        <v>0.83961680133625238</v>
      </c>
      <c r="BI12" s="97">
        <f t="shared" si="75"/>
        <v>0.44779562737933459</v>
      </c>
      <c r="BJ12" s="167"/>
      <c r="BK12" s="23" t="s">
        <v>38</v>
      </c>
      <c r="BL12" s="162">
        <v>165027</v>
      </c>
      <c r="BM12" s="163">
        <f t="shared" si="76"/>
        <v>6.1884072970759499E-2</v>
      </c>
      <c r="BN12" s="112">
        <f t="shared" si="77"/>
        <v>3244.3653516015229</v>
      </c>
      <c r="BO12" s="165">
        <f t="shared" si="78"/>
        <v>3.743498482617142</v>
      </c>
      <c r="BP12" s="165">
        <f t="shared" si="16"/>
        <v>8.9220047169041887</v>
      </c>
      <c r="BQ12" s="164">
        <f t="shared" si="79"/>
        <v>1.029462082719714E-2</v>
      </c>
      <c r="BR12" s="165">
        <f t="shared" si="17"/>
        <v>162.21826758007614</v>
      </c>
      <c r="BS12" s="164">
        <f t="shared" si="80"/>
        <v>0.1871749241308571</v>
      </c>
      <c r="BT12" s="165">
        <f t="shared" si="18"/>
        <v>136.26334476726399</v>
      </c>
      <c r="BU12" s="164">
        <f t="shared" si="81"/>
        <v>0.15722693626991996</v>
      </c>
      <c r="BV12" s="164">
        <f t="shared" si="82"/>
        <v>0.80360434093514665</v>
      </c>
      <c r="BW12" s="165">
        <f t="shared" si="19"/>
        <v>0.97330960548045686</v>
      </c>
      <c r="BX12" s="165">
        <f t="shared" si="20"/>
        <v>0.84353499141639599</v>
      </c>
      <c r="BY12" s="165">
        <f t="shared" si="83"/>
        <v>0.32443653516015231</v>
      </c>
      <c r="BZ12" s="165">
        <f t="shared" si="21"/>
        <v>0.69753855059432734</v>
      </c>
      <c r="CA12" s="165">
        <f t="shared" si="84"/>
        <v>0.17844009433808375</v>
      </c>
      <c r="CB12" s="165">
        <f t="shared" si="85"/>
        <v>0.51909845625624373</v>
      </c>
      <c r="CC12" s="165">
        <f t="shared" si="86"/>
        <v>0.79486951114237303</v>
      </c>
      <c r="CD12" s="152"/>
      <c r="CE12" s="23" t="s">
        <v>38</v>
      </c>
      <c r="CF12" s="162">
        <v>165027</v>
      </c>
      <c r="CG12" s="163">
        <f t="shared" si="87"/>
        <v>6.1884072970759499E-2</v>
      </c>
      <c r="CH12" s="112">
        <f t="shared" si="88"/>
        <v>71.88453916283423</v>
      </c>
      <c r="CI12" s="165">
        <f t="shared" si="89"/>
        <v>7.0321831789729131E-2</v>
      </c>
      <c r="CJ12" s="164">
        <f t="shared" si="90"/>
        <v>1.1860948961867649E-2</v>
      </c>
      <c r="CK12" s="164">
        <f t="shared" si="22"/>
        <v>1.3685710340616518E-5</v>
      </c>
      <c r="CL12" s="165">
        <f t="shared" si="91"/>
        <v>0.6936858029213504</v>
      </c>
      <c r="CM12" s="164">
        <f t="shared" si="23"/>
        <v>8.0040669567848122E-4</v>
      </c>
      <c r="CN12" s="165">
        <f t="shared" si="92"/>
        <v>0.17252289399080215</v>
      </c>
      <c r="CO12" s="164">
        <f t="shared" si="24"/>
        <v>1.9906487768169478E-4</v>
      </c>
      <c r="CP12" s="164">
        <f t="shared" si="25"/>
        <v>1.0174427081508844E-3</v>
      </c>
      <c r="CQ12" s="165">
        <f t="shared" si="93"/>
        <v>5.1038022805612302</v>
      </c>
      <c r="CR12" s="164">
        <f t="shared" si="94"/>
        <v>8.4104910820516035E-2</v>
      </c>
      <c r="CS12" s="164">
        <f t="shared" si="95"/>
        <v>3.7379960364673802E-2</v>
      </c>
      <c r="CT12" s="165">
        <f t="shared" si="96"/>
        <v>7.5478766120975954E-2</v>
      </c>
      <c r="CU12" s="168">
        <f t="shared" si="97"/>
        <v>2.875381566513369E-3</v>
      </c>
      <c r="CV12" s="165">
        <f t="shared" si="98"/>
        <v>4.6724950455842254E-2</v>
      </c>
      <c r="CW12" s="165">
        <f t="shared" si="99"/>
        <v>2.875381566513369E-3</v>
      </c>
      <c r="CX12" s="152"/>
      <c r="CY12" s="17" t="s">
        <v>38</v>
      </c>
      <c r="CZ12" s="162">
        <v>165027</v>
      </c>
      <c r="DA12" s="166">
        <f t="shared" si="100"/>
        <v>6.1884072970759499E-2</v>
      </c>
      <c r="DB12" s="48">
        <f t="shared" si="101"/>
        <v>1509.8847427843725</v>
      </c>
      <c r="DC12" s="45">
        <f t="shared" si="102"/>
        <v>1.7421747032127375</v>
      </c>
      <c r="DD12" s="45">
        <f t="shared" si="103"/>
        <v>0.39257003312393685</v>
      </c>
      <c r="DE12" s="46">
        <f t="shared" si="26"/>
        <v>4.5296542283531168E-4</v>
      </c>
      <c r="DF12" s="45">
        <f t="shared" si="104"/>
        <v>7.1644031045118481</v>
      </c>
      <c r="DG12" s="46">
        <f t="shared" si="27"/>
        <v>8.2666189667444396E-3</v>
      </c>
      <c r="DH12" s="45">
        <f t="shared" si="105"/>
        <v>9.0215613381366264</v>
      </c>
      <c r="DI12" s="46">
        <f t="shared" si="28"/>
        <v>1.0409493851696107E-2</v>
      </c>
      <c r="DJ12" s="46">
        <f t="shared" si="29"/>
        <v>5.3204079686446769E-2</v>
      </c>
      <c r="DK12" s="45">
        <f t="shared" si="106"/>
        <v>4.5296542283531173E-2</v>
      </c>
      <c r="DL12" s="46">
        <f t="shared" si="107"/>
        <v>1.5098847427843726E-2</v>
      </c>
      <c r="DM12" s="46">
        <f t="shared" si="108"/>
        <v>3.7747118569609314E-2</v>
      </c>
      <c r="DN12" s="46">
        <f t="shared" si="109"/>
        <v>7.549423713921863E-3</v>
      </c>
      <c r="DO12" s="100">
        <f t="shared" si="110"/>
        <v>3.0197694855687452E-2</v>
      </c>
      <c r="DP12" s="100">
        <f t="shared" si="111"/>
        <v>2.2648271141765586E-2</v>
      </c>
      <c r="DQ12" s="46">
        <f t="shared" si="112"/>
        <v>3.7747118569609314E-2</v>
      </c>
      <c r="DR12" s="152"/>
      <c r="DS12" s="23" t="s">
        <v>38</v>
      </c>
      <c r="DT12" s="162">
        <v>165027</v>
      </c>
      <c r="DU12" s="163">
        <f t="shared" si="113"/>
        <v>6.1884072970759499E-2</v>
      </c>
      <c r="DV12" s="111">
        <f t="shared" si="114"/>
        <v>67716.770616399517</v>
      </c>
      <c r="DW12" s="111">
        <f t="shared" si="30"/>
        <v>6094.509355475956</v>
      </c>
      <c r="DX12" s="165">
        <f t="shared" si="31"/>
        <v>0.57559255023939593</v>
      </c>
      <c r="DY12" s="164">
        <f t="shared" si="32"/>
        <v>6.6414525027622595E-4</v>
      </c>
      <c r="DZ12" s="112">
        <f t="shared" si="33"/>
        <v>7.4488447678039469</v>
      </c>
      <c r="EA12" s="164">
        <f t="shared" si="34"/>
        <v>8.5948208859276311E-3</v>
      </c>
      <c r="EB12" s="112">
        <f t="shared" si="35"/>
        <v>20.315031184919857</v>
      </c>
      <c r="EC12" s="164">
        <f t="shared" si="36"/>
        <v>2.344042059798445E-2</v>
      </c>
      <c r="ED12" s="164">
        <f t="shared" si="37"/>
        <v>0.11980659416747609</v>
      </c>
      <c r="EE12" s="165">
        <f t="shared" si="38"/>
        <v>0.84645963270499391</v>
      </c>
      <c r="EF12" s="169">
        <f t="shared" si="115"/>
        <v>17.037539487086118</v>
      </c>
      <c r="EG12" s="165">
        <f t="shared" si="116"/>
        <v>16.929192654099879</v>
      </c>
      <c r="EH12" s="169">
        <f t="shared" si="117"/>
        <v>14.711468416412796</v>
      </c>
      <c r="EI12" s="165">
        <f t="shared" si="118"/>
        <v>14.559105682525896</v>
      </c>
      <c r="EJ12" s="165">
        <f t="shared" si="119"/>
        <v>0.16252024947935884</v>
      </c>
      <c r="EK12" s="165">
        <f t="shared" si="120"/>
        <v>0.40630062369839709</v>
      </c>
      <c r="EL12" s="17" t="s">
        <v>38</v>
      </c>
      <c r="EM12" s="77">
        <f t="shared" si="39"/>
        <v>12.893688843999465</v>
      </c>
      <c r="EN12" s="82">
        <f t="shared" si="39"/>
        <v>1.4877333281537845E-2</v>
      </c>
      <c r="EO12" s="77">
        <f>SUM(J12,AD12,AX12,BR12,CL12,DF12,DZ12)</f>
        <v>347.0846371727464</v>
      </c>
      <c r="EP12" s="77">
        <f t="shared" si="39"/>
        <v>0.40048227366086131</v>
      </c>
      <c r="EQ12" s="77">
        <f t="shared" si="39"/>
        <v>203.26455448920811</v>
      </c>
      <c r="ER12" s="77">
        <f t="shared" si="39"/>
        <v>0.23453602441062468</v>
      </c>
      <c r="ES12" s="77">
        <f t="shared" si="39"/>
        <v>1.1987396803209709</v>
      </c>
      <c r="ET12" s="77">
        <f t="shared" si="39"/>
        <v>361.83334055514098</v>
      </c>
      <c r="EU12" s="77">
        <f t="shared" si="121"/>
        <v>37.399655756824473</v>
      </c>
      <c r="EV12" s="77">
        <f t="shared" si="122"/>
        <v>26.842943819866374</v>
      </c>
      <c r="EW12" s="77">
        <f t="shared" si="123"/>
        <v>31.894929111853475</v>
      </c>
      <c r="EX12" s="77">
        <f t="shared" si="124"/>
        <v>21.268322839896094</v>
      </c>
      <c r="EY12" s="77">
        <f t="shared" si="125"/>
        <v>10.610885353451216</v>
      </c>
      <c r="EZ12" s="77">
        <f t="shared" si="125"/>
        <v>8.6282625891114222</v>
      </c>
    </row>
    <row r="13" spans="1:156" ht="18" customHeight="1">
      <c r="A13" s="23" t="s">
        <v>39</v>
      </c>
      <c r="B13" s="105">
        <v>4827</v>
      </c>
      <c r="C13" s="162">
        <v>105</v>
      </c>
      <c r="D13" s="162">
        <f t="shared" si="40"/>
        <v>4722</v>
      </c>
      <c r="E13" s="163">
        <f t="shared" si="41"/>
        <v>1.770719897761738E-3</v>
      </c>
      <c r="F13" s="111">
        <f t="shared" si="42"/>
        <v>0</v>
      </c>
      <c r="G13" s="164">
        <f t="shared" si="43"/>
        <v>0</v>
      </c>
      <c r="H13" s="165">
        <f t="shared" si="44"/>
        <v>0</v>
      </c>
      <c r="I13" s="164">
        <f t="shared" si="0"/>
        <v>0</v>
      </c>
      <c r="J13" s="165">
        <f t="shared" si="45"/>
        <v>0</v>
      </c>
      <c r="K13" s="164">
        <f t="shared" si="1"/>
        <v>0</v>
      </c>
      <c r="L13" s="165">
        <f t="shared" si="2"/>
        <v>0</v>
      </c>
      <c r="M13" s="164">
        <f t="shared" si="3"/>
        <v>0</v>
      </c>
      <c r="N13" s="164">
        <f t="shared" si="46"/>
        <v>0</v>
      </c>
      <c r="O13" s="165">
        <f t="shared" si="47"/>
        <v>0</v>
      </c>
      <c r="P13" s="112">
        <f t="shared" si="48"/>
        <v>0</v>
      </c>
      <c r="Q13" s="112">
        <f t="shared" si="49"/>
        <v>0</v>
      </c>
      <c r="R13" s="165">
        <f t="shared" si="50"/>
        <v>0</v>
      </c>
      <c r="S13" s="165">
        <f t="shared" si="51"/>
        <v>0</v>
      </c>
      <c r="T13" s="165">
        <f t="shared" si="52"/>
        <v>0</v>
      </c>
      <c r="U13" s="165">
        <f t="shared" si="53"/>
        <v>0</v>
      </c>
      <c r="V13" s="152"/>
      <c r="W13" s="17" t="s">
        <v>39</v>
      </c>
      <c r="X13" s="162">
        <v>4722</v>
      </c>
      <c r="Y13" s="166">
        <f t="shared" si="54"/>
        <v>1.770719897761738E-3</v>
      </c>
      <c r="Z13" s="44">
        <f t="shared" si="55"/>
        <v>397.07951027332535</v>
      </c>
      <c r="AA13" s="45">
        <f t="shared" si="56"/>
        <v>0.3884473470065139</v>
      </c>
      <c r="AB13" s="45">
        <f t="shared" si="4"/>
        <v>6.7503516746465306E-2</v>
      </c>
      <c r="AC13" s="46">
        <f t="shared" si="5"/>
        <v>7.7888673168998419E-5</v>
      </c>
      <c r="AD13" s="45">
        <f t="shared" si="6"/>
        <v>3.9707951027332538</v>
      </c>
      <c r="AE13" s="46">
        <f t="shared" si="7"/>
        <v>4.5816866569999082E-3</v>
      </c>
      <c r="AF13" s="45">
        <f t="shared" si="8"/>
        <v>0.99269877568331344</v>
      </c>
      <c r="AG13" s="46">
        <f t="shared" si="9"/>
        <v>1.1454216642499771E-3</v>
      </c>
      <c r="AH13" s="45">
        <f t="shared" si="10"/>
        <v>5.854377395055438E-3</v>
      </c>
      <c r="AI13" s="45">
        <f t="shared" si="11"/>
        <v>8.4577935688218293</v>
      </c>
      <c r="AJ13" s="45">
        <f t="shared" si="12"/>
        <v>0.2144229355475957</v>
      </c>
      <c r="AK13" s="45">
        <f t="shared" si="57"/>
        <v>0.47252461722525713</v>
      </c>
      <c r="AL13" s="45">
        <f t="shared" si="13"/>
        <v>0.16478799676343001</v>
      </c>
      <c r="AM13" s="45">
        <f t="shared" si="58"/>
        <v>0.42288967844109149</v>
      </c>
      <c r="AN13" s="45">
        <f t="shared" si="59"/>
        <v>0.25810168167766145</v>
      </c>
      <c r="AO13" s="45">
        <f t="shared" si="60"/>
        <v>0.19853975513666267</v>
      </c>
      <c r="AP13" s="152"/>
      <c r="AQ13" s="17" t="s">
        <v>39</v>
      </c>
      <c r="AR13" s="162">
        <v>4722</v>
      </c>
      <c r="AS13" s="166">
        <f t="shared" si="61"/>
        <v>1.770719897761738E-3</v>
      </c>
      <c r="AT13" s="44">
        <f t="shared" si="62"/>
        <v>32.032500022499612</v>
      </c>
      <c r="AU13" s="45">
        <f t="shared" si="63"/>
        <v>3.696057694903801E-2</v>
      </c>
      <c r="AV13" s="45">
        <f t="shared" si="64"/>
        <v>1.8098362512712279E-2</v>
      </c>
      <c r="AW13" s="46">
        <f t="shared" si="65"/>
        <v>2.0882725976206475E-5</v>
      </c>
      <c r="AX13" s="45">
        <f t="shared" si="66"/>
        <v>0.88089375061873931</v>
      </c>
      <c r="AY13" s="46">
        <f t="shared" si="67"/>
        <v>1.0164158660985452E-3</v>
      </c>
      <c r="AZ13" s="45">
        <f t="shared" si="14"/>
        <v>8.0081250056249026E-2</v>
      </c>
      <c r="BA13" s="46">
        <f t="shared" si="68"/>
        <v>9.2401442372595029E-5</v>
      </c>
      <c r="BB13" s="46">
        <f t="shared" si="69"/>
        <v>4.7227403879326348E-4</v>
      </c>
      <c r="BC13" s="45">
        <f t="shared" si="70"/>
        <v>1.6961208761913544</v>
      </c>
      <c r="BD13" s="45">
        <f t="shared" si="71"/>
        <v>8.2483687557936503E-2</v>
      </c>
      <c r="BE13" s="45">
        <f t="shared" si="72"/>
        <v>5.8459312541061792E-2</v>
      </c>
      <c r="BF13" s="45">
        <f t="shared" si="15"/>
        <v>4.5806475032174443E-2</v>
      </c>
      <c r="BG13" s="45">
        <f t="shared" si="73"/>
        <v>2.1782100015299736E-2</v>
      </c>
      <c r="BH13" s="97">
        <f t="shared" si="74"/>
        <v>2.4024375016874707E-2</v>
      </c>
      <c r="BI13" s="97">
        <f t="shared" si="75"/>
        <v>1.2813000008999846E-2</v>
      </c>
      <c r="BJ13" s="167"/>
      <c r="BK13" s="23" t="s">
        <v>39</v>
      </c>
      <c r="BL13" s="162">
        <v>4722</v>
      </c>
      <c r="BM13" s="163">
        <f t="shared" si="76"/>
        <v>1.770719897761738E-3</v>
      </c>
      <c r="BN13" s="112">
        <f t="shared" si="77"/>
        <v>92.832646720005755</v>
      </c>
      <c r="BO13" s="165">
        <f t="shared" si="78"/>
        <v>0.10711459236923741</v>
      </c>
      <c r="BP13" s="165">
        <f t="shared" si="16"/>
        <v>0.25528977848001583</v>
      </c>
      <c r="BQ13" s="164">
        <f t="shared" si="79"/>
        <v>2.9456512901540285E-4</v>
      </c>
      <c r="BR13" s="165">
        <f t="shared" si="17"/>
        <v>4.6416323360002876</v>
      </c>
      <c r="BS13" s="164">
        <f t="shared" si="80"/>
        <v>5.3557296184618703E-3</v>
      </c>
      <c r="BT13" s="165">
        <f t="shared" si="18"/>
        <v>3.8989711622402421</v>
      </c>
      <c r="BU13" s="164">
        <f t="shared" si="81"/>
        <v>4.4988128795079713E-3</v>
      </c>
      <c r="BV13" s="164">
        <f t="shared" si="82"/>
        <v>2.2993932495262968E-2</v>
      </c>
      <c r="BW13" s="165">
        <f t="shared" si="19"/>
        <v>2.7849794016001728E-2</v>
      </c>
      <c r="BX13" s="165">
        <f t="shared" si="20"/>
        <v>2.4136488147201499E-2</v>
      </c>
      <c r="BY13" s="165">
        <f t="shared" si="83"/>
        <v>9.2832646720005744E-3</v>
      </c>
      <c r="BZ13" s="165">
        <f t="shared" si="21"/>
        <v>1.9959019044801237E-2</v>
      </c>
      <c r="CA13" s="165">
        <f t="shared" si="84"/>
        <v>5.1057955696003163E-3</v>
      </c>
      <c r="CB13" s="165">
        <f t="shared" si="85"/>
        <v>1.4853223475200921E-2</v>
      </c>
      <c r="CC13" s="165">
        <f t="shared" si="86"/>
        <v>2.274399844640141E-2</v>
      </c>
      <c r="CD13" s="152"/>
      <c r="CE13" s="23" t="s">
        <v>39</v>
      </c>
      <c r="CF13" s="162">
        <v>4722</v>
      </c>
      <c r="CG13" s="163">
        <f t="shared" si="87"/>
        <v>1.770719897761738E-3</v>
      </c>
      <c r="CH13" s="112">
        <f t="shared" si="88"/>
        <v>2.0568682332400345</v>
      </c>
      <c r="CI13" s="165">
        <f t="shared" si="89"/>
        <v>2.0121537064304684E-3</v>
      </c>
      <c r="CJ13" s="164">
        <f t="shared" si="90"/>
        <v>3.3938325848460569E-4</v>
      </c>
      <c r="CK13" s="164">
        <f t="shared" si="22"/>
        <v>3.9159606748223731E-7</v>
      </c>
      <c r="CL13" s="165">
        <f t="shared" si="91"/>
        <v>1.9848778450766335E-2</v>
      </c>
      <c r="CM13" s="164">
        <f t="shared" si="23"/>
        <v>2.2902436673961156E-5</v>
      </c>
      <c r="CN13" s="165">
        <f t="shared" si="92"/>
        <v>4.9364837597760825E-3</v>
      </c>
      <c r="CO13" s="164">
        <f t="shared" si="24"/>
        <v>5.6959427997416331E-6</v>
      </c>
      <c r="CP13" s="164">
        <f t="shared" si="25"/>
        <v>2.9112596532012797E-5</v>
      </c>
      <c r="CQ13" s="165">
        <f t="shared" si="93"/>
        <v>0.14603764456004245</v>
      </c>
      <c r="CR13" s="164">
        <f t="shared" si="94"/>
        <v>2.4065358328908401E-3</v>
      </c>
      <c r="CS13" s="164">
        <f t="shared" si="95"/>
        <v>1.0695714812848181E-3</v>
      </c>
      <c r="CT13" s="165">
        <f t="shared" si="96"/>
        <v>2.1597116449020362E-3</v>
      </c>
      <c r="CU13" s="168">
        <f t="shared" si="97"/>
        <v>8.2274729329601383E-5</v>
      </c>
      <c r="CV13" s="165">
        <f t="shared" si="98"/>
        <v>1.3369643516060225E-3</v>
      </c>
      <c r="CW13" s="165">
        <f t="shared" si="99"/>
        <v>8.2274729329601383E-5</v>
      </c>
      <c r="CX13" s="152"/>
      <c r="CY13" s="17" t="s">
        <v>39</v>
      </c>
      <c r="CZ13" s="162">
        <v>4722</v>
      </c>
      <c r="DA13" s="166">
        <f t="shared" si="100"/>
        <v>1.770719897761738E-3</v>
      </c>
      <c r="DB13" s="48">
        <f t="shared" si="101"/>
        <v>43.20308649752954</v>
      </c>
      <c r="DC13" s="45">
        <f t="shared" si="102"/>
        <v>4.9849715189457161E-2</v>
      </c>
      <c r="DD13" s="45">
        <f t="shared" si="103"/>
        <v>1.1232802489357681E-2</v>
      </c>
      <c r="DE13" s="46">
        <f t="shared" si="26"/>
        <v>1.2960925949258863E-5</v>
      </c>
      <c r="DF13" s="45">
        <f t="shared" si="104"/>
        <v>0.2049986454307777</v>
      </c>
      <c r="DG13" s="46">
        <f t="shared" si="27"/>
        <v>2.3653689857397423E-4</v>
      </c>
      <c r="DH13" s="45">
        <f t="shared" si="105"/>
        <v>0.25813844182273898</v>
      </c>
      <c r="DI13" s="46">
        <f t="shared" si="28"/>
        <v>2.978520482570065E-4</v>
      </c>
      <c r="DJ13" s="46">
        <f t="shared" si="29"/>
        <v>1.5223549133135889E-3</v>
      </c>
      <c r="DK13" s="45">
        <f t="shared" si="106"/>
        <v>1.2960925949258861E-3</v>
      </c>
      <c r="DL13" s="46">
        <f t="shared" si="107"/>
        <v>4.320308649752954E-4</v>
      </c>
      <c r="DM13" s="46">
        <f t="shared" si="108"/>
        <v>1.0800771624382387E-3</v>
      </c>
      <c r="DN13" s="46">
        <f t="shared" si="109"/>
        <v>2.160154324876477E-4</v>
      </c>
      <c r="DO13" s="100">
        <f t="shared" si="110"/>
        <v>8.6406172995059081E-4</v>
      </c>
      <c r="DP13" s="100">
        <f t="shared" si="111"/>
        <v>6.4804629746294305E-4</v>
      </c>
      <c r="DQ13" s="46">
        <f t="shared" si="112"/>
        <v>1.0800771624382387E-3</v>
      </c>
      <c r="DR13" s="152"/>
      <c r="DS13" s="23" t="s">
        <v>39</v>
      </c>
      <c r="DT13" s="162">
        <v>4722</v>
      </c>
      <c r="DU13" s="163">
        <f t="shared" si="113"/>
        <v>1.770719897761738E-3</v>
      </c>
      <c r="DV13" s="111">
        <f t="shared" si="114"/>
        <v>1937.6137895655775</v>
      </c>
      <c r="DW13" s="111">
        <f t="shared" si="30"/>
        <v>174.38524106090196</v>
      </c>
      <c r="DX13" s="165">
        <f t="shared" si="31"/>
        <v>1.6469717211307407E-2</v>
      </c>
      <c r="DY13" s="164">
        <f t="shared" si="32"/>
        <v>1.9003519859200854E-5</v>
      </c>
      <c r="DZ13" s="112">
        <f t="shared" si="33"/>
        <v>0.21313751685221352</v>
      </c>
      <c r="EA13" s="164">
        <f t="shared" si="34"/>
        <v>2.4592790406024638E-4</v>
      </c>
      <c r="EB13" s="112">
        <f t="shared" si="35"/>
        <v>0.58128413686967328</v>
      </c>
      <c r="EC13" s="164">
        <f t="shared" si="36"/>
        <v>6.7071246561885376E-4</v>
      </c>
      <c r="ED13" s="164">
        <f t="shared" si="37"/>
        <v>3.4280859353852532E-3</v>
      </c>
      <c r="EE13" s="165">
        <f t="shared" si="38"/>
        <v>2.422017236956972E-2</v>
      </c>
      <c r="EF13" s="169">
        <f t="shared" si="115"/>
        <v>0.48750362945469927</v>
      </c>
      <c r="EG13" s="165">
        <f t="shared" si="116"/>
        <v>0.48440344739139435</v>
      </c>
      <c r="EH13" s="169">
        <f t="shared" si="117"/>
        <v>0.42094659578312171</v>
      </c>
      <c r="EI13" s="165">
        <f t="shared" si="118"/>
        <v>0.41658696475659918</v>
      </c>
      <c r="EJ13" s="165">
        <f t="shared" si="119"/>
        <v>4.6502730949573856E-3</v>
      </c>
      <c r="EK13" s="165">
        <f t="shared" si="120"/>
        <v>1.1625682737393464E-2</v>
      </c>
      <c r="EL13" s="17" t="s">
        <v>39</v>
      </c>
      <c r="EM13" s="77">
        <f t="shared" si="39"/>
        <v>0.3689335606983431</v>
      </c>
      <c r="EN13" s="82">
        <f t="shared" si="39"/>
        <v>4.2569257003654968E-4</v>
      </c>
      <c r="EO13" s="77">
        <f t="shared" si="39"/>
        <v>9.9313061300860372</v>
      </c>
      <c r="EP13" s="77">
        <f t="shared" si="39"/>
        <v>1.1459199380868505E-2</v>
      </c>
      <c r="EQ13" s="77">
        <f t="shared" si="39"/>
        <v>5.8161102504319926</v>
      </c>
      <c r="ER13" s="77">
        <f t="shared" si="39"/>
        <v>6.710896442806146E-3</v>
      </c>
      <c r="ES13" s="77">
        <f t="shared" si="39"/>
        <v>3.4300137374342524E-2</v>
      </c>
      <c r="ET13" s="77">
        <f t="shared" si="39"/>
        <v>10.353318148553722</v>
      </c>
      <c r="EU13" s="77">
        <f t="shared" si="121"/>
        <v>1.0701350353804235</v>
      </c>
      <c r="EV13" s="77">
        <f t="shared" si="122"/>
        <v>0.76807056249831251</v>
      </c>
      <c r="EW13" s="77">
        <f t="shared" si="123"/>
        <v>0.91262554167604149</v>
      </c>
      <c r="EX13" s="77">
        <f t="shared" si="124"/>
        <v>0.60856114726674648</v>
      </c>
      <c r="EY13" s="77">
        <f t="shared" si="125"/>
        <v>0.3036145639137634</v>
      </c>
      <c r="EZ13" s="77">
        <f t="shared" si="125"/>
        <v>0.24688478822122523</v>
      </c>
    </row>
    <row r="14" spans="1:156" ht="18" customHeight="1">
      <c r="A14" s="23" t="s">
        <v>40</v>
      </c>
      <c r="B14" s="105">
        <v>263022</v>
      </c>
      <c r="C14" s="162">
        <v>37346</v>
      </c>
      <c r="D14" s="162">
        <f t="shared" si="40"/>
        <v>225676</v>
      </c>
      <c r="E14" s="163">
        <f t="shared" si="41"/>
        <v>8.4627061339957219E-2</v>
      </c>
      <c r="F14" s="111">
        <f t="shared" si="42"/>
        <v>0</v>
      </c>
      <c r="G14" s="164">
        <f t="shared" si="43"/>
        <v>0</v>
      </c>
      <c r="H14" s="165">
        <f t="shared" si="44"/>
        <v>0</v>
      </c>
      <c r="I14" s="164">
        <f t="shared" si="0"/>
        <v>0</v>
      </c>
      <c r="J14" s="165">
        <f t="shared" si="45"/>
        <v>0</v>
      </c>
      <c r="K14" s="164">
        <f t="shared" si="1"/>
        <v>0</v>
      </c>
      <c r="L14" s="165">
        <f t="shared" si="2"/>
        <v>0</v>
      </c>
      <c r="M14" s="164">
        <f t="shared" si="3"/>
        <v>0</v>
      </c>
      <c r="N14" s="164">
        <f t="shared" si="46"/>
        <v>0</v>
      </c>
      <c r="O14" s="165">
        <f t="shared" si="47"/>
        <v>0</v>
      </c>
      <c r="P14" s="112">
        <f t="shared" si="48"/>
        <v>0</v>
      </c>
      <c r="Q14" s="112">
        <f t="shared" si="49"/>
        <v>0</v>
      </c>
      <c r="R14" s="165">
        <f t="shared" si="50"/>
        <v>0</v>
      </c>
      <c r="S14" s="165">
        <f t="shared" si="51"/>
        <v>0</v>
      </c>
      <c r="T14" s="165">
        <f t="shared" si="52"/>
        <v>0</v>
      </c>
      <c r="U14" s="165">
        <f t="shared" si="53"/>
        <v>0</v>
      </c>
      <c r="V14" s="152"/>
      <c r="W14" s="17" t="s">
        <v>40</v>
      </c>
      <c r="X14" s="162">
        <v>225676</v>
      </c>
      <c r="Y14" s="166">
        <f t="shared" si="54"/>
        <v>8.4627061339957219E-2</v>
      </c>
      <c r="Z14" s="44">
        <f t="shared" si="55"/>
        <v>18977.406937832056</v>
      </c>
      <c r="AA14" s="45">
        <f t="shared" si="56"/>
        <v>18.564854613096578</v>
      </c>
      <c r="AB14" s="45">
        <f t="shared" si="4"/>
        <v>3.2261591794314501</v>
      </c>
      <c r="AC14" s="46">
        <f t="shared" si="5"/>
        <v>3.7224913608824425E-3</v>
      </c>
      <c r="AD14" s="45">
        <f t="shared" si="6"/>
        <v>189.77406937832058</v>
      </c>
      <c r="AE14" s="46">
        <f t="shared" si="7"/>
        <v>0.21897008005190835</v>
      </c>
      <c r="AF14" s="45">
        <f t="shared" si="8"/>
        <v>47.443517344580144</v>
      </c>
      <c r="AG14" s="46">
        <f t="shared" si="9"/>
        <v>5.4742520012977088E-2</v>
      </c>
      <c r="AH14" s="45">
        <f t="shared" si="10"/>
        <v>0.27979510228854959</v>
      </c>
      <c r="AI14" s="45">
        <f t="shared" si="11"/>
        <v>404.21876777582281</v>
      </c>
      <c r="AJ14" s="45">
        <f t="shared" si="12"/>
        <v>10.247799746429312</v>
      </c>
      <c r="AK14" s="45">
        <f t="shared" si="57"/>
        <v>22.583114256020149</v>
      </c>
      <c r="AL14" s="45">
        <f t="shared" si="13"/>
        <v>7.8756238792003028</v>
      </c>
      <c r="AM14" s="45">
        <f t="shared" si="58"/>
        <v>20.210938388791138</v>
      </c>
      <c r="AN14" s="45">
        <f t="shared" si="59"/>
        <v>12.335314509590837</v>
      </c>
      <c r="AO14" s="45">
        <f t="shared" si="60"/>
        <v>9.4887034689160288</v>
      </c>
      <c r="AP14" s="152"/>
      <c r="AQ14" s="17" t="s">
        <v>40</v>
      </c>
      <c r="AR14" s="162">
        <v>225676</v>
      </c>
      <c r="AS14" s="166">
        <f t="shared" si="61"/>
        <v>8.4627061339957219E-2</v>
      </c>
      <c r="AT14" s="44">
        <f t="shared" si="62"/>
        <v>1530.91200234596</v>
      </c>
      <c r="AU14" s="45">
        <f t="shared" si="63"/>
        <v>1.7664369257838</v>
      </c>
      <c r="AV14" s="45">
        <f t="shared" si="64"/>
        <v>0.86496528132546735</v>
      </c>
      <c r="AW14" s="46">
        <f t="shared" si="65"/>
        <v>9.980368630678469E-4</v>
      </c>
      <c r="AX14" s="45">
        <f t="shared" si="66"/>
        <v>42.100080064513904</v>
      </c>
      <c r="AY14" s="46">
        <f t="shared" si="67"/>
        <v>4.8577015459054504E-2</v>
      </c>
      <c r="AZ14" s="45">
        <f t="shared" si="14"/>
        <v>3.8272800058649001</v>
      </c>
      <c r="BA14" s="46">
        <f t="shared" si="68"/>
        <v>4.4160923144595E-3</v>
      </c>
      <c r="BB14" s="46">
        <f t="shared" si="69"/>
        <v>2.2571138496126335E-2</v>
      </c>
      <c r="BC14" s="45">
        <f t="shared" si="70"/>
        <v>81.06179052421858</v>
      </c>
      <c r="BD14" s="45">
        <f t="shared" si="71"/>
        <v>3.9420984060408473</v>
      </c>
      <c r="BE14" s="45">
        <f t="shared" si="72"/>
        <v>2.7939144042813768</v>
      </c>
      <c r="BF14" s="45">
        <f t="shared" si="15"/>
        <v>2.1892041633547228</v>
      </c>
      <c r="BG14" s="45">
        <f t="shared" si="73"/>
        <v>1.0410201615952528</v>
      </c>
      <c r="BH14" s="97">
        <f t="shared" si="74"/>
        <v>1.14818400175947</v>
      </c>
      <c r="BI14" s="97">
        <f t="shared" si="75"/>
        <v>0.61236480093838408</v>
      </c>
      <c r="BJ14" s="167"/>
      <c r="BK14" s="23" t="s">
        <v>40</v>
      </c>
      <c r="BL14" s="162">
        <v>225676</v>
      </c>
      <c r="BM14" s="163">
        <f t="shared" si="76"/>
        <v>8.4627061339957219E-2</v>
      </c>
      <c r="BN14" s="112">
        <f t="shared" si="77"/>
        <v>4436.7006313392667</v>
      </c>
      <c r="BO14" s="165">
        <f t="shared" si="78"/>
        <v>5.1192699592376147</v>
      </c>
      <c r="BP14" s="165">
        <f t="shared" si="16"/>
        <v>12.200926736182984</v>
      </c>
      <c r="BQ14" s="164">
        <f t="shared" si="79"/>
        <v>1.4077992387903443E-2</v>
      </c>
      <c r="BR14" s="165">
        <f t="shared" si="17"/>
        <v>221.83503156696332</v>
      </c>
      <c r="BS14" s="164">
        <f t="shared" si="80"/>
        <v>0.25596349796188073</v>
      </c>
      <c r="BT14" s="165">
        <f t="shared" si="18"/>
        <v>186.34142651624919</v>
      </c>
      <c r="BU14" s="164">
        <f t="shared" si="81"/>
        <v>0.21500933828797983</v>
      </c>
      <c r="BV14" s="164">
        <f t="shared" si="82"/>
        <v>1.0989366179163416</v>
      </c>
      <c r="BW14" s="165">
        <f t="shared" si="19"/>
        <v>1.3310101894017801</v>
      </c>
      <c r="BX14" s="165">
        <f t="shared" si="20"/>
        <v>1.1535421641482093</v>
      </c>
      <c r="BY14" s="165">
        <f t="shared" si="83"/>
        <v>0.44367006313392671</v>
      </c>
      <c r="BZ14" s="165">
        <f t="shared" si="21"/>
        <v>0.95389063573794242</v>
      </c>
      <c r="CA14" s="165">
        <f t="shared" si="84"/>
        <v>0.24401853472365967</v>
      </c>
      <c r="CB14" s="165">
        <f t="shared" si="85"/>
        <v>0.70987210101428266</v>
      </c>
      <c r="CC14" s="165">
        <f t="shared" si="86"/>
        <v>1.0869916546781204</v>
      </c>
      <c r="CD14" s="152"/>
      <c r="CE14" s="23" t="s">
        <v>40</v>
      </c>
      <c r="CF14" s="162">
        <v>225676</v>
      </c>
      <c r="CG14" s="163">
        <f t="shared" si="87"/>
        <v>8.4627061339957219E-2</v>
      </c>
      <c r="CH14" s="112">
        <f t="shared" si="88"/>
        <v>98.302794452494297</v>
      </c>
      <c r="CI14" s="165">
        <f t="shared" si="89"/>
        <v>9.6165777181787884E-2</v>
      </c>
      <c r="CJ14" s="164">
        <f t="shared" si="90"/>
        <v>1.6219961084661561E-2</v>
      </c>
      <c r="CK14" s="164">
        <f t="shared" si="22"/>
        <v>1.8715339713071031E-5</v>
      </c>
      <c r="CL14" s="165">
        <f t="shared" si="91"/>
        <v>0.94862196646657004</v>
      </c>
      <c r="CM14" s="164">
        <f t="shared" si="23"/>
        <v>1.0945638074614269E-3</v>
      </c>
      <c r="CN14" s="165">
        <f t="shared" si="92"/>
        <v>0.23592670668598628</v>
      </c>
      <c r="CO14" s="164">
        <f t="shared" si="24"/>
        <v>2.7222312309921494E-4</v>
      </c>
      <c r="CP14" s="164">
        <f t="shared" si="25"/>
        <v>1.3913626291737653E-3</v>
      </c>
      <c r="CQ14" s="165">
        <f t="shared" si="93"/>
        <v>6.979498406127095</v>
      </c>
      <c r="CR14" s="164">
        <f t="shared" si="94"/>
        <v>0.11501426950941833</v>
      </c>
      <c r="CS14" s="164">
        <f t="shared" si="95"/>
        <v>5.1117453115297036E-2</v>
      </c>
      <c r="CT14" s="165">
        <f t="shared" si="96"/>
        <v>0.10321793417511901</v>
      </c>
      <c r="CU14" s="168">
        <f t="shared" si="97"/>
        <v>3.9321117780997724E-3</v>
      </c>
      <c r="CV14" s="165">
        <f t="shared" si="98"/>
        <v>6.38968163941213E-2</v>
      </c>
      <c r="CW14" s="165">
        <f t="shared" si="99"/>
        <v>3.9321117780997724E-3</v>
      </c>
      <c r="CX14" s="152"/>
      <c r="CY14" s="17" t="s">
        <v>40</v>
      </c>
      <c r="CZ14" s="162">
        <v>225676</v>
      </c>
      <c r="DA14" s="166">
        <f t="shared" si="100"/>
        <v>8.4627061339957219E-2</v>
      </c>
      <c r="DB14" s="48">
        <f t="shared" si="101"/>
        <v>2064.7818188090801</v>
      </c>
      <c r="DC14" s="45">
        <f t="shared" si="102"/>
        <v>2.3824405601643233</v>
      </c>
      <c r="DD14" s="45">
        <f t="shared" si="103"/>
        <v>0.53684327289036082</v>
      </c>
      <c r="DE14" s="46">
        <f t="shared" si="26"/>
        <v>6.1943454564272402E-4</v>
      </c>
      <c r="DF14" s="45">
        <f t="shared" si="104"/>
        <v>9.7973897302490851</v>
      </c>
      <c r="DG14" s="46">
        <f t="shared" si="27"/>
        <v>1.1304680457979712E-2</v>
      </c>
      <c r="DH14" s="45">
        <f t="shared" si="105"/>
        <v>12.337071367384253</v>
      </c>
      <c r="DI14" s="46">
        <f t="shared" si="28"/>
        <v>1.423508234698183E-2</v>
      </c>
      <c r="DJ14" s="46">
        <f t="shared" si="29"/>
        <v>7.2757087551240468E-2</v>
      </c>
      <c r="DK14" s="45">
        <f t="shared" si="106"/>
        <v>6.1943454564272402E-2</v>
      </c>
      <c r="DL14" s="46">
        <f t="shared" si="107"/>
        <v>2.0647818188090802E-2</v>
      </c>
      <c r="DM14" s="46">
        <f t="shared" si="108"/>
        <v>5.1619545470227006E-2</v>
      </c>
      <c r="DN14" s="46">
        <f t="shared" si="109"/>
        <v>1.0323909094045401E-2</v>
      </c>
      <c r="DO14" s="100">
        <f t="shared" si="110"/>
        <v>4.1295636376181603E-2</v>
      </c>
      <c r="DP14" s="100">
        <f t="shared" si="111"/>
        <v>3.0971727282136201E-2</v>
      </c>
      <c r="DQ14" s="46">
        <f t="shared" si="112"/>
        <v>5.1619545470227006E-2</v>
      </c>
      <c r="DR14" s="152"/>
      <c r="DS14" s="23" t="s">
        <v>40</v>
      </c>
      <c r="DT14" s="162">
        <v>225676</v>
      </c>
      <c r="DU14" s="163">
        <f t="shared" si="113"/>
        <v>8.4627061339957219E-2</v>
      </c>
      <c r="DV14" s="111">
        <f t="shared" si="114"/>
        <v>92603.331125370867</v>
      </c>
      <c r="DW14" s="111">
        <f t="shared" si="30"/>
        <v>8334.2998012833777</v>
      </c>
      <c r="DX14" s="165">
        <f t="shared" si="31"/>
        <v>0.78712831456565246</v>
      </c>
      <c r="DY14" s="164">
        <f t="shared" si="32"/>
        <v>9.082249783449836E-4</v>
      </c>
      <c r="DZ14" s="112">
        <f t="shared" si="33"/>
        <v>10.186366423790796</v>
      </c>
      <c r="EA14" s="164">
        <f t="shared" si="34"/>
        <v>1.1753499719758609E-2</v>
      </c>
      <c r="EB14" s="112">
        <f t="shared" si="35"/>
        <v>27.780999337611259</v>
      </c>
      <c r="EC14" s="164">
        <f t="shared" si="36"/>
        <v>3.2054999235705303E-2</v>
      </c>
      <c r="ED14" s="164">
        <f t="shared" si="37"/>
        <v>0.16383666276027153</v>
      </c>
      <c r="EE14" s="165">
        <f t="shared" si="38"/>
        <v>1.157541639067136</v>
      </c>
      <c r="EF14" s="169">
        <f t="shared" si="115"/>
        <v>23.298998111143309</v>
      </c>
      <c r="EG14" s="165">
        <f t="shared" si="116"/>
        <v>23.150832781342718</v>
      </c>
      <c r="EH14" s="169">
        <f t="shared" si="117"/>
        <v>20.118073686986818</v>
      </c>
      <c r="EI14" s="165">
        <f t="shared" si="118"/>
        <v>19.909716191954736</v>
      </c>
      <c r="EJ14" s="165">
        <f t="shared" si="119"/>
        <v>0.22224799470089007</v>
      </c>
      <c r="EK14" s="165">
        <f t="shared" si="120"/>
        <v>0.55561998675222524</v>
      </c>
      <c r="EL14" s="17" t="s">
        <v>40</v>
      </c>
      <c r="EM14" s="77">
        <f t="shared" si="39"/>
        <v>17.632242745480578</v>
      </c>
      <c r="EN14" s="82">
        <f t="shared" si="39"/>
        <v>2.0344895475554514E-2</v>
      </c>
      <c r="EO14" s="77">
        <f t="shared" si="39"/>
        <v>474.6415591303043</v>
      </c>
      <c r="EP14" s="77">
        <f t="shared" si="39"/>
        <v>0.5476633374580433</v>
      </c>
      <c r="EQ14" s="77">
        <f t="shared" si="39"/>
        <v>277.96622127837571</v>
      </c>
      <c r="ER14" s="77">
        <f t="shared" si="39"/>
        <v>0.32073025532120281</v>
      </c>
      <c r="ES14" s="77">
        <f t="shared" si="39"/>
        <v>1.639287971641703</v>
      </c>
      <c r="ET14" s="77">
        <f t="shared" si="39"/>
        <v>494.81055198920166</v>
      </c>
      <c r="EU14" s="77">
        <f t="shared" si="121"/>
        <v>51.144386752332167</v>
      </c>
      <c r="EV14" s="77">
        <f t="shared" si="122"/>
        <v>36.707982266490724</v>
      </c>
      <c r="EW14" s="77">
        <f t="shared" si="123"/>
        <v>43.616620445421923</v>
      </c>
      <c r="EX14" s="77">
        <f t="shared" si="124"/>
        <v>29.084634788346097</v>
      </c>
      <c r="EY14" s="77">
        <f t="shared" si="125"/>
        <v>14.510487150741737</v>
      </c>
      <c r="EZ14" s="77">
        <f t="shared" si="125"/>
        <v>11.799231568533086</v>
      </c>
    </row>
    <row r="15" spans="1:156" ht="18" customHeight="1">
      <c r="A15" s="23" t="s">
        <v>41</v>
      </c>
      <c r="B15" s="105">
        <v>19387</v>
      </c>
      <c r="C15" s="162">
        <v>3882</v>
      </c>
      <c r="D15" s="162">
        <f t="shared" si="40"/>
        <v>15505</v>
      </c>
      <c r="E15" s="163">
        <f t="shared" si="41"/>
        <v>5.814276157305326E-3</v>
      </c>
      <c r="F15" s="111">
        <f t="shared" si="42"/>
        <v>0</v>
      </c>
      <c r="G15" s="164">
        <f t="shared" si="43"/>
        <v>0</v>
      </c>
      <c r="H15" s="165">
        <f t="shared" si="44"/>
        <v>0</v>
      </c>
      <c r="I15" s="164">
        <f t="shared" si="0"/>
        <v>0</v>
      </c>
      <c r="J15" s="165">
        <f t="shared" si="45"/>
        <v>0</v>
      </c>
      <c r="K15" s="164">
        <f t="shared" si="1"/>
        <v>0</v>
      </c>
      <c r="L15" s="165">
        <f t="shared" si="2"/>
        <v>0</v>
      </c>
      <c r="M15" s="164">
        <f t="shared" si="3"/>
        <v>0</v>
      </c>
      <c r="N15" s="164">
        <f t="shared" si="46"/>
        <v>0</v>
      </c>
      <c r="O15" s="165">
        <f t="shared" si="47"/>
        <v>0</v>
      </c>
      <c r="P15" s="112">
        <f t="shared" si="48"/>
        <v>0</v>
      </c>
      <c r="Q15" s="112">
        <f t="shared" si="49"/>
        <v>0</v>
      </c>
      <c r="R15" s="165">
        <f t="shared" si="50"/>
        <v>0</v>
      </c>
      <c r="S15" s="165">
        <f t="shared" si="51"/>
        <v>0</v>
      </c>
      <c r="T15" s="165">
        <f t="shared" si="52"/>
        <v>0</v>
      </c>
      <c r="U15" s="165">
        <f t="shared" si="53"/>
        <v>0</v>
      </c>
      <c r="V15" s="152"/>
      <c r="W15" s="17" t="s">
        <v>41</v>
      </c>
      <c r="X15" s="162">
        <v>15505</v>
      </c>
      <c r="Y15" s="166">
        <f t="shared" si="54"/>
        <v>5.814276157305326E-3</v>
      </c>
      <c r="Z15" s="44">
        <f t="shared" si="55"/>
        <v>1303.836892585326</v>
      </c>
      <c r="AA15" s="45">
        <f t="shared" si="56"/>
        <v>1.2754926123117318</v>
      </c>
      <c r="AB15" s="45">
        <f t="shared" si="4"/>
        <v>0.22165227173950544</v>
      </c>
      <c r="AC15" s="46">
        <f t="shared" si="5"/>
        <v>2.5575262123789087E-4</v>
      </c>
      <c r="AD15" s="45">
        <f t="shared" si="6"/>
        <v>13.038368925853261</v>
      </c>
      <c r="AE15" s="46">
        <f t="shared" si="7"/>
        <v>1.5044271837522993E-2</v>
      </c>
      <c r="AF15" s="45">
        <f t="shared" si="8"/>
        <v>3.2595922314633152</v>
      </c>
      <c r="AG15" s="46">
        <f t="shared" si="9"/>
        <v>3.7610679593807483E-3</v>
      </c>
      <c r="AH15" s="45">
        <f t="shared" si="10"/>
        <v>1.9223236236834935E-2</v>
      </c>
      <c r="AI15" s="45">
        <f t="shared" si="11"/>
        <v>27.771725812067444</v>
      </c>
      <c r="AJ15" s="45">
        <f t="shared" si="12"/>
        <v>0.70407192199607604</v>
      </c>
      <c r="AK15" s="45">
        <f t="shared" si="57"/>
        <v>1.551565902176538</v>
      </c>
      <c r="AL15" s="45">
        <f t="shared" si="13"/>
        <v>0.54109231042291028</v>
      </c>
      <c r="AM15" s="45">
        <f t="shared" si="58"/>
        <v>1.3885862906033721</v>
      </c>
      <c r="AN15" s="45">
        <f t="shared" si="59"/>
        <v>0.84749398018046196</v>
      </c>
      <c r="AO15" s="45">
        <f t="shared" si="60"/>
        <v>0.65191844629266305</v>
      </c>
      <c r="AP15" s="152"/>
      <c r="AQ15" s="17" t="s">
        <v>41</v>
      </c>
      <c r="AR15" s="162">
        <v>15505</v>
      </c>
      <c r="AS15" s="166">
        <f t="shared" si="61"/>
        <v>5.814276157305326E-3</v>
      </c>
      <c r="AT15" s="44">
        <f t="shared" si="62"/>
        <v>105.18083711326906</v>
      </c>
      <c r="AU15" s="45">
        <f t="shared" si="63"/>
        <v>0.1213625043614643</v>
      </c>
      <c r="AV15" s="45">
        <f t="shared" si="64"/>
        <v>5.9427172968997015E-2</v>
      </c>
      <c r="AW15" s="46">
        <f t="shared" si="65"/>
        <v>6.8569814964227315E-5</v>
      </c>
      <c r="AX15" s="45">
        <f t="shared" si="66"/>
        <v>2.8924730206148994</v>
      </c>
      <c r="AY15" s="46">
        <f t="shared" si="67"/>
        <v>3.3374688699402679E-3</v>
      </c>
      <c r="AZ15" s="45">
        <f t="shared" si="14"/>
        <v>0.26295209278317266</v>
      </c>
      <c r="BA15" s="46">
        <f t="shared" si="68"/>
        <v>3.0340626090366075E-4</v>
      </c>
      <c r="BB15" s="46">
        <f t="shared" si="69"/>
        <v>1.5507431112853774E-3</v>
      </c>
      <c r="BC15" s="45">
        <f t="shared" si="70"/>
        <v>5.5693253251475969</v>
      </c>
      <c r="BD15" s="45">
        <f t="shared" si="71"/>
        <v>0.27084065556666787</v>
      </c>
      <c r="BE15" s="45">
        <f t="shared" si="72"/>
        <v>0.19195502773171602</v>
      </c>
      <c r="BF15" s="45">
        <f t="shared" si="15"/>
        <v>0.15040859707197476</v>
      </c>
      <c r="BG15" s="45">
        <f t="shared" si="73"/>
        <v>7.1522969237022962E-2</v>
      </c>
      <c r="BH15" s="97">
        <f t="shared" si="74"/>
        <v>7.8885627834951802E-2</v>
      </c>
      <c r="BI15" s="97">
        <f t="shared" si="75"/>
        <v>4.2072334845307632E-2</v>
      </c>
      <c r="BJ15" s="167"/>
      <c r="BK15" s="23" t="s">
        <v>41</v>
      </c>
      <c r="BL15" s="162">
        <v>15505</v>
      </c>
      <c r="BM15" s="163">
        <f t="shared" si="76"/>
        <v>5.814276157305326E-3</v>
      </c>
      <c r="BN15" s="112">
        <f t="shared" si="77"/>
        <v>304.8221489609677</v>
      </c>
      <c r="BO15" s="165">
        <f t="shared" si="78"/>
        <v>0.35171786418573192</v>
      </c>
      <c r="BP15" s="165">
        <f t="shared" si="16"/>
        <v>0.8382609096426612</v>
      </c>
      <c r="BQ15" s="164">
        <f t="shared" si="79"/>
        <v>9.6722412651076284E-4</v>
      </c>
      <c r="BR15" s="165">
        <f t="shared" si="17"/>
        <v>15.241107448048384</v>
      </c>
      <c r="BS15" s="164">
        <f t="shared" si="80"/>
        <v>1.7585893209286597E-2</v>
      </c>
      <c r="BT15" s="165">
        <f t="shared" si="18"/>
        <v>12.802530256360644</v>
      </c>
      <c r="BU15" s="164">
        <f t="shared" si="81"/>
        <v>1.4772150295800741E-2</v>
      </c>
      <c r="BV15" s="164">
        <f t="shared" si="82"/>
        <v>7.5502101511870465E-2</v>
      </c>
      <c r="BW15" s="165">
        <f t="shared" si="19"/>
        <v>9.1446644688290307E-2</v>
      </c>
      <c r="BX15" s="165">
        <f t="shared" si="20"/>
        <v>7.9253758729851603E-2</v>
      </c>
      <c r="BY15" s="165">
        <f t="shared" si="83"/>
        <v>3.048221489609677E-2</v>
      </c>
      <c r="BZ15" s="165">
        <f t="shared" si="21"/>
        <v>6.5536762026608061E-2</v>
      </c>
      <c r="CA15" s="165">
        <f t="shared" si="84"/>
        <v>1.6765218192853221E-2</v>
      </c>
      <c r="CB15" s="165">
        <f t="shared" si="85"/>
        <v>4.8771543833754837E-2</v>
      </c>
      <c r="CC15" s="165">
        <f t="shared" si="86"/>
        <v>7.4681426495437075E-2</v>
      </c>
      <c r="CD15" s="152"/>
      <c r="CE15" s="23" t="s">
        <v>41</v>
      </c>
      <c r="CF15" s="162">
        <v>15505</v>
      </c>
      <c r="CG15" s="163">
        <f t="shared" si="87"/>
        <v>5.814276157305326E-3</v>
      </c>
      <c r="CH15" s="112">
        <f t="shared" si="88"/>
        <v>6.7538631843258665</v>
      </c>
      <c r="CI15" s="165">
        <f t="shared" si="89"/>
        <v>6.60704007162313E-3</v>
      </c>
      <c r="CJ15" s="164">
        <f t="shared" si="90"/>
        <v>1.1143874254137679E-3</v>
      </c>
      <c r="CK15" s="164">
        <f t="shared" si="22"/>
        <v>1.2858316447081937E-6</v>
      </c>
      <c r="CL15" s="165">
        <f t="shared" si="91"/>
        <v>6.5174779728744608E-2</v>
      </c>
      <c r="CM15" s="164">
        <f t="shared" si="23"/>
        <v>7.5201668917782249E-5</v>
      </c>
      <c r="CN15" s="165">
        <f t="shared" si="92"/>
        <v>1.6209271642382079E-2</v>
      </c>
      <c r="CO15" s="164">
        <f t="shared" si="24"/>
        <v>1.8703005741210093E-5</v>
      </c>
      <c r="CP15" s="164">
        <f t="shared" si="25"/>
        <v>9.5593140455073805E-5</v>
      </c>
      <c r="CQ15" s="165">
        <f t="shared" si="93"/>
        <v>0.47952428608713654</v>
      </c>
      <c r="CR15" s="164">
        <f t="shared" si="94"/>
        <v>7.9020199256612626E-3</v>
      </c>
      <c r="CS15" s="164">
        <f t="shared" si="95"/>
        <v>3.5120088558494508E-3</v>
      </c>
      <c r="CT15" s="165">
        <f t="shared" si="96"/>
        <v>7.0915563435421597E-3</v>
      </c>
      <c r="CU15" s="168">
        <f t="shared" si="97"/>
        <v>2.7015452737303472E-4</v>
      </c>
      <c r="CV15" s="165">
        <f t="shared" si="98"/>
        <v>4.3900110698118135E-3</v>
      </c>
      <c r="CW15" s="165">
        <f t="shared" si="99"/>
        <v>2.7015452737303472E-4</v>
      </c>
      <c r="CX15" s="152"/>
      <c r="CY15" s="17" t="s">
        <v>41</v>
      </c>
      <c r="CZ15" s="162">
        <v>15505</v>
      </c>
      <c r="DA15" s="166">
        <f t="shared" si="100"/>
        <v>5.814276157305326E-3</v>
      </c>
      <c r="DB15" s="48">
        <f t="shared" si="101"/>
        <v>141.86019825162973</v>
      </c>
      <c r="DC15" s="45">
        <f t="shared" si="102"/>
        <v>0.16368484413649581</v>
      </c>
      <c r="DD15" s="45">
        <f t="shared" si="103"/>
        <v>3.688365154542373E-2</v>
      </c>
      <c r="DE15" s="46">
        <f t="shared" si="26"/>
        <v>4.2558059475488921E-5</v>
      </c>
      <c r="DF15" s="45">
        <f t="shared" si="104"/>
        <v>0.67312664070398309</v>
      </c>
      <c r="DG15" s="46">
        <f t="shared" si="27"/>
        <v>7.7668458542767274E-4</v>
      </c>
      <c r="DH15" s="45">
        <f t="shared" si="105"/>
        <v>0.84761468455348754</v>
      </c>
      <c r="DI15" s="46">
        <f t="shared" si="28"/>
        <v>9.7801694371556246E-4</v>
      </c>
      <c r="DJ15" s="46">
        <f t="shared" si="29"/>
        <v>4.9987532678795422E-3</v>
      </c>
      <c r="DK15" s="45">
        <f t="shared" si="106"/>
        <v>4.2558059475488914E-3</v>
      </c>
      <c r="DL15" s="46">
        <f t="shared" si="107"/>
        <v>1.4186019825162973E-3</v>
      </c>
      <c r="DM15" s="46">
        <f t="shared" si="108"/>
        <v>3.546504956290743E-3</v>
      </c>
      <c r="DN15" s="46">
        <f t="shared" si="109"/>
        <v>7.0930099125814865E-4</v>
      </c>
      <c r="DO15" s="100">
        <f t="shared" si="110"/>
        <v>2.8372039650325946E-3</v>
      </c>
      <c r="DP15" s="100">
        <f t="shared" si="111"/>
        <v>2.1279029737744457E-3</v>
      </c>
      <c r="DQ15" s="46">
        <f t="shared" si="112"/>
        <v>3.546504956290743E-3</v>
      </c>
      <c r="DR15" s="152"/>
      <c r="DS15" s="23" t="s">
        <v>41</v>
      </c>
      <c r="DT15" s="162">
        <v>15505</v>
      </c>
      <c r="DU15" s="163">
        <f t="shared" si="113"/>
        <v>5.814276157305326E-3</v>
      </c>
      <c r="DV15" s="111">
        <f t="shared" si="114"/>
        <v>6362.283313683668</v>
      </c>
      <c r="DW15" s="111">
        <f t="shared" si="30"/>
        <v>572.60549823153008</v>
      </c>
      <c r="DX15" s="165">
        <f t="shared" si="31"/>
        <v>5.4079408166311183E-2</v>
      </c>
      <c r="DY15" s="164">
        <f t="shared" si="32"/>
        <v>6.239931711497444E-5</v>
      </c>
      <c r="DZ15" s="112">
        <f t="shared" si="33"/>
        <v>0.69985116450520346</v>
      </c>
      <c r="EA15" s="164">
        <f t="shared" si="34"/>
        <v>8.0752057442908085E-4</v>
      </c>
      <c r="EB15" s="112">
        <f t="shared" si="35"/>
        <v>1.9086849941051003</v>
      </c>
      <c r="EC15" s="164">
        <f t="shared" si="36"/>
        <v>2.2023288393520388E-3</v>
      </c>
      <c r="ED15" s="164">
        <f t="shared" si="37"/>
        <v>1.1256347401132643E-2</v>
      </c>
      <c r="EE15" s="165">
        <f t="shared" si="38"/>
        <v>7.9528541421045859E-2</v>
      </c>
      <c r="EF15" s="169">
        <f t="shared" si="115"/>
        <v>1.6007504817228106</v>
      </c>
      <c r="EG15" s="165">
        <f t="shared" si="116"/>
        <v>1.590570828420917</v>
      </c>
      <c r="EH15" s="169">
        <f t="shared" si="117"/>
        <v>1.3822060498977768</v>
      </c>
      <c r="EI15" s="165">
        <f t="shared" si="118"/>
        <v>1.3678909124419887</v>
      </c>
      <c r="EJ15" s="165">
        <f t="shared" si="119"/>
        <v>1.5269479952840802E-2</v>
      </c>
      <c r="EK15" s="165">
        <f t="shared" si="120"/>
        <v>3.8173699882102008E-2</v>
      </c>
      <c r="EL15" s="17" t="s">
        <v>41</v>
      </c>
      <c r="EM15" s="77">
        <f t="shared" si="39"/>
        <v>1.2114178014883126</v>
      </c>
      <c r="EN15" s="82">
        <f t="shared" si="39"/>
        <v>1.3977897709480523E-3</v>
      </c>
      <c r="EO15" s="77">
        <f t="shared" si="39"/>
        <v>32.610101979454477</v>
      </c>
      <c r="EP15" s="77">
        <f t="shared" si="39"/>
        <v>3.7627040745524386E-2</v>
      </c>
      <c r="EQ15" s="77">
        <f t="shared" si="39"/>
        <v>19.097583530908103</v>
      </c>
      <c r="ER15" s="77">
        <f t="shared" si="39"/>
        <v>2.2035673304893963E-2</v>
      </c>
      <c r="ES15" s="77">
        <f t="shared" si="39"/>
        <v>0.11262677466945803</v>
      </c>
      <c r="ET15" s="77">
        <f t="shared" si="39"/>
        <v>33.995806415359063</v>
      </c>
      <c r="EU15" s="77">
        <f t="shared" si="121"/>
        <v>3.5138593230778201</v>
      </c>
      <c r="EV15" s="77">
        <f t="shared" si="122"/>
        <v>2.5220106038831718</v>
      </c>
      <c r="EW15" s="77">
        <f t="shared" si="123"/>
        <v>2.9966664599083064</v>
      </c>
      <c r="EX15" s="77">
        <f t="shared" si="124"/>
        <v>1.9982508658134064</v>
      </c>
      <c r="EY15" s="77">
        <f t="shared" si="125"/>
        <v>0.9969385458455956</v>
      </c>
      <c r="EZ15" s="77">
        <f t="shared" si="125"/>
        <v>0.81066256699917338</v>
      </c>
    </row>
    <row r="16" spans="1:156" ht="18" customHeight="1">
      <c r="A16" s="23" t="s">
        <v>42</v>
      </c>
      <c r="B16" s="105">
        <v>163812</v>
      </c>
      <c r="C16" s="162">
        <v>20243</v>
      </c>
      <c r="D16" s="162">
        <f t="shared" si="40"/>
        <v>143569</v>
      </c>
      <c r="E16" s="163">
        <f t="shared" si="41"/>
        <v>5.3837459763184027E-2</v>
      </c>
      <c r="F16" s="111">
        <f t="shared" si="42"/>
        <v>0</v>
      </c>
      <c r="G16" s="164">
        <f t="shared" si="43"/>
        <v>0</v>
      </c>
      <c r="H16" s="165">
        <f t="shared" si="44"/>
        <v>0</v>
      </c>
      <c r="I16" s="164">
        <f t="shared" si="0"/>
        <v>0</v>
      </c>
      <c r="J16" s="165">
        <f t="shared" si="45"/>
        <v>0</v>
      </c>
      <c r="K16" s="164">
        <f t="shared" si="1"/>
        <v>0</v>
      </c>
      <c r="L16" s="165">
        <f t="shared" si="2"/>
        <v>0</v>
      </c>
      <c r="M16" s="164">
        <f t="shared" si="3"/>
        <v>0</v>
      </c>
      <c r="N16" s="164">
        <f t="shared" si="46"/>
        <v>0</v>
      </c>
      <c r="O16" s="165">
        <f t="shared" si="47"/>
        <v>0</v>
      </c>
      <c r="P16" s="112">
        <f t="shared" si="48"/>
        <v>0</v>
      </c>
      <c r="Q16" s="112">
        <f t="shared" si="49"/>
        <v>0</v>
      </c>
      <c r="R16" s="165">
        <f t="shared" si="50"/>
        <v>0</v>
      </c>
      <c r="S16" s="165">
        <f t="shared" si="51"/>
        <v>0</v>
      </c>
      <c r="T16" s="165">
        <f t="shared" si="52"/>
        <v>0</v>
      </c>
      <c r="U16" s="165">
        <f t="shared" si="53"/>
        <v>0</v>
      </c>
      <c r="V16" s="152"/>
      <c r="W16" s="17" t="s">
        <v>42</v>
      </c>
      <c r="X16" s="162">
        <v>143569</v>
      </c>
      <c r="Y16" s="166">
        <f t="shared" si="54"/>
        <v>5.3837459763184027E-2</v>
      </c>
      <c r="Z16" s="44">
        <f t="shared" si="55"/>
        <v>12072.91575824461</v>
      </c>
      <c r="AA16" s="45">
        <f t="shared" si="56"/>
        <v>11.810461067847989</v>
      </c>
      <c r="AB16" s="45">
        <f t="shared" si="4"/>
        <v>2.0523956789015836</v>
      </c>
      <c r="AC16" s="46">
        <f t="shared" si="5"/>
        <v>2.368148860271058E-3</v>
      </c>
      <c r="AD16" s="45">
        <f t="shared" si="6"/>
        <v>120.72915758244609</v>
      </c>
      <c r="AE16" s="46">
        <f t="shared" si="7"/>
        <v>0.13930287413359166</v>
      </c>
      <c r="AF16" s="45">
        <f t="shared" si="8"/>
        <v>30.182289395611523</v>
      </c>
      <c r="AG16" s="46">
        <f t="shared" si="9"/>
        <v>3.4825718533397915E-2</v>
      </c>
      <c r="AH16" s="45">
        <f t="shared" si="10"/>
        <v>0.17799811694847822</v>
      </c>
      <c r="AI16" s="45">
        <f t="shared" si="11"/>
        <v>257.1531056506102</v>
      </c>
      <c r="AJ16" s="45">
        <f t="shared" si="12"/>
        <v>6.5193745094520903</v>
      </c>
      <c r="AK16" s="45">
        <f t="shared" si="57"/>
        <v>14.366769752311086</v>
      </c>
      <c r="AL16" s="45">
        <f t="shared" si="13"/>
        <v>5.0102600396715129</v>
      </c>
      <c r="AM16" s="45">
        <f t="shared" si="58"/>
        <v>12.857655282530509</v>
      </c>
      <c r="AN16" s="45">
        <f t="shared" si="59"/>
        <v>7.8473952428589966</v>
      </c>
      <c r="AO16" s="45">
        <f t="shared" si="60"/>
        <v>6.0364578791223051</v>
      </c>
      <c r="AP16" s="152"/>
      <c r="AQ16" s="17" t="s">
        <v>42</v>
      </c>
      <c r="AR16" s="162">
        <v>143569</v>
      </c>
      <c r="AS16" s="166">
        <f t="shared" si="61"/>
        <v>5.3837459763184027E-2</v>
      </c>
      <c r="AT16" s="44">
        <f t="shared" si="62"/>
        <v>973.9250308619753</v>
      </c>
      <c r="AU16" s="45">
        <f t="shared" si="63"/>
        <v>1.1237596509945869</v>
      </c>
      <c r="AV16" s="45">
        <f t="shared" si="64"/>
        <v>0.55026764243701598</v>
      </c>
      <c r="AW16" s="46">
        <f t="shared" si="65"/>
        <v>6.3492420281194154E-4</v>
      </c>
      <c r="AX16" s="45">
        <f t="shared" si="66"/>
        <v>26.78293834870432</v>
      </c>
      <c r="AY16" s="46">
        <f t="shared" si="67"/>
        <v>3.0903390402351134E-2</v>
      </c>
      <c r="AZ16" s="45">
        <f t="shared" si="14"/>
        <v>2.4348125771549385</v>
      </c>
      <c r="BA16" s="46">
        <f t="shared" si="68"/>
        <v>2.8093991274864673E-3</v>
      </c>
      <c r="BB16" s="46">
        <f t="shared" si="69"/>
        <v>1.4359151096041946E-2</v>
      </c>
      <c r="BC16" s="45">
        <f t="shared" si="70"/>
        <v>51.569330384141601</v>
      </c>
      <c r="BD16" s="45">
        <f t="shared" si="71"/>
        <v>2.5078569544695863</v>
      </c>
      <c r="BE16" s="45">
        <f t="shared" si="72"/>
        <v>1.7774131813231049</v>
      </c>
      <c r="BF16" s="45">
        <f t="shared" si="15"/>
        <v>1.3927127941326245</v>
      </c>
      <c r="BG16" s="45">
        <f t="shared" si="73"/>
        <v>0.66226902098614326</v>
      </c>
      <c r="BH16" s="97">
        <f t="shared" si="74"/>
        <v>0.73044377314648146</v>
      </c>
      <c r="BI16" s="97">
        <f t="shared" si="75"/>
        <v>0.38957001234479016</v>
      </c>
      <c r="BJ16" s="167"/>
      <c r="BK16" s="23" t="s">
        <v>42</v>
      </c>
      <c r="BL16" s="162">
        <v>143569</v>
      </c>
      <c r="BM16" s="163">
        <f t="shared" si="76"/>
        <v>5.3837459763184027E-2</v>
      </c>
      <c r="BN16" s="112">
        <f t="shared" si="77"/>
        <v>2822.5095842745673</v>
      </c>
      <c r="BO16" s="165">
        <f t="shared" si="78"/>
        <v>3.2567418280091158</v>
      </c>
      <c r="BP16" s="165">
        <f t="shared" si="16"/>
        <v>7.7619013567550601</v>
      </c>
      <c r="BQ16" s="164">
        <f t="shared" si="79"/>
        <v>8.9560400270250681E-3</v>
      </c>
      <c r="BR16" s="165">
        <f t="shared" si="17"/>
        <v>141.12547921372837</v>
      </c>
      <c r="BS16" s="164">
        <f t="shared" si="80"/>
        <v>0.16283709140045582</v>
      </c>
      <c r="BT16" s="165">
        <f t="shared" si="18"/>
        <v>118.54540253953184</v>
      </c>
      <c r="BU16" s="164">
        <f t="shared" si="81"/>
        <v>0.13678315677638286</v>
      </c>
      <c r="BV16" s="164">
        <f t="shared" si="82"/>
        <v>0.69911391241262366</v>
      </c>
      <c r="BW16" s="165">
        <f t="shared" si="19"/>
        <v>0.8467528752823702</v>
      </c>
      <c r="BX16" s="165">
        <f t="shared" si="20"/>
        <v>0.73385249191138746</v>
      </c>
      <c r="BY16" s="165">
        <f t="shared" si="83"/>
        <v>0.28225095842745673</v>
      </c>
      <c r="BZ16" s="165">
        <f t="shared" si="21"/>
        <v>0.60683956061903199</v>
      </c>
      <c r="CA16" s="165">
        <f t="shared" si="84"/>
        <v>0.15523802713510118</v>
      </c>
      <c r="CB16" s="165">
        <f t="shared" si="85"/>
        <v>0.45160153348393078</v>
      </c>
      <c r="CC16" s="165">
        <f t="shared" si="86"/>
        <v>0.69151484814726893</v>
      </c>
      <c r="CD16" s="152"/>
      <c r="CE16" s="23" t="s">
        <v>42</v>
      </c>
      <c r="CF16" s="162">
        <v>143569</v>
      </c>
      <c r="CG16" s="163">
        <f t="shared" si="87"/>
        <v>5.3837459763184027E-2</v>
      </c>
      <c r="CH16" s="112">
        <f t="shared" si="88"/>
        <v>62.537593260914562</v>
      </c>
      <c r="CI16" s="165">
        <f t="shared" si="89"/>
        <v>6.1178080363938153E-2</v>
      </c>
      <c r="CJ16" s="164">
        <f t="shared" si="90"/>
        <v>1.0318702888050904E-2</v>
      </c>
      <c r="CK16" s="164">
        <f t="shared" si="22"/>
        <v>1.1906195640058735E-5</v>
      </c>
      <c r="CL16" s="165">
        <f t="shared" si="91"/>
        <v>0.60348777496782557</v>
      </c>
      <c r="CM16" s="164">
        <f t="shared" si="23"/>
        <v>6.9633204803979873E-4</v>
      </c>
      <c r="CN16" s="165">
        <f t="shared" si="92"/>
        <v>0.15009022382619494</v>
      </c>
      <c r="CO16" s="164">
        <f t="shared" si="24"/>
        <v>1.7318102749176338E-4</v>
      </c>
      <c r="CP16" s="164">
        <f t="shared" si="25"/>
        <v>8.8514747384679066E-4</v>
      </c>
      <c r="CQ16" s="165">
        <f t="shared" si="93"/>
        <v>4.4401691215249341</v>
      </c>
      <c r="CR16" s="164">
        <f t="shared" si="94"/>
        <v>7.3168984115270036E-2</v>
      </c>
      <c r="CS16" s="164">
        <f t="shared" si="95"/>
        <v>3.2519548495675572E-2</v>
      </c>
      <c r="CT16" s="165">
        <f t="shared" si="96"/>
        <v>6.5664472923960285E-2</v>
      </c>
      <c r="CU16" s="168">
        <f t="shared" si="97"/>
        <v>2.5015037304365823E-3</v>
      </c>
      <c r="CV16" s="165">
        <f t="shared" si="98"/>
        <v>4.0649435619594464E-2</v>
      </c>
      <c r="CW16" s="165">
        <f t="shared" si="99"/>
        <v>2.5015037304365823E-3</v>
      </c>
      <c r="CX16" s="152"/>
      <c r="CY16" s="17" t="s">
        <v>42</v>
      </c>
      <c r="CZ16" s="162">
        <v>143569</v>
      </c>
      <c r="DA16" s="166">
        <f t="shared" si="100"/>
        <v>5.3837459763184027E-2</v>
      </c>
      <c r="DB16" s="48">
        <f t="shared" si="101"/>
        <v>1313.5586457780216</v>
      </c>
      <c r="DC16" s="45">
        <f t="shared" si="102"/>
        <v>1.5156445912823326</v>
      </c>
      <c r="DD16" s="45">
        <f t="shared" si="103"/>
        <v>0.34152524790228561</v>
      </c>
      <c r="DE16" s="46">
        <f t="shared" si="26"/>
        <v>3.9406759373340647E-4</v>
      </c>
      <c r="DF16" s="45">
        <f t="shared" si="104"/>
        <v>6.2328357742167126</v>
      </c>
      <c r="DG16" s="46">
        <f t="shared" si="27"/>
        <v>7.191733585634668E-3</v>
      </c>
      <c r="DH16" s="45">
        <f t="shared" si="105"/>
        <v>7.8485129085236789</v>
      </c>
      <c r="DI16" s="46">
        <f t="shared" si="28"/>
        <v>9.0559764329119375E-3</v>
      </c>
      <c r="DJ16" s="46">
        <f t="shared" si="29"/>
        <v>4.628610176821657E-2</v>
      </c>
      <c r="DK16" s="45">
        <f t="shared" si="106"/>
        <v>3.940675937334065E-2</v>
      </c>
      <c r="DL16" s="46">
        <f t="shared" si="107"/>
        <v>1.3135586457780218E-2</v>
      </c>
      <c r="DM16" s="46">
        <f t="shared" si="108"/>
        <v>3.2838966144450546E-2</v>
      </c>
      <c r="DN16" s="46">
        <f t="shared" si="109"/>
        <v>6.5677932288901088E-3</v>
      </c>
      <c r="DO16" s="100">
        <f t="shared" si="110"/>
        <v>2.6271172915560435E-2</v>
      </c>
      <c r="DP16" s="100">
        <f t="shared" si="111"/>
        <v>1.9703379686670325E-2</v>
      </c>
      <c r="DQ16" s="46">
        <f t="shared" si="112"/>
        <v>3.2838966144450546E-2</v>
      </c>
      <c r="DR16" s="152"/>
      <c r="DS16" s="23" t="s">
        <v>42</v>
      </c>
      <c r="DT16" s="162">
        <v>143569</v>
      </c>
      <c r="DU16" s="163">
        <f t="shared" si="113"/>
        <v>5.3837459763184027E-2</v>
      </c>
      <c r="DV16" s="111">
        <f t="shared" si="114"/>
        <v>58911.748020783649</v>
      </c>
      <c r="DW16" s="111">
        <f t="shared" si="30"/>
        <v>5302.0573218705285</v>
      </c>
      <c r="DX16" s="165">
        <f t="shared" si="31"/>
        <v>0.50074985817666107</v>
      </c>
      <c r="DY16" s="164">
        <f t="shared" si="32"/>
        <v>5.777882978961474E-4</v>
      </c>
      <c r="DZ16" s="112">
        <f t="shared" si="33"/>
        <v>6.480292282286201</v>
      </c>
      <c r="EA16" s="164">
        <f t="shared" si="34"/>
        <v>7.4772603257148469E-3</v>
      </c>
      <c r="EB16" s="112">
        <f t="shared" si="35"/>
        <v>17.673524406235092</v>
      </c>
      <c r="EC16" s="164">
        <f t="shared" si="36"/>
        <v>2.039252816104049E-2</v>
      </c>
      <c r="ED16" s="164">
        <f t="shared" si="37"/>
        <v>0.1042284772675403</v>
      </c>
      <c r="EE16" s="165">
        <f t="shared" si="38"/>
        <v>0.73639685025979562</v>
      </c>
      <c r="EF16" s="169">
        <f t="shared" si="115"/>
        <v>14.822195802029166</v>
      </c>
      <c r="EG16" s="165">
        <f t="shared" si="116"/>
        <v>14.727937005195912</v>
      </c>
      <c r="EH16" s="169">
        <f t="shared" si="117"/>
        <v>12.798577257515248</v>
      </c>
      <c r="EI16" s="165">
        <f t="shared" si="118"/>
        <v>12.666025824468484</v>
      </c>
      <c r="EJ16" s="165">
        <f t="shared" si="119"/>
        <v>0.14138819524988075</v>
      </c>
      <c r="EK16" s="165">
        <f t="shared" si="120"/>
        <v>0.35347048812470189</v>
      </c>
      <c r="EL16" s="17" t="s">
        <v>42</v>
      </c>
      <c r="EM16" s="77">
        <f t="shared" si="39"/>
        <v>11.217158487060658</v>
      </c>
      <c r="EN16" s="82">
        <f t="shared" si="39"/>
        <v>1.294287517737768E-2</v>
      </c>
      <c r="EO16" s="77">
        <f t="shared" si="39"/>
        <v>301.95419097634954</v>
      </c>
      <c r="EP16" s="77">
        <f t="shared" si="39"/>
        <v>0.34840868189578794</v>
      </c>
      <c r="EQ16" s="77">
        <f t="shared" si="39"/>
        <v>176.83463205088327</v>
      </c>
      <c r="ER16" s="77">
        <f t="shared" si="39"/>
        <v>0.20403996005871144</v>
      </c>
      <c r="ES16" s="77">
        <f t="shared" si="39"/>
        <v>1.0428709069667474</v>
      </c>
      <c r="ET16" s="77">
        <f t="shared" si="39"/>
        <v>314.78516164119225</v>
      </c>
      <c r="EU16" s="77">
        <f t="shared" si="121"/>
        <v>32.536682950980946</v>
      </c>
      <c r="EV16" s="77">
        <f t="shared" si="122"/>
        <v>23.35263078935202</v>
      </c>
      <c r="EW16" s="77">
        <f t="shared" si="123"/>
        <v>27.747720540636934</v>
      </c>
      <c r="EX16" s="77">
        <f t="shared" si="124"/>
        <v>18.502862209220567</v>
      </c>
      <c r="EY16" s="77">
        <f t="shared" si="125"/>
        <v>9.2311815600455542</v>
      </c>
      <c r="EZ16" s="77">
        <f t="shared" si="125"/>
        <v>7.5063536976139531</v>
      </c>
    </row>
    <row r="17" spans="1:156" ht="18" customHeight="1">
      <c r="A17" s="23" t="s">
        <v>43</v>
      </c>
      <c r="B17" s="105">
        <v>55180</v>
      </c>
      <c r="C17" s="162">
        <v>3408</v>
      </c>
      <c r="D17" s="162">
        <f t="shared" si="40"/>
        <v>51772</v>
      </c>
      <c r="E17" s="163">
        <f t="shared" si="41"/>
        <v>1.9414169959110696E-2</v>
      </c>
      <c r="F17" s="111">
        <f t="shared" si="42"/>
        <v>0</v>
      </c>
      <c r="G17" s="164">
        <f t="shared" si="43"/>
        <v>0</v>
      </c>
      <c r="H17" s="165">
        <f t="shared" si="44"/>
        <v>0</v>
      </c>
      <c r="I17" s="164">
        <f t="shared" si="0"/>
        <v>0</v>
      </c>
      <c r="J17" s="165">
        <f t="shared" si="45"/>
        <v>0</v>
      </c>
      <c r="K17" s="164">
        <f t="shared" si="1"/>
        <v>0</v>
      </c>
      <c r="L17" s="165">
        <f t="shared" si="2"/>
        <v>0</v>
      </c>
      <c r="M17" s="164">
        <f t="shared" si="3"/>
        <v>0</v>
      </c>
      <c r="N17" s="164">
        <f t="shared" si="46"/>
        <v>0</v>
      </c>
      <c r="O17" s="165">
        <f t="shared" si="47"/>
        <v>0</v>
      </c>
      <c r="P17" s="112">
        <f t="shared" si="48"/>
        <v>0</v>
      </c>
      <c r="Q17" s="112">
        <f t="shared" si="49"/>
        <v>0</v>
      </c>
      <c r="R17" s="165">
        <f t="shared" si="50"/>
        <v>0</v>
      </c>
      <c r="S17" s="165">
        <f t="shared" si="51"/>
        <v>0</v>
      </c>
      <c r="T17" s="165">
        <f t="shared" si="52"/>
        <v>0</v>
      </c>
      <c r="U17" s="165">
        <f t="shared" si="53"/>
        <v>0</v>
      </c>
      <c r="V17" s="152"/>
      <c r="W17" s="17" t="s">
        <v>43</v>
      </c>
      <c r="X17" s="162">
        <v>51772</v>
      </c>
      <c r="Y17" s="166">
        <f t="shared" si="54"/>
        <v>1.9414169959110696E-2</v>
      </c>
      <c r="Z17" s="44">
        <f t="shared" si="55"/>
        <v>4353.5790779056761</v>
      </c>
      <c r="AA17" s="45">
        <f t="shared" si="56"/>
        <v>4.2589360544729438</v>
      </c>
      <c r="AB17" s="45">
        <f t="shared" si="4"/>
        <v>0.74010844324396496</v>
      </c>
      <c r="AC17" s="46">
        <f t="shared" si="5"/>
        <v>8.5397128066611342E-4</v>
      </c>
      <c r="AD17" s="45">
        <f t="shared" si="6"/>
        <v>43.535790779056761</v>
      </c>
      <c r="AE17" s="46">
        <f t="shared" si="7"/>
        <v>5.023360474506549E-2</v>
      </c>
      <c r="AF17" s="45">
        <f t="shared" si="8"/>
        <v>10.88394769476419</v>
      </c>
      <c r="AG17" s="46">
        <f t="shared" si="9"/>
        <v>1.2558401186266372E-2</v>
      </c>
      <c r="AH17" s="45">
        <f t="shared" si="10"/>
        <v>6.4187383840917017E-2</v>
      </c>
      <c r="AI17" s="45">
        <f t="shared" si="11"/>
        <v>92.731234359390896</v>
      </c>
      <c r="AJ17" s="45">
        <f t="shared" si="12"/>
        <v>2.3509327020690653</v>
      </c>
      <c r="AK17" s="45">
        <f t="shared" si="57"/>
        <v>5.1807591027077544</v>
      </c>
      <c r="AL17" s="45">
        <f t="shared" si="13"/>
        <v>1.8067353173308554</v>
      </c>
      <c r="AM17" s="45">
        <f t="shared" si="58"/>
        <v>4.6365617179695446</v>
      </c>
      <c r="AN17" s="45">
        <f t="shared" si="59"/>
        <v>2.8298264006386895</v>
      </c>
      <c r="AO17" s="45">
        <f t="shared" si="60"/>
        <v>2.1767895389528382</v>
      </c>
      <c r="AP17" s="152"/>
      <c r="AQ17" s="17" t="s">
        <v>43</v>
      </c>
      <c r="AR17" s="162">
        <v>51772</v>
      </c>
      <c r="AS17" s="166">
        <f t="shared" si="61"/>
        <v>1.9414169959110696E-2</v>
      </c>
      <c r="AT17" s="44">
        <f t="shared" si="62"/>
        <v>351.20427597730838</v>
      </c>
      <c r="AU17" s="45">
        <f t="shared" si="63"/>
        <v>0.40523570305074041</v>
      </c>
      <c r="AV17" s="45">
        <f t="shared" si="64"/>
        <v>0.19843041592717922</v>
      </c>
      <c r="AW17" s="46">
        <f t="shared" si="65"/>
        <v>2.2895817222366832E-4</v>
      </c>
      <c r="AX17" s="45">
        <f t="shared" si="66"/>
        <v>9.6581175893759816</v>
      </c>
      <c r="AY17" s="46">
        <f t="shared" si="67"/>
        <v>1.1143981833895363E-2</v>
      </c>
      <c r="AZ17" s="45">
        <f t="shared" si="14"/>
        <v>0.87801068994327103</v>
      </c>
      <c r="BA17" s="46">
        <f t="shared" si="68"/>
        <v>1.0130892576268511E-3</v>
      </c>
      <c r="BB17" s="46">
        <f t="shared" si="69"/>
        <v>5.1780117612039061E-3</v>
      </c>
      <c r="BC17" s="45">
        <f t="shared" si="70"/>
        <v>18.596266412998482</v>
      </c>
      <c r="BD17" s="45">
        <f t="shared" si="71"/>
        <v>0.90435101064156909</v>
      </c>
      <c r="BE17" s="45">
        <f t="shared" si="72"/>
        <v>0.64094780365858772</v>
      </c>
      <c r="BF17" s="45">
        <f t="shared" si="15"/>
        <v>0.50222211464755095</v>
      </c>
      <c r="BG17" s="45">
        <f t="shared" si="73"/>
        <v>0.2388189076645697</v>
      </c>
      <c r="BH17" s="97">
        <f t="shared" si="74"/>
        <v>0.26340320698298125</v>
      </c>
      <c r="BI17" s="97">
        <f t="shared" si="75"/>
        <v>0.14048171039092336</v>
      </c>
      <c r="BJ17" s="167"/>
      <c r="BK17" s="23" t="s">
        <v>43</v>
      </c>
      <c r="BL17" s="162">
        <v>51772</v>
      </c>
      <c r="BM17" s="163">
        <f t="shared" si="76"/>
        <v>1.9414169959110696E-2</v>
      </c>
      <c r="BN17" s="112">
        <f t="shared" si="77"/>
        <v>1017.8169813613168</v>
      </c>
      <c r="BO17" s="165">
        <f t="shared" si="78"/>
        <v>1.1744042092630578</v>
      </c>
      <c r="BP17" s="165">
        <f t="shared" si="16"/>
        <v>2.7989966987436214</v>
      </c>
      <c r="BQ17" s="164">
        <f t="shared" si="79"/>
        <v>3.2296115754734092E-3</v>
      </c>
      <c r="BR17" s="165">
        <f t="shared" si="17"/>
        <v>50.89084906806584</v>
      </c>
      <c r="BS17" s="164">
        <f t="shared" si="80"/>
        <v>5.8720210463152893E-2</v>
      </c>
      <c r="BT17" s="165">
        <f t="shared" si="18"/>
        <v>42.748313217175308</v>
      </c>
      <c r="BU17" s="164">
        <f t="shared" si="81"/>
        <v>4.932497678904843E-2</v>
      </c>
      <c r="BV17" s="164">
        <f t="shared" si="82"/>
        <v>0.25210543692180309</v>
      </c>
      <c r="BW17" s="165">
        <f t="shared" si="19"/>
        <v>0.30534509440839502</v>
      </c>
      <c r="BX17" s="165">
        <f t="shared" si="20"/>
        <v>0.26463241515394237</v>
      </c>
      <c r="BY17" s="165">
        <f t="shared" si="83"/>
        <v>0.10178169813613169</v>
      </c>
      <c r="BZ17" s="165">
        <f t="shared" si="21"/>
        <v>0.21883065099268312</v>
      </c>
      <c r="CA17" s="165">
        <f t="shared" si="84"/>
        <v>5.5979933974872421E-2</v>
      </c>
      <c r="CB17" s="165">
        <f t="shared" si="85"/>
        <v>0.1628507170178107</v>
      </c>
      <c r="CC17" s="165">
        <f t="shared" si="86"/>
        <v>0.24936516043352261</v>
      </c>
      <c r="CD17" s="152"/>
      <c r="CE17" s="23" t="s">
        <v>43</v>
      </c>
      <c r="CF17" s="162">
        <v>51772</v>
      </c>
      <c r="CG17" s="163">
        <f t="shared" si="87"/>
        <v>1.9414169959110696E-2</v>
      </c>
      <c r="CH17" s="112">
        <f t="shared" si="88"/>
        <v>22.551499824502983</v>
      </c>
      <c r="CI17" s="165">
        <f t="shared" si="89"/>
        <v>2.2061249828318138E-2</v>
      </c>
      <c r="CJ17" s="164">
        <f t="shared" si="90"/>
        <v>3.7209974710429921E-3</v>
      </c>
      <c r="CK17" s="164">
        <f t="shared" si="22"/>
        <v>4.293458620434222E-6</v>
      </c>
      <c r="CL17" s="165">
        <f t="shared" si="91"/>
        <v>0.21762197330645378</v>
      </c>
      <c r="CM17" s="164">
        <f t="shared" si="23"/>
        <v>2.5110227689206208E-4</v>
      </c>
      <c r="CN17" s="165">
        <f t="shared" si="92"/>
        <v>5.4123599578807156E-2</v>
      </c>
      <c r="CO17" s="164">
        <f t="shared" si="24"/>
        <v>6.2450307206315955E-5</v>
      </c>
      <c r="CP17" s="164">
        <f t="shared" si="25"/>
        <v>3.1919045905450379E-4</v>
      </c>
      <c r="CQ17" s="165">
        <f t="shared" si="93"/>
        <v>1.601156487539712</v>
      </c>
      <c r="CR17" s="164">
        <f t="shared" si="94"/>
        <v>2.6385254794668488E-2</v>
      </c>
      <c r="CS17" s="164">
        <f t="shared" si="95"/>
        <v>1.1726779908741552E-2</v>
      </c>
      <c r="CT17" s="165">
        <f t="shared" si="96"/>
        <v>2.3679074815728132E-2</v>
      </c>
      <c r="CU17" s="168">
        <f t="shared" si="97"/>
        <v>9.0205999298011933E-4</v>
      </c>
      <c r="CV17" s="165">
        <f t="shared" si="98"/>
        <v>1.4658474885926939E-2</v>
      </c>
      <c r="CW17" s="165">
        <f t="shared" si="99"/>
        <v>9.0205999298011933E-4</v>
      </c>
      <c r="CX17" s="152"/>
      <c r="CY17" s="17" t="s">
        <v>43</v>
      </c>
      <c r="CZ17" s="162">
        <v>51772</v>
      </c>
      <c r="DA17" s="166">
        <f t="shared" si="100"/>
        <v>1.9414169959110696E-2</v>
      </c>
      <c r="DB17" s="48">
        <f t="shared" si="101"/>
        <v>473.67856716435818</v>
      </c>
      <c r="DC17" s="45">
        <f t="shared" si="102"/>
        <v>0.54655219288195178</v>
      </c>
      <c r="DD17" s="45">
        <f t="shared" si="103"/>
        <v>0.12315642746273313</v>
      </c>
      <c r="DE17" s="46">
        <f t="shared" si="26"/>
        <v>1.4210357014930746E-4</v>
      </c>
      <c r="DF17" s="45">
        <f t="shared" si="104"/>
        <v>2.2476048011948797</v>
      </c>
      <c r="DG17" s="46">
        <f t="shared" si="27"/>
        <v>2.5933901552248608E-3</v>
      </c>
      <c r="DH17" s="45">
        <f t="shared" si="105"/>
        <v>2.8302294388070401</v>
      </c>
      <c r="DI17" s="46">
        <f t="shared" si="28"/>
        <v>3.2656493524696618E-3</v>
      </c>
      <c r="DJ17" s="46">
        <f t="shared" si="29"/>
        <v>1.6691096690400493E-2</v>
      </c>
      <c r="DK17" s="45">
        <f t="shared" si="106"/>
        <v>1.4210357014930744E-2</v>
      </c>
      <c r="DL17" s="46">
        <f t="shared" si="107"/>
        <v>4.7367856716435822E-3</v>
      </c>
      <c r="DM17" s="46">
        <f t="shared" si="108"/>
        <v>1.1841964179108957E-2</v>
      </c>
      <c r="DN17" s="46">
        <f t="shared" si="109"/>
        <v>2.3683928358217911E-3</v>
      </c>
      <c r="DO17" s="100">
        <f t="shared" si="110"/>
        <v>9.4735713432871644E-3</v>
      </c>
      <c r="DP17" s="100">
        <f t="shared" si="111"/>
        <v>7.105178507465372E-3</v>
      </c>
      <c r="DQ17" s="46">
        <f t="shared" si="112"/>
        <v>1.1841964179108957E-2</v>
      </c>
      <c r="DR17" s="152"/>
      <c r="DS17" s="23" t="s">
        <v>43</v>
      </c>
      <c r="DT17" s="162">
        <v>51772</v>
      </c>
      <c r="DU17" s="163">
        <f t="shared" si="113"/>
        <v>1.9414169959110696E-2</v>
      </c>
      <c r="DV17" s="111">
        <f t="shared" si="114"/>
        <v>21243.994306096796</v>
      </c>
      <c r="DW17" s="111">
        <f t="shared" si="30"/>
        <v>1911.9594875487116</v>
      </c>
      <c r="DX17" s="165">
        <f t="shared" si="31"/>
        <v>0.1805739516018228</v>
      </c>
      <c r="DY17" s="164">
        <f t="shared" si="32"/>
        <v>2.0835455954056477E-4</v>
      </c>
      <c r="DZ17" s="112">
        <f t="shared" si="33"/>
        <v>2.3368393736706476</v>
      </c>
      <c r="EA17" s="164">
        <f t="shared" si="34"/>
        <v>2.6963531234661317E-3</v>
      </c>
      <c r="EB17" s="112">
        <f t="shared" si="35"/>
        <v>6.3731982918290386</v>
      </c>
      <c r="EC17" s="164">
        <f t="shared" si="36"/>
        <v>7.3536903367258134E-3</v>
      </c>
      <c r="ED17" s="164">
        <f t="shared" si="37"/>
        <v>3.7585528387709712E-2</v>
      </c>
      <c r="EE17" s="165">
        <f t="shared" si="38"/>
        <v>0.26554992882620998</v>
      </c>
      <c r="EF17" s="169">
        <f t="shared" si="115"/>
        <v>5.3449889674139541</v>
      </c>
      <c r="EG17" s="165">
        <f t="shared" si="116"/>
        <v>5.3109985765241987</v>
      </c>
      <c r="EH17" s="169">
        <f t="shared" si="117"/>
        <v>4.6152577629995282</v>
      </c>
      <c r="EI17" s="165">
        <f t="shared" si="118"/>
        <v>4.5674587758108114</v>
      </c>
      <c r="EJ17" s="165">
        <f t="shared" si="119"/>
        <v>5.0985586334632307E-2</v>
      </c>
      <c r="EK17" s="165">
        <f t="shared" si="120"/>
        <v>0.12746396583658079</v>
      </c>
      <c r="EL17" s="17" t="s">
        <v>43</v>
      </c>
      <c r="EM17" s="77">
        <f t="shared" si="39"/>
        <v>4.0449869344503648</v>
      </c>
      <c r="EN17" s="82">
        <f t="shared" si="39"/>
        <v>4.667292616673497E-3</v>
      </c>
      <c r="EO17" s="77">
        <f t="shared" si="39"/>
        <v>108.88682358467057</v>
      </c>
      <c r="EP17" s="77">
        <f t="shared" si="39"/>
        <v>0.1256386425976968</v>
      </c>
      <c r="EQ17" s="77">
        <f t="shared" si="39"/>
        <v>63.767822932097658</v>
      </c>
      <c r="ER17" s="77">
        <f t="shared" si="39"/>
        <v>7.3578257229343441E-2</v>
      </c>
      <c r="ES17" s="77">
        <f t="shared" si="39"/>
        <v>0.37606664806108869</v>
      </c>
      <c r="ET17" s="77">
        <f t="shared" si="39"/>
        <v>113.51376264017863</v>
      </c>
      <c r="EU17" s="77">
        <f t="shared" si="121"/>
        <v>11.732958714890996</v>
      </c>
      <c r="EV17" s="77">
        <f t="shared" si="122"/>
        <v>8.4211243459683693</v>
      </c>
      <c r="EW17" s="77">
        <f t="shared" si="123"/>
        <v>10.006024892768323</v>
      </c>
      <c r="EX17" s="77">
        <f t="shared" si="124"/>
        <v>6.6722633876099113</v>
      </c>
      <c r="EY17" s="77">
        <f t="shared" si="125"/>
        <v>3.3288295643675059</v>
      </c>
      <c r="EZ17" s="77">
        <f t="shared" si="125"/>
        <v>2.7068443997859539</v>
      </c>
    </row>
    <row r="18" spans="1:156" ht="18" customHeight="1">
      <c r="A18" s="23" t="s">
        <v>44</v>
      </c>
      <c r="B18" s="105">
        <v>791554</v>
      </c>
      <c r="C18" s="162">
        <v>56239</v>
      </c>
      <c r="D18" s="162">
        <f t="shared" si="40"/>
        <v>735315</v>
      </c>
      <c r="E18" s="163">
        <f t="shared" si="41"/>
        <v>0.2757384374465634</v>
      </c>
      <c r="F18" s="111">
        <f t="shared" si="42"/>
        <v>0</v>
      </c>
      <c r="G18" s="164">
        <f t="shared" si="43"/>
        <v>0</v>
      </c>
      <c r="H18" s="165">
        <f t="shared" si="44"/>
        <v>0</v>
      </c>
      <c r="I18" s="164">
        <f t="shared" si="0"/>
        <v>0</v>
      </c>
      <c r="J18" s="165">
        <f t="shared" si="45"/>
        <v>0</v>
      </c>
      <c r="K18" s="164">
        <f t="shared" si="1"/>
        <v>0</v>
      </c>
      <c r="L18" s="165">
        <f t="shared" si="2"/>
        <v>0</v>
      </c>
      <c r="M18" s="164">
        <f t="shared" si="3"/>
        <v>0</v>
      </c>
      <c r="N18" s="164">
        <f t="shared" si="46"/>
        <v>0</v>
      </c>
      <c r="O18" s="165">
        <f t="shared" si="47"/>
        <v>0</v>
      </c>
      <c r="P18" s="112">
        <f t="shared" si="48"/>
        <v>0</v>
      </c>
      <c r="Q18" s="112">
        <f t="shared" si="49"/>
        <v>0</v>
      </c>
      <c r="R18" s="165">
        <f t="shared" si="50"/>
        <v>0</v>
      </c>
      <c r="S18" s="165">
        <f t="shared" si="51"/>
        <v>0</v>
      </c>
      <c r="T18" s="165">
        <f t="shared" si="52"/>
        <v>0</v>
      </c>
      <c r="U18" s="165">
        <f t="shared" si="53"/>
        <v>0</v>
      </c>
      <c r="V18" s="152"/>
      <c r="W18" s="17" t="s">
        <v>44</v>
      </c>
      <c r="X18" s="162">
        <v>735315</v>
      </c>
      <c r="Y18" s="166">
        <f t="shared" si="54"/>
        <v>0.2757384374465634</v>
      </c>
      <c r="Z18" s="44">
        <f t="shared" si="55"/>
        <v>61833.655251298223</v>
      </c>
      <c r="AA18" s="45">
        <f t="shared" si="56"/>
        <v>60.489445354530872</v>
      </c>
      <c r="AB18" s="45">
        <f t="shared" si="4"/>
        <v>10.5117213927207</v>
      </c>
      <c r="AC18" s="46">
        <f t="shared" si="5"/>
        <v>1.2128909299293115E-2</v>
      </c>
      <c r="AD18" s="45">
        <f t="shared" si="6"/>
        <v>618.33655251298228</v>
      </c>
      <c r="AE18" s="46">
        <f t="shared" si="7"/>
        <v>0.71346525289959495</v>
      </c>
      <c r="AF18" s="45">
        <f t="shared" si="8"/>
        <v>154.58413812824557</v>
      </c>
      <c r="AG18" s="46">
        <f t="shared" si="9"/>
        <v>0.17836631322489874</v>
      </c>
      <c r="AH18" s="45">
        <f t="shared" si="10"/>
        <v>0.91165004537170469</v>
      </c>
      <c r="AI18" s="45">
        <f t="shared" si="11"/>
        <v>1317.0568568526523</v>
      </c>
      <c r="AJ18" s="45">
        <f t="shared" si="12"/>
        <v>33.390173835701042</v>
      </c>
      <c r="AK18" s="45">
        <f t="shared" si="57"/>
        <v>73.58204974904487</v>
      </c>
      <c r="AL18" s="45">
        <f t="shared" si="13"/>
        <v>25.660966929288762</v>
      </c>
      <c r="AM18" s="45">
        <f t="shared" si="58"/>
        <v>65.852842842632597</v>
      </c>
      <c r="AN18" s="45">
        <f t="shared" si="59"/>
        <v>40.191875913343843</v>
      </c>
      <c r="AO18" s="45">
        <f t="shared" si="60"/>
        <v>30.916827625649113</v>
      </c>
      <c r="AP18" s="152"/>
      <c r="AQ18" s="17" t="s">
        <v>44</v>
      </c>
      <c r="AR18" s="162">
        <v>735315</v>
      </c>
      <c r="AS18" s="166">
        <f t="shared" si="61"/>
        <v>0.2757384374465634</v>
      </c>
      <c r="AT18" s="44">
        <f t="shared" si="62"/>
        <v>4988.1359072520763</v>
      </c>
      <c r="AU18" s="45">
        <f t="shared" si="63"/>
        <v>5.755541431444704</v>
      </c>
      <c r="AV18" s="45">
        <f t="shared" si="64"/>
        <v>2.8182967875974225</v>
      </c>
      <c r="AW18" s="46">
        <f t="shared" si="65"/>
        <v>3.2518809087662562E-3</v>
      </c>
      <c r="AX18" s="45">
        <f t="shared" si="66"/>
        <v>137.17373744943211</v>
      </c>
      <c r="AY18" s="46">
        <f t="shared" si="67"/>
        <v>0.15827738936472935</v>
      </c>
      <c r="AZ18" s="45">
        <f t="shared" si="14"/>
        <v>12.47033976813019</v>
      </c>
      <c r="BA18" s="46">
        <f t="shared" si="68"/>
        <v>1.4388853578611758E-2</v>
      </c>
      <c r="BB18" s="46">
        <f t="shared" si="69"/>
        <v>7.3543029401793428E-2</v>
      </c>
      <c r="BC18" s="45">
        <f t="shared" si="70"/>
        <v>264.12179628899747</v>
      </c>
      <c r="BD18" s="45">
        <f t="shared" si="71"/>
        <v>12.844449961174098</v>
      </c>
      <c r="BE18" s="45">
        <f t="shared" si="72"/>
        <v>9.1033480307350381</v>
      </c>
      <c r="BF18" s="45">
        <f t="shared" si="15"/>
        <v>7.1330343473704687</v>
      </c>
      <c r="BG18" s="45">
        <f t="shared" si="73"/>
        <v>3.3919324169314122</v>
      </c>
      <c r="BH18" s="97">
        <f t="shared" si="74"/>
        <v>3.7411019304390574</v>
      </c>
      <c r="BI18" s="97">
        <f t="shared" si="75"/>
        <v>1.9952543629008306</v>
      </c>
      <c r="BJ18" s="167"/>
      <c r="BK18" s="23" t="s">
        <v>44</v>
      </c>
      <c r="BL18" s="162">
        <v>735315</v>
      </c>
      <c r="BM18" s="163">
        <f t="shared" si="76"/>
        <v>0.2757384374465634</v>
      </c>
      <c r="BN18" s="112">
        <f t="shared" si="77"/>
        <v>14456.001190792256</v>
      </c>
      <c r="BO18" s="165">
        <f t="shared" si="78"/>
        <v>16.680001373991065</v>
      </c>
      <c r="BP18" s="165">
        <f t="shared" si="16"/>
        <v>39.754003274678702</v>
      </c>
      <c r="BQ18" s="164">
        <f t="shared" si="79"/>
        <v>4.5870003778475422E-2</v>
      </c>
      <c r="BR18" s="165">
        <f t="shared" si="17"/>
        <v>722.8000595396129</v>
      </c>
      <c r="BS18" s="164">
        <f t="shared" si="80"/>
        <v>0.83400006869955323</v>
      </c>
      <c r="BT18" s="165">
        <f t="shared" si="18"/>
        <v>607.15205001327479</v>
      </c>
      <c r="BU18" s="164">
        <f t="shared" si="81"/>
        <v>0.70056005770762475</v>
      </c>
      <c r="BV18" s="164">
        <f t="shared" si="82"/>
        <v>3.580640294950082</v>
      </c>
      <c r="BW18" s="165">
        <f t="shared" si="19"/>
        <v>4.3368003572376761</v>
      </c>
      <c r="BX18" s="165">
        <f t="shared" si="20"/>
        <v>3.7585603096059867</v>
      </c>
      <c r="BY18" s="165">
        <f t="shared" si="83"/>
        <v>1.4456001190792258</v>
      </c>
      <c r="BZ18" s="165">
        <f t="shared" si="21"/>
        <v>3.1080402560203351</v>
      </c>
      <c r="CA18" s="165">
        <f t="shared" si="84"/>
        <v>0.79508006549357413</v>
      </c>
      <c r="CB18" s="165">
        <f t="shared" si="85"/>
        <v>2.3129601905267609</v>
      </c>
      <c r="CC18" s="165">
        <f t="shared" si="86"/>
        <v>3.5417202917441029</v>
      </c>
      <c r="CD18" s="152"/>
      <c r="CE18" s="23" t="s">
        <v>44</v>
      </c>
      <c r="CF18" s="162">
        <v>735315</v>
      </c>
      <c r="CG18" s="163">
        <f t="shared" si="87"/>
        <v>0.2757384374465634</v>
      </c>
      <c r="CH18" s="112">
        <f t="shared" si="88"/>
        <v>320.29776893792803</v>
      </c>
      <c r="CI18" s="165">
        <f t="shared" si="89"/>
        <v>0.31333477396101655</v>
      </c>
      <c r="CJ18" s="164">
        <f t="shared" si="90"/>
        <v>5.2849131874758128E-2</v>
      </c>
      <c r="CK18" s="164">
        <f t="shared" si="22"/>
        <v>6.0979767547797835E-5</v>
      </c>
      <c r="CL18" s="165">
        <f t="shared" si="91"/>
        <v>3.0908734702510055</v>
      </c>
      <c r="CM18" s="164">
        <f t="shared" si="23"/>
        <v>3.5663924656742373E-3</v>
      </c>
      <c r="CN18" s="165">
        <f t="shared" si="92"/>
        <v>0.76871464545102719</v>
      </c>
      <c r="CO18" s="164">
        <f t="shared" si="24"/>
        <v>8.8697843705887755E-4</v>
      </c>
      <c r="CP18" s="164">
        <f t="shared" si="25"/>
        <v>4.5334453449675967E-3</v>
      </c>
      <c r="CQ18" s="165">
        <f t="shared" si="93"/>
        <v>22.741141594592889</v>
      </c>
      <c r="CR18" s="164">
        <f t="shared" si="94"/>
        <v>0.37474838965737578</v>
      </c>
      <c r="CS18" s="164">
        <f t="shared" si="95"/>
        <v>0.16655483984772257</v>
      </c>
      <c r="CT18" s="165">
        <f t="shared" si="96"/>
        <v>0.33631265738482441</v>
      </c>
      <c r="CU18" s="168">
        <f t="shared" si="97"/>
        <v>1.2811910757517121E-2</v>
      </c>
      <c r="CV18" s="165">
        <f t="shared" si="98"/>
        <v>0.20819354980965324</v>
      </c>
      <c r="CW18" s="165">
        <f t="shared" si="99"/>
        <v>1.2811910757517121E-2</v>
      </c>
      <c r="CX18" s="152"/>
      <c r="CY18" s="17" t="s">
        <v>44</v>
      </c>
      <c r="CZ18" s="162">
        <v>735315</v>
      </c>
      <c r="DA18" s="166">
        <f t="shared" si="100"/>
        <v>0.2757384374465634</v>
      </c>
      <c r="DB18" s="48">
        <f t="shared" si="101"/>
        <v>6727.6318398837211</v>
      </c>
      <c r="DC18" s="45">
        <f t="shared" si="102"/>
        <v>7.7626521229427548</v>
      </c>
      <c r="DD18" s="45">
        <f t="shared" si="103"/>
        <v>1.7491842783697675</v>
      </c>
      <c r="DE18" s="46">
        <f t="shared" si="26"/>
        <v>2.0182895519651163E-3</v>
      </c>
      <c r="DF18" s="45">
        <f t="shared" si="104"/>
        <v>31.922613080248258</v>
      </c>
      <c r="DG18" s="46">
        <f t="shared" si="27"/>
        <v>3.6833784323363372E-2</v>
      </c>
      <c r="DH18" s="45">
        <f t="shared" si="105"/>
        <v>40.197600243305232</v>
      </c>
      <c r="DI18" s="46">
        <f t="shared" si="28"/>
        <v>4.6381846434582957E-2</v>
      </c>
      <c r="DJ18" s="46">
        <f t="shared" si="29"/>
        <v>0.23706277066564624</v>
      </c>
      <c r="DK18" s="45">
        <f t="shared" si="106"/>
        <v>0.20182895519651162</v>
      </c>
      <c r="DL18" s="46">
        <f t="shared" si="107"/>
        <v>6.7276318398837215E-2</v>
      </c>
      <c r="DM18" s="46">
        <f t="shared" si="108"/>
        <v>0.16819079599709302</v>
      </c>
      <c r="DN18" s="46">
        <f t="shared" si="109"/>
        <v>3.3638159199418607E-2</v>
      </c>
      <c r="DO18" s="100">
        <f t="shared" si="110"/>
        <v>0.13455263679767443</v>
      </c>
      <c r="DP18" s="100">
        <f t="shared" si="111"/>
        <v>0.10091447759825581</v>
      </c>
      <c r="DQ18" s="46">
        <f t="shared" si="112"/>
        <v>0.16819079599709302</v>
      </c>
      <c r="DR18" s="152"/>
      <c r="DS18" s="23" t="s">
        <v>44</v>
      </c>
      <c r="DT18" s="162">
        <v>735315</v>
      </c>
      <c r="DU18" s="163">
        <f t="shared" si="113"/>
        <v>0.2757384374465634</v>
      </c>
      <c r="DV18" s="111">
        <f t="shared" si="114"/>
        <v>301727.33665277687</v>
      </c>
      <c r="DW18" s="111">
        <f t="shared" si="30"/>
        <v>27155.460298749917</v>
      </c>
      <c r="DX18" s="165">
        <f t="shared" si="31"/>
        <v>2.5646823615486039</v>
      </c>
      <c r="DY18" s="164">
        <f t="shared" si="32"/>
        <v>2.9592488787099271E-3</v>
      </c>
      <c r="DZ18" s="112">
        <f t="shared" si="33"/>
        <v>33.190007031805457</v>
      </c>
      <c r="EA18" s="164">
        <f t="shared" si="34"/>
        <v>3.8296161959775525E-2</v>
      </c>
      <c r="EB18" s="112">
        <f t="shared" si="35"/>
        <v>90.518200995833055</v>
      </c>
      <c r="EC18" s="164">
        <f t="shared" si="36"/>
        <v>0.10444407807211507</v>
      </c>
      <c r="ED18" s="164">
        <f t="shared" si="37"/>
        <v>0.53382528792414363</v>
      </c>
      <c r="EE18" s="165">
        <f t="shared" si="38"/>
        <v>3.7715917081597108</v>
      </c>
      <c r="EF18" s="169">
        <f t="shared" si="115"/>
        <v>75.914597901838661</v>
      </c>
      <c r="EG18" s="165">
        <f t="shared" si="116"/>
        <v>75.43183416319421</v>
      </c>
      <c r="EH18" s="169">
        <f t="shared" si="117"/>
        <v>65.550263887815774</v>
      </c>
      <c r="EI18" s="165">
        <f t="shared" si="118"/>
        <v>64.871377380347027</v>
      </c>
      <c r="EJ18" s="165">
        <f t="shared" si="119"/>
        <v>0.7241456079666645</v>
      </c>
      <c r="EK18" s="165">
        <f t="shared" si="120"/>
        <v>1.8103640199166611</v>
      </c>
      <c r="EL18" s="17" t="s">
        <v>44</v>
      </c>
      <c r="EM18" s="77">
        <f t="shared" si="39"/>
        <v>57.450737226789954</v>
      </c>
      <c r="EN18" s="82">
        <f t="shared" si="39"/>
        <v>6.6289312184757629E-2</v>
      </c>
      <c r="EO18" s="77">
        <f t="shared" si="39"/>
        <v>1546.5138430843319</v>
      </c>
      <c r="EP18" s="77">
        <f t="shared" si="39"/>
        <v>1.7844390497126905</v>
      </c>
      <c r="EQ18" s="77">
        <f t="shared" si="39"/>
        <v>905.69104379423982</v>
      </c>
      <c r="ER18" s="77">
        <f t="shared" si="39"/>
        <v>1.045028127454892</v>
      </c>
      <c r="ES18" s="77">
        <f t="shared" si="39"/>
        <v>5.341254873658337</v>
      </c>
      <c r="ET18" s="77">
        <f t="shared" si="39"/>
        <v>1612.2300157568368</v>
      </c>
      <c r="EU18" s="77">
        <f t="shared" si="121"/>
        <v>166.64259710731807</v>
      </c>
      <c r="EV18" s="77">
        <f t="shared" si="122"/>
        <v>119.60478730695607</v>
      </c>
      <c r="EW18" s="77">
        <f t="shared" si="123"/>
        <v>142.11504662802167</v>
      </c>
      <c r="EX18" s="77">
        <f t="shared" si="124"/>
        <v>94.765806862017712</v>
      </c>
      <c r="EY18" s="77">
        <f t="shared" si="125"/>
        <v>47.279191669684231</v>
      </c>
      <c r="EZ18" s="77">
        <f t="shared" si="125"/>
        <v>38.445169006965322</v>
      </c>
    </row>
    <row r="19" spans="1:156" ht="18" customHeight="1">
      <c r="A19" s="23" t="s">
        <v>45</v>
      </c>
      <c r="B19" s="105">
        <v>3633</v>
      </c>
      <c r="C19" s="162">
        <v>27</v>
      </c>
      <c r="D19" s="162">
        <f t="shared" si="40"/>
        <v>3606</v>
      </c>
      <c r="E19" s="163">
        <f t="shared" si="41"/>
        <v>1.3522270121407937E-3</v>
      </c>
      <c r="F19" s="111">
        <f t="shared" si="42"/>
        <v>0</v>
      </c>
      <c r="G19" s="164">
        <f t="shared" si="43"/>
        <v>0</v>
      </c>
      <c r="H19" s="165">
        <f t="shared" si="44"/>
        <v>0</v>
      </c>
      <c r="I19" s="164">
        <f t="shared" si="0"/>
        <v>0</v>
      </c>
      <c r="J19" s="165">
        <f t="shared" si="45"/>
        <v>0</v>
      </c>
      <c r="K19" s="164">
        <f t="shared" si="1"/>
        <v>0</v>
      </c>
      <c r="L19" s="165">
        <f t="shared" si="2"/>
        <v>0</v>
      </c>
      <c r="M19" s="164">
        <f t="shared" si="3"/>
        <v>0</v>
      </c>
      <c r="N19" s="164">
        <f t="shared" si="46"/>
        <v>0</v>
      </c>
      <c r="O19" s="165">
        <f t="shared" si="47"/>
        <v>0</v>
      </c>
      <c r="P19" s="112">
        <f t="shared" si="48"/>
        <v>0</v>
      </c>
      <c r="Q19" s="112">
        <f t="shared" si="49"/>
        <v>0</v>
      </c>
      <c r="R19" s="165">
        <f t="shared" si="50"/>
        <v>0</v>
      </c>
      <c r="S19" s="165">
        <f t="shared" si="51"/>
        <v>0</v>
      </c>
      <c r="T19" s="165">
        <f t="shared" si="52"/>
        <v>0</v>
      </c>
      <c r="U19" s="165">
        <f t="shared" si="53"/>
        <v>0</v>
      </c>
      <c r="V19" s="152"/>
      <c r="W19" s="17" t="s">
        <v>45</v>
      </c>
      <c r="X19" s="162">
        <v>3606</v>
      </c>
      <c r="Y19" s="166">
        <f t="shared" si="54"/>
        <v>1.3522270121407937E-3</v>
      </c>
      <c r="Z19" s="44">
        <f t="shared" si="55"/>
        <v>303.23352690504265</v>
      </c>
      <c r="AA19" s="45">
        <f t="shared" si="56"/>
        <v>0.29664149371145476</v>
      </c>
      <c r="AB19" s="45">
        <f t="shared" si="4"/>
        <v>5.1549699573857251E-2</v>
      </c>
      <c r="AC19" s="46">
        <f t="shared" si="5"/>
        <v>5.9480422585219896E-5</v>
      </c>
      <c r="AD19" s="45">
        <f t="shared" si="6"/>
        <v>3.0323352690504266</v>
      </c>
      <c r="AE19" s="46">
        <f t="shared" si="7"/>
        <v>3.4988483873658769E-3</v>
      </c>
      <c r="AF19" s="45">
        <f t="shared" si="8"/>
        <v>0.75808381726260665</v>
      </c>
      <c r="AG19" s="46">
        <f t="shared" si="9"/>
        <v>8.7471209684146923E-4</v>
      </c>
      <c r="AH19" s="45">
        <f t="shared" si="10"/>
        <v>4.470750717189732E-3</v>
      </c>
      <c r="AI19" s="45">
        <f t="shared" si="11"/>
        <v>6.4588741230774085</v>
      </c>
      <c r="AJ19" s="45">
        <f t="shared" si="12"/>
        <v>0.16374610452872304</v>
      </c>
      <c r="AK19" s="45">
        <f t="shared" si="57"/>
        <v>0.36084789701700071</v>
      </c>
      <c r="AL19" s="45">
        <f t="shared" si="13"/>
        <v>0.12584191366559269</v>
      </c>
      <c r="AM19" s="45">
        <f t="shared" si="58"/>
        <v>0.32294370615387036</v>
      </c>
      <c r="AN19" s="45">
        <f t="shared" si="59"/>
        <v>0.19710179248827775</v>
      </c>
      <c r="AO19" s="45">
        <f t="shared" si="60"/>
        <v>0.15161676345252131</v>
      </c>
      <c r="AP19" s="152"/>
      <c r="AQ19" s="17" t="s">
        <v>45</v>
      </c>
      <c r="AR19" s="162">
        <v>3606</v>
      </c>
      <c r="AS19" s="166">
        <f t="shared" si="61"/>
        <v>1.3522270121407937E-3</v>
      </c>
      <c r="AT19" s="44">
        <f t="shared" si="62"/>
        <v>24.461921872328169</v>
      </c>
      <c r="AU19" s="45">
        <f t="shared" si="63"/>
        <v>2.8225294468070965E-2</v>
      </c>
      <c r="AV19" s="45">
        <f t="shared" si="64"/>
        <v>1.3820985857865415E-2</v>
      </c>
      <c r="AW19" s="46">
        <f t="shared" si="65"/>
        <v>1.5947291374460094E-5</v>
      </c>
      <c r="AX19" s="45">
        <f t="shared" si="66"/>
        <v>0.67270285148902464</v>
      </c>
      <c r="AY19" s="46">
        <f t="shared" si="67"/>
        <v>7.7619559787195141E-4</v>
      </c>
      <c r="AZ19" s="45">
        <f t="shared" si="14"/>
        <v>6.1154804680820421E-2</v>
      </c>
      <c r="BA19" s="46">
        <f t="shared" si="68"/>
        <v>7.0563236170177404E-5</v>
      </c>
      <c r="BB19" s="46">
        <f t="shared" si="69"/>
        <v>3.6065654042535122E-4</v>
      </c>
      <c r="BC19" s="45">
        <f t="shared" si="70"/>
        <v>1.2952587631397767</v>
      </c>
      <c r="BD19" s="45">
        <f t="shared" si="71"/>
        <v>6.2989448821245048E-2</v>
      </c>
      <c r="BE19" s="45">
        <f t="shared" si="72"/>
        <v>4.4643007416998906E-2</v>
      </c>
      <c r="BF19" s="45">
        <f t="shared" si="15"/>
        <v>3.4980548277429281E-2</v>
      </c>
      <c r="BG19" s="45">
        <f t="shared" si="73"/>
        <v>1.6634106873183157E-2</v>
      </c>
      <c r="BH19" s="97">
        <f t="shared" si="74"/>
        <v>1.8346441404246128E-2</v>
      </c>
      <c r="BI19" s="97">
        <f t="shared" si="75"/>
        <v>9.7847687489312687E-3</v>
      </c>
      <c r="BJ19" s="167"/>
      <c r="BK19" s="23" t="s">
        <v>45</v>
      </c>
      <c r="BL19" s="162">
        <v>3606</v>
      </c>
      <c r="BM19" s="163">
        <f t="shared" si="76"/>
        <v>1.3522270121407937E-3</v>
      </c>
      <c r="BN19" s="112">
        <f t="shared" si="77"/>
        <v>70.892529451999323</v>
      </c>
      <c r="BO19" s="165">
        <f t="shared" si="78"/>
        <v>8.1799072444614596E-2</v>
      </c>
      <c r="BP19" s="165">
        <f t="shared" si="16"/>
        <v>0.19495445599299813</v>
      </c>
      <c r="BQ19" s="164">
        <f t="shared" si="79"/>
        <v>2.2494744922269013E-4</v>
      </c>
      <c r="BR19" s="165">
        <f t="shared" si="17"/>
        <v>3.5446264725999663</v>
      </c>
      <c r="BS19" s="164">
        <f t="shared" si="80"/>
        <v>4.08995362223073E-3</v>
      </c>
      <c r="BT19" s="165">
        <f t="shared" si="18"/>
        <v>2.9774862369839714</v>
      </c>
      <c r="BU19" s="164">
        <f t="shared" si="81"/>
        <v>3.4355610426738134E-3</v>
      </c>
      <c r="BV19" s="164">
        <f t="shared" si="82"/>
        <v>1.7559534218110604E-2</v>
      </c>
      <c r="BW19" s="165">
        <f t="shared" si="19"/>
        <v>2.1267758835599795E-2</v>
      </c>
      <c r="BX19" s="165">
        <f t="shared" si="20"/>
        <v>1.8432057657519825E-2</v>
      </c>
      <c r="BY19" s="165">
        <f t="shared" si="83"/>
        <v>7.089252945199933E-3</v>
      </c>
      <c r="BZ19" s="165">
        <f t="shared" si="21"/>
        <v>1.5241893832179856E-2</v>
      </c>
      <c r="CA19" s="165">
        <f t="shared" si="84"/>
        <v>3.8990891198599628E-3</v>
      </c>
      <c r="CB19" s="165">
        <f t="shared" si="85"/>
        <v>1.1342804712319892E-2</v>
      </c>
      <c r="CC19" s="165">
        <f t="shared" si="86"/>
        <v>1.7368669715739835E-2</v>
      </c>
      <c r="CD19" s="152"/>
      <c r="CE19" s="23" t="s">
        <v>45</v>
      </c>
      <c r="CF19" s="162">
        <v>3606</v>
      </c>
      <c r="CG19" s="163">
        <f t="shared" si="87"/>
        <v>1.3522270121407937E-3</v>
      </c>
      <c r="CH19" s="112">
        <f t="shared" si="88"/>
        <v>1.5707468973027459</v>
      </c>
      <c r="CI19" s="165">
        <f t="shared" si="89"/>
        <v>1.5366002256222513E-3</v>
      </c>
      <c r="CJ19" s="164">
        <f t="shared" si="90"/>
        <v>2.5917323805495305E-4</v>
      </c>
      <c r="CK19" s="164">
        <f t="shared" si="22"/>
        <v>2.990460439095612E-7</v>
      </c>
      <c r="CL19" s="165">
        <f t="shared" si="91"/>
        <v>1.5157707558971499E-2</v>
      </c>
      <c r="CM19" s="164">
        <f t="shared" si="23"/>
        <v>1.7489662568044037E-5</v>
      </c>
      <c r="CN19" s="165">
        <f t="shared" si="92"/>
        <v>3.7697925535265897E-3</v>
      </c>
      <c r="CO19" s="164">
        <f t="shared" si="24"/>
        <v>4.3497606386845263E-6</v>
      </c>
      <c r="CP19" s="164">
        <f t="shared" si="25"/>
        <v>2.2232109931054246E-5</v>
      </c>
      <c r="CQ19" s="165">
        <f t="shared" si="93"/>
        <v>0.11152302970849495</v>
      </c>
      <c r="CR19" s="164">
        <f t="shared" si="94"/>
        <v>1.8377738698442125E-3</v>
      </c>
      <c r="CS19" s="164">
        <f t="shared" si="95"/>
        <v>8.1678838659742794E-4</v>
      </c>
      <c r="CT19" s="165">
        <f t="shared" si="96"/>
        <v>1.6492842421678832E-3</v>
      </c>
      <c r="CU19" s="168">
        <f t="shared" si="97"/>
        <v>6.2829875892109836E-5</v>
      </c>
      <c r="CV19" s="165">
        <f t="shared" si="98"/>
        <v>1.0209854832467849E-3</v>
      </c>
      <c r="CW19" s="165">
        <f t="shared" si="99"/>
        <v>6.2829875892109836E-5</v>
      </c>
      <c r="CX19" s="152"/>
      <c r="CY19" s="17" t="s">
        <v>45</v>
      </c>
      <c r="CZ19" s="162">
        <v>3606</v>
      </c>
      <c r="DA19" s="166">
        <f t="shared" si="100"/>
        <v>1.3522270121407937E-3</v>
      </c>
      <c r="DB19" s="48">
        <f t="shared" si="101"/>
        <v>32.992445978418367</v>
      </c>
      <c r="DC19" s="45">
        <f t="shared" si="102"/>
        <v>3.8068206898175042E-2</v>
      </c>
      <c r="DD19" s="45">
        <f t="shared" si="103"/>
        <v>8.5780359543887758E-3</v>
      </c>
      <c r="DE19" s="46">
        <f t="shared" si="26"/>
        <v>9.8977337935255105E-6</v>
      </c>
      <c r="DF19" s="45">
        <f t="shared" si="104"/>
        <v>0.15654915616759515</v>
      </c>
      <c r="DG19" s="46">
        <f t="shared" si="27"/>
        <v>1.8063364173184058E-4</v>
      </c>
      <c r="DH19" s="45">
        <f t="shared" si="105"/>
        <v>0.19712986472104974</v>
      </c>
      <c r="DI19" s="46">
        <f t="shared" si="28"/>
        <v>2.2745753621659584E-4</v>
      </c>
      <c r="DJ19" s="46">
        <f t="shared" si="29"/>
        <v>1.1625607406626011E-3</v>
      </c>
      <c r="DK19" s="45">
        <f t="shared" si="106"/>
        <v>9.8977337935255089E-4</v>
      </c>
      <c r="DL19" s="46">
        <f t="shared" si="107"/>
        <v>3.2992445978418365E-4</v>
      </c>
      <c r="DM19" s="46">
        <f t="shared" si="108"/>
        <v>8.2481114946045915E-4</v>
      </c>
      <c r="DN19" s="46">
        <f t="shared" si="109"/>
        <v>1.6496222989209182E-4</v>
      </c>
      <c r="DO19" s="100">
        <f t="shared" si="110"/>
        <v>6.598489195683673E-4</v>
      </c>
      <c r="DP19" s="100">
        <f t="shared" si="111"/>
        <v>4.9488668967627544E-4</v>
      </c>
      <c r="DQ19" s="46">
        <f t="shared" si="112"/>
        <v>8.2481114946045915E-4</v>
      </c>
      <c r="DR19" s="152"/>
      <c r="DS19" s="23" t="s">
        <v>45</v>
      </c>
      <c r="DT19" s="162">
        <v>3606</v>
      </c>
      <c r="DU19" s="163">
        <f t="shared" si="113"/>
        <v>1.3522270121407937E-3</v>
      </c>
      <c r="DV19" s="111">
        <f t="shared" si="114"/>
        <v>1479.6771124890877</v>
      </c>
      <c r="DW19" s="111">
        <f t="shared" si="30"/>
        <v>133.17094012401787</v>
      </c>
      <c r="DX19" s="165">
        <f t="shared" si="31"/>
        <v>1.2577255456157246E-2</v>
      </c>
      <c r="DY19" s="164">
        <f t="shared" si="32"/>
        <v>1.4512217834027589E-5</v>
      </c>
      <c r="DZ19" s="112">
        <f t="shared" si="33"/>
        <v>0.16276448237379965</v>
      </c>
      <c r="EA19" s="164">
        <f t="shared" si="34"/>
        <v>1.8780517196976881E-4</v>
      </c>
      <c r="EB19" s="112">
        <f t="shared" si="35"/>
        <v>0.44390313374672624</v>
      </c>
      <c r="EC19" s="164">
        <f t="shared" si="36"/>
        <v>5.1219592355391489E-4</v>
      </c>
      <c r="ED19" s="164">
        <f t="shared" si="37"/>
        <v>2.6178902759422321E-3</v>
      </c>
      <c r="EE19" s="165">
        <f t="shared" si="38"/>
        <v>1.8495963906113598E-2</v>
      </c>
      <c r="EF19" s="169">
        <f t="shared" si="115"/>
        <v>0.37228676150225443</v>
      </c>
      <c r="EG19" s="165">
        <f t="shared" si="116"/>
        <v>0.36991927812227193</v>
      </c>
      <c r="EH19" s="169">
        <f t="shared" si="117"/>
        <v>0.32145985268825428</v>
      </c>
      <c r="EI19" s="165">
        <f t="shared" si="118"/>
        <v>0.31813057918515386</v>
      </c>
      <c r="EJ19" s="165">
        <f t="shared" si="119"/>
        <v>3.55122506997381E-3</v>
      </c>
      <c r="EK19" s="165">
        <f t="shared" si="120"/>
        <v>8.8780626749345257E-3</v>
      </c>
      <c r="EL19" s="17" t="s">
        <v>45</v>
      </c>
      <c r="EM19" s="77">
        <f t="shared" si="39"/>
        <v>0.28173960607332177</v>
      </c>
      <c r="EN19" s="82">
        <f t="shared" si="39"/>
        <v>3.2508416085383276E-4</v>
      </c>
      <c r="EO19" s="77">
        <f t="shared" si="39"/>
        <v>7.5841359392397845</v>
      </c>
      <c r="EP19" s="77">
        <f t="shared" si="39"/>
        <v>8.7509260837382117E-3</v>
      </c>
      <c r="EQ19" s="77">
        <f t="shared" si="39"/>
        <v>4.4415276499487009</v>
      </c>
      <c r="ER19" s="77">
        <f t="shared" si="39"/>
        <v>5.1248395960946554E-3</v>
      </c>
      <c r="ES19" s="77">
        <f t="shared" si="39"/>
        <v>2.6193624602261573E-2</v>
      </c>
      <c r="ET19" s="77">
        <f t="shared" si="39"/>
        <v>7.9064094120467461</v>
      </c>
      <c r="EU19" s="77">
        <f t="shared" si="121"/>
        <v>0.81721875001732469</v>
      </c>
      <c r="EV19" s="77">
        <f t="shared" si="122"/>
        <v>0.58654435585957543</v>
      </c>
      <c r="EW19" s="77">
        <f t="shared" si="123"/>
        <v>0.69693513411346997</v>
      </c>
      <c r="EX19" s="77">
        <f t="shared" si="124"/>
        <v>0.4647334809495739</v>
      </c>
      <c r="EY19" s="77">
        <f t="shared" si="125"/>
        <v>0.23185813584774065</v>
      </c>
      <c r="EZ19" s="77">
        <f t="shared" si="125"/>
        <v>0.18853590561747952</v>
      </c>
    </row>
    <row r="20" spans="1:156" ht="18" customHeight="1">
      <c r="A20" s="23" t="s">
        <v>46</v>
      </c>
      <c r="B20" s="105">
        <v>307860</v>
      </c>
      <c r="C20" s="162">
        <v>19658</v>
      </c>
      <c r="D20" s="162">
        <f t="shared" si="40"/>
        <v>288202</v>
      </c>
      <c r="E20" s="163">
        <f t="shared" si="41"/>
        <v>0.10807391274348337</v>
      </c>
      <c r="F20" s="111">
        <f t="shared" si="42"/>
        <v>0</v>
      </c>
      <c r="G20" s="164">
        <f t="shared" si="43"/>
        <v>0</v>
      </c>
      <c r="H20" s="165">
        <f t="shared" si="44"/>
        <v>0</v>
      </c>
      <c r="I20" s="164">
        <f t="shared" si="0"/>
        <v>0</v>
      </c>
      <c r="J20" s="165">
        <f t="shared" si="45"/>
        <v>0</v>
      </c>
      <c r="K20" s="164">
        <f t="shared" si="1"/>
        <v>0</v>
      </c>
      <c r="L20" s="165">
        <f t="shared" si="2"/>
        <v>0</v>
      </c>
      <c r="M20" s="164">
        <f t="shared" si="3"/>
        <v>0</v>
      </c>
      <c r="N20" s="164">
        <f t="shared" si="46"/>
        <v>0</v>
      </c>
      <c r="O20" s="165">
        <f t="shared" si="47"/>
        <v>0</v>
      </c>
      <c r="P20" s="112">
        <f t="shared" si="48"/>
        <v>0</v>
      </c>
      <c r="Q20" s="112">
        <f t="shared" si="49"/>
        <v>0</v>
      </c>
      <c r="R20" s="165">
        <f t="shared" si="50"/>
        <v>0</v>
      </c>
      <c r="S20" s="165">
        <f t="shared" si="51"/>
        <v>0</v>
      </c>
      <c r="T20" s="165">
        <f t="shared" si="52"/>
        <v>0</v>
      </c>
      <c r="U20" s="165">
        <f t="shared" si="53"/>
        <v>0</v>
      </c>
      <c r="V20" s="152"/>
      <c r="W20" s="17" t="s">
        <v>46</v>
      </c>
      <c r="X20" s="162">
        <v>288202</v>
      </c>
      <c r="Y20" s="166">
        <f t="shared" si="54"/>
        <v>0.10807391274348337</v>
      </c>
      <c r="Z20" s="44">
        <f t="shared" si="55"/>
        <v>24235.304747944287</v>
      </c>
      <c r="AA20" s="45">
        <f t="shared" si="56"/>
        <v>23.708450296902019</v>
      </c>
      <c r="AB20" s="45">
        <f t="shared" si="4"/>
        <v>4.1200018071505289</v>
      </c>
      <c r="AC20" s="46">
        <f t="shared" si="5"/>
        <v>4.753848239019841E-3</v>
      </c>
      <c r="AD20" s="45">
        <f t="shared" si="6"/>
        <v>242.35304747944286</v>
      </c>
      <c r="AE20" s="46">
        <f t="shared" si="7"/>
        <v>0.27963813170704949</v>
      </c>
      <c r="AF20" s="45">
        <f t="shared" si="8"/>
        <v>60.588261869860716</v>
      </c>
      <c r="AG20" s="46">
        <f t="shared" si="9"/>
        <v>6.9909532926762372E-2</v>
      </c>
      <c r="AH20" s="45">
        <f t="shared" si="10"/>
        <v>0.35731539051456318</v>
      </c>
      <c r="AI20" s="45">
        <f t="shared" si="11"/>
        <v>516.21199113121327</v>
      </c>
      <c r="AJ20" s="45">
        <f t="shared" si="12"/>
        <v>13.087064563889914</v>
      </c>
      <c r="AK20" s="45">
        <f t="shared" si="57"/>
        <v>28.840012650053701</v>
      </c>
      <c r="AL20" s="45">
        <f t="shared" si="13"/>
        <v>10.057651470396879</v>
      </c>
      <c r="AM20" s="45">
        <f t="shared" si="58"/>
        <v>25.810599556560664</v>
      </c>
      <c r="AN20" s="45">
        <f t="shared" si="59"/>
        <v>15.752948086163787</v>
      </c>
      <c r="AO20" s="45">
        <f t="shared" si="60"/>
        <v>12.117652373972144</v>
      </c>
      <c r="AP20" s="152"/>
      <c r="AQ20" s="17" t="s">
        <v>46</v>
      </c>
      <c r="AR20" s="162">
        <v>288202</v>
      </c>
      <c r="AS20" s="166">
        <f t="shared" si="61"/>
        <v>0.10807391274348337</v>
      </c>
      <c r="AT20" s="44">
        <f t="shared" si="62"/>
        <v>1955.0678889208882</v>
      </c>
      <c r="AU20" s="45">
        <f t="shared" si="63"/>
        <v>2.2558475641394864</v>
      </c>
      <c r="AV20" s="45">
        <f t="shared" si="64"/>
        <v>1.1046133572403016</v>
      </c>
      <c r="AW20" s="46">
        <f t="shared" si="65"/>
        <v>1.2745538737388097E-3</v>
      </c>
      <c r="AX20" s="45">
        <f t="shared" si="66"/>
        <v>53.764366945324426</v>
      </c>
      <c r="AY20" s="46">
        <f t="shared" si="67"/>
        <v>6.2035808013835875E-2</v>
      </c>
      <c r="AZ20" s="45">
        <f t="shared" si="14"/>
        <v>4.8876697223022205</v>
      </c>
      <c r="BA20" s="46">
        <f t="shared" si="68"/>
        <v>5.6396189103487164E-3</v>
      </c>
      <c r="BB20" s="46">
        <f t="shared" si="69"/>
        <v>2.8824718875115663E-2</v>
      </c>
      <c r="BC20" s="45">
        <f t="shared" si="70"/>
        <v>103.52084471836105</v>
      </c>
      <c r="BD20" s="45">
        <f t="shared" si="71"/>
        <v>5.0342998139712876</v>
      </c>
      <c r="BE20" s="45">
        <f t="shared" si="72"/>
        <v>3.5679988972806207</v>
      </c>
      <c r="BF20" s="45">
        <f t="shared" si="15"/>
        <v>2.7957470811568701</v>
      </c>
      <c r="BG20" s="45">
        <f t="shared" si="73"/>
        <v>1.3294461644662039</v>
      </c>
      <c r="BH20" s="97">
        <f t="shared" si="74"/>
        <v>1.4663009166906662</v>
      </c>
      <c r="BI20" s="97">
        <f t="shared" si="75"/>
        <v>0.78202715556835534</v>
      </c>
      <c r="BJ20" s="167"/>
      <c r="BK20" s="23" t="s">
        <v>46</v>
      </c>
      <c r="BL20" s="162">
        <v>288202</v>
      </c>
      <c r="BM20" s="163">
        <f t="shared" si="76"/>
        <v>0.10807391274348337</v>
      </c>
      <c r="BN20" s="112">
        <f t="shared" si="77"/>
        <v>5665.9369864462305</v>
      </c>
      <c r="BO20" s="165">
        <f t="shared" si="78"/>
        <v>6.5376195997456508</v>
      </c>
      <c r="BP20" s="165">
        <f t="shared" si="16"/>
        <v>15.581326712727133</v>
      </c>
      <c r="BQ20" s="164">
        <f t="shared" si="79"/>
        <v>1.7978453899300535E-2</v>
      </c>
      <c r="BR20" s="165">
        <f t="shared" si="17"/>
        <v>283.29684932231152</v>
      </c>
      <c r="BS20" s="164">
        <f t="shared" si="80"/>
        <v>0.32688097998728249</v>
      </c>
      <c r="BT20" s="165">
        <f t="shared" si="18"/>
        <v>237.96935343074168</v>
      </c>
      <c r="BU20" s="164">
        <f t="shared" si="81"/>
        <v>0.27458002318931729</v>
      </c>
      <c r="BV20" s="164">
        <f t="shared" si="82"/>
        <v>1.4034090074120664</v>
      </c>
      <c r="BW20" s="165">
        <f t="shared" si="19"/>
        <v>1.6997810959338693</v>
      </c>
      <c r="BX20" s="165">
        <f t="shared" si="20"/>
        <v>1.4731436164760201</v>
      </c>
      <c r="BY20" s="165">
        <f t="shared" si="83"/>
        <v>0.56659369864462306</v>
      </c>
      <c r="BZ20" s="165">
        <f t="shared" si="21"/>
        <v>1.2181764520859395</v>
      </c>
      <c r="CA20" s="165">
        <f t="shared" si="84"/>
        <v>0.31162653425454268</v>
      </c>
      <c r="CB20" s="165">
        <f t="shared" si="85"/>
        <v>0.90654991783139693</v>
      </c>
      <c r="CC20" s="165">
        <f t="shared" si="86"/>
        <v>1.3881545616793265</v>
      </c>
      <c r="CD20" s="152"/>
      <c r="CE20" s="23" t="s">
        <v>46</v>
      </c>
      <c r="CF20" s="162">
        <v>288202</v>
      </c>
      <c r="CG20" s="163">
        <f t="shared" si="87"/>
        <v>0.10807391274348337</v>
      </c>
      <c r="CH20" s="112">
        <f t="shared" si="88"/>
        <v>125.53865704283027</v>
      </c>
      <c r="CI20" s="165">
        <f t="shared" si="89"/>
        <v>0.12280955580276873</v>
      </c>
      <c r="CJ20" s="164">
        <f t="shared" si="90"/>
        <v>2.0713878412066993E-2</v>
      </c>
      <c r="CK20" s="164">
        <f t="shared" si="22"/>
        <v>2.3900628937000375E-5</v>
      </c>
      <c r="CL20" s="165">
        <f t="shared" si="91"/>
        <v>1.2114480404633121</v>
      </c>
      <c r="CM20" s="164">
        <f t="shared" si="23"/>
        <v>1.3978246620730524E-3</v>
      </c>
      <c r="CN20" s="165">
        <f t="shared" si="92"/>
        <v>0.30129277690279266</v>
      </c>
      <c r="CO20" s="164">
        <f t="shared" si="24"/>
        <v>3.4764551181091456E-4</v>
      </c>
      <c r="CP20" s="164">
        <f t="shared" si="25"/>
        <v>1.7768548381446748E-3</v>
      </c>
      <c r="CQ20" s="165">
        <f t="shared" si="93"/>
        <v>8.9132446500409497</v>
      </c>
      <c r="CR20" s="164">
        <f t="shared" si="94"/>
        <v>0.14688022874011139</v>
      </c>
      <c r="CS20" s="164">
        <f t="shared" si="95"/>
        <v>6.5280101662271744E-2</v>
      </c>
      <c r="CT20" s="165">
        <f t="shared" si="96"/>
        <v>0.1318155898949718</v>
      </c>
      <c r="CU20" s="168">
        <f t="shared" si="97"/>
        <v>5.0215462817132109E-3</v>
      </c>
      <c r="CV20" s="165">
        <f t="shared" si="98"/>
        <v>8.1600127077839674E-2</v>
      </c>
      <c r="CW20" s="165">
        <f t="shared" si="99"/>
        <v>5.0215462817132109E-3</v>
      </c>
      <c r="CX20" s="152"/>
      <c r="CY20" s="17" t="s">
        <v>46</v>
      </c>
      <c r="CZ20" s="162">
        <v>288202</v>
      </c>
      <c r="DA20" s="166">
        <f t="shared" si="100"/>
        <v>0.10807391274348337</v>
      </c>
      <c r="DB20" s="48">
        <f t="shared" si="101"/>
        <v>2636.8521674631529</v>
      </c>
      <c r="DC20" s="45">
        <f t="shared" si="102"/>
        <v>3.0425217316882529</v>
      </c>
      <c r="DD20" s="45">
        <f t="shared" si="103"/>
        <v>0.68558156354041977</v>
      </c>
      <c r="DE20" s="46">
        <f t="shared" si="26"/>
        <v>7.9105565023894584E-4</v>
      </c>
      <c r="DF20" s="45">
        <f t="shared" si="104"/>
        <v>12.511863534612662</v>
      </c>
      <c r="DG20" s="46">
        <f t="shared" si="27"/>
        <v>1.4436765616860763E-2</v>
      </c>
      <c r="DH20" s="45">
        <f t="shared" si="105"/>
        <v>15.755191700592336</v>
      </c>
      <c r="DI20" s="46">
        <f t="shared" si="28"/>
        <v>1.8179067346837312E-2</v>
      </c>
      <c r="DJ20" s="46">
        <f t="shared" si="29"/>
        <v>9.2915233106057371E-2</v>
      </c>
      <c r="DK20" s="45">
        <f t="shared" si="106"/>
        <v>7.9105565023894583E-2</v>
      </c>
      <c r="DL20" s="46">
        <f t="shared" si="107"/>
        <v>2.636852167463153E-2</v>
      </c>
      <c r="DM20" s="46">
        <f t="shared" si="108"/>
        <v>6.5921304186578822E-2</v>
      </c>
      <c r="DN20" s="46">
        <f t="shared" si="109"/>
        <v>1.3184260837315765E-2</v>
      </c>
      <c r="DO20" s="100">
        <f t="shared" si="110"/>
        <v>5.273704334926306E-2</v>
      </c>
      <c r="DP20" s="100">
        <f t="shared" si="111"/>
        <v>3.9552782511947292E-2</v>
      </c>
      <c r="DQ20" s="46">
        <f t="shared" si="112"/>
        <v>6.5921304186578822E-2</v>
      </c>
      <c r="DR20" s="152"/>
      <c r="DS20" s="23" t="s">
        <v>46</v>
      </c>
      <c r="DT20" s="162">
        <v>288202</v>
      </c>
      <c r="DU20" s="163">
        <f t="shared" si="113"/>
        <v>0.10807391274348337</v>
      </c>
      <c r="DV20" s="111">
        <f t="shared" si="114"/>
        <v>118260.09516738215</v>
      </c>
      <c r="DW20" s="111">
        <f t="shared" si="30"/>
        <v>10643.408565064394</v>
      </c>
      <c r="DX20" s="165">
        <f t="shared" si="31"/>
        <v>1.0052108089227483</v>
      </c>
      <c r="DY20" s="164">
        <f t="shared" si="32"/>
        <v>1.1598586256800943E-3</v>
      </c>
      <c r="DZ20" s="112">
        <f t="shared" si="33"/>
        <v>13.008610468412037</v>
      </c>
      <c r="EA20" s="164">
        <f t="shared" si="34"/>
        <v>1.500993515586004E-2</v>
      </c>
      <c r="EB20" s="112">
        <f t="shared" si="35"/>
        <v>35.478028550214646</v>
      </c>
      <c r="EC20" s="164">
        <f t="shared" si="36"/>
        <v>4.0936186788709202E-2</v>
      </c>
      <c r="ED20" s="164">
        <f t="shared" si="37"/>
        <v>0.20922939914229152</v>
      </c>
      <c r="EE20" s="165">
        <f t="shared" si="38"/>
        <v>1.4782511895922772</v>
      </c>
      <c r="EF20" s="169">
        <f t="shared" si="115"/>
        <v>29.754239944113348</v>
      </c>
      <c r="EG20" s="165">
        <f t="shared" si="116"/>
        <v>29.56502379184554</v>
      </c>
      <c r="EH20" s="169">
        <f t="shared" si="117"/>
        <v>25.692005675113773</v>
      </c>
      <c r="EI20" s="165">
        <f t="shared" si="118"/>
        <v>25.425920460987165</v>
      </c>
      <c r="EJ20" s="165">
        <f t="shared" si="119"/>
        <v>0.28382422840171717</v>
      </c>
      <c r="EK20" s="165">
        <f t="shared" si="120"/>
        <v>0.70956057100429293</v>
      </c>
      <c r="EL20" s="17" t="s">
        <v>46</v>
      </c>
      <c r="EM20" s="77">
        <f t="shared" si="39"/>
        <v>22.517448127993198</v>
      </c>
      <c r="EN20" s="82">
        <f t="shared" si="39"/>
        <v>2.5981670916915226E-2</v>
      </c>
      <c r="EO20" s="77">
        <f t="shared" si="39"/>
        <v>606.14618579056685</v>
      </c>
      <c r="EP20" s="77">
        <f t="shared" si="39"/>
        <v>0.69939944514296171</v>
      </c>
      <c r="EQ20" s="77">
        <f t="shared" si="39"/>
        <v>354.97979805061436</v>
      </c>
      <c r="ER20" s="77">
        <f t="shared" si="39"/>
        <v>0.40959207467378583</v>
      </c>
      <c r="ES20" s="77">
        <f t="shared" si="39"/>
        <v>2.0934706038882389</v>
      </c>
      <c r="ET20" s="77">
        <f t="shared" si="39"/>
        <v>631.90321835016528</v>
      </c>
      <c r="EU20" s="77">
        <f t="shared" si="121"/>
        <v>65.314497557541046</v>
      </c>
      <c r="EV20" s="77">
        <f t="shared" si="122"/>
        <v>46.878329574997601</v>
      </c>
      <c r="EW20" s="77">
        <f t="shared" si="123"/>
        <v>55.701081398161485</v>
      </c>
      <c r="EX20" s="77">
        <f t="shared" si="124"/>
        <v>37.142850437223814</v>
      </c>
      <c r="EY20" s="77">
        <f t="shared" si="125"/>
        <v>18.530776058677354</v>
      </c>
      <c r="EZ20" s="77">
        <f t="shared" si="125"/>
        <v>15.068337512692411</v>
      </c>
    </row>
    <row r="21" spans="1:156" ht="18" customHeight="1">
      <c r="A21" s="23" t="s">
        <v>47</v>
      </c>
      <c r="B21" s="105">
        <v>145545</v>
      </c>
      <c r="C21" s="162">
        <v>10108</v>
      </c>
      <c r="D21" s="162">
        <f t="shared" si="40"/>
        <v>135437</v>
      </c>
      <c r="E21" s="163">
        <f t="shared" si="41"/>
        <v>5.0788011603802738E-2</v>
      </c>
      <c r="F21" s="111">
        <f t="shared" si="42"/>
        <v>0</v>
      </c>
      <c r="G21" s="164">
        <f t="shared" si="43"/>
        <v>0</v>
      </c>
      <c r="H21" s="165">
        <f t="shared" si="44"/>
        <v>0</v>
      </c>
      <c r="I21" s="164">
        <f t="shared" si="0"/>
        <v>0</v>
      </c>
      <c r="J21" s="165">
        <f t="shared" si="45"/>
        <v>0</v>
      </c>
      <c r="K21" s="164">
        <f t="shared" si="1"/>
        <v>0</v>
      </c>
      <c r="L21" s="165">
        <f t="shared" si="2"/>
        <v>0</v>
      </c>
      <c r="M21" s="164">
        <f t="shared" si="3"/>
        <v>0</v>
      </c>
      <c r="N21" s="164">
        <f t="shared" si="46"/>
        <v>0</v>
      </c>
      <c r="O21" s="165">
        <f t="shared" si="47"/>
        <v>0</v>
      </c>
      <c r="P21" s="112">
        <f t="shared" si="48"/>
        <v>0</v>
      </c>
      <c r="Q21" s="112">
        <f t="shared" si="49"/>
        <v>0</v>
      </c>
      <c r="R21" s="165">
        <f t="shared" si="50"/>
        <v>0</v>
      </c>
      <c r="S21" s="165">
        <f t="shared" si="51"/>
        <v>0</v>
      </c>
      <c r="T21" s="165">
        <f t="shared" si="52"/>
        <v>0</v>
      </c>
      <c r="U21" s="165">
        <f t="shared" si="53"/>
        <v>0</v>
      </c>
      <c r="V21" s="152"/>
      <c r="W21" s="17" t="s">
        <v>47</v>
      </c>
      <c r="X21" s="162">
        <v>135437</v>
      </c>
      <c r="Y21" s="166">
        <f t="shared" si="54"/>
        <v>5.0788011603802738E-2</v>
      </c>
      <c r="Z21" s="44">
        <f t="shared" si="55"/>
        <v>11389.084632123755</v>
      </c>
      <c r="AA21" s="45">
        <f t="shared" si="56"/>
        <v>11.14149583577324</v>
      </c>
      <c r="AB21" s="45">
        <f t="shared" si="4"/>
        <v>1.9361443874610385</v>
      </c>
      <c r="AC21" s="46">
        <f t="shared" si="5"/>
        <v>2.2340127547627367E-3</v>
      </c>
      <c r="AD21" s="45">
        <f t="shared" si="6"/>
        <v>113.89084632123755</v>
      </c>
      <c r="AE21" s="46">
        <f t="shared" si="7"/>
        <v>0.13141251498604331</v>
      </c>
      <c r="AF21" s="45">
        <f t="shared" si="8"/>
        <v>28.472711580309387</v>
      </c>
      <c r="AG21" s="46">
        <f t="shared" si="9"/>
        <v>3.2853128746510828E-2</v>
      </c>
      <c r="AH21" s="45">
        <f t="shared" si="10"/>
        <v>0.16791599137105537</v>
      </c>
      <c r="AI21" s="45">
        <f t="shared" si="11"/>
        <v>242.58750266423601</v>
      </c>
      <c r="AJ21" s="45">
        <f t="shared" si="12"/>
        <v>6.1501057013468277</v>
      </c>
      <c r="AK21" s="45">
        <f t="shared" si="57"/>
        <v>13.553010712227268</v>
      </c>
      <c r="AL21" s="45">
        <f t="shared" si="13"/>
        <v>4.7264701223313574</v>
      </c>
      <c r="AM21" s="45">
        <f t="shared" si="58"/>
        <v>12.129375133211798</v>
      </c>
      <c r="AN21" s="45">
        <f t="shared" si="59"/>
        <v>7.4029050108804411</v>
      </c>
      <c r="AO21" s="45">
        <f t="shared" si="60"/>
        <v>5.6945423160618773</v>
      </c>
      <c r="AP21" s="152"/>
      <c r="AQ21" s="17" t="s">
        <v>47</v>
      </c>
      <c r="AR21" s="162">
        <v>135437</v>
      </c>
      <c r="AS21" s="166">
        <f t="shared" si="61"/>
        <v>5.0788011603802738E-2</v>
      </c>
      <c r="AT21" s="44">
        <f t="shared" si="62"/>
        <v>918.76020871395178</v>
      </c>
      <c r="AU21" s="45">
        <f t="shared" si="63"/>
        <v>1.0601079331314829</v>
      </c>
      <c r="AV21" s="45">
        <f t="shared" si="64"/>
        <v>0.51909951792338271</v>
      </c>
      <c r="AW21" s="46">
        <f t="shared" si="65"/>
        <v>5.9896098221928773E-4</v>
      </c>
      <c r="AX21" s="45">
        <f t="shared" si="66"/>
        <v>25.265905739633677</v>
      </c>
      <c r="AY21" s="46">
        <f t="shared" si="67"/>
        <v>2.9152968161115778E-2</v>
      </c>
      <c r="AZ21" s="45">
        <f t="shared" si="14"/>
        <v>2.2969005217848792</v>
      </c>
      <c r="BA21" s="46">
        <f t="shared" si="68"/>
        <v>2.6502698328287064E-3</v>
      </c>
      <c r="BB21" s="46">
        <f t="shared" si="69"/>
        <v>1.3545823590013391E-2</v>
      </c>
      <c r="BC21" s="45">
        <f t="shared" si="70"/>
        <v>48.648353051403745</v>
      </c>
      <c r="BD21" s="45">
        <f t="shared" si="71"/>
        <v>2.365807537438426</v>
      </c>
      <c r="BE21" s="45">
        <f t="shared" si="72"/>
        <v>1.676737380902962</v>
      </c>
      <c r="BF21" s="45">
        <f t="shared" si="15"/>
        <v>1.313827098460951</v>
      </c>
      <c r="BG21" s="45">
        <f t="shared" si="73"/>
        <v>0.62475694192548725</v>
      </c>
      <c r="BH21" s="97">
        <f t="shared" si="74"/>
        <v>0.68907015653546388</v>
      </c>
      <c r="BI21" s="97">
        <f t="shared" si="75"/>
        <v>0.36750408348558072</v>
      </c>
      <c r="BJ21" s="167"/>
      <c r="BK21" s="23" t="s">
        <v>47</v>
      </c>
      <c r="BL21" s="162">
        <v>135437</v>
      </c>
      <c r="BM21" s="163">
        <f t="shared" si="76"/>
        <v>5.0788011603802738E-2</v>
      </c>
      <c r="BN21" s="112">
        <f t="shared" si="77"/>
        <v>2662.6376903467644</v>
      </c>
      <c r="BO21" s="165">
        <f t="shared" si="78"/>
        <v>3.0722742580924205</v>
      </c>
      <c r="BP21" s="165">
        <f t="shared" si="16"/>
        <v>7.3222536484536018</v>
      </c>
      <c r="BQ21" s="164">
        <f t="shared" si="79"/>
        <v>8.448754209754156E-3</v>
      </c>
      <c r="BR21" s="165">
        <f t="shared" si="17"/>
        <v>133.13188451733822</v>
      </c>
      <c r="BS21" s="164">
        <f t="shared" si="80"/>
        <v>0.153613712904621</v>
      </c>
      <c r="BT21" s="165">
        <f t="shared" si="18"/>
        <v>111.8307829945641</v>
      </c>
      <c r="BU21" s="164">
        <f t="shared" si="81"/>
        <v>0.12903551883988165</v>
      </c>
      <c r="BV21" s="164">
        <f t="shared" si="82"/>
        <v>0.65951487407050624</v>
      </c>
      <c r="BW21" s="165">
        <f t="shared" si="19"/>
        <v>0.79879130710402935</v>
      </c>
      <c r="BX21" s="165">
        <f t="shared" si="20"/>
        <v>0.69228579949015878</v>
      </c>
      <c r="BY21" s="165">
        <f t="shared" si="83"/>
        <v>0.26626376903467647</v>
      </c>
      <c r="BZ21" s="165">
        <f t="shared" si="21"/>
        <v>0.57246710342455431</v>
      </c>
      <c r="CA21" s="165">
        <f t="shared" si="84"/>
        <v>0.14644507296907205</v>
      </c>
      <c r="CB21" s="165">
        <f t="shared" si="85"/>
        <v>0.42602203045548231</v>
      </c>
      <c r="CC21" s="165">
        <f t="shared" si="86"/>
        <v>0.65234623413495729</v>
      </c>
      <c r="CD21" s="152"/>
      <c r="CE21" s="23" t="s">
        <v>47</v>
      </c>
      <c r="CF21" s="162">
        <v>135437</v>
      </c>
      <c r="CG21" s="163">
        <f t="shared" si="87"/>
        <v>5.0788011603802738E-2</v>
      </c>
      <c r="CH21" s="112">
        <f t="shared" si="88"/>
        <v>58.995354278977253</v>
      </c>
      <c r="CI21" s="165">
        <f t="shared" si="89"/>
        <v>5.7712846577260356E-2</v>
      </c>
      <c r="CJ21" s="164">
        <f t="shared" si="90"/>
        <v>9.7342334560312476E-3</v>
      </c>
      <c r="CK21" s="164">
        <f t="shared" si="22"/>
        <v>1.1231807833882209E-5</v>
      </c>
      <c r="CL21" s="165">
        <f t="shared" si="91"/>
        <v>0.56930516879213056</v>
      </c>
      <c r="CM21" s="164">
        <f t="shared" si="23"/>
        <v>6.5689057937553521E-4</v>
      </c>
      <c r="CN21" s="165">
        <f t="shared" si="92"/>
        <v>0.1415888502695454</v>
      </c>
      <c r="CO21" s="164">
        <f t="shared" si="24"/>
        <v>1.6337175031101391E-4</v>
      </c>
      <c r="CP21" s="164">
        <f t="shared" si="25"/>
        <v>8.3501116825629353E-4</v>
      </c>
      <c r="CQ21" s="165">
        <f t="shared" si="93"/>
        <v>4.1886701538073847</v>
      </c>
      <c r="CR21" s="164">
        <f t="shared" si="94"/>
        <v>6.9024564506403374E-2</v>
      </c>
      <c r="CS21" s="164">
        <f t="shared" si="95"/>
        <v>3.0677584225068173E-2</v>
      </c>
      <c r="CT21" s="165">
        <f t="shared" si="96"/>
        <v>6.1945121992926115E-2</v>
      </c>
      <c r="CU21" s="168">
        <f t="shared" si="97"/>
        <v>2.3598141711590899E-3</v>
      </c>
      <c r="CV21" s="165">
        <f t="shared" si="98"/>
        <v>3.8346980281335215E-2</v>
      </c>
      <c r="CW21" s="165">
        <f t="shared" si="99"/>
        <v>2.3598141711590899E-3</v>
      </c>
      <c r="CX21" s="152"/>
      <c r="CY21" s="17" t="s">
        <v>47</v>
      </c>
      <c r="CZ21" s="162">
        <v>135437</v>
      </c>
      <c r="DA21" s="166">
        <f t="shared" si="100"/>
        <v>5.0788011603802738E-2</v>
      </c>
      <c r="DB21" s="48">
        <f t="shared" si="101"/>
        <v>1239.1563799165415</v>
      </c>
      <c r="DC21" s="45">
        <f t="shared" si="102"/>
        <v>1.4297958229806247</v>
      </c>
      <c r="DD21" s="45">
        <f t="shared" si="103"/>
        <v>0.32218065877830082</v>
      </c>
      <c r="DE21" s="46">
        <f t="shared" si="26"/>
        <v>3.717469139749625E-4</v>
      </c>
      <c r="DF21" s="45">
        <f t="shared" si="104"/>
        <v>5.8797970227039897</v>
      </c>
      <c r="DG21" s="46">
        <f t="shared" si="27"/>
        <v>6.7843811800430646E-3</v>
      </c>
      <c r="DH21" s="45">
        <f t="shared" si="105"/>
        <v>7.4039593700013349</v>
      </c>
      <c r="DI21" s="46">
        <f t="shared" si="28"/>
        <v>8.5430300423092308E-3</v>
      </c>
      <c r="DJ21" s="46">
        <f t="shared" si="29"/>
        <v>4.3664375771802745E-2</v>
      </c>
      <c r="DK21" s="45">
        <f t="shared" si="106"/>
        <v>3.717469139749624E-2</v>
      </c>
      <c r="DL21" s="46">
        <f t="shared" si="107"/>
        <v>1.2391563799165414E-2</v>
      </c>
      <c r="DM21" s="46">
        <f t="shared" si="108"/>
        <v>3.0978909497913539E-2</v>
      </c>
      <c r="DN21" s="46">
        <f t="shared" si="109"/>
        <v>6.195781899582707E-3</v>
      </c>
      <c r="DO21" s="100">
        <f t="shared" si="110"/>
        <v>2.4783127598330828E-2</v>
      </c>
      <c r="DP21" s="100">
        <f t="shared" si="111"/>
        <v>1.858734569874812E-2</v>
      </c>
      <c r="DQ21" s="46">
        <f t="shared" si="112"/>
        <v>3.0978909497913539E-2</v>
      </c>
      <c r="DR21" s="152"/>
      <c r="DS21" s="23" t="s">
        <v>47</v>
      </c>
      <c r="DT21" s="162">
        <v>135437</v>
      </c>
      <c r="DU21" s="163">
        <f t="shared" si="113"/>
        <v>5.0788011603802738E-2</v>
      </c>
      <c r="DV21" s="111">
        <f t="shared" si="114"/>
        <v>55574.883273484353</v>
      </c>
      <c r="DW21" s="111">
        <f t="shared" si="30"/>
        <v>5001.7394946135919</v>
      </c>
      <c r="DX21" s="165">
        <f t="shared" si="31"/>
        <v>0.472386507824617</v>
      </c>
      <c r="DY21" s="164">
        <f t="shared" si="32"/>
        <v>5.4506135518225037E-4</v>
      </c>
      <c r="DZ21" s="112">
        <f t="shared" si="33"/>
        <v>6.1132371600832789</v>
      </c>
      <c r="EA21" s="164">
        <f t="shared" si="34"/>
        <v>7.0537351847114755E-3</v>
      </c>
      <c r="EB21" s="112">
        <f t="shared" si="35"/>
        <v>16.672464982045305</v>
      </c>
      <c r="EC21" s="164">
        <f t="shared" si="36"/>
        <v>1.9237459594667661E-2</v>
      </c>
      <c r="ED21" s="164">
        <f t="shared" si="37"/>
        <v>9.8324793483856934E-2</v>
      </c>
      <c r="EE21" s="165">
        <f t="shared" si="38"/>
        <v>0.69468604091855446</v>
      </c>
      <c r="EF21" s="169">
        <f t="shared" si="115"/>
        <v>13.982640631608664</v>
      </c>
      <c r="EG21" s="165">
        <f t="shared" si="116"/>
        <v>13.893720818371088</v>
      </c>
      <c r="EH21" s="169">
        <f t="shared" si="117"/>
        <v>12.073643391164476</v>
      </c>
      <c r="EI21" s="165">
        <f t="shared" si="118"/>
        <v>11.948599903799135</v>
      </c>
      <c r="EJ21" s="165">
        <f t="shared" si="119"/>
        <v>0.13337971985636243</v>
      </c>
      <c r="EK21" s="165">
        <f t="shared" si="120"/>
        <v>0.33344929964090614</v>
      </c>
      <c r="EL21" s="17" t="s">
        <v>47</v>
      </c>
      <c r="EM21" s="77">
        <f t="shared" si="39"/>
        <v>10.581798953896971</v>
      </c>
      <c r="EN21" s="82">
        <f t="shared" si="39"/>
        <v>1.2209768023727276E-2</v>
      </c>
      <c r="EO21" s="77">
        <f t="shared" si="39"/>
        <v>284.85097592978883</v>
      </c>
      <c r="EP21" s="77">
        <f t="shared" si="39"/>
        <v>0.32867420299591016</v>
      </c>
      <c r="EQ21" s="77">
        <f t="shared" si="39"/>
        <v>166.81840829897456</v>
      </c>
      <c r="ER21" s="77">
        <f t="shared" si="39"/>
        <v>0.19248277880650908</v>
      </c>
      <c r="ES21" s="77">
        <f t="shared" si="39"/>
        <v>0.98380086945549083</v>
      </c>
      <c r="ET21" s="77">
        <f t="shared" si="39"/>
        <v>296.95517790886726</v>
      </c>
      <c r="EU21" s="77">
        <f t="shared" si="121"/>
        <v>30.693748154768834</v>
      </c>
      <c r="EV21" s="77">
        <f t="shared" si="122"/>
        <v>22.029896817679788</v>
      </c>
      <c r="EW21" s="77">
        <f t="shared" si="123"/>
        <v>26.176040975853034</v>
      </c>
      <c r="EX21" s="77">
        <f t="shared" si="124"/>
        <v>17.454827637095793</v>
      </c>
      <c r="EY21" s="77">
        <f t="shared" si="125"/>
        <v>8.7083112437078345</v>
      </c>
      <c r="EZ21" s="77">
        <f t="shared" si="125"/>
        <v>7.0811806569923936</v>
      </c>
    </row>
    <row r="22" spans="1:156" ht="18" customHeight="1">
      <c r="A22" s="23" t="s">
        <v>48</v>
      </c>
      <c r="B22" s="105">
        <v>556104</v>
      </c>
      <c r="C22" s="162">
        <v>9668</v>
      </c>
      <c r="D22" s="162">
        <f t="shared" si="40"/>
        <v>546436</v>
      </c>
      <c r="E22" s="163">
        <f t="shared" si="41"/>
        <v>0.20491001652971899</v>
      </c>
      <c r="F22" s="111">
        <f t="shared" si="42"/>
        <v>0</v>
      </c>
      <c r="G22" s="164">
        <f t="shared" si="43"/>
        <v>0</v>
      </c>
      <c r="H22" s="165">
        <f t="shared" si="44"/>
        <v>0</v>
      </c>
      <c r="I22" s="164">
        <f t="shared" si="0"/>
        <v>0</v>
      </c>
      <c r="J22" s="165">
        <f t="shared" si="45"/>
        <v>0</v>
      </c>
      <c r="K22" s="164">
        <f t="shared" si="1"/>
        <v>0</v>
      </c>
      <c r="L22" s="165">
        <f t="shared" si="2"/>
        <v>0</v>
      </c>
      <c r="M22" s="164">
        <f t="shared" si="3"/>
        <v>0</v>
      </c>
      <c r="N22" s="164">
        <f t="shared" si="46"/>
        <v>0</v>
      </c>
      <c r="O22" s="165">
        <f t="shared" si="47"/>
        <v>0</v>
      </c>
      <c r="P22" s="112">
        <f t="shared" si="48"/>
        <v>0</v>
      </c>
      <c r="Q22" s="112">
        <f t="shared" si="49"/>
        <v>0</v>
      </c>
      <c r="R22" s="165">
        <f t="shared" si="50"/>
        <v>0</v>
      </c>
      <c r="S22" s="165">
        <f t="shared" si="51"/>
        <v>0</v>
      </c>
      <c r="T22" s="165">
        <f t="shared" si="52"/>
        <v>0</v>
      </c>
      <c r="U22" s="165">
        <f t="shared" si="53"/>
        <v>0</v>
      </c>
      <c r="V22" s="152"/>
      <c r="W22" s="17" t="s">
        <v>48</v>
      </c>
      <c r="X22" s="162">
        <v>546436</v>
      </c>
      <c r="Y22" s="166">
        <f t="shared" si="54"/>
        <v>0.20491001652971899</v>
      </c>
      <c r="Z22" s="44">
        <f t="shared" si="55"/>
        <v>45950.558931748157</v>
      </c>
      <c r="AA22" s="45">
        <f t="shared" si="56"/>
        <v>44.951633737579719</v>
      </c>
      <c r="AB22" s="45">
        <f t="shared" si="4"/>
        <v>7.8115950183971874</v>
      </c>
      <c r="AC22" s="46">
        <f t="shared" si="5"/>
        <v>9.0133788673813688E-3</v>
      </c>
      <c r="AD22" s="45">
        <f t="shared" si="6"/>
        <v>459.50558931748157</v>
      </c>
      <c r="AE22" s="46">
        <f t="shared" si="7"/>
        <v>0.53019875690478635</v>
      </c>
      <c r="AF22" s="45">
        <f t="shared" si="8"/>
        <v>114.87639732937039</v>
      </c>
      <c r="AG22" s="46">
        <f t="shared" si="9"/>
        <v>0.13254968922619659</v>
      </c>
      <c r="AH22" s="45">
        <f t="shared" si="10"/>
        <v>0.6774761893783382</v>
      </c>
      <c r="AI22" s="45">
        <f t="shared" si="11"/>
        <v>978.74690524623577</v>
      </c>
      <c r="AJ22" s="45">
        <f t="shared" si="12"/>
        <v>24.813301823144009</v>
      </c>
      <c r="AK22" s="45">
        <f t="shared" si="57"/>
        <v>54.6811651287803</v>
      </c>
      <c r="AL22" s="45">
        <f t="shared" si="13"/>
        <v>19.069481956675485</v>
      </c>
      <c r="AM22" s="45">
        <f t="shared" si="58"/>
        <v>48.937345262311787</v>
      </c>
      <c r="AN22" s="45">
        <f t="shared" si="59"/>
        <v>29.867863305636302</v>
      </c>
      <c r="AO22" s="45">
        <f t="shared" si="60"/>
        <v>22.975279465874078</v>
      </c>
      <c r="AP22" s="152"/>
      <c r="AQ22" s="17" t="s">
        <v>48</v>
      </c>
      <c r="AR22" s="162">
        <v>546436</v>
      </c>
      <c r="AS22" s="166">
        <f t="shared" si="61"/>
        <v>0.20491001652971899</v>
      </c>
      <c r="AT22" s="44">
        <f t="shared" si="62"/>
        <v>3706.8426900242694</v>
      </c>
      <c r="AU22" s="45">
        <f t="shared" si="63"/>
        <v>4.2771261807972332</v>
      </c>
      <c r="AV22" s="45">
        <f t="shared" si="64"/>
        <v>2.0943661198637118</v>
      </c>
      <c r="AW22" s="46">
        <f t="shared" si="65"/>
        <v>2.4165762921504368E-3</v>
      </c>
      <c r="AX22" s="45">
        <f t="shared" si="66"/>
        <v>101.93817397566741</v>
      </c>
      <c r="AY22" s="46">
        <f t="shared" si="67"/>
        <v>0.11762096997192394</v>
      </c>
      <c r="AZ22" s="45">
        <f t="shared" si="14"/>
        <v>9.2671067250606747</v>
      </c>
      <c r="BA22" s="46">
        <f t="shared" si="68"/>
        <v>1.0692815451993087E-2</v>
      </c>
      <c r="BB22" s="46">
        <f t="shared" si="69"/>
        <v>5.4652167865742438E-2</v>
      </c>
      <c r="BC22" s="45">
        <f t="shared" si="70"/>
        <v>196.27732043678509</v>
      </c>
      <c r="BD22" s="45">
        <f t="shared" si="71"/>
        <v>9.5451199268124949</v>
      </c>
      <c r="BE22" s="45">
        <f t="shared" si="72"/>
        <v>6.7649879092942911</v>
      </c>
      <c r="BF22" s="45">
        <f t="shared" si="15"/>
        <v>5.3007850467347053</v>
      </c>
      <c r="BG22" s="45">
        <f t="shared" si="73"/>
        <v>2.5206530292165032</v>
      </c>
      <c r="BH22" s="97">
        <f t="shared" si="74"/>
        <v>2.7801320175182016</v>
      </c>
      <c r="BI22" s="97">
        <f t="shared" si="75"/>
        <v>1.4827370760097078</v>
      </c>
      <c r="BJ22" s="167"/>
      <c r="BK22" s="23" t="s">
        <v>48</v>
      </c>
      <c r="BL22" s="162">
        <v>546436</v>
      </c>
      <c r="BM22" s="163">
        <f t="shared" si="76"/>
        <v>0.20491001652971899</v>
      </c>
      <c r="BN22" s="112">
        <f t="shared" si="77"/>
        <v>10742.714981595313</v>
      </c>
      <c r="BO22" s="165">
        <f t="shared" si="78"/>
        <v>12.395440363379207</v>
      </c>
      <c r="BP22" s="165">
        <f t="shared" si="16"/>
        <v>29.542466199387107</v>
      </c>
      <c r="BQ22" s="164">
        <f t="shared" si="79"/>
        <v>3.4087460999292815E-2</v>
      </c>
      <c r="BR22" s="165">
        <f t="shared" si="17"/>
        <v>537.13574907976567</v>
      </c>
      <c r="BS22" s="164">
        <f t="shared" si="80"/>
        <v>0.61977201816896033</v>
      </c>
      <c r="BT22" s="165">
        <f t="shared" si="18"/>
        <v>451.19402922700311</v>
      </c>
      <c r="BU22" s="164">
        <f t="shared" si="81"/>
        <v>0.52060849526192665</v>
      </c>
      <c r="BV22" s="164">
        <f t="shared" si="82"/>
        <v>2.6608878646720697</v>
      </c>
      <c r="BW22" s="165">
        <f t="shared" si="19"/>
        <v>3.2228144944785937</v>
      </c>
      <c r="BX22" s="165">
        <f t="shared" si="20"/>
        <v>2.7931058952147816</v>
      </c>
      <c r="BY22" s="165">
        <f t="shared" si="83"/>
        <v>1.0742714981595314</v>
      </c>
      <c r="BZ22" s="165">
        <f t="shared" si="21"/>
        <v>2.3096837210429921</v>
      </c>
      <c r="CA22" s="165">
        <f t="shared" si="84"/>
        <v>0.59084932398774215</v>
      </c>
      <c r="CB22" s="165">
        <f t="shared" si="85"/>
        <v>1.71883439705525</v>
      </c>
      <c r="CC22" s="165">
        <f t="shared" si="86"/>
        <v>2.6319651704908513</v>
      </c>
      <c r="CD22" s="152"/>
      <c r="CE22" s="23" t="s">
        <v>48</v>
      </c>
      <c r="CF22" s="162">
        <v>546436</v>
      </c>
      <c r="CG22" s="163">
        <f t="shared" si="87"/>
        <v>0.20491001652971899</v>
      </c>
      <c r="CH22" s="112">
        <f t="shared" si="88"/>
        <v>238.02347520092155</v>
      </c>
      <c r="CI22" s="165">
        <f t="shared" si="89"/>
        <v>0.23284905182698848</v>
      </c>
      <c r="CJ22" s="164">
        <f t="shared" si="90"/>
        <v>3.9273873408152055E-2</v>
      </c>
      <c r="CK22" s="164">
        <f t="shared" si="22"/>
        <v>4.5316007778636985E-5</v>
      </c>
      <c r="CL22" s="165">
        <f t="shared" si="91"/>
        <v>2.2969265356888933</v>
      </c>
      <c r="CM22" s="164">
        <f t="shared" si="23"/>
        <v>2.6502998488718002E-3</v>
      </c>
      <c r="CN22" s="165">
        <f t="shared" si="92"/>
        <v>0.57125634048221174</v>
      </c>
      <c r="CO22" s="164">
        <f t="shared" si="24"/>
        <v>6.5914193132562895E-4</v>
      </c>
      <c r="CP22" s="164">
        <f t="shared" si="25"/>
        <v>3.3689476489976592E-3</v>
      </c>
      <c r="CQ22" s="165">
        <f t="shared" si="93"/>
        <v>16.899666739265431</v>
      </c>
      <c r="CR22" s="164">
        <f t="shared" si="94"/>
        <v>0.27848746598507818</v>
      </c>
      <c r="CS22" s="164">
        <f t="shared" si="95"/>
        <v>0.12377220710447921</v>
      </c>
      <c r="CT22" s="165">
        <f t="shared" si="96"/>
        <v>0.24992464896096764</v>
      </c>
      <c r="CU22" s="168">
        <f t="shared" si="97"/>
        <v>9.5209390080368619E-3</v>
      </c>
      <c r="CV22" s="165">
        <f t="shared" si="98"/>
        <v>0.154715258880599</v>
      </c>
      <c r="CW22" s="165">
        <f t="shared" si="99"/>
        <v>9.5209390080368619E-3</v>
      </c>
      <c r="CX22" s="152"/>
      <c r="CY22" s="17" t="s">
        <v>48</v>
      </c>
      <c r="CZ22" s="162">
        <v>546436</v>
      </c>
      <c r="DA22" s="166">
        <f t="shared" si="100"/>
        <v>0.20491001652971899</v>
      </c>
      <c r="DB22" s="48">
        <f t="shared" si="101"/>
        <v>4999.5175293020011</v>
      </c>
      <c r="DC22" s="45">
        <f t="shared" si="102"/>
        <v>5.7686740722715397</v>
      </c>
      <c r="DD22" s="45">
        <f t="shared" si="103"/>
        <v>1.2998745576185204</v>
      </c>
      <c r="DE22" s="46">
        <f t="shared" si="26"/>
        <v>1.4998552587906005E-3</v>
      </c>
      <c r="DF22" s="45">
        <f t="shared" si="104"/>
        <v>23.722710676537993</v>
      </c>
      <c r="DG22" s="46">
        <f t="shared" si="27"/>
        <v>2.7372358472928449E-2</v>
      </c>
      <c r="DH22" s="45">
        <f t="shared" si="105"/>
        <v>29.872117237579456</v>
      </c>
      <c r="DI22" s="46">
        <f t="shared" si="28"/>
        <v>3.4467827581822444E-2</v>
      </c>
      <c r="DJ22" s="46">
        <f t="shared" si="29"/>
        <v>0.17616889652931475</v>
      </c>
      <c r="DK22" s="45">
        <f t="shared" si="106"/>
        <v>0.14998552587906003</v>
      </c>
      <c r="DL22" s="46">
        <f t="shared" si="107"/>
        <v>4.9995175293020014E-2</v>
      </c>
      <c r="DM22" s="46">
        <f t="shared" si="108"/>
        <v>0.12498793823255004</v>
      </c>
      <c r="DN22" s="46">
        <f t="shared" si="109"/>
        <v>2.4997587646510007E-2</v>
      </c>
      <c r="DO22" s="100">
        <f t="shared" si="110"/>
        <v>9.9990350586040028E-2</v>
      </c>
      <c r="DP22" s="100">
        <f t="shared" si="111"/>
        <v>7.4992762939530014E-2</v>
      </c>
      <c r="DQ22" s="46">
        <f t="shared" si="112"/>
        <v>0.12498793823255004</v>
      </c>
      <c r="DR22" s="152"/>
      <c r="DS22" s="23" t="s">
        <v>48</v>
      </c>
      <c r="DT22" s="162">
        <v>546436</v>
      </c>
      <c r="DU22" s="163">
        <f t="shared" si="113"/>
        <v>0.20491001652971899</v>
      </c>
      <c r="DV22" s="111">
        <f t="shared" si="114"/>
        <v>224223.19540767805</v>
      </c>
      <c r="DW22" s="111">
        <f t="shared" si="30"/>
        <v>20180.087586691025</v>
      </c>
      <c r="DX22" s="165">
        <f t="shared" si="31"/>
        <v>1.9058971609652635</v>
      </c>
      <c r="DY22" s="164">
        <f t="shared" si="32"/>
        <v>2.1991121088060736E-3</v>
      </c>
      <c r="DZ22" s="112">
        <f t="shared" si="33"/>
        <v>24.664551494844584</v>
      </c>
      <c r="EA22" s="164">
        <f t="shared" si="34"/>
        <v>2.8459097878666826E-2</v>
      </c>
      <c r="EB22" s="112">
        <f t="shared" si="35"/>
        <v>67.266958622303406</v>
      </c>
      <c r="EC22" s="164">
        <f t="shared" si="36"/>
        <v>7.7615721487273151E-2</v>
      </c>
      <c r="ED22" s="164">
        <f t="shared" si="37"/>
        <v>0.39670257649050727</v>
      </c>
      <c r="EE22" s="165">
        <f t="shared" si="38"/>
        <v>2.8027899425959757</v>
      </c>
      <c r="EF22" s="169">
        <f t="shared" si="115"/>
        <v>56.414555964571797</v>
      </c>
      <c r="EG22" s="165">
        <f t="shared" si="116"/>
        <v>56.055798851919512</v>
      </c>
      <c r="EH22" s="169">
        <f t="shared" si="117"/>
        <v>48.712489202318061</v>
      </c>
      <c r="EI22" s="165">
        <f t="shared" si="118"/>
        <v>48.207987012650783</v>
      </c>
      <c r="EJ22" s="165">
        <f t="shared" si="119"/>
        <v>0.53813566897842724</v>
      </c>
      <c r="EK22" s="165">
        <f t="shared" si="120"/>
        <v>1.3453391724460682</v>
      </c>
      <c r="EL22" s="17" t="s">
        <v>48</v>
      </c>
      <c r="EM22" s="77">
        <f t="shared" si="39"/>
        <v>42.693472929639938</v>
      </c>
      <c r="EN22" s="82">
        <f t="shared" si="39"/>
        <v>4.9261699534199933E-2</v>
      </c>
      <c r="EO22" s="77">
        <f t="shared" si="39"/>
        <v>1149.2637010799863</v>
      </c>
      <c r="EP22" s="77">
        <f t="shared" si="39"/>
        <v>1.3260735012461375</v>
      </c>
      <c r="EQ22" s="77">
        <f t="shared" si="39"/>
        <v>673.04786548179925</v>
      </c>
      <c r="ER22" s="77">
        <f t="shared" si="39"/>
        <v>0.77659369094053754</v>
      </c>
      <c r="ES22" s="77">
        <f t="shared" si="39"/>
        <v>3.9692566425849702</v>
      </c>
      <c r="ET22" s="77">
        <f t="shared" si="39"/>
        <v>1198.09948238524</v>
      </c>
      <c r="EU22" s="77">
        <f t="shared" si="121"/>
        <v>123.83742231959701</v>
      </c>
      <c r="EV22" s="77">
        <f t="shared" si="122"/>
        <v>88.882127464914845</v>
      </c>
      <c r="EW22" s="77">
        <f t="shared" si="123"/>
        <v>105.61021823195455</v>
      </c>
      <c r="EX22" s="77">
        <f t="shared" si="124"/>
        <v>70.42348984918506</v>
      </c>
      <c r="EY22" s="77">
        <f t="shared" si="125"/>
        <v>35.134673411008308</v>
      </c>
      <c r="EZ22" s="77">
        <f t="shared" si="125"/>
        <v>28.569829762061293</v>
      </c>
    </row>
    <row r="23" spans="1:156" ht="17.25" customHeight="1">
      <c r="A23" s="23" t="s">
        <v>49</v>
      </c>
      <c r="B23" s="105">
        <v>267175</v>
      </c>
      <c r="C23" s="162">
        <v>31279</v>
      </c>
      <c r="D23" s="162">
        <f t="shared" si="40"/>
        <v>235896</v>
      </c>
      <c r="E23" s="163">
        <f t="shared" si="41"/>
        <v>8.8459496188564801E-2</v>
      </c>
      <c r="F23" s="111">
        <f t="shared" si="42"/>
        <v>0</v>
      </c>
      <c r="G23" s="164">
        <f t="shared" si="43"/>
        <v>0</v>
      </c>
      <c r="H23" s="165">
        <f t="shared" si="44"/>
        <v>0</v>
      </c>
      <c r="I23" s="164">
        <f t="shared" si="0"/>
        <v>0</v>
      </c>
      <c r="J23" s="165">
        <f t="shared" si="45"/>
        <v>0</v>
      </c>
      <c r="K23" s="164">
        <f t="shared" si="1"/>
        <v>0</v>
      </c>
      <c r="L23" s="165">
        <f t="shared" si="2"/>
        <v>0</v>
      </c>
      <c r="M23" s="164">
        <f t="shared" si="3"/>
        <v>0</v>
      </c>
      <c r="N23" s="164">
        <f t="shared" si="46"/>
        <v>0</v>
      </c>
      <c r="O23" s="165">
        <f t="shared" si="47"/>
        <v>0</v>
      </c>
      <c r="P23" s="112">
        <f t="shared" si="48"/>
        <v>0</v>
      </c>
      <c r="Q23" s="112">
        <f t="shared" si="49"/>
        <v>0</v>
      </c>
      <c r="R23" s="165">
        <f t="shared" si="50"/>
        <v>0</v>
      </c>
      <c r="S23" s="165">
        <f t="shared" si="51"/>
        <v>0</v>
      </c>
      <c r="T23" s="165">
        <f t="shared" si="52"/>
        <v>0</v>
      </c>
      <c r="U23" s="165">
        <f t="shared" si="53"/>
        <v>0</v>
      </c>
      <c r="V23" s="152"/>
      <c r="W23" s="17" t="s">
        <v>49</v>
      </c>
      <c r="X23" s="162">
        <v>235896</v>
      </c>
      <c r="Y23" s="166">
        <f t="shared" si="54"/>
        <v>8.8459496188564801E-2</v>
      </c>
      <c r="Z23" s="44">
        <f t="shared" si="55"/>
        <v>19836.820871545184</v>
      </c>
      <c r="AA23" s="45">
        <f t="shared" si="56"/>
        <v>19.405585635207245</v>
      </c>
      <c r="AB23" s="45">
        <f t="shared" si="4"/>
        <v>3.3722595481626811</v>
      </c>
      <c r="AC23" s="46">
        <f t="shared" si="5"/>
        <v>3.8910687094184781E-3</v>
      </c>
      <c r="AD23" s="45">
        <f t="shared" si="6"/>
        <v>198.36820871545183</v>
      </c>
      <c r="AE23" s="46">
        <f t="shared" si="7"/>
        <v>0.22888639467167515</v>
      </c>
      <c r="AF23" s="45">
        <f t="shared" si="8"/>
        <v>49.592052178862957</v>
      </c>
      <c r="AG23" s="46">
        <f t="shared" si="9"/>
        <v>5.7221598667918788E-2</v>
      </c>
      <c r="AH23" s="45">
        <f t="shared" si="10"/>
        <v>0.29246594874714055</v>
      </c>
      <c r="AI23" s="45">
        <f t="shared" si="11"/>
        <v>422.52428456391243</v>
      </c>
      <c r="AJ23" s="45">
        <f t="shared" si="12"/>
        <v>10.7118832706344</v>
      </c>
      <c r="AK23" s="45">
        <f t="shared" si="57"/>
        <v>23.605816837138768</v>
      </c>
      <c r="AL23" s="45">
        <f t="shared" si="13"/>
        <v>8.2322806616912505</v>
      </c>
      <c r="AM23" s="45">
        <f t="shared" si="58"/>
        <v>21.126214228195618</v>
      </c>
      <c r="AN23" s="45">
        <f t="shared" si="59"/>
        <v>12.893933566504369</v>
      </c>
      <c r="AO23" s="45">
        <f t="shared" si="60"/>
        <v>9.9184104357725911</v>
      </c>
      <c r="AP23" s="152"/>
      <c r="AQ23" s="17" t="s">
        <v>49</v>
      </c>
      <c r="AR23" s="162">
        <v>235896</v>
      </c>
      <c r="AS23" s="166">
        <f t="shared" si="61"/>
        <v>8.8459496188564801E-2</v>
      </c>
      <c r="AT23" s="44">
        <f t="shared" si="62"/>
        <v>1600.2411320007559</v>
      </c>
      <c r="AU23" s="45">
        <f t="shared" si="63"/>
        <v>1.8464320753854877</v>
      </c>
      <c r="AV23" s="45">
        <f t="shared" si="64"/>
        <v>0.90413623958042699</v>
      </c>
      <c r="AW23" s="46">
        <f t="shared" si="65"/>
        <v>1.0432341225928004E-3</v>
      </c>
      <c r="AX23" s="45">
        <f t="shared" si="66"/>
        <v>44.006631130020786</v>
      </c>
      <c r="AY23" s="46">
        <f t="shared" si="67"/>
        <v>5.0776882073100903E-2</v>
      </c>
      <c r="AZ23" s="45">
        <f t="shared" si="14"/>
        <v>4.0006028300018901</v>
      </c>
      <c r="BA23" s="46">
        <f t="shared" si="68"/>
        <v>4.6160801884637193E-3</v>
      </c>
      <c r="BB23" s="46">
        <f t="shared" si="69"/>
        <v>2.359329874103679E-2</v>
      </c>
      <c r="BC23" s="45">
        <f t="shared" si="70"/>
        <v>84.732767939440038</v>
      </c>
      <c r="BD23" s="45">
        <f t="shared" si="71"/>
        <v>4.1206209149019468</v>
      </c>
      <c r="BE23" s="45">
        <f t="shared" si="72"/>
        <v>2.9204400659013796</v>
      </c>
      <c r="BF23" s="45">
        <f t="shared" si="15"/>
        <v>2.2883448187610806</v>
      </c>
      <c r="BG23" s="45">
        <f t="shared" si="73"/>
        <v>1.0881639697605141</v>
      </c>
      <c r="BH23" s="97">
        <f t="shared" si="74"/>
        <v>1.200180849000567</v>
      </c>
      <c r="BI23" s="97">
        <f t="shared" si="75"/>
        <v>0.64009645280030236</v>
      </c>
      <c r="BJ23" s="167"/>
      <c r="BK23" s="23" t="s">
        <v>49</v>
      </c>
      <c r="BL23" s="162">
        <v>235896</v>
      </c>
      <c r="BM23" s="163">
        <f t="shared" si="76"/>
        <v>8.8459496188564801E-2</v>
      </c>
      <c r="BN23" s="112">
        <f t="shared" si="77"/>
        <v>4637.6217769297928</v>
      </c>
      <c r="BO23" s="165">
        <f t="shared" si="78"/>
        <v>5.3511020503036075</v>
      </c>
      <c r="BP23" s="165">
        <f t="shared" si="16"/>
        <v>12.75345988655693</v>
      </c>
      <c r="BQ23" s="164">
        <f t="shared" si="79"/>
        <v>1.4715530638334919E-2</v>
      </c>
      <c r="BR23" s="165">
        <f t="shared" si="17"/>
        <v>231.88108884648963</v>
      </c>
      <c r="BS23" s="164">
        <f t="shared" si="80"/>
        <v>0.26755510251518033</v>
      </c>
      <c r="BT23" s="165">
        <f t="shared" si="18"/>
        <v>194.78011463105128</v>
      </c>
      <c r="BU23" s="164">
        <f t="shared" si="81"/>
        <v>0.22474628611275149</v>
      </c>
      <c r="BV23" s="164">
        <f t="shared" si="82"/>
        <v>1.1487032401318409</v>
      </c>
      <c r="BW23" s="165">
        <f t="shared" si="19"/>
        <v>1.3912865330789377</v>
      </c>
      <c r="BX23" s="165">
        <f t="shared" si="20"/>
        <v>1.2057816620017461</v>
      </c>
      <c r="BY23" s="165">
        <f t="shared" si="83"/>
        <v>0.46376217769297934</v>
      </c>
      <c r="BZ23" s="165">
        <f t="shared" si="21"/>
        <v>0.99708868203990542</v>
      </c>
      <c r="CA23" s="165">
        <f t="shared" si="84"/>
        <v>0.25506919773113862</v>
      </c>
      <c r="CB23" s="165">
        <f t="shared" si="85"/>
        <v>0.74201948430876685</v>
      </c>
      <c r="CC23" s="165">
        <f t="shared" si="86"/>
        <v>1.1362173353477993</v>
      </c>
      <c r="CD23" s="152"/>
      <c r="CE23" s="23" t="s">
        <v>49</v>
      </c>
      <c r="CF23" s="162">
        <v>235896</v>
      </c>
      <c r="CG23" s="163">
        <f t="shared" si="87"/>
        <v>8.8459496188564801E-2</v>
      </c>
      <c r="CH23" s="112">
        <f t="shared" si="88"/>
        <v>102.75455077263686</v>
      </c>
      <c r="CI23" s="165">
        <f t="shared" si="89"/>
        <v>0.10052075619062301</v>
      </c>
      <c r="CJ23" s="164">
        <f t="shared" si="90"/>
        <v>1.6954500877485082E-2</v>
      </c>
      <c r="CK23" s="164">
        <f t="shared" si="22"/>
        <v>1.9562885627867402E-5</v>
      </c>
      <c r="CL23" s="165">
        <f t="shared" si="91"/>
        <v>0.99158141495594576</v>
      </c>
      <c r="CM23" s="164">
        <f t="shared" si="23"/>
        <v>1.1441324018722451E-3</v>
      </c>
      <c r="CN23" s="165">
        <f t="shared" si="92"/>
        <v>0.24661092185432848</v>
      </c>
      <c r="CO23" s="164">
        <f t="shared" si="24"/>
        <v>2.845510636780713E-4</v>
      </c>
      <c r="CP23" s="164">
        <f t="shared" si="25"/>
        <v>1.4543721032434756E-3</v>
      </c>
      <c r="CQ23" s="165">
        <f t="shared" si="93"/>
        <v>7.2955731048572172</v>
      </c>
      <c r="CR23" s="164">
        <f t="shared" si="94"/>
        <v>0.12022282440398512</v>
      </c>
      <c r="CS23" s="164">
        <f t="shared" si="95"/>
        <v>5.3432366401771167E-2</v>
      </c>
      <c r="CT23" s="165">
        <f t="shared" si="96"/>
        <v>0.10789227831126871</v>
      </c>
      <c r="CU23" s="168">
        <f t="shared" si="97"/>
        <v>4.1101820309054748E-3</v>
      </c>
      <c r="CV23" s="165">
        <f t="shared" si="98"/>
        <v>6.6790458002213962E-2</v>
      </c>
      <c r="CW23" s="165">
        <f t="shared" si="99"/>
        <v>4.1101820309054748E-3</v>
      </c>
      <c r="CX23" s="152"/>
      <c r="CY23" s="17" t="s">
        <v>49</v>
      </c>
      <c r="CZ23" s="162">
        <v>235896</v>
      </c>
      <c r="DA23" s="166">
        <f t="shared" si="100"/>
        <v>8.8459496188564801E-2</v>
      </c>
      <c r="DB23" s="48">
        <f t="shared" si="101"/>
        <v>2158.2878637063172</v>
      </c>
      <c r="DC23" s="45">
        <f t="shared" si="102"/>
        <v>2.4903321504303659</v>
      </c>
      <c r="DD23" s="45">
        <f t="shared" si="103"/>
        <v>0.56115484456364251</v>
      </c>
      <c r="DE23" s="46">
        <f t="shared" si="26"/>
        <v>6.4748635911189513E-4</v>
      </c>
      <c r="DF23" s="45">
        <f t="shared" si="104"/>
        <v>10.241075913286474</v>
      </c>
      <c r="DG23" s="46">
        <f t="shared" si="27"/>
        <v>1.1816626053792086E-2</v>
      </c>
      <c r="DH23" s="45">
        <f t="shared" si="105"/>
        <v>12.895769985645245</v>
      </c>
      <c r="DI23" s="46">
        <f t="shared" si="28"/>
        <v>1.4879734598821434E-2</v>
      </c>
      <c r="DJ23" s="46">
        <f t="shared" si="29"/>
        <v>7.6051976838420687E-2</v>
      </c>
      <c r="DK23" s="45">
        <f t="shared" si="106"/>
        <v>6.4748635911189512E-2</v>
      </c>
      <c r="DL23" s="46">
        <f t="shared" si="107"/>
        <v>2.1582878637063173E-2</v>
      </c>
      <c r="DM23" s="46">
        <f t="shared" si="108"/>
        <v>5.3957196592657936E-2</v>
      </c>
      <c r="DN23" s="46">
        <f t="shared" si="109"/>
        <v>1.0791439318531586E-2</v>
      </c>
      <c r="DO23" s="100">
        <f t="shared" si="110"/>
        <v>4.3165757274126346E-2</v>
      </c>
      <c r="DP23" s="100">
        <f t="shared" si="111"/>
        <v>3.2374317955594756E-2</v>
      </c>
      <c r="DQ23" s="46">
        <f t="shared" si="112"/>
        <v>5.3957196592657936E-2</v>
      </c>
      <c r="DR23" s="152"/>
      <c r="DS23" s="23" t="s">
        <v>49</v>
      </c>
      <c r="DT23" s="162">
        <v>235896</v>
      </c>
      <c r="DU23" s="163">
        <f t="shared" si="113"/>
        <v>8.8459496188564801E-2</v>
      </c>
      <c r="DV23" s="111">
        <f t="shared" si="114"/>
        <v>96796.980623329408</v>
      </c>
      <c r="DW23" s="111">
        <f t="shared" si="30"/>
        <v>8711.7282560996464</v>
      </c>
      <c r="DX23" s="165">
        <f t="shared" si="31"/>
        <v>0.82277433529830002</v>
      </c>
      <c r="DY23" s="164">
        <f t="shared" si="32"/>
        <v>9.493550022672692E-4</v>
      </c>
      <c r="DZ23" s="112">
        <f t="shared" si="33"/>
        <v>10.647667868566236</v>
      </c>
      <c r="EA23" s="164">
        <f t="shared" si="34"/>
        <v>1.2285770617576425E-2</v>
      </c>
      <c r="EB23" s="112">
        <f t="shared" si="35"/>
        <v>29.03909418699882</v>
      </c>
      <c r="EC23" s="164">
        <f t="shared" si="36"/>
        <v>3.350664713884479E-2</v>
      </c>
      <c r="ED23" s="164">
        <f t="shared" si="37"/>
        <v>0.17125619648742893</v>
      </c>
      <c r="EE23" s="165">
        <f t="shared" si="38"/>
        <v>1.2099622577916178</v>
      </c>
      <c r="EF23" s="169">
        <f t="shared" si="115"/>
        <v>24.354120324829676</v>
      </c>
      <c r="EG23" s="165">
        <f t="shared" si="116"/>
        <v>24.199245155832351</v>
      </c>
      <c r="EH23" s="169">
        <f t="shared" si="117"/>
        <v>21.029144040418313</v>
      </c>
      <c r="EI23" s="165">
        <f t="shared" si="118"/>
        <v>20.811350834015823</v>
      </c>
      <c r="EJ23" s="165">
        <f t="shared" si="119"/>
        <v>0.23231275349599056</v>
      </c>
      <c r="EK23" s="165">
        <f t="shared" si="120"/>
        <v>0.58078188373997652</v>
      </c>
      <c r="EL23" s="17" t="s">
        <v>49</v>
      </c>
      <c r="EM23" s="77">
        <f t="shared" si="39"/>
        <v>18.430739355039464</v>
      </c>
      <c r="EN23" s="82">
        <f t="shared" si="39"/>
        <v>2.1266237717353229E-2</v>
      </c>
      <c r="EO23" s="77">
        <f t="shared" si="39"/>
        <v>496.13625388877091</v>
      </c>
      <c r="EP23" s="77">
        <f t="shared" si="39"/>
        <v>0.57246490833319708</v>
      </c>
      <c r="EQ23" s="77">
        <f t="shared" si="39"/>
        <v>290.55424473441451</v>
      </c>
      <c r="ER23" s="77">
        <f t="shared" si="39"/>
        <v>0.33525489777047829</v>
      </c>
      <c r="ES23" s="77">
        <f t="shared" si="39"/>
        <v>1.7135250330491112</v>
      </c>
      <c r="ET23" s="77">
        <f t="shared" si="39"/>
        <v>517.21862303499142</v>
      </c>
      <c r="EU23" s="77">
        <f t="shared" si="121"/>
        <v>53.460519759868788</v>
      </c>
      <c r="EV23" s="77">
        <f t="shared" si="122"/>
        <v>38.370345915099946</v>
      </c>
      <c r="EW23" s="77">
        <f t="shared" si="123"/>
        <v>45.591849805000308</v>
      </c>
      <c r="EX23" s="77">
        <f t="shared" si="124"/>
        <v>30.40176628454816</v>
      </c>
      <c r="EY23" s="77">
        <f t="shared" si="125"/>
        <v>15.167611429267502</v>
      </c>
      <c r="EZ23" s="77">
        <f t="shared" si="125"/>
        <v>12.333573486284232</v>
      </c>
    </row>
    <row r="24" spans="1:156" ht="15.75" customHeight="1">
      <c r="C24" s="162" t="s">
        <v>328</v>
      </c>
      <c r="D24" s="162" t="s">
        <v>328</v>
      </c>
      <c r="E24" s="162" t="s">
        <v>328</v>
      </c>
      <c r="F24" s="111" t="e">
        <f t="shared" si="42"/>
        <v>#VALUE!</v>
      </c>
      <c r="G24" s="164"/>
      <c r="H24" s="165"/>
      <c r="I24" s="164"/>
      <c r="J24" s="165"/>
      <c r="K24" s="164"/>
      <c r="L24" s="165"/>
      <c r="M24" s="164"/>
      <c r="N24" s="164"/>
      <c r="O24" s="165"/>
      <c r="P24" s="112"/>
      <c r="Q24" s="112"/>
      <c r="R24" s="165"/>
      <c r="S24" s="165"/>
      <c r="T24" s="165"/>
      <c r="U24" s="165"/>
      <c r="V24" s="152"/>
      <c r="W24" s="162" t="s">
        <v>329</v>
      </c>
      <c r="X24" s="162" t="s">
        <v>328</v>
      </c>
      <c r="Y24" s="162" t="s">
        <v>328</v>
      </c>
      <c r="Z24" s="162" t="s">
        <v>329</v>
      </c>
      <c r="AA24" s="162" t="s">
        <v>329</v>
      </c>
      <c r="AB24" s="162" t="s">
        <v>329</v>
      </c>
      <c r="AC24" s="162" t="s">
        <v>329</v>
      </c>
      <c r="AD24" s="97" t="s">
        <v>329</v>
      </c>
      <c r="AE24" s="162" t="s">
        <v>329</v>
      </c>
      <c r="AF24" s="97" t="s">
        <v>329</v>
      </c>
      <c r="AG24" s="100" t="s">
        <v>329</v>
      </c>
      <c r="AH24" s="162" t="s">
        <v>329</v>
      </c>
      <c r="AI24" s="97" t="s">
        <v>329</v>
      </c>
      <c r="AJ24" s="162" t="s">
        <v>329</v>
      </c>
      <c r="AK24" s="162" t="s">
        <v>329</v>
      </c>
      <c r="AL24" s="97" t="s">
        <v>329</v>
      </c>
      <c r="AM24" s="162" t="s">
        <v>329</v>
      </c>
      <c r="AN24" s="162" t="s">
        <v>329</v>
      </c>
      <c r="AO24" s="162" t="s">
        <v>329</v>
      </c>
      <c r="AP24" s="152"/>
      <c r="AQ24" s="162" t="s">
        <v>328</v>
      </c>
      <c r="AR24" s="162" t="s">
        <v>328</v>
      </c>
      <c r="AS24" s="162" t="s">
        <v>328</v>
      </c>
      <c r="AT24" s="162" t="s">
        <v>328</v>
      </c>
      <c r="AU24" s="97" t="s">
        <v>328</v>
      </c>
      <c r="AV24" s="162" t="s">
        <v>328</v>
      </c>
      <c r="AW24" s="162" t="s">
        <v>328</v>
      </c>
      <c r="AX24" s="97" t="s">
        <v>328</v>
      </c>
      <c r="AY24" s="162" t="s">
        <v>328</v>
      </c>
      <c r="AZ24" s="97" t="s">
        <v>328</v>
      </c>
      <c r="BA24" s="162" t="s">
        <v>328</v>
      </c>
      <c r="BB24" s="162" t="s">
        <v>328</v>
      </c>
      <c r="BC24" s="97" t="s">
        <v>328</v>
      </c>
      <c r="BD24" s="162" t="s">
        <v>328</v>
      </c>
      <c r="BE24" s="162" t="s">
        <v>328</v>
      </c>
      <c r="BF24" s="162" t="s">
        <v>328</v>
      </c>
      <c r="BG24" s="162" t="s">
        <v>328</v>
      </c>
      <c r="BH24" s="162" t="s">
        <v>328</v>
      </c>
      <c r="BI24" s="162" t="s">
        <v>328</v>
      </c>
      <c r="BJ24" s="170"/>
      <c r="BL24" s="162" t="s">
        <v>330</v>
      </c>
      <c r="BM24" s="162" t="s">
        <v>330</v>
      </c>
      <c r="BN24" s="162" t="s">
        <v>329</v>
      </c>
      <c r="BO24" s="162" t="s">
        <v>329</v>
      </c>
      <c r="BP24" s="97" t="s">
        <v>329</v>
      </c>
      <c r="BQ24" s="162" t="s">
        <v>329</v>
      </c>
      <c r="BR24" s="97" t="s">
        <v>329</v>
      </c>
      <c r="BS24" s="100" t="s">
        <v>329</v>
      </c>
      <c r="BT24" s="97" t="s">
        <v>329</v>
      </c>
      <c r="BU24" s="100" t="s">
        <v>329</v>
      </c>
      <c r="BV24" s="100" t="s">
        <v>329</v>
      </c>
      <c r="BW24" s="162" t="s">
        <v>329</v>
      </c>
      <c r="BX24" s="162" t="s">
        <v>329</v>
      </c>
      <c r="BY24" s="162" t="s">
        <v>329</v>
      </c>
      <c r="BZ24" s="162" t="s">
        <v>329</v>
      </c>
      <c r="CA24" s="162" t="s">
        <v>329</v>
      </c>
      <c r="CB24" s="162" t="s">
        <v>329</v>
      </c>
      <c r="CC24" s="162" t="s">
        <v>329</v>
      </c>
      <c r="CD24" s="152"/>
      <c r="CE24" s="162" t="s">
        <v>329</v>
      </c>
      <c r="CF24" s="162" t="s">
        <v>330</v>
      </c>
      <c r="CG24" s="162" t="s">
        <v>330</v>
      </c>
      <c r="CH24" s="162" t="s">
        <v>330</v>
      </c>
      <c r="CI24" s="109" t="s">
        <v>330</v>
      </c>
      <c r="CJ24" s="100" t="s">
        <v>330</v>
      </c>
      <c r="CK24" s="109" t="s">
        <v>330</v>
      </c>
      <c r="CL24" s="97" t="s">
        <v>330</v>
      </c>
      <c r="CM24" s="100" t="s">
        <v>329</v>
      </c>
      <c r="CN24" s="100" t="s">
        <v>329</v>
      </c>
      <c r="CO24" s="100" t="s">
        <v>329</v>
      </c>
      <c r="CP24" s="100" t="s">
        <v>329</v>
      </c>
      <c r="CQ24" s="97" t="s">
        <v>329</v>
      </c>
      <c r="CR24" s="97" t="s">
        <v>329</v>
      </c>
      <c r="CS24" s="97" t="s">
        <v>329</v>
      </c>
      <c r="CT24" s="100" t="s">
        <v>329</v>
      </c>
      <c r="CU24" s="171" t="s">
        <v>329</v>
      </c>
      <c r="CV24" s="100" t="s">
        <v>329</v>
      </c>
      <c r="CW24" s="100" t="s">
        <v>329</v>
      </c>
      <c r="CX24" s="152"/>
      <c r="CZ24" s="162" t="s">
        <v>330</v>
      </c>
      <c r="DA24" s="162" t="s">
        <v>330</v>
      </c>
      <c r="DB24" s="162" t="s">
        <v>330</v>
      </c>
      <c r="DC24" s="45"/>
      <c r="DD24" s="45"/>
      <c r="DE24" s="46"/>
      <c r="DF24" s="45"/>
      <c r="DG24" s="46"/>
      <c r="DH24" s="45"/>
      <c r="DI24" s="46"/>
      <c r="DJ24" s="46"/>
      <c r="DK24" s="45"/>
      <c r="DL24" s="46"/>
      <c r="DM24" s="46"/>
      <c r="DN24" s="46"/>
      <c r="DO24" s="100"/>
      <c r="DP24" s="100"/>
      <c r="DQ24" s="46"/>
      <c r="DR24" s="152"/>
      <c r="DS24" s="20" t="s">
        <v>331</v>
      </c>
      <c r="DT24" s="162" t="s">
        <v>328</v>
      </c>
      <c r="DU24" s="162" t="s">
        <v>328</v>
      </c>
      <c r="DV24" s="162" t="s">
        <v>328</v>
      </c>
      <c r="DW24" s="19" t="s">
        <v>331</v>
      </c>
      <c r="DX24" s="19" t="s">
        <v>331</v>
      </c>
      <c r="DY24" s="20" t="s">
        <v>331</v>
      </c>
      <c r="DZ24" s="19" t="s">
        <v>331</v>
      </c>
      <c r="EA24" s="20" t="s">
        <v>331</v>
      </c>
      <c r="EB24" s="20" t="s">
        <v>331</v>
      </c>
      <c r="EC24" s="20" t="s">
        <v>331</v>
      </c>
      <c r="ED24" s="20" t="s">
        <v>331</v>
      </c>
      <c r="EE24" s="20" t="s">
        <v>331</v>
      </c>
      <c r="EF24" s="19" t="s">
        <v>331</v>
      </c>
      <c r="EG24" s="19" t="s">
        <v>331</v>
      </c>
      <c r="EH24" s="19" t="s">
        <v>331</v>
      </c>
      <c r="EI24" s="19" t="s">
        <v>331</v>
      </c>
      <c r="EJ24" s="19" t="s">
        <v>331</v>
      </c>
      <c r="EK24" s="19" t="s">
        <v>331</v>
      </c>
      <c r="EL24" s="19" t="s">
        <v>331</v>
      </c>
      <c r="EM24" s="19" t="s">
        <v>331</v>
      </c>
      <c r="EN24" s="19" t="s">
        <v>331</v>
      </c>
      <c r="EO24" s="53" t="s">
        <v>331</v>
      </c>
      <c r="EP24" s="53" t="s">
        <v>331</v>
      </c>
      <c r="EQ24" s="53" t="s">
        <v>331</v>
      </c>
      <c r="ER24" s="53" t="s">
        <v>331</v>
      </c>
      <c r="ES24" s="53" t="s">
        <v>331</v>
      </c>
      <c r="ET24" s="53" t="s">
        <v>331</v>
      </c>
      <c r="EU24" s="53" t="s">
        <v>331</v>
      </c>
      <c r="EV24" s="53" t="s">
        <v>331</v>
      </c>
      <c r="EW24" s="53" t="s">
        <v>331</v>
      </c>
      <c r="EX24" s="53" t="s">
        <v>331</v>
      </c>
      <c r="EY24" s="53" t="s">
        <v>331</v>
      </c>
      <c r="EZ24" s="53" t="s">
        <v>331</v>
      </c>
    </row>
    <row r="25" spans="1:156" s="154" customFormat="1" ht="12.75" customHeight="1">
      <c r="A25" s="155" t="s">
        <v>50</v>
      </c>
      <c r="B25" s="172">
        <f>SUM(B10:B23)</f>
        <v>2893390</v>
      </c>
      <c r="C25" s="172">
        <f>SUM(C10:C23)</f>
        <v>226678</v>
      </c>
      <c r="D25" s="162">
        <f t="shared" si="40"/>
        <v>2666712</v>
      </c>
      <c r="E25" s="163">
        <f t="shared" si="41"/>
        <v>1</v>
      </c>
      <c r="F25" s="111">
        <f t="shared" si="42"/>
        <v>0</v>
      </c>
      <c r="G25" s="173">
        <f t="shared" si="43"/>
        <v>0</v>
      </c>
      <c r="H25" s="169">
        <f t="shared" si="44"/>
        <v>0</v>
      </c>
      <c r="I25" s="173">
        <f>SUM(H25*0.09)/92</f>
        <v>0</v>
      </c>
      <c r="J25" s="169">
        <f t="shared" si="45"/>
        <v>0</v>
      </c>
      <c r="K25" s="173">
        <f t="shared" si="1"/>
        <v>0</v>
      </c>
      <c r="L25" s="169">
        <f>SUM(F25*5)/2000</f>
        <v>0</v>
      </c>
      <c r="M25" s="173">
        <f>SUM(L25*0.09)/92</f>
        <v>0</v>
      </c>
      <c r="N25" s="173">
        <f t="shared" si="46"/>
        <v>0</v>
      </c>
      <c r="O25" s="169">
        <f t="shared" si="47"/>
        <v>0</v>
      </c>
      <c r="P25" s="174">
        <f t="shared" si="48"/>
        <v>0</v>
      </c>
      <c r="Q25" s="174">
        <f t="shared" si="49"/>
        <v>0</v>
      </c>
      <c r="R25" s="169">
        <f t="shared" si="50"/>
        <v>0</v>
      </c>
      <c r="S25" s="169">
        <f t="shared" si="51"/>
        <v>0</v>
      </c>
      <c r="T25" s="169">
        <f t="shared" si="52"/>
        <v>0</v>
      </c>
      <c r="U25" s="169">
        <f t="shared" si="53"/>
        <v>0</v>
      </c>
      <c r="V25" s="175"/>
      <c r="W25" s="2" t="s">
        <v>50</v>
      </c>
      <c r="X25" s="172">
        <v>2666712</v>
      </c>
      <c r="Y25" s="166">
        <f t="shared" si="54"/>
        <v>1</v>
      </c>
      <c r="Z25" s="44">
        <f t="shared" si="55"/>
        <v>224247.5</v>
      </c>
      <c r="AA25" s="69">
        <f t="shared" si="56"/>
        <v>219.37255434782605</v>
      </c>
      <c r="AB25" s="72">
        <f>SUM(Z25*0.34)/2000</f>
        <v>38.122075000000002</v>
      </c>
      <c r="AC25" s="70">
        <f>SUM(AB25*0.09)/78</f>
        <v>4.3987009615384619E-2</v>
      </c>
      <c r="AD25" s="69">
        <f>SUM(Z25*20)/2000</f>
        <v>2242.4749999999999</v>
      </c>
      <c r="AE25" s="69">
        <f>SUM(AD25*0.09)/78</f>
        <v>2.5874711538461534</v>
      </c>
      <c r="AF25" s="69">
        <f>SUM(Z25*5)/2000</f>
        <v>560.61874999999998</v>
      </c>
      <c r="AG25" s="70">
        <f>SUM(AF25*0.09)/78</f>
        <v>0.64686778846153836</v>
      </c>
      <c r="AH25" s="69">
        <f>SUM(AF25*0.46)/78</f>
        <v>3.3062131410256415</v>
      </c>
      <c r="AI25" s="69">
        <f>SUM(Z25*42.6)/2000</f>
        <v>4776.4717499999997</v>
      </c>
      <c r="AJ25" s="72">
        <f>SUM(Z25*1.08)/2000</f>
        <v>121.09365000000001</v>
      </c>
      <c r="AK25" s="69">
        <f t="shared" si="57"/>
        <v>266.85452499999997</v>
      </c>
      <c r="AL25" s="69">
        <f>SUM(Z25*0.83)/2000</f>
        <v>93.062712499999989</v>
      </c>
      <c r="AM25" s="69">
        <f t="shared" si="58"/>
        <v>238.8235875</v>
      </c>
      <c r="AN25" s="69">
        <f t="shared" si="59"/>
        <v>145.760875</v>
      </c>
      <c r="AO25" s="69">
        <f t="shared" si="60"/>
        <v>112.12375</v>
      </c>
      <c r="AP25" s="175"/>
      <c r="AQ25" s="17" t="s">
        <v>50</v>
      </c>
      <c r="AR25" s="108">
        <f>SUM(AR10:AR23)</f>
        <v>2666712</v>
      </c>
      <c r="AS25" s="166">
        <f t="shared" si="61"/>
        <v>1</v>
      </c>
      <c r="AT25" s="44">
        <f t="shared" si="62"/>
        <v>18090.099999999999</v>
      </c>
      <c r="AU25" s="45">
        <f t="shared" si="63"/>
        <v>20.873192307692303</v>
      </c>
      <c r="AV25" s="45">
        <f t="shared" si="64"/>
        <v>10.220906499999998</v>
      </c>
      <c r="AW25" s="46">
        <f t="shared" si="65"/>
        <v>1.1793353653846152E-2</v>
      </c>
      <c r="AX25" s="45">
        <f t="shared" si="66"/>
        <v>497.47774999999996</v>
      </c>
      <c r="AY25" s="46">
        <f t="shared" si="67"/>
        <v>0.57401278846153836</v>
      </c>
      <c r="AZ25" s="45">
        <f>SUM(AT25*5)/2000</f>
        <v>45.225250000000003</v>
      </c>
      <c r="BA25" s="46">
        <f t="shared" si="68"/>
        <v>5.2182980769230766E-2</v>
      </c>
      <c r="BB25" s="46">
        <f t="shared" si="69"/>
        <v>0.26671301282051285</v>
      </c>
      <c r="BC25" s="45">
        <f t="shared" si="70"/>
        <v>957.87079499999993</v>
      </c>
      <c r="BD25" s="45">
        <f t="shared" si="71"/>
        <v>46.582007500000003</v>
      </c>
      <c r="BE25" s="45">
        <f t="shared" si="72"/>
        <v>33.014432499999998</v>
      </c>
      <c r="BF25" s="45">
        <f>SUM(AT25*2.86)/2000</f>
        <v>25.868842999999998</v>
      </c>
      <c r="BG25" s="45">
        <f t="shared" si="73"/>
        <v>12.301268</v>
      </c>
      <c r="BH25" s="97">
        <f t="shared" si="74"/>
        <v>13.567575</v>
      </c>
      <c r="BI25" s="97">
        <f t="shared" si="75"/>
        <v>7.23604</v>
      </c>
      <c r="BJ25" s="176"/>
      <c r="BK25" s="155" t="s">
        <v>50</v>
      </c>
      <c r="BL25" s="172">
        <f>SUM(BL10:BL24)</f>
        <v>2666712</v>
      </c>
      <c r="BM25" s="163">
        <f t="shared" si="76"/>
        <v>1</v>
      </c>
      <c r="BN25" s="112">
        <f t="shared" si="77"/>
        <v>52426.5</v>
      </c>
      <c r="BO25" s="169">
        <f>SUM(BN25*0.25)/92</f>
        <v>142.46331521739131</v>
      </c>
      <c r="BP25" s="169">
        <f>SUM(BN25*5.5)/2000</f>
        <v>144.172875</v>
      </c>
      <c r="BQ25" s="173">
        <f t="shared" si="79"/>
        <v>0.16635331730769229</v>
      </c>
      <c r="BR25" s="169">
        <f>SUM(BN25*100)/2000</f>
        <v>2621.3249999999998</v>
      </c>
      <c r="BS25" s="173">
        <f t="shared" si="80"/>
        <v>3.0246057692307691</v>
      </c>
      <c r="BT25" s="169">
        <f>SUM(BN25*84)/2000</f>
        <v>2201.913</v>
      </c>
      <c r="BU25" s="173">
        <f t="shared" si="81"/>
        <v>2.5406688461538462</v>
      </c>
      <c r="BV25" s="173">
        <f t="shared" si="82"/>
        <v>12.98564076923077</v>
      </c>
      <c r="BW25" s="169">
        <f>SUM(BN25*0.6)/2000</f>
        <v>15.727949999999998</v>
      </c>
      <c r="BX25" s="169">
        <f>SUM(BN25*0.52)/2000</f>
        <v>13.630890000000001</v>
      </c>
      <c r="BY25" s="169">
        <f t="shared" si="83"/>
        <v>5.2426500000000003</v>
      </c>
      <c r="BZ25" s="169">
        <f>SUM(BN25*0.43)/2000</f>
        <v>11.2716975</v>
      </c>
      <c r="CA25" s="169">
        <f t="shared" si="84"/>
        <v>2.8834575</v>
      </c>
      <c r="CB25" s="169">
        <f t="shared" si="85"/>
        <v>8.3882399999999997</v>
      </c>
      <c r="CC25" s="169">
        <f t="shared" si="86"/>
        <v>12.844492499999999</v>
      </c>
      <c r="CD25" s="175"/>
      <c r="CE25" s="155" t="s">
        <v>50</v>
      </c>
      <c r="CF25" s="172">
        <f>SUM(CF10:CF23)</f>
        <v>2666712</v>
      </c>
      <c r="CG25" s="163">
        <f t="shared" si="87"/>
        <v>1</v>
      </c>
      <c r="CH25" s="112">
        <f t="shared" si="88"/>
        <v>1161.5999999999999</v>
      </c>
      <c r="CI25" s="169">
        <f t="shared" si="89"/>
        <v>1.1363478260869564</v>
      </c>
      <c r="CJ25" s="173">
        <f t="shared" si="90"/>
        <v>0.191664</v>
      </c>
      <c r="CK25" s="173">
        <f>SUM(CJ25*0.09)/78</f>
        <v>2.2115076923076923E-4</v>
      </c>
      <c r="CL25" s="169">
        <f t="shared" si="91"/>
        <v>11.209439999999999</v>
      </c>
      <c r="CM25" s="173">
        <f>SUM(CL25*0.09)/78</f>
        <v>1.2933969230769228E-2</v>
      </c>
      <c r="CN25" s="169">
        <f t="shared" si="92"/>
        <v>2.7878399999999997</v>
      </c>
      <c r="CO25" s="173">
        <f t="shared" si="24"/>
        <v>3.2167384615384609E-3</v>
      </c>
      <c r="CP25" s="173">
        <f t="shared" si="25"/>
        <v>1.644110769230769E-2</v>
      </c>
      <c r="CQ25" s="169">
        <f t="shared" si="93"/>
        <v>82.47359999999999</v>
      </c>
      <c r="CR25" s="164">
        <f t="shared" si="94"/>
        <v>1.3590719999999998</v>
      </c>
      <c r="CS25" s="168">
        <f t="shared" si="95"/>
        <v>0.6040319999999999</v>
      </c>
      <c r="CT25" s="169">
        <f t="shared" si="96"/>
        <v>1.2196800000000001</v>
      </c>
      <c r="CU25" s="177">
        <f t="shared" si="97"/>
        <v>4.6463999999999998E-2</v>
      </c>
      <c r="CV25" s="169">
        <f t="shared" si="98"/>
        <v>0.75503999999999993</v>
      </c>
      <c r="CW25" s="169">
        <f t="shared" si="99"/>
        <v>4.6463999999999998E-2</v>
      </c>
      <c r="CX25" s="175"/>
      <c r="CY25" s="2" t="s">
        <v>50</v>
      </c>
      <c r="CZ25" s="172">
        <v>2666712</v>
      </c>
      <c r="DA25" s="166">
        <f t="shared" si="100"/>
        <v>1</v>
      </c>
      <c r="DB25" s="48">
        <f t="shared" si="101"/>
        <v>24398.6</v>
      </c>
      <c r="DC25" s="69">
        <f t="shared" si="102"/>
        <v>28.152230769230766</v>
      </c>
      <c r="DD25" s="69">
        <f t="shared" si="103"/>
        <v>6.3436359999999992</v>
      </c>
      <c r="DE25" s="70">
        <f>SUM(DD25*0.09)/78</f>
        <v>7.3195799999999991E-3</v>
      </c>
      <c r="DF25" s="69">
        <f t="shared" si="104"/>
        <v>115.77135699999999</v>
      </c>
      <c r="DG25" s="70">
        <f>SUM(DF25*0.09)/78</f>
        <v>0.133582335</v>
      </c>
      <c r="DH25" s="69">
        <f t="shared" si="105"/>
        <v>145.78163499999999</v>
      </c>
      <c r="DI25" s="70">
        <f>SUM(DH25*0.09)/78</f>
        <v>0.16820957884615384</v>
      </c>
      <c r="DJ25" s="70">
        <f>SUM(DH25*0.46)/78</f>
        <v>0.85973784743589754</v>
      </c>
      <c r="DK25" s="69">
        <f t="shared" si="106"/>
        <v>0.731958</v>
      </c>
      <c r="DL25" s="70">
        <f t="shared" si="107"/>
        <v>0.24398599999999998</v>
      </c>
      <c r="DM25" s="70">
        <f t="shared" si="108"/>
        <v>0.60996499999999998</v>
      </c>
      <c r="DN25" s="70">
        <f t="shared" si="109"/>
        <v>0.12199299999999999</v>
      </c>
      <c r="DO25" s="178">
        <f t="shared" si="110"/>
        <v>0.48797199999999996</v>
      </c>
      <c r="DP25" s="178">
        <f t="shared" si="111"/>
        <v>0.365979</v>
      </c>
      <c r="DQ25" s="70">
        <f t="shared" si="112"/>
        <v>0.60996499999999998</v>
      </c>
      <c r="DR25" s="175"/>
      <c r="DS25" s="155" t="s">
        <v>50</v>
      </c>
      <c r="DT25" s="172">
        <f>SUM(DT10:DT23)</f>
        <v>2666712</v>
      </c>
      <c r="DU25" s="163">
        <f>SUM(DT25/2666712)</f>
        <v>1</v>
      </c>
      <c r="DV25" s="111">
        <f t="shared" si="114"/>
        <v>1094252</v>
      </c>
      <c r="DW25" s="179">
        <f>SUM(DV25*0.09)</f>
        <v>98482.68</v>
      </c>
      <c r="DX25" s="169">
        <f>SUM(DV25*0.017)/2000</f>
        <v>9.3011420000000005</v>
      </c>
      <c r="DY25" s="173">
        <f>SUM(DX25*0.09)/78</f>
        <v>1.0732086923076924E-2</v>
      </c>
      <c r="DZ25" s="174">
        <f>SUM(DV25*0.22)/2000</f>
        <v>120.36772000000001</v>
      </c>
      <c r="EA25" s="173">
        <f>SUM(DZ25*0.09)/78</f>
        <v>0.13888583076923075</v>
      </c>
      <c r="EB25" s="174">
        <f>SUM(DV25*0.6)/2000</f>
        <v>328.2756</v>
      </c>
      <c r="EC25" s="173">
        <f>SUM(EB25*0.09)/78</f>
        <v>0.37877953846153845</v>
      </c>
      <c r="ED25" s="173">
        <f>SUM(EB25*0.46)/78</f>
        <v>1.9359843076923078</v>
      </c>
      <c r="EE25" s="169">
        <f>SUM(DV25*0.025)/2000</f>
        <v>13.678150000000002</v>
      </c>
      <c r="EF25" s="169">
        <f t="shared" si="115"/>
        <v>275.31380319999994</v>
      </c>
      <c r="EG25" s="165">
        <f t="shared" si="116"/>
        <v>273.56299999999999</v>
      </c>
      <c r="EH25" s="169">
        <f t="shared" si="117"/>
        <v>237.726247</v>
      </c>
      <c r="EI25" s="165">
        <f t="shared" si="118"/>
        <v>235.26417999999998</v>
      </c>
      <c r="EJ25" s="165">
        <f t="shared" si="119"/>
        <v>2.6262048</v>
      </c>
      <c r="EK25" s="165">
        <f t="shared" si="120"/>
        <v>6.565512</v>
      </c>
      <c r="EL25" s="2" t="s">
        <v>50</v>
      </c>
      <c r="EM25" s="77">
        <f>SUM(H25,AB25,AV25,BP25,CJ25,DD25,DX25)</f>
        <v>208.35229850000002</v>
      </c>
      <c r="EN25" s="82">
        <f t="shared" si="39"/>
        <v>0.24040649826923075</v>
      </c>
      <c r="EO25" s="77">
        <f>SUM(J25,AD25,AX25,BR25,CL25,DF25,DZ25)</f>
        <v>5608.6262669999987</v>
      </c>
      <c r="EP25" s="77">
        <f t="shared" si="39"/>
        <v>6.4714918465384601</v>
      </c>
      <c r="EQ25" s="77">
        <f t="shared" si="39"/>
        <v>3284.6020749999998</v>
      </c>
      <c r="ER25" s="77">
        <f t="shared" si="39"/>
        <v>3.7899254711538459</v>
      </c>
      <c r="ES25" s="77">
        <f t="shared" si="39"/>
        <v>19.37073018589744</v>
      </c>
      <c r="ET25" s="77">
        <f t="shared" si="39"/>
        <v>5846.9542030000002</v>
      </c>
      <c r="EU25" s="77">
        <f t="shared" si="121"/>
        <v>604.35026270000003</v>
      </c>
      <c r="EV25" s="77">
        <f t="shared" si="122"/>
        <v>433.76175050000001</v>
      </c>
      <c r="EW25" s="77">
        <f>SUM(R25,AM25,BF25,BZ25,CT25,DO25,EH25)</f>
        <v>515.39802699999996</v>
      </c>
      <c r="EX25" s="77">
        <f>SUM(S25,AL25,BG25,CA25,CU25,DN25,EI25)</f>
        <v>343.68007499999999</v>
      </c>
      <c r="EY25" s="77">
        <f t="shared" si="125"/>
        <v>171.46391380000003</v>
      </c>
      <c r="EZ25" s="77">
        <f>SUM(U25,AO25,BI25,CC25,CW25,DQ25,EK25)</f>
        <v>139.42622349999999</v>
      </c>
    </row>
    <row r="26" spans="1:156" ht="10.9" customHeight="1">
      <c r="F26" s="165"/>
      <c r="G26" s="165"/>
      <c r="H26" s="165"/>
      <c r="L26" s="165"/>
      <c r="V26" s="152"/>
      <c r="Z26" s="45"/>
      <c r="AA26" s="45"/>
      <c r="AB26" s="45"/>
      <c r="AD26" s="1">
        <f>SUM(AD10:AD23)</f>
        <v>2242.4750000000004</v>
      </c>
      <c r="AE26" s="1">
        <f>SUM(AD26*0.09)/78</f>
        <v>2.5874711538461539</v>
      </c>
      <c r="AF26" s="45"/>
      <c r="AK26" s="5"/>
      <c r="AM26" s="1"/>
      <c r="AP26" s="152"/>
      <c r="AT26" s="45"/>
      <c r="AU26" s="45"/>
      <c r="AV26" s="45"/>
      <c r="AW26" s="1"/>
      <c r="AX26" s="47">
        <f>SUM(AX10:AX23)</f>
        <v>497.47775000000001</v>
      </c>
      <c r="AY26" s="1">
        <f t="shared" si="67"/>
        <v>0.57401278846153847</v>
      </c>
      <c r="AZ26" s="45"/>
      <c r="BA26" s="1"/>
      <c r="BD26" s="5"/>
      <c r="BE26" s="5"/>
      <c r="BF26" s="1"/>
      <c r="BG26" s="1"/>
      <c r="BI26" s="1"/>
      <c r="BJ26" s="152"/>
      <c r="BN26" s="165"/>
      <c r="BO26" s="165"/>
      <c r="BP26" s="165"/>
      <c r="BR26" s="180">
        <f>SUM(BR10:BR23)</f>
        <v>2621.3249999999998</v>
      </c>
      <c r="BS26" s="181">
        <f t="shared" si="80"/>
        <v>3.0246057692307691</v>
      </c>
      <c r="BT26" s="165"/>
      <c r="BU26" s="181"/>
      <c r="BV26" s="181"/>
      <c r="BX26" s="19"/>
      <c r="BZ26" s="20"/>
      <c r="CD26" s="152"/>
      <c r="CH26" s="165"/>
      <c r="CI26" s="165"/>
      <c r="CJ26" s="165"/>
      <c r="CL26" s="180">
        <f>SUM(CL10:CL23)</f>
        <v>11.209439999999999</v>
      </c>
      <c r="CM26" s="181">
        <f>SUM(CL26*0.09)/78</f>
        <v>1.2933969230769228E-2</v>
      </c>
      <c r="CN26" s="165"/>
      <c r="CO26" s="164"/>
      <c r="CP26" s="164"/>
      <c r="CQ26" s="112"/>
      <c r="CR26" s="165"/>
      <c r="CS26" s="168"/>
      <c r="CX26" s="152"/>
      <c r="DB26" s="45"/>
      <c r="DC26" s="45"/>
      <c r="DD26" s="45"/>
      <c r="DF26" s="1">
        <f>SUM(DF10:DF23)</f>
        <v>115.77135699999998</v>
      </c>
      <c r="DG26" s="1">
        <f>SUM(DF26*0.09)/78</f>
        <v>0.13358233499999997</v>
      </c>
      <c r="DH26" s="45"/>
      <c r="DL26" s="45"/>
      <c r="DM26" s="45"/>
      <c r="DO26" s="5"/>
      <c r="DR26" s="152"/>
      <c r="DV26" s="182"/>
      <c r="DW26" s="182"/>
      <c r="DX26" s="165"/>
      <c r="DZ26" s="20">
        <f>SUM(DZ10:DZ23)</f>
        <v>120.36771999999999</v>
      </c>
      <c r="EA26" s="20">
        <f>SUM(DZ26*0.09)/78</f>
        <v>0.13888583076923075</v>
      </c>
      <c r="EB26" s="165"/>
      <c r="EE26" s="165"/>
      <c r="EF26" s="169"/>
      <c r="EG26" s="165"/>
      <c r="EL26" s="13"/>
      <c r="EN26" s="59"/>
      <c r="EO26" s="20">
        <f>SUM(EO10:EO23)</f>
        <v>5608.6262670000006</v>
      </c>
      <c r="EV26" s="77"/>
    </row>
    <row r="27" spans="1:156" ht="10.9" customHeight="1">
      <c r="A27" s="20" t="s">
        <v>332</v>
      </c>
      <c r="F27" s="183"/>
      <c r="G27" s="183"/>
      <c r="H27" s="165">
        <f>SUM(H25-H28)</f>
        <v>0</v>
      </c>
      <c r="I27" s="165">
        <f t="shared" ref="I27:U27" si="126">SUM(I25-I28)</f>
        <v>0</v>
      </c>
      <c r="J27" s="165">
        <f t="shared" si="126"/>
        <v>0</v>
      </c>
      <c r="K27" s="165">
        <f t="shared" si="126"/>
        <v>0</v>
      </c>
      <c r="L27" s="165">
        <f t="shared" si="126"/>
        <v>0</v>
      </c>
      <c r="M27" s="165">
        <f t="shared" si="126"/>
        <v>0</v>
      </c>
      <c r="N27" s="165">
        <f t="shared" si="126"/>
        <v>0</v>
      </c>
      <c r="O27" s="165">
        <f t="shared" si="126"/>
        <v>0</v>
      </c>
      <c r="P27" s="165">
        <f t="shared" si="126"/>
        <v>0</v>
      </c>
      <c r="Q27" s="165">
        <f t="shared" si="126"/>
        <v>0</v>
      </c>
      <c r="R27" s="165">
        <f t="shared" si="126"/>
        <v>0</v>
      </c>
      <c r="S27" s="165">
        <f t="shared" si="126"/>
        <v>0</v>
      </c>
      <c r="T27" s="165">
        <f t="shared" si="126"/>
        <v>0</v>
      </c>
      <c r="U27" s="165">
        <f t="shared" si="126"/>
        <v>0</v>
      </c>
      <c r="V27" s="152"/>
      <c r="Z27" s="96"/>
      <c r="AA27" s="96" t="s">
        <v>67</v>
      </c>
      <c r="AB27" s="45">
        <f>SUM(AB25-AB28)</f>
        <v>34.410367970866375</v>
      </c>
      <c r="AC27" s="45">
        <f t="shared" ref="AC27:AL27" si="127">SUM(AC25-AC28)</f>
        <v>3.9704270735615048E-2</v>
      </c>
      <c r="AD27" s="45">
        <f t="shared" si="127"/>
        <v>2024.1392924039042</v>
      </c>
      <c r="AE27" s="45">
        <f t="shared" si="127"/>
        <v>2.33554533738912</v>
      </c>
      <c r="AF27" s="45">
        <f t="shared" si="127"/>
        <v>506.03482310097604</v>
      </c>
      <c r="AG27" s="45">
        <f t="shared" si="127"/>
        <v>0.58388633434727999</v>
      </c>
      <c r="AH27" s="45">
        <f t="shared" si="127"/>
        <v>2.9843079311083205</v>
      </c>
      <c r="AI27" s="45">
        <f t="shared" si="127"/>
        <v>4311.4166928203158</v>
      </c>
      <c r="AJ27" s="45">
        <f t="shared" si="127"/>
        <v>109.30352178981083</v>
      </c>
      <c r="AK27" s="45">
        <f>SUM(AK25-AK28)</f>
        <v>240.87257579606455</v>
      </c>
      <c r="AL27" s="45">
        <f t="shared" si="127"/>
        <v>84.001780634762014</v>
      </c>
      <c r="AM27" s="45">
        <f>SUM(AM25-AM28)</f>
        <v>215.57083464101578</v>
      </c>
      <c r="AN27" s="45">
        <f>SUM(AN25-AN28)</f>
        <v>131.56905400625377</v>
      </c>
      <c r="AO27" s="45">
        <f>SUM(AO25-AO28)</f>
        <v>101.20696462019521</v>
      </c>
      <c r="AP27" s="152"/>
      <c r="AT27" s="96"/>
      <c r="AU27" s="96" t="s">
        <v>67</v>
      </c>
      <c r="AV27" s="184">
        <f>SUM(AV25-AV28)</f>
        <v>9.2257610232606648</v>
      </c>
      <c r="AW27" s="185">
        <f t="shared" ref="AW27:BG27" si="128">SUM(AW25-AW28)</f>
        <v>1.0645108872993076E-2</v>
      </c>
      <c r="AX27" s="45">
        <f t="shared" si="128"/>
        <v>449.0414657339262</v>
      </c>
      <c r="AY27" s="185">
        <f t="shared" si="128"/>
        <v>0.51812476815453024</v>
      </c>
      <c r="AZ27" s="184">
        <f t="shared" si="128"/>
        <v>40.821951430356933</v>
      </c>
      <c r="BA27" s="184">
        <f t="shared" si="128"/>
        <v>4.7102251650411847E-2</v>
      </c>
      <c r="BB27" s="184">
        <f t="shared" si="128"/>
        <v>0.2407448417687717</v>
      </c>
      <c r="BC27" s="184">
        <f t="shared" si="128"/>
        <v>864.6089312949598</v>
      </c>
      <c r="BD27" s="184">
        <f>SUM(BD25-BD28)</f>
        <v>42.046609973267643</v>
      </c>
      <c r="BE27" s="184">
        <f t="shared" si="128"/>
        <v>29.800024544160561</v>
      </c>
      <c r="BF27" s="184">
        <f>SUM(BF25-BF28)</f>
        <v>23.350156218164166</v>
      </c>
      <c r="BG27" s="184">
        <f t="shared" si="128"/>
        <v>11.103570789057086</v>
      </c>
      <c r="BH27" s="184">
        <f>SUM(BH25-BH28)</f>
        <v>12.24658542910708</v>
      </c>
      <c r="BI27" s="184">
        <f>SUM(BI25-BI28)</f>
        <v>6.5315122288571095</v>
      </c>
      <c r="BJ27" s="186"/>
      <c r="BN27" s="183"/>
      <c r="BO27" s="183" t="s">
        <v>67</v>
      </c>
      <c r="BP27" s="187">
        <f>SUM(BP25-BP28)</f>
        <v>130.13566759332281</v>
      </c>
      <c r="BQ27" s="187">
        <f>SUM(BQ25-BQ28)</f>
        <v>0.15015653953075705</v>
      </c>
      <c r="BR27" s="165">
        <f t="shared" ref="BR27:CA27" si="129">SUM(BR25-BR28)</f>
        <v>2366.1030471513232</v>
      </c>
      <c r="BS27" s="187">
        <f t="shared" si="129"/>
        <v>2.7301189005592192</v>
      </c>
      <c r="BT27" s="187">
        <f t="shared" si="129"/>
        <v>1987.5265596071117</v>
      </c>
      <c r="BU27" s="187">
        <f t="shared" si="129"/>
        <v>2.2932998764697445</v>
      </c>
      <c r="BV27" s="187">
        <f t="shared" si="129"/>
        <v>11.72131047973425</v>
      </c>
      <c r="BW27" s="187">
        <f t="shared" si="129"/>
        <v>14.196618282907938</v>
      </c>
      <c r="BX27" s="187">
        <f>SUM(BX25-BX28)</f>
        <v>12.303735845186882</v>
      </c>
      <c r="BY27" s="187">
        <f t="shared" si="129"/>
        <v>4.7322060943026472</v>
      </c>
      <c r="BZ27" s="187">
        <f>SUM(BZ25-BZ28)</f>
        <v>10.17424310275069</v>
      </c>
      <c r="CA27" s="187">
        <f t="shared" si="129"/>
        <v>2.6027133518664556</v>
      </c>
      <c r="CB27" s="187">
        <f>SUM(CB25-CB28)</f>
        <v>7.5715297508842347</v>
      </c>
      <c r="CC27" s="187">
        <f>SUM(CC25-CC28)</f>
        <v>11.593904931041484</v>
      </c>
      <c r="CD27" s="152"/>
      <c r="CH27" s="183" t="s">
        <v>67</v>
      </c>
      <c r="CI27" s="183"/>
      <c r="CJ27" s="52">
        <f>SUM(CJ25-CJ28)</f>
        <v>0.17300288000503991</v>
      </c>
      <c r="CK27" s="52">
        <f t="shared" ref="CK27:CT27" si="130">SUM(CK25-CK28)</f>
        <v>1.9961870769812299E-4</v>
      </c>
      <c r="CL27" s="180">
        <f t="shared" si="130"/>
        <v>10.118047224537182</v>
      </c>
      <c r="CM27" s="52">
        <f t="shared" si="130"/>
        <v>1.1674669874465977E-2</v>
      </c>
      <c r="CN27" s="52">
        <f t="shared" si="130"/>
        <v>2.5164055273460346</v>
      </c>
      <c r="CO27" s="52">
        <f t="shared" si="130"/>
        <v>2.9035448392454245E-3</v>
      </c>
      <c r="CP27" s="52">
        <f t="shared" si="130"/>
        <v>1.4840340289476615E-2</v>
      </c>
      <c r="CQ27" s="52">
        <f t="shared" si="130"/>
        <v>74.443663517320203</v>
      </c>
      <c r="CR27" s="52">
        <f t="shared" si="130"/>
        <v>1.2267476945811919</v>
      </c>
      <c r="CS27" s="188">
        <f t="shared" si="130"/>
        <v>0.54522119759164089</v>
      </c>
      <c r="CT27" s="52">
        <f t="shared" si="130"/>
        <v>1.1009274182138904</v>
      </c>
      <c r="CU27" s="52">
        <f>SUM(CU25-CU28)</f>
        <v>4.1940092122433915E-2</v>
      </c>
      <c r="CV27" s="52">
        <f>SUM(CV25-CV28)</f>
        <v>0.68152649698955114</v>
      </c>
      <c r="CW27" s="52">
        <f>SUM(CW25-CW28)</f>
        <v>4.1940092122433915E-2</v>
      </c>
      <c r="CX27" s="152"/>
      <c r="DB27" s="96"/>
      <c r="DC27" s="96" t="s">
        <v>67</v>
      </c>
      <c r="DD27" s="185">
        <f>SUM(DD25-DD28)</f>
        <v>5.7259960018764673</v>
      </c>
      <c r="DE27" s="185">
        <f t="shared" ref="DE27:DN27" si="131">SUM(DE25-DE28)</f>
        <v>6.6069184637036161E-3</v>
      </c>
      <c r="DF27" s="185">
        <f t="shared" si="131"/>
        <v>104.49942703424554</v>
      </c>
      <c r="DG27" s="185">
        <f t="shared" si="131"/>
        <v>0.12057626196259101</v>
      </c>
      <c r="DH27" s="185">
        <f t="shared" si="131"/>
        <v>131.58779273543036</v>
      </c>
      <c r="DI27" s="185">
        <f t="shared" si="131"/>
        <v>0.15183206854088119</v>
      </c>
      <c r="DJ27" s="185">
        <f t="shared" si="131"/>
        <v>0.7760305725422818</v>
      </c>
      <c r="DK27" s="185">
        <f t="shared" si="131"/>
        <v>0.66069184637036171</v>
      </c>
      <c r="DL27" s="185">
        <f t="shared" si="131"/>
        <v>0.22023061545678721</v>
      </c>
      <c r="DM27" s="185">
        <f>SUM(DM25-DM28)</f>
        <v>0.55057653864196809</v>
      </c>
      <c r="DN27" s="185">
        <f t="shared" si="131"/>
        <v>0.1101153077283936</v>
      </c>
      <c r="DO27" s="101">
        <f>SUM(DO25-DO28)</f>
        <v>0.44046123091357442</v>
      </c>
      <c r="DP27" s="101">
        <f>SUM(DP25-DP28)</f>
        <v>0.33034592318518086</v>
      </c>
      <c r="DQ27" s="185">
        <f>SUM(DQ25-DQ28)</f>
        <v>0.55057653864196809</v>
      </c>
      <c r="DR27" s="152"/>
      <c r="DV27" s="183"/>
      <c r="DW27" s="183" t="s">
        <v>67</v>
      </c>
      <c r="DX27" s="99">
        <f t="shared" ref="DX27:EZ27" si="132">SUM(DX25-DX28)</f>
        <v>8.3955482163360724</v>
      </c>
      <c r="DY27" s="99">
        <f t="shared" si="132"/>
        <v>9.6871710188493158E-3</v>
      </c>
      <c r="DZ27" s="99">
        <f t="shared" si="132"/>
        <v>108.64827103493741</v>
      </c>
      <c r="EA27" s="99">
        <f t="shared" si="132"/>
        <v>0.12536338965569699</v>
      </c>
      <c r="EB27" s="99">
        <f t="shared" si="132"/>
        <v>296.31346645892017</v>
      </c>
      <c r="EC27" s="99">
        <f t="shared" si="132"/>
        <v>0.34190015360644638</v>
      </c>
      <c r="ED27" s="99">
        <f t="shared" si="132"/>
        <v>1.7474896739885037</v>
      </c>
      <c r="EE27" s="99">
        <f t="shared" si="132"/>
        <v>12.346394435788344</v>
      </c>
      <c r="EF27" s="189">
        <f t="shared" si="132"/>
        <v>248.50822720354768</v>
      </c>
      <c r="EG27" s="99">
        <f t="shared" si="132"/>
        <v>246.92788871576681</v>
      </c>
      <c r="EH27" s="189">
        <f t="shared" si="132"/>
        <v>214.58033529400137</v>
      </c>
      <c r="EI27" s="99">
        <f t="shared" si="132"/>
        <v>212.35798429555945</v>
      </c>
      <c r="EJ27" s="99">
        <f t="shared" si="132"/>
        <v>2.3705077316713616</v>
      </c>
      <c r="EK27" s="99">
        <f t="shared" si="132"/>
        <v>5.9262693291784041</v>
      </c>
      <c r="EL27" s="13" t="s">
        <v>332</v>
      </c>
      <c r="EM27" s="99">
        <f t="shared" si="132"/>
        <v>188.06634368566742</v>
      </c>
      <c r="EN27" s="59">
        <f t="shared" si="132"/>
        <v>0.21699962732961622</v>
      </c>
      <c r="EO27" s="52">
        <f t="shared" si="132"/>
        <v>5062.5495505828731</v>
      </c>
      <c r="EP27" s="52">
        <f t="shared" si="132"/>
        <v>5.8414033275956223</v>
      </c>
      <c r="EQ27" s="52">
        <f t="shared" si="132"/>
        <v>2964.8009988601411</v>
      </c>
      <c r="ER27" s="52">
        <f t="shared" si="132"/>
        <v>3.420924229454009</v>
      </c>
      <c r="ES27" s="52">
        <f t="shared" si="132"/>
        <v>17.484723839431606</v>
      </c>
      <c r="ET27" s="52">
        <f t="shared" si="132"/>
        <v>5277.672992197663</v>
      </c>
      <c r="EU27" s="52">
        <f t="shared" si="132"/>
        <v>545.50847305129003</v>
      </c>
      <c r="EV27" s="52">
        <f t="shared" si="132"/>
        <v>391.52909295708929</v>
      </c>
      <c r="EW27" s="52">
        <f t="shared" si="132"/>
        <v>465.21695790505942</v>
      </c>
      <c r="EX27" s="52">
        <f t="shared" si="132"/>
        <v>310.21810447109584</v>
      </c>
      <c r="EY27" s="52">
        <f t="shared" si="132"/>
        <v>154.7695493380912</v>
      </c>
      <c r="EZ27" s="52">
        <f t="shared" si="132"/>
        <v>125.8511677400366</v>
      </c>
    </row>
    <row r="28" spans="1:156" ht="10.9" customHeight="1">
      <c r="A28" s="20" t="s">
        <v>333</v>
      </c>
      <c r="F28" s="183"/>
      <c r="G28" s="183"/>
      <c r="H28" s="106">
        <f>SUM(H11,H15,H16,H17)</f>
        <v>0</v>
      </c>
      <c r="I28" s="106">
        <f t="shared" ref="I28:U28" si="133">SUM(I11,I15,I16,I17)</f>
        <v>0</v>
      </c>
      <c r="J28" s="106">
        <f t="shared" si="133"/>
        <v>0</v>
      </c>
      <c r="K28" s="106">
        <f t="shared" si="133"/>
        <v>0</v>
      </c>
      <c r="L28" s="106">
        <f t="shared" si="133"/>
        <v>0</v>
      </c>
      <c r="M28" s="106">
        <f t="shared" si="133"/>
        <v>0</v>
      </c>
      <c r="N28" s="106">
        <f t="shared" si="133"/>
        <v>0</v>
      </c>
      <c r="O28" s="106">
        <f t="shared" si="133"/>
        <v>0</v>
      </c>
      <c r="P28" s="106">
        <f t="shared" si="133"/>
        <v>0</v>
      </c>
      <c r="Q28" s="106">
        <f t="shared" si="133"/>
        <v>0</v>
      </c>
      <c r="R28" s="106">
        <f t="shared" si="133"/>
        <v>0</v>
      </c>
      <c r="S28" s="106">
        <f t="shared" si="133"/>
        <v>0</v>
      </c>
      <c r="T28" s="106">
        <f t="shared" si="133"/>
        <v>0</v>
      </c>
      <c r="U28" s="106">
        <f t="shared" si="133"/>
        <v>0</v>
      </c>
      <c r="V28" s="152"/>
      <c r="Z28" s="96"/>
      <c r="AA28" s="96" t="s">
        <v>52</v>
      </c>
      <c r="AB28" s="97">
        <f>SUM(AB11,AB15,AB16,AB17)</f>
        <v>3.7117070291336298</v>
      </c>
      <c r="AC28" s="97">
        <f t="shared" ref="AC28:AL28" si="134">SUM(AC11,AC15,AC16,AC17)</f>
        <v>4.2827388797695726E-3</v>
      </c>
      <c r="AD28" s="97">
        <f t="shared" si="134"/>
        <v>218.33570759609586</v>
      </c>
      <c r="AE28" s="97">
        <f t="shared" si="134"/>
        <v>0.25192581645703371</v>
      </c>
      <c r="AF28" s="97">
        <f t="shared" si="134"/>
        <v>54.583926899023965</v>
      </c>
      <c r="AG28" s="97">
        <f t="shared" si="134"/>
        <v>6.2981454114258428E-2</v>
      </c>
      <c r="AH28" s="97">
        <f t="shared" si="134"/>
        <v>0.32190520991732086</v>
      </c>
      <c r="AI28" s="97">
        <f t="shared" si="134"/>
        <v>465.05505717968424</v>
      </c>
      <c r="AJ28" s="97">
        <f t="shared" si="134"/>
        <v>11.790128210189177</v>
      </c>
      <c r="AK28" s="97">
        <f>SUM(AK11,AK15,AK16,AK17)</f>
        <v>25.981949203935407</v>
      </c>
      <c r="AL28" s="97">
        <f t="shared" si="134"/>
        <v>9.0609318652379773</v>
      </c>
      <c r="AM28" s="97">
        <f>SUM(AM11,AM15,AM16,AM17)</f>
        <v>23.252752858984209</v>
      </c>
      <c r="AN28" s="97">
        <f>SUM(AN11,AN15,AN16,AN17)</f>
        <v>14.191820993746232</v>
      </c>
      <c r="AO28" s="97">
        <f>SUM(AO11,AO15,AO16,AO17)</f>
        <v>10.916785379804793</v>
      </c>
      <c r="AP28" s="152"/>
      <c r="AT28" s="96"/>
      <c r="AU28" s="96" t="s">
        <v>52</v>
      </c>
      <c r="AV28" s="101">
        <f>SUM(AV11,AV15,AV16,AV17)</f>
        <v>0.99514547673933285</v>
      </c>
      <c r="AW28" s="101">
        <f t="shared" ref="AW28:BG28" si="135">SUM(AW11,AW15,AW16,AW17)</f>
        <v>1.1482447808530763E-3</v>
      </c>
      <c r="AX28" s="97">
        <f t="shared" si="135"/>
        <v>48.436284266073727</v>
      </c>
      <c r="AY28" s="101">
        <f t="shared" si="135"/>
        <v>5.5888020307008138E-2</v>
      </c>
      <c r="AZ28" s="101">
        <f t="shared" si="135"/>
        <v>4.4032985696430664</v>
      </c>
      <c r="BA28" s="101">
        <f t="shared" si="135"/>
        <v>5.0807291188189226E-3</v>
      </c>
      <c r="BB28" s="101">
        <f t="shared" si="135"/>
        <v>2.5968171051741162E-2</v>
      </c>
      <c r="BC28" s="101">
        <f t="shared" si="135"/>
        <v>93.261863705040156</v>
      </c>
      <c r="BD28" s="101">
        <f>SUM(BD11,BD15,BD16,BD17)</f>
        <v>4.5353975267323579</v>
      </c>
      <c r="BE28" s="101">
        <f t="shared" si="135"/>
        <v>3.2144079558394383</v>
      </c>
      <c r="BF28" s="101">
        <f>SUM(BF11,BF15,BF16,BF17)</f>
        <v>2.5186867818358332</v>
      </c>
      <c r="BG28" s="101">
        <f t="shared" si="135"/>
        <v>1.197697210942914</v>
      </c>
      <c r="BH28" s="101">
        <f>SUM(BH11,BH15,BH16,BH17)</f>
        <v>1.3209895708929198</v>
      </c>
      <c r="BI28" s="101">
        <f>SUM(BI11,BI15,BI16,BI17)</f>
        <v>0.70452777114289067</v>
      </c>
      <c r="BJ28" s="190"/>
      <c r="BN28" s="183"/>
      <c r="BO28" s="183" t="s">
        <v>52</v>
      </c>
      <c r="BP28" s="191">
        <f>SUM(BP11,BP15,BP16,BP17)</f>
        <v>14.037207406677211</v>
      </c>
      <c r="BQ28" s="191">
        <f>SUM(BQ11,BQ15,BQ16,BQ17)</f>
        <v>1.6196777776935244E-2</v>
      </c>
      <c r="BR28" s="106">
        <f t="shared" ref="BR28:CA28" si="136">SUM(BR11,BR15,BR16,BR17)</f>
        <v>255.22195284867658</v>
      </c>
      <c r="BS28" s="191">
        <f t="shared" si="136"/>
        <v>0.29448686867154988</v>
      </c>
      <c r="BT28" s="191">
        <f t="shared" si="136"/>
        <v>214.38644039288832</v>
      </c>
      <c r="BU28" s="191">
        <f t="shared" si="136"/>
        <v>0.24736896968410191</v>
      </c>
      <c r="BV28" s="191">
        <f t="shared" si="136"/>
        <v>1.2643302894965212</v>
      </c>
      <c r="BW28" s="191">
        <f t="shared" si="136"/>
        <v>1.5313317170920595</v>
      </c>
      <c r="BX28" s="191">
        <f>SUM(BX11,BX15,BX16,BX17)</f>
        <v>1.327154154813118</v>
      </c>
      <c r="BY28" s="191">
        <f t="shared" si="136"/>
        <v>0.5104439056973531</v>
      </c>
      <c r="BZ28" s="191">
        <f>SUM(BZ11,BZ15,BZ16,BZ17)</f>
        <v>1.0974543972493094</v>
      </c>
      <c r="CA28" s="191">
        <f t="shared" si="136"/>
        <v>0.2807441481335442</v>
      </c>
      <c r="CB28" s="191">
        <f>SUM(CB11,CB15,CB16,CB17)</f>
        <v>0.81671024911576506</v>
      </c>
      <c r="CC28" s="191">
        <f>SUM(CC11,CC15,CC16,CC17)</f>
        <v>1.2505875689585151</v>
      </c>
      <c r="CD28" s="152"/>
      <c r="CH28" s="183" t="s">
        <v>334</v>
      </c>
      <c r="CI28" s="183"/>
      <c r="CJ28" s="187">
        <f>SUM(CJ11,CJ15,CJ16,CJ17)</f>
        <v>1.8661119994960087E-2</v>
      </c>
      <c r="CK28" s="187">
        <f t="shared" ref="CK28:CV28" si="137">SUM(CK11,CK15,CK16,CK17)</f>
        <v>2.1532061532646254E-5</v>
      </c>
      <c r="CL28" s="165">
        <f t="shared" si="137"/>
        <v>1.0913927754628172</v>
      </c>
      <c r="CM28" s="187">
        <f t="shared" si="137"/>
        <v>1.2592993563032505E-3</v>
      </c>
      <c r="CN28" s="187">
        <f t="shared" si="137"/>
        <v>0.27143447265396486</v>
      </c>
      <c r="CO28" s="187">
        <f t="shared" si="137"/>
        <v>3.1319362229303635E-4</v>
      </c>
      <c r="CP28" s="187">
        <f t="shared" si="137"/>
        <v>1.600767402831075E-3</v>
      </c>
      <c r="CQ28" s="187">
        <f t="shared" si="137"/>
        <v>8.0299364826797941</v>
      </c>
      <c r="CR28" s="187">
        <f t="shared" si="137"/>
        <v>0.13232430541880788</v>
      </c>
      <c r="CS28" s="168">
        <f t="shared" si="137"/>
        <v>5.8810802408359057E-2</v>
      </c>
      <c r="CT28" s="187">
        <f t="shared" si="137"/>
        <v>0.11875258178610963</v>
      </c>
      <c r="CU28" s="187">
        <f t="shared" si="137"/>
        <v>4.5239078775660812E-3</v>
      </c>
      <c r="CV28" s="187">
        <f t="shared" si="137"/>
        <v>7.3513503010448816E-2</v>
      </c>
      <c r="CW28" s="187">
        <f>SUM(CW11,CW15,CW16,CW17)</f>
        <v>4.5239078775660812E-3</v>
      </c>
      <c r="CX28" s="152"/>
      <c r="DB28" s="96"/>
      <c r="DC28" s="96" t="s">
        <v>52</v>
      </c>
      <c r="DD28" s="101">
        <f>SUM(DD11,DD15,DD16,DD17)</f>
        <v>0.61763999812353187</v>
      </c>
      <c r="DE28" s="101">
        <f t="shared" ref="DE28:DN28" si="138">SUM(DE11,DE15,DE16,DE17)</f>
        <v>7.1266153629638302E-4</v>
      </c>
      <c r="DF28" s="101">
        <f t="shared" si="138"/>
        <v>11.271929965754458</v>
      </c>
      <c r="DG28" s="101">
        <f t="shared" si="138"/>
        <v>1.3006073037408989E-2</v>
      </c>
      <c r="DH28" s="101">
        <f t="shared" si="138"/>
        <v>14.193842264569627</v>
      </c>
      <c r="DI28" s="101">
        <f t="shared" si="138"/>
        <v>1.6377510305272645E-2</v>
      </c>
      <c r="DJ28" s="101">
        <f t="shared" si="138"/>
        <v>8.3707274893615749E-2</v>
      </c>
      <c r="DK28" s="101">
        <f t="shared" si="138"/>
        <v>7.1266153629638285E-2</v>
      </c>
      <c r="DL28" s="101">
        <f t="shared" si="138"/>
        <v>2.3755384543212764E-2</v>
      </c>
      <c r="DM28" s="101">
        <f>SUM(DM11,DM15,DM16,DM17)</f>
        <v>5.9388461358031913E-2</v>
      </c>
      <c r="DN28" s="101">
        <f t="shared" si="138"/>
        <v>1.1877692271606382E-2</v>
      </c>
      <c r="DO28" s="101">
        <f>SUM(DO11,DO15,DO16,DO17)</f>
        <v>4.7510769086425528E-2</v>
      </c>
      <c r="DP28" s="101">
        <f>SUM(DP11,DP15,DP16,DP17)</f>
        <v>3.5633076814819142E-2</v>
      </c>
      <c r="DQ28" s="101">
        <f>SUM(DQ11,DQ15,DQ16,DQ17)</f>
        <v>5.9388461358031913E-2</v>
      </c>
      <c r="DR28" s="152"/>
      <c r="DW28" s="20" t="s">
        <v>52</v>
      </c>
      <c r="DX28" s="191">
        <f>SUM(DX11,DX15,DX16,DX17)</f>
        <v>0.90559378366392784</v>
      </c>
      <c r="DY28" s="191">
        <f t="shared" ref="DY28:EZ28" si="139">SUM(DY11,DY15,DY16,DY17)</f>
        <v>1.044915904227609E-3</v>
      </c>
      <c r="DZ28" s="191">
        <f t="shared" si="139"/>
        <v>11.719448965062595</v>
      </c>
      <c r="EA28" s="191">
        <f t="shared" si="139"/>
        <v>1.3522441113533762E-2</v>
      </c>
      <c r="EB28" s="191">
        <f t="shared" si="139"/>
        <v>31.962133541079798</v>
      </c>
      <c r="EC28" s="191">
        <f t="shared" si="139"/>
        <v>3.6879384855092075E-2</v>
      </c>
      <c r="ED28" s="191">
        <f t="shared" si="139"/>
        <v>0.18849463370380395</v>
      </c>
      <c r="EE28" s="191">
        <f t="shared" si="139"/>
        <v>1.3317555642116585</v>
      </c>
      <c r="EF28" s="192">
        <f t="shared" si="139"/>
        <v>26.805575996452262</v>
      </c>
      <c r="EG28" s="191">
        <f t="shared" si="139"/>
        <v>26.635111284233169</v>
      </c>
      <c r="EH28" s="192">
        <f t="shared" si="139"/>
        <v>23.145911705998621</v>
      </c>
      <c r="EI28" s="191">
        <f t="shared" si="139"/>
        <v>22.906195704440528</v>
      </c>
      <c r="EJ28" s="191">
        <f t="shared" si="139"/>
        <v>0.25569706832863842</v>
      </c>
      <c r="EK28" s="191">
        <f t="shared" si="139"/>
        <v>0.63924267082159614</v>
      </c>
      <c r="EL28" s="13" t="s">
        <v>333</v>
      </c>
      <c r="EM28" s="191">
        <f t="shared" si="139"/>
        <v>20.285954814332595</v>
      </c>
      <c r="EN28" s="193">
        <f t="shared" si="139"/>
        <v>2.3406870939614528E-2</v>
      </c>
      <c r="EO28" s="191">
        <f t="shared" si="139"/>
        <v>546.07671641712602</v>
      </c>
      <c r="EP28" s="191">
        <f t="shared" si="139"/>
        <v>0.63008851894283779</v>
      </c>
      <c r="EQ28" s="191">
        <f t="shared" si="139"/>
        <v>319.80107613985876</v>
      </c>
      <c r="ER28" s="191">
        <f t="shared" si="139"/>
        <v>0.36900124169983706</v>
      </c>
      <c r="ES28" s="191">
        <f t="shared" si="139"/>
        <v>1.8860063464658334</v>
      </c>
      <c r="ET28" s="191">
        <f t="shared" si="139"/>
        <v>569.28121080233745</v>
      </c>
      <c r="EU28" s="191">
        <f t="shared" si="139"/>
        <v>58.841789648709984</v>
      </c>
      <c r="EV28" s="191">
        <f t="shared" si="139"/>
        <v>42.232657542910715</v>
      </c>
      <c r="EW28" s="191">
        <f t="shared" si="139"/>
        <v>50.181069094940511</v>
      </c>
      <c r="EX28" s="191">
        <f t="shared" si="139"/>
        <v>33.461970528904132</v>
      </c>
      <c r="EY28" s="191">
        <f t="shared" si="139"/>
        <v>16.694364461908823</v>
      </c>
      <c r="EZ28" s="191">
        <f t="shared" si="139"/>
        <v>13.575055759963394</v>
      </c>
    </row>
    <row r="29" spans="1:156" ht="10.9" customHeight="1">
      <c r="H29" s="105"/>
      <c r="J29" s="105"/>
      <c r="K29" s="106"/>
      <c r="L29" s="105"/>
      <c r="M29" s="105"/>
      <c r="N29" s="105"/>
      <c r="O29" s="105"/>
      <c r="P29" s="105"/>
      <c r="AB29" s="21"/>
      <c r="AD29" s="21"/>
      <c r="AE29" s="97"/>
      <c r="AF29" s="21"/>
      <c r="AG29" s="21"/>
      <c r="AH29" s="21"/>
      <c r="AI29" s="21"/>
      <c r="AJ29" s="21"/>
      <c r="AK29" s="21"/>
      <c r="AM29" s="1"/>
      <c r="AV29" s="21"/>
      <c r="AW29" s="1"/>
      <c r="AX29" s="21"/>
      <c r="AY29" s="97"/>
      <c r="AZ29" s="21"/>
      <c r="BA29" s="21"/>
      <c r="BB29" s="21"/>
      <c r="BC29" s="21"/>
      <c r="BD29" s="21"/>
      <c r="BE29" s="21"/>
      <c r="BF29" s="1"/>
      <c r="BG29" s="1"/>
      <c r="BI29" s="1"/>
      <c r="BJ29" s="152"/>
      <c r="BP29" s="105"/>
      <c r="BR29" s="105"/>
      <c r="BS29" s="106"/>
      <c r="BT29" s="105"/>
      <c r="BU29" s="105"/>
      <c r="BV29" s="105"/>
      <c r="BW29" s="105"/>
      <c r="BX29" s="159"/>
      <c r="BY29" s="105"/>
      <c r="CD29" s="152"/>
      <c r="CJ29" s="105"/>
      <c r="CL29" s="105"/>
      <c r="CM29" s="106"/>
      <c r="CN29" s="105"/>
      <c r="CO29" s="105"/>
      <c r="CP29" s="105"/>
      <c r="CQ29" s="105"/>
      <c r="CR29" s="105"/>
      <c r="CS29" s="105"/>
      <c r="CX29" s="152"/>
      <c r="DB29" s="17"/>
      <c r="DC29" s="17"/>
      <c r="DD29" s="21"/>
      <c r="DE29" s="17"/>
      <c r="DF29" s="21"/>
      <c r="DG29" s="97"/>
      <c r="DH29" s="21"/>
      <c r="DI29" s="21"/>
      <c r="DJ29" s="21"/>
      <c r="DK29" s="21"/>
      <c r="DL29" s="21"/>
      <c r="DM29" s="107"/>
      <c r="DR29" s="152"/>
      <c r="DS29" s="157"/>
      <c r="DV29" s="23"/>
      <c r="DW29" s="23"/>
      <c r="DX29" s="105"/>
      <c r="DY29" s="23"/>
      <c r="DZ29" s="105"/>
      <c r="EA29" s="106"/>
      <c r="EB29" s="105"/>
      <c r="EC29" s="105"/>
      <c r="ED29" s="105"/>
      <c r="EE29" s="105"/>
      <c r="EF29" s="159"/>
      <c r="EG29" s="105"/>
    </row>
    <row r="30" spans="1:156" ht="10.9" customHeight="1">
      <c r="F30" s="23"/>
      <c r="G30" s="23"/>
      <c r="H30" s="105"/>
      <c r="I30" s="23"/>
      <c r="J30" s="105"/>
      <c r="K30" s="106"/>
      <c r="L30" s="105"/>
      <c r="M30" s="105"/>
      <c r="N30" s="105"/>
      <c r="O30" s="105"/>
      <c r="P30" s="105"/>
      <c r="W30" s="1" t="s">
        <v>56</v>
      </c>
      <c r="Z30" s="17"/>
      <c r="AA30" s="17"/>
      <c r="AB30" s="21"/>
      <c r="AC30" s="17"/>
      <c r="AD30" s="108"/>
      <c r="AE30" s="108"/>
      <c r="AF30" s="48"/>
      <c r="AG30" s="48"/>
      <c r="AH30" s="48"/>
      <c r="AI30" s="44"/>
      <c r="AJ30" s="109"/>
      <c r="AK30" s="114"/>
      <c r="AN30" s="1"/>
      <c r="AO30" s="1"/>
      <c r="AT30" s="17"/>
      <c r="AU30" s="17"/>
      <c r="AV30" s="107"/>
      <c r="AW30" s="2"/>
      <c r="AX30" s="21"/>
      <c r="AY30" s="194"/>
      <c r="AZ30" s="21"/>
      <c r="BA30" s="107"/>
      <c r="BB30" s="21"/>
      <c r="BC30" s="21"/>
      <c r="BD30" s="107"/>
      <c r="BE30" s="107"/>
      <c r="BJ30" s="152"/>
      <c r="BK30" s="1" t="s">
        <v>56</v>
      </c>
      <c r="BL30" s="1"/>
      <c r="BM30" s="1"/>
      <c r="BN30" s="17"/>
      <c r="BO30" s="17"/>
      <c r="BP30" s="21"/>
      <c r="BQ30" s="17"/>
      <c r="BR30" s="108"/>
      <c r="BS30" s="108"/>
      <c r="BT30" s="48"/>
      <c r="BU30" s="48"/>
      <c r="BV30" s="48"/>
      <c r="BW30" s="48"/>
      <c r="BX30" s="114"/>
      <c r="BY30" s="109"/>
      <c r="BZ30" s="9"/>
      <c r="CA30" s="1"/>
      <c r="CB30" s="1"/>
      <c r="CC30" s="1"/>
      <c r="CD30" s="152"/>
      <c r="CH30" s="23"/>
      <c r="CI30" s="23"/>
      <c r="CJ30" s="105"/>
      <c r="CK30" s="23"/>
      <c r="CL30" s="105"/>
      <c r="CM30" s="106"/>
      <c r="CN30" s="105"/>
      <c r="CO30" s="105"/>
      <c r="CP30" s="105"/>
      <c r="CQ30" s="105"/>
      <c r="CR30" s="105"/>
      <c r="CS30" s="105"/>
      <c r="CX30" s="152"/>
      <c r="DB30" s="17"/>
      <c r="DC30" s="17"/>
      <c r="DD30" s="21"/>
      <c r="DE30" s="17"/>
      <c r="DF30" s="108"/>
      <c r="DG30" s="108"/>
      <c r="DH30" s="48"/>
      <c r="DI30" s="48"/>
      <c r="DJ30" s="48"/>
      <c r="DK30" s="44"/>
      <c r="DL30" s="109"/>
      <c r="DM30" s="114"/>
      <c r="DS30" s="195" t="s">
        <v>335</v>
      </c>
      <c r="DV30" s="23"/>
      <c r="DW30" s="23"/>
      <c r="DX30" s="105"/>
      <c r="DY30" s="23"/>
      <c r="DZ30" s="110"/>
      <c r="EA30" s="110"/>
      <c r="EB30" s="111"/>
      <c r="EC30" s="111"/>
      <c r="ED30" s="111"/>
      <c r="EE30" s="112"/>
      <c r="EF30" s="196"/>
      <c r="EG30" s="113"/>
    </row>
    <row r="31" spans="1:156" ht="10.9" customHeight="1">
      <c r="F31" s="23"/>
      <c r="G31" s="23"/>
      <c r="H31" s="105"/>
      <c r="I31" s="23"/>
      <c r="J31" s="110"/>
      <c r="K31" s="110"/>
      <c r="L31" s="111"/>
      <c r="M31" s="111"/>
      <c r="N31" s="111"/>
      <c r="O31" s="112"/>
      <c r="P31" s="113"/>
      <c r="W31" s="1" t="s">
        <v>57</v>
      </c>
      <c r="AB31" s="21"/>
      <c r="AC31" s="17"/>
      <c r="AD31" s="108"/>
      <c r="AE31" s="108"/>
      <c r="AF31" s="48"/>
      <c r="AG31" s="48"/>
      <c r="AH31" s="48"/>
      <c r="AI31" s="44"/>
      <c r="AJ31" s="109"/>
      <c r="AK31" s="114"/>
      <c r="AN31" s="1"/>
      <c r="AO31" s="1"/>
      <c r="AT31" s="17"/>
      <c r="AU31" s="17"/>
      <c r="AV31" s="107"/>
      <c r="AW31" s="2"/>
      <c r="AX31" s="108"/>
      <c r="AY31" s="172"/>
      <c r="AZ31" s="48"/>
      <c r="BA31" s="197"/>
      <c r="BB31" s="48"/>
      <c r="BC31" s="44"/>
      <c r="BD31" s="114"/>
      <c r="BE31" s="114"/>
      <c r="BH31" s="1"/>
      <c r="BJ31" s="152"/>
      <c r="BK31" s="1" t="s">
        <v>57</v>
      </c>
      <c r="BL31" s="1"/>
      <c r="BM31" s="1"/>
      <c r="BN31" s="1"/>
      <c r="BO31" s="1"/>
      <c r="BP31" s="21"/>
      <c r="BQ31" s="17"/>
      <c r="BR31" s="108"/>
      <c r="BS31" s="108"/>
      <c r="BT31" s="48"/>
      <c r="BU31" s="48"/>
      <c r="BV31" s="48"/>
      <c r="BW31" s="48"/>
      <c r="BX31" s="114"/>
      <c r="BY31" s="109"/>
      <c r="BZ31" s="9"/>
      <c r="CA31" s="1"/>
      <c r="CB31" s="1"/>
      <c r="CC31" s="1"/>
      <c r="CH31" s="23"/>
      <c r="CI31" s="23"/>
      <c r="CJ31" s="105"/>
      <c r="CK31" s="23"/>
      <c r="CL31" s="110"/>
      <c r="CM31" s="110"/>
      <c r="CN31" s="111"/>
      <c r="CO31" s="111"/>
      <c r="CP31" s="111"/>
      <c r="CQ31" s="112"/>
      <c r="CR31" s="113"/>
      <c r="CS31" s="113"/>
      <c r="CX31" s="152"/>
      <c r="DD31" s="21"/>
      <c r="DE31" s="17"/>
      <c r="DF31" s="108"/>
      <c r="DG31" s="108"/>
      <c r="DH31" s="48"/>
      <c r="DI31" s="48"/>
      <c r="DJ31" s="48"/>
      <c r="DK31" s="44"/>
      <c r="DL31" s="109"/>
      <c r="DM31" s="114"/>
      <c r="DX31" s="105"/>
      <c r="DY31" s="23"/>
      <c r="DZ31" s="110"/>
      <c r="EA31" s="110"/>
      <c r="EB31" s="111"/>
      <c r="EC31" s="111"/>
      <c r="ED31" s="111"/>
      <c r="EE31" s="112"/>
      <c r="EF31" s="196"/>
      <c r="EG31" s="113"/>
    </row>
    <row r="32" spans="1:156" ht="10.9" customHeight="1">
      <c r="H32" s="105"/>
      <c r="I32" s="23"/>
      <c r="J32" s="110"/>
      <c r="K32" s="110"/>
      <c r="L32" s="111"/>
      <c r="M32" s="111"/>
      <c r="N32" s="111"/>
      <c r="O32" s="112"/>
      <c r="P32" s="113"/>
      <c r="W32" s="1" t="s">
        <v>336</v>
      </c>
      <c r="AB32" s="21"/>
      <c r="AC32" s="17"/>
      <c r="AD32" s="108"/>
      <c r="AE32" s="108"/>
      <c r="AF32" s="48"/>
      <c r="AG32" s="48"/>
      <c r="AH32" s="48"/>
      <c r="AI32" s="44"/>
      <c r="AJ32" s="109"/>
      <c r="AK32" s="114"/>
      <c r="AV32" s="107"/>
      <c r="AW32" s="2"/>
      <c r="AX32" s="108"/>
      <c r="AY32" s="172"/>
      <c r="AZ32" s="48"/>
      <c r="BA32" s="197"/>
      <c r="BB32" s="48"/>
      <c r="BC32" s="44"/>
      <c r="BD32" s="114"/>
      <c r="BE32" s="114"/>
      <c r="BH32" s="1"/>
      <c r="BP32" s="105"/>
      <c r="BQ32" s="23"/>
      <c r="BR32" s="110"/>
      <c r="BS32" s="110"/>
      <c r="BT32" s="111"/>
      <c r="BU32" s="111"/>
      <c r="BV32" s="111"/>
      <c r="BW32" s="112"/>
      <c r="BX32" s="196"/>
      <c r="BY32" s="113"/>
      <c r="CJ32" s="105"/>
      <c r="CK32" s="23"/>
      <c r="CL32" s="110"/>
      <c r="CM32" s="110"/>
      <c r="CN32" s="111"/>
      <c r="CO32" s="111"/>
      <c r="CP32" s="111"/>
      <c r="CQ32" s="112"/>
      <c r="CR32" s="113"/>
      <c r="CS32" s="113"/>
      <c r="CX32" s="152"/>
      <c r="DB32" s="17"/>
      <c r="DC32" s="17"/>
      <c r="DD32" s="21"/>
      <c r="DE32" s="17"/>
      <c r="DF32" s="108"/>
      <c r="DG32" s="108"/>
      <c r="DI32" s="48"/>
      <c r="DJ32" s="48"/>
      <c r="DK32" s="44"/>
      <c r="DL32" s="109"/>
      <c r="DM32" s="114"/>
      <c r="DV32" s="23"/>
      <c r="DW32" s="23"/>
      <c r="DX32" s="105"/>
      <c r="DY32" s="23"/>
      <c r="DZ32" s="110"/>
      <c r="EA32" s="110"/>
      <c r="EB32" s="111"/>
      <c r="EC32" s="111"/>
      <c r="ED32" s="111"/>
      <c r="EE32" s="112"/>
      <c r="EF32" s="196"/>
      <c r="EG32" s="113"/>
    </row>
    <row r="33" spans="3:150" ht="10.9" customHeight="1">
      <c r="F33" s="23"/>
      <c r="G33" s="23"/>
      <c r="H33" s="105"/>
      <c r="I33" s="23"/>
      <c r="J33" s="110"/>
      <c r="K33" s="110"/>
      <c r="L33" s="111"/>
      <c r="M33" s="111"/>
      <c r="N33" s="111"/>
      <c r="O33" s="112"/>
      <c r="P33" s="113"/>
      <c r="Z33" s="17"/>
      <c r="AA33" s="17"/>
      <c r="AB33" s="21"/>
      <c r="AC33" s="17"/>
      <c r="AD33" s="108"/>
      <c r="AE33" s="108"/>
      <c r="AF33" s="48"/>
      <c r="AG33" s="48"/>
      <c r="AH33" s="48"/>
      <c r="AI33" s="44"/>
      <c r="AJ33" s="109"/>
      <c r="AK33" s="114"/>
      <c r="AT33" s="17"/>
      <c r="AU33" s="17"/>
      <c r="AV33" s="107"/>
      <c r="AW33" s="2"/>
      <c r="AX33" s="108"/>
      <c r="AY33" s="172"/>
      <c r="AZ33" s="48"/>
      <c r="BA33" s="197"/>
      <c r="BB33" s="48"/>
      <c r="BC33" s="44"/>
      <c r="BD33" s="114"/>
      <c r="BE33" s="114"/>
      <c r="BN33" s="23"/>
      <c r="BO33" s="23"/>
      <c r="BP33" s="105"/>
      <c r="BQ33" s="23"/>
      <c r="BR33" s="110"/>
      <c r="BS33" s="110"/>
      <c r="BT33" s="111"/>
      <c r="BU33" s="111"/>
      <c r="BV33" s="111"/>
      <c r="BW33" s="112"/>
      <c r="BX33" s="196"/>
      <c r="BY33" s="113"/>
      <c r="CH33" s="23"/>
      <c r="CI33" s="23"/>
      <c r="CJ33" s="105"/>
      <c r="CK33" s="23"/>
      <c r="CL33" s="110"/>
      <c r="CM33" s="110"/>
      <c r="CN33" s="111"/>
      <c r="CO33" s="111"/>
      <c r="CP33" s="111"/>
      <c r="CQ33" s="112"/>
      <c r="CR33" s="113"/>
      <c r="CS33" s="113"/>
      <c r="DB33" s="17"/>
      <c r="DC33" s="17"/>
      <c r="DD33" s="21"/>
      <c r="DE33" s="17"/>
      <c r="DF33" s="108"/>
      <c r="DH33" s="48"/>
      <c r="DI33" s="48"/>
      <c r="DJ33" s="48"/>
      <c r="DK33" s="44"/>
      <c r="DL33" s="109"/>
      <c r="DM33" s="114"/>
      <c r="DV33" s="23"/>
      <c r="DW33" s="23"/>
      <c r="DX33" s="105"/>
      <c r="DY33" s="23"/>
      <c r="DZ33" s="110"/>
      <c r="EA33" s="110"/>
      <c r="EB33" s="111"/>
      <c r="EC33" s="111"/>
      <c r="ED33" s="111"/>
      <c r="EE33" s="112"/>
      <c r="EF33" s="196"/>
      <c r="EG33" s="113"/>
    </row>
    <row r="34" spans="3:150" ht="10.9" customHeight="1">
      <c r="F34" s="23"/>
      <c r="G34" s="23"/>
      <c r="H34" s="105"/>
      <c r="I34" s="23"/>
      <c r="J34" s="110"/>
      <c r="K34" s="110"/>
      <c r="L34" s="111"/>
      <c r="M34" s="111"/>
      <c r="N34" s="111"/>
      <c r="O34" s="112"/>
      <c r="P34" s="113"/>
      <c r="Z34" s="17"/>
      <c r="AA34" s="17"/>
      <c r="AB34" s="21"/>
      <c r="AC34" s="17"/>
      <c r="AD34" s="108"/>
      <c r="AE34" s="108"/>
      <c r="AF34" s="48"/>
      <c r="AG34" s="48"/>
      <c r="AH34" s="48"/>
      <c r="AI34" s="44"/>
      <c r="AJ34" s="109"/>
      <c r="AK34" s="114"/>
      <c r="AT34" s="17"/>
      <c r="AU34" s="17"/>
      <c r="AV34" s="107"/>
      <c r="AW34" s="2"/>
      <c r="AX34" s="108"/>
      <c r="AY34" s="5" t="s">
        <v>337</v>
      </c>
      <c r="BA34" s="197"/>
      <c r="BB34" s="48"/>
      <c r="BC34" s="44"/>
      <c r="BD34" s="114"/>
      <c r="BE34" s="114"/>
      <c r="BN34" s="23"/>
      <c r="BO34" s="23"/>
      <c r="BP34" s="105"/>
      <c r="BQ34" s="23"/>
      <c r="BR34" s="110"/>
      <c r="BU34" s="111"/>
      <c r="BV34" s="111"/>
      <c r="BW34" s="112"/>
      <c r="BX34" s="196"/>
      <c r="BY34" s="113"/>
      <c r="CH34" s="23"/>
      <c r="CI34" s="23"/>
      <c r="CJ34" s="105"/>
      <c r="CK34" s="23"/>
      <c r="CL34" s="110"/>
      <c r="CM34" s="110"/>
      <c r="CN34" s="111"/>
      <c r="CO34" s="111"/>
      <c r="CP34" s="111"/>
      <c r="CQ34" s="112"/>
      <c r="CR34" s="113"/>
      <c r="CS34" s="113"/>
      <c r="DD34" s="21"/>
      <c r="DE34" s="17"/>
      <c r="DF34" s="108"/>
      <c r="DG34" s="108"/>
      <c r="DH34" s="18" t="s">
        <v>338</v>
      </c>
      <c r="DI34" s="48"/>
      <c r="DJ34" s="48"/>
      <c r="DK34" s="44"/>
      <c r="DL34" s="109"/>
      <c r="DM34" s="114"/>
      <c r="DX34" s="105"/>
      <c r="DY34" s="23"/>
      <c r="DZ34" s="110"/>
      <c r="EB34" s="111"/>
      <c r="EC34" s="111"/>
      <c r="ED34" s="111"/>
      <c r="EE34" s="112"/>
      <c r="EF34" s="196"/>
      <c r="EG34" s="113"/>
      <c r="ES34" s="20" t="s">
        <v>339</v>
      </c>
      <c r="ET34" s="111"/>
    </row>
    <row r="35" spans="3:150" ht="10.9" customHeight="1">
      <c r="H35" s="105"/>
      <c r="I35" s="23"/>
      <c r="J35" s="110"/>
      <c r="K35" s="19" t="s">
        <v>340</v>
      </c>
      <c r="M35" s="111"/>
      <c r="N35" s="111"/>
      <c r="O35" s="112"/>
      <c r="P35" s="113"/>
      <c r="AB35" s="21"/>
      <c r="AC35" s="17"/>
      <c r="AD35" s="108"/>
      <c r="AE35" s="5" t="s">
        <v>341</v>
      </c>
      <c r="AG35" s="48"/>
      <c r="AH35" s="48"/>
      <c r="AI35" s="44"/>
      <c r="AJ35" s="109"/>
      <c r="AK35" s="114"/>
      <c r="AV35" s="107"/>
      <c r="AW35" s="2"/>
      <c r="AX35" s="108"/>
      <c r="AY35" s="172"/>
      <c r="AZ35" s="48"/>
      <c r="BA35" s="197"/>
      <c r="BB35" s="48"/>
      <c r="BC35" s="44"/>
      <c r="BD35" s="114"/>
      <c r="BE35" s="114"/>
      <c r="BP35" s="105"/>
      <c r="BQ35" s="23"/>
      <c r="BR35" s="110"/>
      <c r="BS35" s="110"/>
      <c r="BT35" s="19" t="s">
        <v>342</v>
      </c>
      <c r="BU35" s="111"/>
      <c r="BV35" s="111"/>
      <c r="BW35" s="112"/>
      <c r="BX35" s="196"/>
      <c r="BY35" s="113"/>
      <c r="CJ35" s="105"/>
      <c r="CK35" s="23"/>
      <c r="CL35" s="110"/>
      <c r="CN35" s="19" t="s">
        <v>343</v>
      </c>
      <c r="CO35" s="111"/>
      <c r="CP35" s="111"/>
      <c r="CQ35" s="112"/>
      <c r="CR35" s="113"/>
      <c r="CS35" s="113"/>
      <c r="DA35" s="17"/>
      <c r="DB35" s="17"/>
      <c r="DC35" s="17"/>
      <c r="DD35" s="21"/>
      <c r="DE35" s="17"/>
      <c r="DF35" s="108"/>
      <c r="DG35" s="108"/>
      <c r="DI35" s="48"/>
      <c r="DJ35" s="48"/>
      <c r="DK35" s="44"/>
      <c r="DL35" s="109"/>
      <c r="DM35" s="114"/>
      <c r="DU35" s="23"/>
      <c r="DV35" s="23"/>
      <c r="DW35" s="23"/>
      <c r="DX35" s="105"/>
      <c r="DY35" s="23"/>
      <c r="DZ35" s="110"/>
      <c r="EA35" s="110"/>
      <c r="EB35" s="111" t="s">
        <v>344</v>
      </c>
      <c r="EC35" s="111"/>
      <c r="ED35" s="111"/>
      <c r="EE35" s="112"/>
      <c r="EF35" s="196"/>
      <c r="EG35" s="113"/>
    </row>
    <row r="36" spans="3:150" ht="10.9" customHeight="1">
      <c r="E36" s="23"/>
      <c r="F36" s="23"/>
      <c r="G36" s="23"/>
      <c r="H36" s="105"/>
      <c r="I36" s="23"/>
      <c r="J36" s="110"/>
      <c r="K36" s="110"/>
      <c r="L36" s="111"/>
      <c r="M36" s="111"/>
      <c r="N36" s="111"/>
      <c r="O36" s="112"/>
      <c r="P36" s="113"/>
      <c r="Y36" s="17"/>
      <c r="Z36" s="17"/>
      <c r="AA36" s="17"/>
      <c r="AB36" s="21"/>
      <c r="AC36" s="17"/>
      <c r="AD36" s="108"/>
      <c r="AE36" s="108"/>
      <c r="AG36" s="48"/>
      <c r="AH36" s="48"/>
      <c r="AI36" s="44"/>
      <c r="AJ36" s="109"/>
      <c r="AK36" s="114"/>
      <c r="AS36" s="17"/>
      <c r="AT36" s="17"/>
      <c r="AU36" s="17"/>
      <c r="AV36" s="107"/>
      <c r="AW36" s="2"/>
      <c r="AX36" s="108"/>
      <c r="AY36" s="172"/>
      <c r="AZ36" s="48"/>
      <c r="BA36" s="197"/>
      <c r="BB36" s="48"/>
      <c r="BC36" s="44"/>
      <c r="BD36" s="114"/>
      <c r="BE36" s="114"/>
      <c r="BM36" s="23"/>
      <c r="BN36" s="23"/>
      <c r="BO36" s="23"/>
      <c r="BP36" s="105"/>
      <c r="BQ36" s="23"/>
      <c r="BR36" s="110"/>
      <c r="BS36" s="110"/>
      <c r="BT36" s="111"/>
      <c r="BU36" s="111"/>
      <c r="BV36" s="111"/>
      <c r="BW36" s="112"/>
      <c r="BX36" s="196"/>
      <c r="BY36" s="113"/>
      <c r="CG36" s="23"/>
      <c r="CH36" s="23"/>
      <c r="CI36" s="23"/>
      <c r="CJ36" s="105"/>
      <c r="CK36" s="23"/>
      <c r="CL36" s="110"/>
      <c r="CM36" s="110"/>
      <c r="CO36" s="111"/>
      <c r="CP36" s="111"/>
      <c r="CQ36" s="112"/>
      <c r="CR36" s="113"/>
      <c r="CS36" s="113"/>
      <c r="DA36" s="17"/>
      <c r="DB36" s="17"/>
      <c r="DC36" s="17"/>
      <c r="DD36" s="21"/>
      <c r="DE36" s="17"/>
      <c r="DF36" s="108"/>
      <c r="DG36" s="108"/>
      <c r="DH36" s="48"/>
      <c r="DI36" s="48"/>
      <c r="DJ36" s="48"/>
      <c r="DK36" s="44"/>
      <c r="DL36" s="109"/>
      <c r="DM36" s="114"/>
      <c r="DU36" s="23"/>
      <c r="DV36" s="23"/>
      <c r="DW36" s="23"/>
      <c r="DX36" s="105"/>
      <c r="DY36" s="23"/>
      <c r="DZ36" s="110"/>
      <c r="EA36" s="110"/>
      <c r="EB36" s="111"/>
      <c r="EC36" s="111"/>
      <c r="ED36" s="111"/>
      <c r="EE36" s="112"/>
      <c r="EF36" s="196"/>
      <c r="EG36" s="113"/>
    </row>
    <row r="37" spans="3:150" ht="10.9" customHeight="1">
      <c r="E37" s="23"/>
      <c r="F37" s="23"/>
      <c r="G37" s="23"/>
      <c r="H37" s="105"/>
      <c r="I37" s="23"/>
      <c r="J37" s="110"/>
      <c r="K37" s="110"/>
      <c r="M37" s="111"/>
      <c r="N37" s="111"/>
      <c r="O37" s="112"/>
      <c r="P37" s="113"/>
      <c r="Y37" s="17"/>
      <c r="Z37" s="17"/>
      <c r="AA37" s="17"/>
      <c r="AB37" s="21"/>
      <c r="AC37" s="17"/>
      <c r="AD37" s="108"/>
      <c r="AE37" s="108"/>
      <c r="AF37" s="48"/>
      <c r="AG37" s="48"/>
      <c r="AH37" s="48"/>
      <c r="AI37" s="44"/>
      <c r="AJ37" s="109"/>
      <c r="AK37" s="114"/>
      <c r="AS37" s="17"/>
      <c r="AT37" s="17"/>
      <c r="AU37" s="17"/>
      <c r="AV37" s="107"/>
      <c r="AW37" s="2"/>
      <c r="AX37" s="108"/>
      <c r="AY37" s="172"/>
      <c r="BA37" s="197"/>
      <c r="BB37" s="48"/>
      <c r="BC37" s="44"/>
      <c r="BD37" s="114"/>
      <c r="BE37" s="114"/>
      <c r="BM37" s="23"/>
      <c r="BN37" s="23"/>
      <c r="BO37" s="23"/>
      <c r="BP37" s="105"/>
      <c r="BQ37" s="23"/>
      <c r="BR37" s="110"/>
      <c r="BS37" s="110"/>
      <c r="BT37" s="111"/>
      <c r="BU37" s="111"/>
      <c r="BV37" s="111"/>
      <c r="BW37" s="112"/>
      <c r="BX37" s="196"/>
      <c r="BY37" s="113"/>
      <c r="CG37" s="23"/>
      <c r="CH37" s="23"/>
      <c r="CI37" s="23"/>
      <c r="CJ37" s="105"/>
      <c r="CK37" s="23"/>
      <c r="CL37" s="110"/>
      <c r="CM37" s="110"/>
      <c r="CN37" s="111"/>
      <c r="CO37" s="111"/>
      <c r="CP37" s="111"/>
      <c r="CQ37" s="112"/>
      <c r="CR37" s="113"/>
      <c r="CS37" s="113"/>
      <c r="DA37" s="17"/>
      <c r="DB37" s="17"/>
      <c r="DC37" s="17"/>
      <c r="DD37" s="21"/>
      <c r="DE37" s="17"/>
      <c r="DF37" s="108"/>
      <c r="DG37" s="108"/>
      <c r="DH37" s="48"/>
      <c r="DI37" s="48"/>
      <c r="DJ37" s="48"/>
      <c r="DK37" s="44"/>
      <c r="DL37" s="109"/>
      <c r="DM37" s="114"/>
      <c r="DU37" s="23"/>
      <c r="DV37" s="23"/>
      <c r="DW37" s="23"/>
      <c r="DX37" s="105"/>
      <c r="DY37" s="23"/>
      <c r="DZ37" s="110"/>
      <c r="EA37" s="110"/>
      <c r="EB37" s="111"/>
      <c r="EC37" s="111"/>
      <c r="ED37" s="111"/>
      <c r="EE37" s="112"/>
      <c r="EF37" s="196"/>
      <c r="EG37" s="113"/>
    </row>
    <row r="38" spans="3:150" ht="10.9" customHeight="1">
      <c r="E38" s="23"/>
      <c r="F38" s="23"/>
      <c r="G38" s="23"/>
      <c r="H38" s="105"/>
      <c r="I38" s="23"/>
      <c r="J38" s="110"/>
      <c r="K38" s="110"/>
      <c r="L38" s="111"/>
      <c r="M38" s="111"/>
      <c r="N38" s="111"/>
      <c r="O38" s="112"/>
      <c r="P38" s="113"/>
      <c r="Y38" s="17"/>
      <c r="Z38" s="17"/>
      <c r="AA38" s="17"/>
      <c r="AB38" s="21"/>
      <c r="AC38" s="17"/>
      <c r="AD38" s="108"/>
      <c r="AE38" s="108"/>
      <c r="AF38" s="48"/>
      <c r="AG38" s="48"/>
      <c r="AH38" s="48"/>
      <c r="AI38" s="44"/>
      <c r="AJ38" s="109"/>
      <c r="AK38" s="114"/>
      <c r="AS38" s="17"/>
      <c r="AT38" s="17"/>
      <c r="AU38" s="17"/>
      <c r="AV38" s="107"/>
      <c r="AW38" s="2"/>
      <c r="AX38" s="108"/>
      <c r="AY38" s="172"/>
      <c r="AZ38" s="48"/>
      <c r="BA38" s="197"/>
      <c r="BB38" s="48"/>
      <c r="BC38" s="44"/>
      <c r="BD38" s="114"/>
      <c r="BE38" s="114"/>
      <c r="BM38" s="23"/>
      <c r="BN38" s="23"/>
      <c r="BO38" s="23"/>
      <c r="BP38" s="105"/>
      <c r="BQ38" s="23"/>
      <c r="BR38" s="110"/>
      <c r="BS38" s="110"/>
      <c r="BT38" s="111"/>
      <c r="BU38" s="111"/>
      <c r="BV38" s="111"/>
      <c r="BW38" s="112"/>
      <c r="BX38" s="196"/>
      <c r="BY38" s="113"/>
      <c r="CG38" s="23"/>
      <c r="CH38" s="23"/>
      <c r="CI38" s="23"/>
      <c r="CJ38" s="105"/>
      <c r="CK38" s="23"/>
      <c r="CL38" s="110"/>
      <c r="CM38" s="110"/>
      <c r="CN38" s="111"/>
      <c r="CO38" s="111"/>
      <c r="CP38" s="111"/>
      <c r="CQ38" s="112"/>
      <c r="CR38" s="113"/>
      <c r="CS38" s="113"/>
      <c r="DB38" s="17"/>
      <c r="DC38" s="17"/>
      <c r="DD38" s="21"/>
      <c r="DE38" s="17"/>
      <c r="DF38" s="108"/>
      <c r="DG38" s="108"/>
      <c r="DH38" s="48"/>
      <c r="DI38" s="48"/>
      <c r="DJ38" s="48"/>
      <c r="DK38" s="44"/>
      <c r="DL38" s="109"/>
      <c r="DM38" s="114"/>
      <c r="DV38" s="23"/>
      <c r="DW38" s="23"/>
      <c r="DX38" s="105"/>
      <c r="DY38" s="23"/>
      <c r="DZ38" s="110"/>
      <c r="EA38" s="110"/>
      <c r="EB38" s="111"/>
      <c r="EC38" s="111"/>
      <c r="ED38" s="111"/>
      <c r="EE38" s="112"/>
      <c r="EF38" s="196"/>
      <c r="EG38" s="113"/>
    </row>
    <row r="39" spans="3:150" ht="10.9" customHeight="1">
      <c r="F39" s="23"/>
      <c r="G39" s="23"/>
      <c r="H39" s="105"/>
      <c r="I39" s="23"/>
      <c r="J39" s="110"/>
      <c r="K39" s="110"/>
      <c r="L39" s="111"/>
      <c r="M39" s="111"/>
      <c r="N39" s="111"/>
      <c r="O39" s="112"/>
      <c r="P39" s="113"/>
      <c r="Z39" s="17"/>
      <c r="AA39" s="17"/>
      <c r="AB39" s="21"/>
      <c r="AC39" s="17"/>
      <c r="AD39" s="108"/>
      <c r="AE39" s="108"/>
      <c r="AF39" s="48"/>
      <c r="AG39" s="48"/>
      <c r="AH39" s="48"/>
      <c r="AI39" s="44"/>
      <c r="AJ39" s="109"/>
      <c r="AK39" s="114"/>
      <c r="AT39" s="17"/>
      <c r="AU39" s="17"/>
      <c r="AV39" s="107"/>
      <c r="AW39" s="2"/>
      <c r="AX39" s="108"/>
      <c r="AY39" s="172"/>
      <c r="AZ39" s="48"/>
      <c r="BA39" s="197"/>
      <c r="BB39" s="48"/>
      <c r="BC39" s="44"/>
      <c r="BD39" s="114"/>
      <c r="BE39" s="114"/>
      <c r="BN39" s="23"/>
      <c r="BO39" s="23"/>
      <c r="BP39" s="105"/>
      <c r="BQ39" s="23"/>
      <c r="BR39" s="110"/>
      <c r="BS39" s="110"/>
      <c r="BT39" s="111"/>
      <c r="BU39" s="111"/>
      <c r="BV39" s="111"/>
      <c r="BW39" s="112"/>
      <c r="BX39" s="196"/>
      <c r="BY39" s="113"/>
      <c r="CH39" s="23"/>
      <c r="CI39" s="23"/>
      <c r="CJ39" s="105"/>
      <c r="CK39" s="23"/>
      <c r="CL39" s="110"/>
      <c r="CM39" s="110"/>
      <c r="CN39" s="111"/>
      <c r="CO39" s="111"/>
      <c r="CP39" s="111"/>
      <c r="CQ39" s="112"/>
      <c r="CR39" s="113"/>
      <c r="CS39" s="113"/>
      <c r="DB39" s="17"/>
      <c r="DC39" s="17"/>
      <c r="DI39" s="48"/>
      <c r="DJ39" s="48"/>
      <c r="DK39" s="44"/>
      <c r="DL39" s="109"/>
      <c r="DM39" s="114"/>
      <c r="DV39" s="23"/>
      <c r="DW39" s="23"/>
      <c r="EB39" s="19"/>
      <c r="EC39" s="111"/>
      <c r="ED39" s="111"/>
      <c r="EE39" s="112"/>
      <c r="EF39" s="196"/>
      <c r="EG39" s="113"/>
    </row>
    <row r="40" spans="3:150" ht="10.9" customHeight="1">
      <c r="F40" s="23"/>
      <c r="G40" s="23"/>
      <c r="M40" s="111"/>
      <c r="N40" s="111"/>
      <c r="O40" s="112"/>
      <c r="P40" s="113"/>
      <c r="Z40" s="17"/>
      <c r="AA40" s="17"/>
      <c r="AG40" s="48"/>
      <c r="AH40" s="48"/>
      <c r="AI40" s="44"/>
      <c r="AJ40" s="109"/>
      <c r="AK40" s="114"/>
      <c r="AT40" s="17"/>
      <c r="AU40" s="17"/>
      <c r="BA40" s="197"/>
      <c r="BB40" s="48"/>
      <c r="BC40" s="44"/>
      <c r="BD40" s="114"/>
      <c r="BE40" s="114"/>
      <c r="BN40" s="23"/>
      <c r="BO40" s="23"/>
      <c r="BU40" s="111"/>
      <c r="BV40" s="111"/>
      <c r="BW40" s="112"/>
      <c r="BX40" s="196"/>
      <c r="BY40" s="113"/>
      <c r="CH40" s="23"/>
      <c r="CI40" s="23"/>
      <c r="CO40" s="111"/>
      <c r="CP40" s="111"/>
      <c r="CQ40" s="112"/>
      <c r="CR40" s="113"/>
      <c r="CS40" s="113"/>
      <c r="DB40" s="17"/>
      <c r="DC40" s="17"/>
      <c r="DD40" s="21"/>
      <c r="DE40" s="17"/>
      <c r="DF40" s="108"/>
      <c r="DG40" s="108"/>
      <c r="DH40" s="48"/>
      <c r="DI40" s="48"/>
      <c r="DJ40" s="48"/>
      <c r="DK40" s="44"/>
      <c r="DL40" s="109"/>
      <c r="DM40" s="114"/>
      <c r="DV40" s="23"/>
      <c r="DW40" s="23"/>
      <c r="DX40" s="105"/>
      <c r="DY40" s="23"/>
      <c r="DZ40" s="110"/>
      <c r="EA40" s="110"/>
      <c r="EB40" s="111"/>
      <c r="EC40" s="111"/>
      <c r="ED40" s="111"/>
      <c r="EE40" s="112"/>
      <c r="EF40" s="196"/>
      <c r="EG40" s="113"/>
    </row>
    <row r="41" spans="3:150" ht="10.9" customHeight="1">
      <c r="F41" s="23"/>
      <c r="G41" s="23"/>
      <c r="H41" s="105"/>
      <c r="I41" s="23"/>
      <c r="J41" s="110"/>
      <c r="K41" s="110"/>
      <c r="L41" s="111"/>
      <c r="M41" s="111"/>
      <c r="N41" s="111"/>
      <c r="O41" s="112"/>
      <c r="P41" s="113"/>
      <c r="Z41" s="17"/>
      <c r="AA41" s="17"/>
      <c r="AB41" s="21"/>
      <c r="AC41" s="17"/>
      <c r="AD41" s="108"/>
      <c r="AE41" s="108"/>
      <c r="AF41" s="48"/>
      <c r="AG41" s="48"/>
      <c r="AH41" s="48"/>
      <c r="AI41" s="44"/>
      <c r="AJ41" s="109"/>
      <c r="AK41" s="114"/>
      <c r="AT41" s="17"/>
      <c r="AU41" s="17"/>
      <c r="AV41" s="107"/>
      <c r="AW41" s="2"/>
      <c r="AX41" s="108"/>
      <c r="AY41" s="172"/>
      <c r="AZ41" s="48"/>
      <c r="BA41" s="197"/>
      <c r="BB41" s="48"/>
      <c r="BC41" s="44"/>
      <c r="BD41" s="114"/>
      <c r="BE41" s="114"/>
      <c r="BN41" s="23"/>
      <c r="BO41" s="23"/>
      <c r="BP41" s="105"/>
      <c r="BQ41" s="23"/>
      <c r="BR41" s="110"/>
      <c r="BS41" s="110"/>
      <c r="BT41" s="111"/>
      <c r="BU41" s="111"/>
      <c r="BV41" s="111"/>
      <c r="BW41" s="112"/>
      <c r="BX41" s="196"/>
      <c r="BY41" s="113"/>
      <c r="CH41" s="23"/>
      <c r="CI41" s="23"/>
      <c r="CJ41" s="105"/>
      <c r="CK41" s="23"/>
      <c r="CL41" s="110"/>
      <c r="CM41" s="110"/>
      <c r="CN41" s="111"/>
      <c r="CO41" s="111"/>
      <c r="CP41" s="111"/>
      <c r="CQ41" s="112"/>
      <c r="CR41" s="113"/>
      <c r="CS41" s="113"/>
      <c r="DB41" s="17"/>
      <c r="DC41" s="17"/>
      <c r="DD41" s="21"/>
      <c r="DE41" s="17"/>
      <c r="DF41" s="108"/>
      <c r="DG41" s="108"/>
      <c r="DH41" s="48"/>
      <c r="DI41" s="48"/>
      <c r="DJ41" s="48"/>
      <c r="DK41" s="44"/>
      <c r="DL41" s="109"/>
      <c r="DM41" s="114"/>
      <c r="DV41" s="23"/>
      <c r="DW41" s="23"/>
      <c r="DX41" s="105"/>
      <c r="DY41" s="23"/>
      <c r="DZ41" s="110"/>
      <c r="EA41" s="110"/>
      <c r="EB41" s="111"/>
      <c r="EC41" s="111"/>
      <c r="ED41" s="111"/>
      <c r="EE41" s="112"/>
      <c r="EF41" s="196"/>
      <c r="EG41" s="113"/>
    </row>
    <row r="42" spans="3:150" ht="10.9" customHeight="1">
      <c r="F42" s="23"/>
      <c r="G42" s="23"/>
      <c r="H42" s="105"/>
      <c r="I42" s="23"/>
      <c r="J42" s="110"/>
      <c r="K42" s="110"/>
      <c r="L42" s="111"/>
      <c r="M42" s="111"/>
      <c r="N42" s="111"/>
      <c r="O42" s="112"/>
      <c r="P42" s="113"/>
      <c r="Z42" s="17"/>
      <c r="AA42" s="17"/>
      <c r="AB42" s="21"/>
      <c r="AC42" s="17"/>
      <c r="AD42" s="108"/>
      <c r="AE42" s="108"/>
      <c r="AF42" s="48"/>
      <c r="AG42" s="48"/>
      <c r="AH42" s="48"/>
      <c r="AI42" s="44"/>
      <c r="AJ42" s="109"/>
      <c r="AK42" s="114"/>
      <c r="AT42" s="17"/>
      <c r="AU42" s="17"/>
      <c r="AV42" s="107"/>
      <c r="AW42" s="2"/>
      <c r="AX42" s="108"/>
      <c r="AY42" s="172"/>
      <c r="AZ42" s="48"/>
      <c r="BA42" s="197"/>
      <c r="BB42" s="48"/>
      <c r="BC42" s="44"/>
      <c r="BD42" s="114"/>
      <c r="BE42" s="114"/>
      <c r="BN42" s="23"/>
      <c r="BO42" s="23"/>
      <c r="BP42" s="105"/>
      <c r="BQ42" s="23"/>
      <c r="BR42" s="110"/>
      <c r="BS42" s="110"/>
      <c r="BT42" s="111"/>
      <c r="BU42" s="111"/>
      <c r="BV42" s="111"/>
      <c r="BW42" s="112"/>
      <c r="BX42" s="196"/>
      <c r="BY42" s="113"/>
      <c r="CH42" s="23"/>
      <c r="CI42" s="23"/>
      <c r="CJ42" s="105"/>
      <c r="CK42" s="23"/>
      <c r="CL42" s="110"/>
      <c r="CM42" s="110"/>
      <c r="CN42" s="111"/>
      <c r="CO42" s="111"/>
      <c r="CP42" s="111"/>
      <c r="CQ42" s="112"/>
      <c r="CR42" s="113"/>
      <c r="CS42" s="113"/>
      <c r="DB42" s="17"/>
      <c r="DC42" s="17"/>
      <c r="DD42" s="21"/>
      <c r="DE42" s="17"/>
      <c r="DF42" s="108"/>
      <c r="DG42" s="108"/>
      <c r="DH42" s="48"/>
      <c r="DI42" s="48"/>
      <c r="DJ42" s="48"/>
      <c r="DK42" s="44"/>
      <c r="DL42" s="109"/>
      <c r="DM42" s="114"/>
      <c r="DV42" s="23"/>
      <c r="DW42" s="23"/>
      <c r="DX42" s="105"/>
      <c r="DY42" s="23"/>
      <c r="DZ42" s="110"/>
      <c r="EA42" s="110"/>
      <c r="EB42" s="111"/>
      <c r="EC42" s="111"/>
      <c r="ED42" s="111"/>
      <c r="EE42" s="112"/>
      <c r="EF42" s="196"/>
      <c r="EG42" s="113"/>
    </row>
    <row r="43" spans="3:150" ht="10.9" customHeight="1">
      <c r="F43" s="23"/>
      <c r="G43" s="23"/>
      <c r="H43" s="105"/>
      <c r="I43" s="23"/>
      <c r="J43" s="110"/>
      <c r="K43" s="110"/>
      <c r="L43" s="111"/>
      <c r="M43" s="111"/>
      <c r="N43" s="111"/>
      <c r="O43" s="112"/>
      <c r="P43" s="113"/>
      <c r="Z43" s="17"/>
      <c r="AA43" s="17"/>
      <c r="AB43" s="21"/>
      <c r="AC43" s="17"/>
      <c r="AD43" s="108"/>
      <c r="AE43" s="108"/>
      <c r="AF43" s="48"/>
      <c r="AG43" s="48"/>
      <c r="AH43" s="48"/>
      <c r="AI43" s="44"/>
      <c r="AJ43" s="109"/>
      <c r="AK43" s="114"/>
      <c r="AT43" s="17"/>
      <c r="AU43" s="17"/>
      <c r="AV43" s="107"/>
      <c r="AW43" s="2"/>
      <c r="AX43" s="108"/>
      <c r="AY43" s="172"/>
      <c r="AZ43" s="48"/>
      <c r="BA43" s="197"/>
      <c r="BB43" s="48"/>
      <c r="BC43" s="44"/>
      <c r="BD43" s="114"/>
      <c r="BE43" s="114"/>
      <c r="BN43" s="23"/>
      <c r="BO43" s="23"/>
      <c r="BP43" s="105"/>
      <c r="BQ43" s="23"/>
      <c r="BR43" s="110"/>
      <c r="BS43" s="110"/>
      <c r="BT43" s="111"/>
      <c r="BU43" s="111"/>
      <c r="BV43" s="111"/>
      <c r="BW43" s="112"/>
      <c r="BX43" s="196"/>
      <c r="BY43" s="113"/>
      <c r="CH43" s="23"/>
      <c r="CI43" s="23"/>
      <c r="CJ43" s="105"/>
      <c r="CK43" s="23"/>
      <c r="CL43" s="110"/>
      <c r="CM43" s="110"/>
      <c r="CN43" s="111"/>
      <c r="CO43" s="111"/>
      <c r="CP43" s="111"/>
      <c r="CQ43" s="112"/>
      <c r="CR43" s="113"/>
      <c r="CS43" s="113"/>
      <c r="CZ43" s="17"/>
      <c r="DA43" s="17"/>
      <c r="DB43" s="17"/>
      <c r="DC43" s="17"/>
      <c r="DD43" s="21"/>
      <c r="DE43" s="17"/>
      <c r="DF43" s="108"/>
      <c r="DG43" s="108"/>
      <c r="DH43" s="48"/>
      <c r="DI43" s="48"/>
      <c r="DJ43" s="48"/>
      <c r="DK43" s="44"/>
      <c r="DL43" s="109"/>
      <c r="DM43" s="114"/>
      <c r="DT43" s="23"/>
      <c r="DU43" s="23"/>
      <c r="DV43" s="23"/>
      <c r="DW43" s="23"/>
      <c r="DX43" s="105"/>
      <c r="DY43" s="23"/>
      <c r="DZ43" s="110"/>
      <c r="EA43" s="110"/>
      <c r="EB43" s="111"/>
      <c r="EC43" s="111"/>
      <c r="ED43" s="111"/>
      <c r="EE43" s="112"/>
      <c r="EF43" s="196"/>
      <c r="EG43" s="113"/>
    </row>
    <row r="44" spans="3:150" ht="10.9" customHeight="1">
      <c r="C44" s="23"/>
      <c r="D44" s="23"/>
      <c r="E44" s="23"/>
      <c r="F44" s="23"/>
      <c r="G44" s="23"/>
      <c r="H44" s="105"/>
      <c r="I44" s="23"/>
      <c r="J44" s="110"/>
      <c r="K44" s="110"/>
      <c r="L44" s="111"/>
      <c r="M44" s="111"/>
      <c r="N44" s="111"/>
      <c r="O44" s="112"/>
      <c r="P44" s="113"/>
      <c r="X44" s="17"/>
      <c r="Y44" s="17"/>
      <c r="Z44" s="17"/>
      <c r="AA44" s="17"/>
      <c r="AB44" s="21"/>
      <c r="AC44" s="17"/>
      <c r="AD44" s="108"/>
      <c r="AE44" s="108"/>
      <c r="AF44" s="48"/>
      <c r="AG44" s="48"/>
      <c r="AH44" s="48"/>
      <c r="AI44" s="44"/>
      <c r="AJ44" s="109"/>
      <c r="AK44" s="114"/>
      <c r="AR44" s="17"/>
      <c r="AS44" s="17"/>
      <c r="AT44" s="17"/>
      <c r="AU44" s="17"/>
      <c r="AV44" s="107"/>
      <c r="AW44" s="2"/>
      <c r="AX44" s="108"/>
      <c r="AY44" s="172"/>
      <c r="AZ44" s="48"/>
      <c r="BA44" s="197"/>
      <c r="BB44" s="48"/>
      <c r="BC44" s="44"/>
      <c r="BD44" s="114"/>
      <c r="BE44" s="114"/>
      <c r="BL44" s="23"/>
      <c r="BM44" s="23"/>
      <c r="BN44" s="23"/>
      <c r="BO44" s="23"/>
      <c r="BP44" s="105"/>
      <c r="BQ44" s="23"/>
      <c r="BR44" s="110"/>
      <c r="BS44" s="110"/>
      <c r="BT44" s="111"/>
      <c r="BU44" s="111"/>
      <c r="BV44" s="111"/>
      <c r="BW44" s="112"/>
      <c r="BX44" s="196"/>
      <c r="BY44" s="113"/>
      <c r="CF44" s="23"/>
      <c r="CG44" s="23"/>
      <c r="CH44" s="23"/>
      <c r="CI44" s="23"/>
      <c r="CJ44" s="105"/>
      <c r="CK44" s="23"/>
      <c r="CL44" s="110"/>
      <c r="CM44" s="110"/>
      <c r="CN44" s="111"/>
      <c r="CO44" s="111"/>
      <c r="CP44" s="111"/>
      <c r="CQ44" s="112"/>
      <c r="CR44" s="113"/>
      <c r="CS44" s="113"/>
      <c r="CZ44" s="17"/>
      <c r="DH44" s="44"/>
      <c r="DI44" s="45"/>
      <c r="DT44" s="23"/>
      <c r="EB44" s="112"/>
      <c r="EC44" s="165"/>
    </row>
    <row r="45" spans="3:150" ht="10.9" customHeight="1">
      <c r="C45" s="23"/>
      <c r="D45" s="23"/>
      <c r="L45" s="112"/>
      <c r="M45" s="165"/>
      <c r="N45" s="165"/>
      <c r="X45" s="17"/>
      <c r="AF45" s="44"/>
      <c r="AG45" s="45"/>
      <c r="AR45" s="17"/>
      <c r="AZ45" s="44"/>
      <c r="BA45" s="69"/>
      <c r="BL45" s="23"/>
      <c r="BT45" s="112"/>
      <c r="BU45" s="165"/>
      <c r="BV45" s="165"/>
      <c r="CF45" s="23"/>
      <c r="CN45" s="112"/>
      <c r="CO45" s="165"/>
      <c r="DI45" s="45"/>
      <c r="EC45" s="165"/>
    </row>
    <row r="46" spans="3:150" ht="10.9" customHeight="1">
      <c r="M46" s="165"/>
      <c r="N46" s="165"/>
      <c r="AG46" s="45"/>
      <c r="BA46" s="69"/>
      <c r="BU46" s="165"/>
      <c r="BV46" s="165"/>
      <c r="CO46" s="165"/>
      <c r="CZ46" s="17"/>
      <c r="DH46" s="44"/>
      <c r="DI46" s="45"/>
      <c r="DT46" s="23"/>
      <c r="EB46" s="112"/>
      <c r="EC46" s="165"/>
    </row>
    <row r="47" spans="3:150" ht="10.9" customHeight="1">
      <c r="C47" s="23"/>
      <c r="D47" s="23"/>
      <c r="L47" s="112"/>
      <c r="M47" s="165"/>
      <c r="N47" s="165"/>
      <c r="X47" s="17"/>
      <c r="AF47" s="44"/>
      <c r="AG47" s="45"/>
      <c r="AR47" s="17"/>
      <c r="AZ47" s="44"/>
      <c r="BA47" s="69"/>
      <c r="BL47" s="23"/>
      <c r="BT47" s="112"/>
      <c r="BU47" s="165"/>
      <c r="BV47" s="165"/>
      <c r="CF47" s="23"/>
      <c r="CN47" s="112"/>
      <c r="CO47" s="16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W47"/>
  <sheetViews>
    <sheetView workbookViewId="0">
      <selection sqref="A1:IV65536"/>
    </sheetView>
  </sheetViews>
  <sheetFormatPr defaultColWidth="9.75" defaultRowHeight="10.9" customHeight="1"/>
  <cols>
    <col min="1" max="1" width="4.625" style="20" customWidth="1"/>
    <col min="2" max="2" width="7.75" style="20" customWidth="1"/>
    <col min="3" max="3" width="5.75" style="20" customWidth="1"/>
    <col min="4" max="5" width="7.125" style="20" customWidth="1"/>
    <col min="6" max="6" width="7.5" style="20" customWidth="1"/>
    <col min="7" max="7" width="6.375" style="20" customWidth="1"/>
    <col min="8" max="8" width="8.625" style="20" customWidth="1"/>
    <col min="9" max="9" width="5.625" style="20" customWidth="1"/>
    <col min="10" max="10" width="8.625" style="20" customWidth="1"/>
    <col min="11" max="11" width="5.125" style="20" customWidth="1"/>
    <col min="12" max="12" width="5.5" style="20" customWidth="1"/>
    <col min="13" max="13" width="8.125" style="20" customWidth="1"/>
    <col min="14" max="15" width="7" style="19" customWidth="1"/>
    <col min="16" max="16" width="7.5" style="20" customWidth="1"/>
    <col min="17" max="17" width="7.125" style="20" customWidth="1"/>
    <col min="18" max="18" width="5.625" style="20" customWidth="1"/>
    <col min="19" max="19" width="1.125" style="20" customWidth="1"/>
    <col min="20" max="20" width="4.625" style="1" customWidth="1"/>
    <col min="21" max="21" width="7.75" style="1" customWidth="1"/>
    <col min="22" max="22" width="5.75" style="1" customWidth="1"/>
    <col min="23" max="23" width="7.125" style="1" customWidth="1"/>
    <col min="24" max="24" width="6.875" style="1" customWidth="1"/>
    <col min="25" max="25" width="7.5" style="9" customWidth="1"/>
    <col min="26" max="26" width="5.875" style="9" customWidth="1"/>
    <col min="27" max="27" width="9.125" style="1" customWidth="1"/>
    <col min="28" max="28" width="5.625" style="9" customWidth="1"/>
    <col min="29" max="29" width="8.125" style="1" customWidth="1"/>
    <col min="30" max="30" width="5.125" style="9" customWidth="1"/>
    <col min="31" max="31" width="5" style="1" customWidth="1"/>
    <col min="32" max="32" width="8.375" style="1" customWidth="1"/>
    <col min="33" max="33" width="5.875" style="8" customWidth="1"/>
    <col min="34" max="34" width="5.375" style="8" customWidth="1"/>
    <col min="35" max="35" width="7.375" style="9" customWidth="1"/>
    <col min="36" max="36" width="7.25" style="9" customWidth="1"/>
    <col min="37" max="37" width="6.75" style="5" customWidth="1"/>
    <col min="38" max="38" width="5" style="9" customWidth="1"/>
    <col min="39" max="39" width="1" style="20" customWidth="1"/>
    <col min="40" max="40" width="4.5" style="1" customWidth="1"/>
    <col min="41" max="42" width="6.75" style="1" customWidth="1"/>
    <col min="43" max="43" width="7" style="1" customWidth="1"/>
    <col min="44" max="44" width="7.125" style="1" customWidth="1"/>
    <col min="45" max="45" width="8.125" style="9" customWidth="1"/>
    <col min="46" max="46" width="7.75" style="9" customWidth="1"/>
    <col min="47" max="47" width="8.75" style="9" customWidth="1"/>
    <col min="48" max="48" width="5.625" style="9" customWidth="1"/>
    <col min="49" max="49" width="8" style="1" customWidth="1"/>
    <col min="50" max="50" width="5.125" style="1" customWidth="1"/>
    <col min="51" max="51" width="5.375" style="1" customWidth="1"/>
    <col min="52" max="52" width="7.25" style="9" customWidth="1"/>
    <col min="53" max="53" width="7.25" style="8" customWidth="1"/>
    <col min="54" max="54" width="6.5" style="8" customWidth="1"/>
    <col min="55" max="55" width="6.25" style="9" customWidth="1"/>
    <col min="56" max="56" width="7.375" style="9" customWidth="1"/>
    <col min="57" max="57" width="5" style="9" customWidth="1"/>
    <col min="58" max="58" width="4.625" style="9" customWidth="1"/>
    <col min="59" max="59" width="1.125" style="20" customWidth="1"/>
    <col min="60" max="60" width="5" style="1" customWidth="1"/>
    <col min="61" max="61" width="6.875" style="1" customWidth="1"/>
    <col min="62" max="62" width="5.75" style="1" customWidth="1"/>
    <col min="63" max="63" width="7.125" style="1" customWidth="1"/>
    <col min="64" max="64" width="8.125" style="1" customWidth="1"/>
    <col min="65" max="65" width="7.25" style="1" customWidth="1"/>
    <col min="66" max="66" width="5.75" style="1" customWidth="1"/>
    <col min="67" max="67" width="7.75" style="1" customWidth="1"/>
    <col min="68" max="68" width="5.625" style="1" customWidth="1"/>
    <col min="69" max="69" width="6.625" style="1" customWidth="1"/>
    <col min="70" max="70" width="5.625" style="1" customWidth="1"/>
    <col min="71" max="71" width="5.75" style="1" customWidth="1"/>
    <col min="72" max="72" width="7" style="1" customWidth="1"/>
    <col min="73" max="73" width="7" style="5" customWidth="1"/>
    <col min="74" max="74" width="7.375" style="5" customWidth="1"/>
    <col min="75" max="75" width="6.875" style="1" customWidth="1"/>
    <col min="76" max="76" width="5.875" style="1" customWidth="1"/>
    <col min="77" max="77" width="6" style="1" customWidth="1"/>
    <col min="78" max="78" width="6.25" style="5" customWidth="1"/>
    <col min="79" max="79" width="1.25" style="20" customWidth="1"/>
    <col min="80" max="80" width="4.625" style="20" customWidth="1"/>
    <col min="81" max="81" width="6.5" style="20" customWidth="1"/>
    <col min="82" max="82" width="5.375" style="20" customWidth="1"/>
    <col min="83" max="84" width="7.125" style="20" customWidth="1"/>
    <col min="85" max="85" width="7.5" style="20" customWidth="1"/>
    <col min="86" max="86" width="5.75" style="20" customWidth="1"/>
    <col min="87" max="87" width="10.25" style="20" customWidth="1"/>
    <col min="88" max="88" width="5.625" style="20" customWidth="1"/>
    <col min="89" max="89" width="9.875" style="20" customWidth="1"/>
    <col min="90" max="90" width="5.125" style="20" customWidth="1"/>
    <col min="91" max="91" width="5.5" style="20" customWidth="1"/>
    <col min="92" max="92" width="5.875" style="20" customWidth="1"/>
    <col min="93" max="93" width="7" style="19" customWidth="1"/>
    <col min="94" max="94" width="6.75" style="19" customWidth="1"/>
    <col min="95" max="95" width="6.875" style="20" customWidth="1"/>
    <col min="96" max="96" width="6.75" style="20" customWidth="1"/>
    <col min="97" max="97" width="6.5" style="20" customWidth="1"/>
    <col min="98" max="98" width="5.125" style="20" customWidth="1"/>
    <col min="99" max="99" width="1" style="20" customWidth="1"/>
    <col min="100" max="100" width="7.875" style="1" customWidth="1"/>
    <col min="101" max="101" width="7.5" style="1" customWidth="1"/>
    <col min="102" max="102" width="6.625" style="1" customWidth="1"/>
    <col min="103" max="103" width="7.125" style="1" customWidth="1"/>
    <col min="104" max="104" width="7.75" style="1" customWidth="1"/>
    <col min="105" max="105" width="7.5" style="1" customWidth="1"/>
    <col min="106" max="106" width="5.25" style="9" customWidth="1"/>
    <col min="107" max="107" width="7" style="1" customWidth="1"/>
    <col min="108" max="108" width="5.375" style="9" customWidth="1"/>
    <col min="109" max="109" width="7.625" style="9" customWidth="1"/>
    <col min="110" max="110" width="4.75" style="9" customWidth="1"/>
    <col min="111" max="111" width="5.5" style="1" customWidth="1"/>
    <col min="112" max="112" width="5.875" style="1" customWidth="1"/>
    <col min="113" max="113" width="5.625" style="5" customWidth="1"/>
    <col min="114" max="114" width="6.125" style="8" customWidth="1"/>
    <col min="115" max="115" width="7.125" style="5" customWidth="1"/>
    <col min="116" max="116" width="6.75" style="5" customWidth="1"/>
    <col min="117" max="117" width="7" style="5" customWidth="1"/>
    <col min="118" max="118" width="6" style="5" customWidth="1"/>
    <col min="119" max="119" width="1.125" style="20" customWidth="1"/>
    <col min="120" max="120" width="5.75" style="20" customWidth="1"/>
    <col min="121" max="121" width="6.625" style="20" customWidth="1"/>
    <col min="122" max="122" width="6.25" style="20" customWidth="1"/>
    <col min="123" max="123" width="8.875" style="20" customWidth="1"/>
    <col min="124" max="124" width="7.25" style="20" customWidth="1"/>
    <col min="125" max="125" width="6.5" style="20" customWidth="1"/>
    <col min="126" max="126" width="5.875" style="20" customWidth="1"/>
    <col min="127" max="127" width="7.125" style="20" customWidth="1"/>
    <col min="128" max="128" width="5.125" style="20" customWidth="1"/>
    <col min="129" max="129" width="7" style="20" customWidth="1"/>
    <col min="130" max="130" width="5.125" style="20" customWidth="1"/>
    <col min="131" max="131" width="5.5" style="20" customWidth="1"/>
    <col min="132" max="132" width="6.375" style="20" customWidth="1"/>
    <col min="133" max="133" width="7.125" style="20" customWidth="1"/>
    <col min="134" max="134" width="7" style="19" customWidth="1"/>
    <col min="135" max="135" width="7.5" style="19" customWidth="1"/>
    <col min="136" max="136" width="6.125" style="20" customWidth="1"/>
    <col min="137" max="137" width="7.375" style="20" customWidth="1"/>
    <col min="138" max="138" width="5.5" style="20" customWidth="1"/>
    <col min="139" max="139" width="10.625" style="13" customWidth="1"/>
    <col min="140" max="140" width="6.875" style="9" customWidth="1"/>
    <col min="141" max="141" width="6.625" style="9" customWidth="1"/>
    <col min="142" max="142" width="9.375" style="1" customWidth="1"/>
    <col min="143" max="143" width="6.25" style="1" customWidth="1"/>
    <col min="144" max="144" width="9.75" style="1" customWidth="1"/>
    <col min="145" max="146" width="6.5" style="1" customWidth="1"/>
    <col min="147" max="147" width="9" style="1" customWidth="1"/>
    <col min="148" max="148" width="9.375" style="1" customWidth="1"/>
    <col min="149" max="149" width="7.875" style="1" customWidth="1"/>
    <col min="150" max="150" width="9.125" style="1" customWidth="1"/>
    <col min="151" max="151" width="7.75" style="1" customWidth="1"/>
    <col min="152" max="152" width="7.375" style="1" customWidth="1"/>
    <col min="153" max="153" width="9.25" style="1" customWidth="1"/>
    <col min="154" max="236" width="9.75" style="20" customWidth="1"/>
    <col min="237" max="16384" width="9.75" style="20"/>
  </cols>
  <sheetData>
    <row r="1" spans="1:153" ht="21" customHeight="1">
      <c r="F1" s="2" t="s">
        <v>345</v>
      </c>
      <c r="Z1" s="2" t="s">
        <v>346</v>
      </c>
      <c r="AS1" s="2" t="s">
        <v>347</v>
      </c>
      <c r="BK1" s="9"/>
      <c r="BL1" s="9" t="s">
        <v>348</v>
      </c>
      <c r="CG1" s="2" t="s">
        <v>349</v>
      </c>
      <c r="CZ1" s="2" t="s">
        <v>350</v>
      </c>
      <c r="DT1" s="4" t="s">
        <v>351</v>
      </c>
      <c r="EI1" s="16" t="s">
        <v>352</v>
      </c>
    </row>
    <row r="2" spans="1:153" ht="12" customHeight="1">
      <c r="A2" s="1" t="s">
        <v>353</v>
      </c>
      <c r="C2" s="153"/>
      <c r="D2" s="155"/>
      <c r="E2" s="155"/>
      <c r="S2" s="152"/>
      <c r="T2" s="1" t="s">
        <v>353</v>
      </c>
      <c r="V2" s="8"/>
      <c r="W2" s="2"/>
      <c r="X2" s="2"/>
      <c r="AM2" s="152"/>
      <c r="AN2" s="1" t="s">
        <v>353</v>
      </c>
      <c r="AP2" s="8"/>
      <c r="AQ2" s="2"/>
      <c r="AR2" s="2"/>
      <c r="BG2" s="152"/>
      <c r="BH2" s="1" t="s">
        <v>353</v>
      </c>
      <c r="BJ2" s="17"/>
      <c r="BN2" s="17" t="s">
        <v>354</v>
      </c>
      <c r="BQ2" s="1" t="s">
        <v>227</v>
      </c>
      <c r="CA2" s="152"/>
      <c r="CB2" s="1" t="s">
        <v>353</v>
      </c>
      <c r="CD2" s="153"/>
      <c r="CE2" s="155"/>
      <c r="CF2" s="155"/>
      <c r="CU2" s="152"/>
      <c r="CV2" s="1" t="s">
        <v>353</v>
      </c>
      <c r="CX2" s="8"/>
      <c r="CY2" s="2"/>
      <c r="CZ2" s="2"/>
      <c r="DA2" s="17" t="s">
        <v>355</v>
      </c>
      <c r="DB2" s="17"/>
      <c r="DC2" s="1" t="s">
        <v>356</v>
      </c>
      <c r="DD2" s="1"/>
      <c r="DE2" s="1"/>
      <c r="DF2" s="1"/>
      <c r="DO2" s="152"/>
      <c r="DP2" s="1" t="s">
        <v>353</v>
      </c>
      <c r="DR2" s="23"/>
      <c r="DT2" s="155"/>
      <c r="EI2" s="1" t="s">
        <v>353</v>
      </c>
    </row>
    <row r="3" spans="1:153" ht="15.6" customHeight="1">
      <c r="A3" s="23" t="s">
        <v>357</v>
      </c>
      <c r="F3" s="23" t="s">
        <v>0</v>
      </c>
      <c r="G3" s="23" t="s">
        <v>358</v>
      </c>
      <c r="S3" s="152"/>
      <c r="T3" s="23" t="s">
        <v>357</v>
      </c>
      <c r="X3" s="17" t="s">
        <v>0</v>
      </c>
      <c r="Y3" s="17" t="s">
        <v>359</v>
      </c>
      <c r="AB3" s="1" t="s">
        <v>216</v>
      </c>
      <c r="AD3" s="1"/>
      <c r="AG3" s="5" t="s">
        <v>2</v>
      </c>
      <c r="AH3" s="5"/>
      <c r="AI3" s="1"/>
      <c r="AJ3" s="1"/>
      <c r="AL3" s="1"/>
      <c r="AM3" s="152"/>
      <c r="AN3" s="23" t="s">
        <v>357</v>
      </c>
      <c r="AP3" s="17"/>
      <c r="AQ3" s="17" t="s">
        <v>360</v>
      </c>
      <c r="AR3" s="17"/>
      <c r="AS3" s="1"/>
      <c r="AT3" s="1" t="s">
        <v>361</v>
      </c>
      <c r="AU3" s="1"/>
      <c r="AV3" s="1"/>
      <c r="AZ3" s="1"/>
      <c r="BA3" s="5"/>
      <c r="BB3" s="5" t="s">
        <v>2</v>
      </c>
      <c r="BC3" s="1"/>
      <c r="BD3" s="1"/>
      <c r="BE3" s="1"/>
      <c r="BF3" s="1"/>
      <c r="BG3" s="152"/>
      <c r="BH3" s="23" t="s">
        <v>357</v>
      </c>
      <c r="BM3" s="24" t="s">
        <v>362</v>
      </c>
      <c r="BN3" s="24"/>
      <c r="BU3" s="1"/>
      <c r="CA3" s="152"/>
      <c r="CB3" s="23" t="s">
        <v>357</v>
      </c>
      <c r="CD3" s="23"/>
      <c r="CG3" s="23" t="s">
        <v>363</v>
      </c>
      <c r="CI3" s="20" t="s">
        <v>364</v>
      </c>
      <c r="CU3" s="152"/>
      <c r="CV3" s="23" t="s">
        <v>357</v>
      </c>
      <c r="CZ3" s="17" t="s">
        <v>0</v>
      </c>
      <c r="DA3" s="24" t="s">
        <v>365</v>
      </c>
      <c r="DB3" s="1"/>
      <c r="DD3" s="1"/>
      <c r="DE3" s="1"/>
      <c r="DF3" s="1"/>
      <c r="DJ3" s="5" t="s">
        <v>2</v>
      </c>
      <c r="DO3" s="152"/>
      <c r="DP3" s="23" t="s">
        <v>357</v>
      </c>
      <c r="DT3" s="23" t="s">
        <v>366</v>
      </c>
      <c r="DV3" s="20" t="s">
        <v>367</v>
      </c>
      <c r="EC3" s="20" t="s">
        <v>368</v>
      </c>
      <c r="EE3" s="20" t="s">
        <v>368</v>
      </c>
      <c r="EF3" s="19" t="s">
        <v>224</v>
      </c>
      <c r="EH3" s="19" t="s">
        <v>369</v>
      </c>
      <c r="EI3" s="23" t="s">
        <v>220</v>
      </c>
    </row>
    <row r="4" spans="1:153" ht="10.9" customHeight="1">
      <c r="B4" s="156"/>
      <c r="F4" s="22"/>
      <c r="G4" s="20" t="s">
        <v>370</v>
      </c>
      <c r="S4" s="152"/>
      <c r="T4" s="1" t="s">
        <v>223</v>
      </c>
      <c r="U4" s="18"/>
      <c r="Y4" s="24" t="s">
        <v>371</v>
      </c>
      <c r="Z4" s="1"/>
      <c r="AB4" s="1"/>
      <c r="AD4" s="1"/>
      <c r="AG4" s="5" t="s">
        <v>63</v>
      </c>
      <c r="AH4" s="5" t="s">
        <v>2</v>
      </c>
      <c r="AI4" s="5" t="s">
        <v>81</v>
      </c>
      <c r="AJ4" s="1"/>
      <c r="AL4" s="1"/>
      <c r="AM4" s="152"/>
      <c r="AN4" s="1" t="s">
        <v>223</v>
      </c>
      <c r="AO4" s="18"/>
      <c r="AS4" s="24" t="s">
        <v>372</v>
      </c>
      <c r="AT4" s="1"/>
      <c r="AU4" s="1"/>
      <c r="AV4" s="1"/>
      <c r="AZ4" s="1"/>
      <c r="BA4" s="5"/>
      <c r="BB4" s="5" t="s">
        <v>63</v>
      </c>
      <c r="BC4" s="5" t="s">
        <v>224</v>
      </c>
      <c r="BD4" s="5" t="s">
        <v>81</v>
      </c>
      <c r="BE4" s="5" t="s">
        <v>373</v>
      </c>
      <c r="BF4" s="1"/>
      <c r="BG4" s="152"/>
      <c r="BI4" s="18"/>
      <c r="BK4" s="24"/>
      <c r="BL4" s="24"/>
      <c r="CA4" s="152"/>
      <c r="CB4" s="1"/>
      <c r="CC4" s="156"/>
      <c r="CG4" s="22" t="s">
        <v>374</v>
      </c>
      <c r="CU4" s="152"/>
      <c r="CV4" s="1" t="s">
        <v>223</v>
      </c>
      <c r="CW4" s="18"/>
      <c r="DI4" s="5" t="s">
        <v>2</v>
      </c>
      <c r="DJ4" s="5" t="s">
        <v>63</v>
      </c>
      <c r="DL4" s="5" t="s">
        <v>81</v>
      </c>
      <c r="DO4" s="152"/>
      <c r="DP4" s="1"/>
      <c r="DQ4" s="156"/>
      <c r="DT4" s="105" t="s">
        <v>77</v>
      </c>
      <c r="DU4" s="22" t="s">
        <v>375</v>
      </c>
      <c r="EC4" s="19" t="s">
        <v>127</v>
      </c>
      <c r="ED4" s="19" t="s">
        <v>128</v>
      </c>
      <c r="EE4" s="19" t="s">
        <v>376</v>
      </c>
      <c r="EF4" s="19" t="s">
        <v>248</v>
      </c>
      <c r="EG4" s="19" t="s">
        <v>68</v>
      </c>
      <c r="EH4" s="19" t="s">
        <v>377</v>
      </c>
    </row>
    <row r="5" spans="1:153" ht="10.9" customHeight="1">
      <c r="B5" s="1">
        <v>2010</v>
      </c>
      <c r="F5" s="105" t="s">
        <v>5</v>
      </c>
      <c r="M5" s="19"/>
      <c r="N5" s="153" t="s">
        <v>127</v>
      </c>
      <c r="O5" s="153" t="s">
        <v>80</v>
      </c>
      <c r="P5" s="153" t="s">
        <v>254</v>
      </c>
      <c r="Q5" s="153" t="s">
        <v>255</v>
      </c>
      <c r="R5" s="153" t="s">
        <v>70</v>
      </c>
      <c r="S5" s="152"/>
      <c r="U5" s="1">
        <v>2010</v>
      </c>
      <c r="Y5" s="21" t="s">
        <v>5</v>
      </c>
      <c r="Z5" s="1"/>
      <c r="AB5" s="1"/>
      <c r="AD5" s="1"/>
      <c r="AF5" s="5" t="s">
        <v>76</v>
      </c>
      <c r="AG5" s="5" t="s">
        <v>378</v>
      </c>
      <c r="AH5" s="5" t="s">
        <v>248</v>
      </c>
      <c r="AI5" s="5" t="s">
        <v>379</v>
      </c>
      <c r="AJ5" s="5" t="s">
        <v>82</v>
      </c>
      <c r="AK5" s="5" t="s">
        <v>68</v>
      </c>
      <c r="AL5" s="5" t="s">
        <v>70</v>
      </c>
      <c r="AM5" s="152"/>
      <c r="AO5" s="1">
        <v>2010</v>
      </c>
      <c r="AS5" s="21" t="s">
        <v>5</v>
      </c>
      <c r="AT5" s="1"/>
      <c r="AU5" s="1"/>
      <c r="AV5" s="1"/>
      <c r="AZ5" s="5" t="s">
        <v>76</v>
      </c>
      <c r="BA5" s="5" t="s">
        <v>80</v>
      </c>
      <c r="BB5" s="5" t="s">
        <v>380</v>
      </c>
      <c r="BC5" s="5" t="s">
        <v>248</v>
      </c>
      <c r="BD5" s="5" t="s">
        <v>381</v>
      </c>
      <c r="BE5" s="5" t="s">
        <v>251</v>
      </c>
      <c r="BF5" s="5" t="s">
        <v>70</v>
      </c>
      <c r="BG5" s="152"/>
      <c r="BI5" s="1">
        <v>2010</v>
      </c>
      <c r="BK5" s="21" t="s">
        <v>4</v>
      </c>
      <c r="BL5" s="21" t="s">
        <v>77</v>
      </c>
      <c r="BM5" s="21" t="s">
        <v>5</v>
      </c>
      <c r="BQ5" s="21" t="s">
        <v>8</v>
      </c>
      <c r="BR5" s="21" t="s">
        <v>133</v>
      </c>
      <c r="BS5" s="21" t="s">
        <v>85</v>
      </c>
      <c r="BT5" s="5"/>
      <c r="BU5" s="5" t="s">
        <v>79</v>
      </c>
      <c r="BW5" s="5" t="s">
        <v>81</v>
      </c>
      <c r="BX5" s="5" t="s">
        <v>224</v>
      </c>
      <c r="BY5" s="5" t="s">
        <v>373</v>
      </c>
      <c r="CA5" s="152"/>
      <c r="CC5" s="1">
        <v>2010</v>
      </c>
      <c r="CG5" s="105" t="s">
        <v>5</v>
      </c>
      <c r="CN5" s="19"/>
      <c r="CO5" s="19" t="s">
        <v>79</v>
      </c>
      <c r="CP5" s="19" t="s">
        <v>80</v>
      </c>
      <c r="CQ5" s="19" t="s">
        <v>81</v>
      </c>
      <c r="CR5" s="19" t="s">
        <v>82</v>
      </c>
      <c r="CS5" s="19" t="s">
        <v>68</v>
      </c>
      <c r="CT5" s="19" t="s">
        <v>70</v>
      </c>
      <c r="CU5" s="152"/>
      <c r="CW5" s="1">
        <v>2010</v>
      </c>
      <c r="DA5" s="21" t="s">
        <v>5</v>
      </c>
      <c r="DB5" s="1"/>
      <c r="DC5" s="21" t="s">
        <v>6</v>
      </c>
      <c r="DD5" s="1"/>
      <c r="DE5" s="1"/>
      <c r="DF5" s="1"/>
      <c r="DH5" s="5"/>
      <c r="DI5" s="5" t="s">
        <v>248</v>
      </c>
      <c r="DJ5" s="5" t="s">
        <v>382</v>
      </c>
      <c r="DK5" s="5" t="s">
        <v>82</v>
      </c>
      <c r="DL5" s="5" t="s">
        <v>383</v>
      </c>
      <c r="DM5" s="5" t="s">
        <v>68</v>
      </c>
      <c r="DN5" s="5" t="s">
        <v>70</v>
      </c>
      <c r="DO5" s="152"/>
      <c r="DQ5" s="1">
        <v>2010</v>
      </c>
      <c r="DS5" s="105" t="s">
        <v>4</v>
      </c>
      <c r="DT5" s="105" t="s">
        <v>12</v>
      </c>
      <c r="DU5" s="105" t="s">
        <v>5</v>
      </c>
      <c r="EB5" s="19"/>
      <c r="EC5" s="105" t="s">
        <v>279</v>
      </c>
      <c r="ED5" s="105" t="s">
        <v>280</v>
      </c>
      <c r="EE5" s="105" t="s">
        <v>308</v>
      </c>
      <c r="EF5" s="19" t="s">
        <v>296</v>
      </c>
      <c r="EG5" s="19" t="s">
        <v>309</v>
      </c>
      <c r="EH5" s="19">
        <v>0.54</v>
      </c>
      <c r="EI5" s="1"/>
    </row>
    <row r="6" spans="1:153" ht="10.9" customHeight="1">
      <c r="A6" s="23"/>
      <c r="B6" s="5" t="s">
        <v>257</v>
      </c>
      <c r="D6" s="105" t="s">
        <v>4</v>
      </c>
      <c r="E6" s="105" t="s">
        <v>77</v>
      </c>
      <c r="F6" s="105" t="s">
        <v>13</v>
      </c>
      <c r="G6" s="159" t="s">
        <v>1</v>
      </c>
      <c r="H6" s="159" t="s">
        <v>6</v>
      </c>
      <c r="I6" s="105" t="s">
        <v>84</v>
      </c>
      <c r="J6" s="159" t="s">
        <v>8</v>
      </c>
      <c r="K6" s="159" t="s">
        <v>133</v>
      </c>
      <c r="L6" s="159" t="s">
        <v>133</v>
      </c>
      <c r="M6" s="153" t="s">
        <v>76</v>
      </c>
      <c r="N6" s="19" t="s">
        <v>260</v>
      </c>
      <c r="O6" s="19" t="s">
        <v>261</v>
      </c>
      <c r="P6" s="19" t="s">
        <v>262</v>
      </c>
      <c r="Q6" s="19" t="s">
        <v>263</v>
      </c>
      <c r="R6" s="20">
        <v>0.03</v>
      </c>
      <c r="S6" s="152"/>
      <c r="T6" s="17"/>
      <c r="U6" s="5" t="s">
        <v>257</v>
      </c>
      <c r="W6" s="21" t="s">
        <v>4</v>
      </c>
      <c r="X6" s="21" t="s">
        <v>165</v>
      </c>
      <c r="Y6" s="21" t="s">
        <v>13</v>
      </c>
      <c r="Z6" s="21" t="s">
        <v>1</v>
      </c>
      <c r="AA6" s="21" t="s">
        <v>6</v>
      </c>
      <c r="AB6" s="21" t="s">
        <v>132</v>
      </c>
      <c r="AC6" s="21" t="s">
        <v>8</v>
      </c>
      <c r="AD6" s="21" t="s">
        <v>133</v>
      </c>
      <c r="AE6" s="21" t="s">
        <v>85</v>
      </c>
      <c r="AF6" s="5" t="s">
        <v>384</v>
      </c>
      <c r="AG6" s="21" t="s">
        <v>385</v>
      </c>
      <c r="AH6" s="21" t="s">
        <v>92</v>
      </c>
      <c r="AI6" s="21" t="s">
        <v>386</v>
      </c>
      <c r="AJ6" s="21" t="s">
        <v>387</v>
      </c>
      <c r="AK6" s="5" t="s">
        <v>388</v>
      </c>
      <c r="AL6" s="5">
        <v>0.8</v>
      </c>
      <c r="AM6" s="152"/>
      <c r="AN6" s="17"/>
      <c r="AO6" s="5" t="s">
        <v>257</v>
      </c>
      <c r="AQ6" s="21" t="s">
        <v>4</v>
      </c>
      <c r="AR6" s="21" t="s">
        <v>389</v>
      </c>
      <c r="AS6" s="21" t="s">
        <v>13</v>
      </c>
      <c r="AT6" s="21" t="s">
        <v>83</v>
      </c>
      <c r="AU6" s="21" t="s">
        <v>6</v>
      </c>
      <c r="AV6" s="21" t="s">
        <v>132</v>
      </c>
      <c r="AW6" s="21" t="s">
        <v>8</v>
      </c>
      <c r="AX6" s="21" t="s">
        <v>85</v>
      </c>
      <c r="AY6" s="21" t="s">
        <v>85</v>
      </c>
      <c r="AZ6" s="5" t="s">
        <v>390</v>
      </c>
      <c r="BA6" s="21" t="s">
        <v>391</v>
      </c>
      <c r="BB6" s="21" t="s">
        <v>392</v>
      </c>
      <c r="BC6" s="21" t="s">
        <v>393</v>
      </c>
      <c r="BD6" s="21" t="s">
        <v>394</v>
      </c>
      <c r="BE6" s="5" t="s">
        <v>395</v>
      </c>
      <c r="BF6" s="5">
        <v>0.8</v>
      </c>
      <c r="BG6" s="152"/>
      <c r="BH6" s="17"/>
      <c r="BI6" s="5" t="s">
        <v>257</v>
      </c>
      <c r="BK6" s="21" t="s">
        <v>12</v>
      </c>
      <c r="BL6" s="21" t="s">
        <v>12</v>
      </c>
      <c r="BM6" s="21" t="s">
        <v>13</v>
      </c>
      <c r="BN6" s="21" t="s">
        <v>83</v>
      </c>
      <c r="BO6" s="21" t="s">
        <v>6</v>
      </c>
      <c r="BP6" s="21" t="s">
        <v>84</v>
      </c>
      <c r="BQ6" s="21" t="s">
        <v>295</v>
      </c>
      <c r="BR6" s="21" t="s">
        <v>14</v>
      </c>
      <c r="BS6" s="21" t="s">
        <v>16</v>
      </c>
      <c r="BT6" s="5" t="s">
        <v>76</v>
      </c>
      <c r="BU6" s="5" t="s">
        <v>396</v>
      </c>
      <c r="BV6" s="5" t="s">
        <v>80</v>
      </c>
      <c r="BW6" s="5" t="s">
        <v>397</v>
      </c>
      <c r="BX6" s="5" t="s">
        <v>248</v>
      </c>
      <c r="BY6" s="5" t="s">
        <v>251</v>
      </c>
      <c r="BZ6" s="5" t="s">
        <v>70</v>
      </c>
      <c r="CA6" s="152"/>
      <c r="CB6" s="23"/>
      <c r="CC6" s="5" t="s">
        <v>257</v>
      </c>
      <c r="CE6" s="105" t="s">
        <v>4</v>
      </c>
      <c r="CF6" s="105" t="s">
        <v>77</v>
      </c>
      <c r="CG6" s="105" t="s">
        <v>13</v>
      </c>
      <c r="CH6" s="105" t="s">
        <v>1</v>
      </c>
      <c r="CI6" s="105" t="s">
        <v>6</v>
      </c>
      <c r="CJ6" s="105" t="s">
        <v>84</v>
      </c>
      <c r="CK6" s="105" t="s">
        <v>8</v>
      </c>
      <c r="CL6" s="105" t="s">
        <v>133</v>
      </c>
      <c r="CM6" s="105" t="s">
        <v>133</v>
      </c>
      <c r="CN6" s="19" t="s">
        <v>76</v>
      </c>
      <c r="CO6" s="105" t="s">
        <v>398</v>
      </c>
      <c r="CP6" s="105" t="s">
        <v>399</v>
      </c>
      <c r="CQ6" s="105" t="s">
        <v>400</v>
      </c>
      <c r="CR6" s="105" t="s">
        <v>401</v>
      </c>
      <c r="CS6" s="105" t="s">
        <v>402</v>
      </c>
      <c r="CT6" s="105">
        <v>0.77</v>
      </c>
      <c r="CU6" s="152"/>
      <c r="CV6" s="17"/>
      <c r="CW6" s="5" t="s">
        <v>257</v>
      </c>
      <c r="CY6" s="21" t="s">
        <v>4</v>
      </c>
      <c r="CZ6" s="21" t="s">
        <v>77</v>
      </c>
      <c r="DA6" s="21" t="s">
        <v>13</v>
      </c>
      <c r="DB6" s="21" t="s">
        <v>83</v>
      </c>
      <c r="DC6" s="21" t="s">
        <v>15</v>
      </c>
      <c r="DD6" s="21" t="s">
        <v>84</v>
      </c>
      <c r="DE6" s="21" t="s">
        <v>8</v>
      </c>
      <c r="DF6" s="21" t="s">
        <v>85</v>
      </c>
      <c r="DG6" s="21" t="s">
        <v>85</v>
      </c>
      <c r="DH6" s="5" t="s">
        <v>76</v>
      </c>
      <c r="DI6" s="21" t="s">
        <v>150</v>
      </c>
      <c r="DJ6" s="21" t="s">
        <v>403</v>
      </c>
      <c r="DK6" s="5" t="s">
        <v>152</v>
      </c>
      <c r="DL6" s="21" t="s">
        <v>404</v>
      </c>
      <c r="DM6" s="5" t="s">
        <v>405</v>
      </c>
      <c r="DN6" s="5" t="s">
        <v>406</v>
      </c>
      <c r="DO6" s="152"/>
      <c r="DP6" s="23"/>
      <c r="DQ6" s="5" t="s">
        <v>257</v>
      </c>
      <c r="DS6" s="105" t="s">
        <v>12</v>
      </c>
      <c r="DT6" s="105" t="s">
        <v>22</v>
      </c>
      <c r="DU6" s="105" t="s">
        <v>13</v>
      </c>
      <c r="DV6" s="105" t="s">
        <v>1</v>
      </c>
      <c r="DW6" s="105" t="s">
        <v>6</v>
      </c>
      <c r="DX6" s="105" t="s">
        <v>84</v>
      </c>
      <c r="DY6" s="105" t="s">
        <v>8</v>
      </c>
      <c r="DZ6" s="105" t="s">
        <v>133</v>
      </c>
      <c r="EA6" s="105" t="s">
        <v>133</v>
      </c>
      <c r="EB6" s="19" t="s">
        <v>76</v>
      </c>
      <c r="EC6" s="105" t="s">
        <v>407</v>
      </c>
      <c r="ED6" s="105" t="s">
        <v>407</v>
      </c>
      <c r="EE6" s="105" t="s">
        <v>407</v>
      </c>
      <c r="EF6" s="105" t="s">
        <v>407</v>
      </c>
      <c r="EG6" s="105" t="s">
        <v>281</v>
      </c>
      <c r="EH6" s="19">
        <f xml:space="preserve"> 0.012</f>
        <v>1.2E-2</v>
      </c>
      <c r="EJ6" s="8" t="s">
        <v>1</v>
      </c>
      <c r="EK6" s="8" t="s">
        <v>1</v>
      </c>
      <c r="EL6" s="8" t="s">
        <v>164</v>
      </c>
      <c r="EM6" s="8" t="s">
        <v>164</v>
      </c>
      <c r="EN6" s="8" t="s">
        <v>133</v>
      </c>
      <c r="EO6" s="8" t="s">
        <v>133</v>
      </c>
      <c r="EP6" s="8" t="s">
        <v>133</v>
      </c>
      <c r="EQ6" s="8" t="s">
        <v>76</v>
      </c>
      <c r="ER6" s="8" t="s">
        <v>127</v>
      </c>
      <c r="ES6" s="8" t="s">
        <v>128</v>
      </c>
      <c r="ET6" s="8" t="s">
        <v>175</v>
      </c>
      <c r="EU6" s="8" t="s">
        <v>281</v>
      </c>
      <c r="EV6" s="8" t="s">
        <v>282</v>
      </c>
      <c r="EW6" s="8" t="s">
        <v>70</v>
      </c>
    </row>
    <row r="7" spans="1:153" ht="10.9" customHeight="1">
      <c r="A7" s="23" t="s">
        <v>11</v>
      </c>
      <c r="B7" s="5" t="s">
        <v>283</v>
      </c>
      <c r="D7" s="105" t="s">
        <v>12</v>
      </c>
      <c r="E7" s="105" t="s">
        <v>12</v>
      </c>
      <c r="F7" s="19" t="s">
        <v>408</v>
      </c>
      <c r="G7" s="105" t="s">
        <v>14</v>
      </c>
      <c r="H7" s="19" t="s">
        <v>409</v>
      </c>
      <c r="I7" s="105" t="s">
        <v>14</v>
      </c>
      <c r="J7" s="19" t="s">
        <v>410</v>
      </c>
      <c r="K7" s="105" t="s">
        <v>14</v>
      </c>
      <c r="L7" s="105" t="s">
        <v>16</v>
      </c>
      <c r="M7" s="19" t="s">
        <v>287</v>
      </c>
      <c r="N7" s="105" t="s">
        <v>288</v>
      </c>
      <c r="O7" s="105" t="s">
        <v>288</v>
      </c>
      <c r="P7" s="105" t="s">
        <v>288</v>
      </c>
      <c r="Q7" s="105" t="s">
        <v>288</v>
      </c>
      <c r="R7" s="105" t="s">
        <v>288</v>
      </c>
      <c r="S7" s="152"/>
      <c r="T7" s="17" t="s">
        <v>11</v>
      </c>
      <c r="U7" s="5" t="s">
        <v>283</v>
      </c>
      <c r="W7" s="21" t="s">
        <v>12</v>
      </c>
      <c r="X7" s="21" t="s">
        <v>12</v>
      </c>
      <c r="Y7" s="5" t="s">
        <v>292</v>
      </c>
      <c r="Z7" s="21" t="s">
        <v>14</v>
      </c>
      <c r="AA7" s="21" t="s">
        <v>15</v>
      </c>
      <c r="AB7" s="21" t="s">
        <v>14</v>
      </c>
      <c r="AC7" s="21" t="s">
        <v>15</v>
      </c>
      <c r="AD7" s="21" t="s">
        <v>14</v>
      </c>
      <c r="AE7" s="21" t="s">
        <v>16</v>
      </c>
      <c r="AF7" s="5" t="s">
        <v>290</v>
      </c>
      <c r="AG7" s="21" t="s">
        <v>95</v>
      </c>
      <c r="AH7" s="21" t="s">
        <v>95</v>
      </c>
      <c r="AI7" s="21" t="s">
        <v>95</v>
      </c>
      <c r="AJ7" s="21" t="s">
        <v>95</v>
      </c>
      <c r="AK7" s="21" t="s">
        <v>95</v>
      </c>
      <c r="AL7" s="21" t="s">
        <v>95</v>
      </c>
      <c r="AM7" s="152"/>
      <c r="AN7" s="17" t="s">
        <v>11</v>
      </c>
      <c r="AO7" s="5" t="s">
        <v>283</v>
      </c>
      <c r="AP7" s="1" t="s">
        <v>12</v>
      </c>
      <c r="AQ7" s="21" t="s">
        <v>12</v>
      </c>
      <c r="AR7" s="21" t="s">
        <v>411</v>
      </c>
      <c r="AS7" s="5" t="s">
        <v>412</v>
      </c>
      <c r="AT7" s="21" t="s">
        <v>14</v>
      </c>
      <c r="AU7" s="21" t="s">
        <v>15</v>
      </c>
      <c r="AV7" s="21" t="s">
        <v>14</v>
      </c>
      <c r="AW7" s="21" t="s">
        <v>15</v>
      </c>
      <c r="AX7" s="21" t="s">
        <v>14</v>
      </c>
      <c r="AY7" s="21" t="s">
        <v>16</v>
      </c>
      <c r="AZ7" s="5" t="s">
        <v>413</v>
      </c>
      <c r="BA7" s="21" t="s">
        <v>95</v>
      </c>
      <c r="BB7" s="21" t="s">
        <v>95</v>
      </c>
      <c r="BC7" s="21" t="s">
        <v>95</v>
      </c>
      <c r="BD7" s="21" t="s">
        <v>95</v>
      </c>
      <c r="BE7" s="21" t="s">
        <v>95</v>
      </c>
      <c r="BF7" s="21" t="s">
        <v>95</v>
      </c>
      <c r="BG7" s="152"/>
      <c r="BH7" s="17" t="s">
        <v>11</v>
      </c>
      <c r="BI7" s="5" t="s">
        <v>283</v>
      </c>
      <c r="BK7" s="21" t="s">
        <v>22</v>
      </c>
      <c r="BL7" s="21" t="s">
        <v>22</v>
      </c>
      <c r="BM7" s="5" t="s">
        <v>114</v>
      </c>
      <c r="BN7" s="21" t="s">
        <v>14</v>
      </c>
      <c r="BO7" s="21" t="s">
        <v>294</v>
      </c>
      <c r="BP7" s="21" t="s">
        <v>14</v>
      </c>
      <c r="BQ7" s="21" t="s">
        <v>123</v>
      </c>
      <c r="BR7" s="21" t="s">
        <v>414</v>
      </c>
      <c r="BS7" s="21" t="s">
        <v>314</v>
      </c>
      <c r="BT7" s="21" t="s">
        <v>117</v>
      </c>
      <c r="BU7" s="21" t="s">
        <v>415</v>
      </c>
      <c r="BV7" s="21" t="s">
        <v>416</v>
      </c>
      <c r="BW7" s="21" t="s">
        <v>417</v>
      </c>
      <c r="BX7" s="21" t="s">
        <v>418</v>
      </c>
      <c r="BY7" s="21" t="s">
        <v>298</v>
      </c>
      <c r="BZ7" s="5" t="s">
        <v>419</v>
      </c>
      <c r="CA7" s="152"/>
      <c r="CB7" s="23" t="s">
        <v>11</v>
      </c>
      <c r="CC7" s="5" t="s">
        <v>283</v>
      </c>
      <c r="CE7" s="105" t="s">
        <v>12</v>
      </c>
      <c r="CF7" s="105" t="s">
        <v>12</v>
      </c>
      <c r="CG7" s="19" t="s">
        <v>420</v>
      </c>
      <c r="CH7" s="105" t="s">
        <v>14</v>
      </c>
      <c r="CI7" s="105" t="s">
        <v>15</v>
      </c>
      <c r="CJ7" s="105" t="s">
        <v>14</v>
      </c>
      <c r="CK7" s="105" t="s">
        <v>15</v>
      </c>
      <c r="CL7" s="105" t="s">
        <v>14</v>
      </c>
      <c r="CM7" s="105" t="s">
        <v>16</v>
      </c>
      <c r="CN7" s="19" t="s">
        <v>421</v>
      </c>
      <c r="CO7" s="105" t="s">
        <v>95</v>
      </c>
      <c r="CP7" s="105" t="s">
        <v>95</v>
      </c>
      <c r="CQ7" s="105" t="s">
        <v>95</v>
      </c>
      <c r="CR7" s="105" t="s">
        <v>95</v>
      </c>
      <c r="CS7" s="105" t="s">
        <v>95</v>
      </c>
      <c r="CT7" s="105" t="s">
        <v>95</v>
      </c>
      <c r="CU7" s="152"/>
      <c r="CV7" s="17" t="s">
        <v>11</v>
      </c>
      <c r="CW7" s="5" t="s">
        <v>283</v>
      </c>
      <c r="CX7" s="1" t="s">
        <v>12</v>
      </c>
      <c r="CY7" s="21" t="s">
        <v>12</v>
      </c>
      <c r="CZ7" s="21" t="s">
        <v>12</v>
      </c>
      <c r="DA7" s="5" t="s">
        <v>302</v>
      </c>
      <c r="DB7" s="21" t="s">
        <v>14</v>
      </c>
      <c r="DC7" s="21" t="s">
        <v>422</v>
      </c>
      <c r="DD7" s="21" t="s">
        <v>14</v>
      </c>
      <c r="DE7" s="21" t="s">
        <v>15</v>
      </c>
      <c r="DF7" s="21" t="s">
        <v>14</v>
      </c>
      <c r="DG7" s="21" t="s">
        <v>16</v>
      </c>
      <c r="DH7" s="5" t="s">
        <v>156</v>
      </c>
      <c r="DI7" s="21" t="s">
        <v>95</v>
      </c>
      <c r="DJ7" s="21" t="s">
        <v>95</v>
      </c>
      <c r="DK7" s="21" t="s">
        <v>95</v>
      </c>
      <c r="DL7" s="21" t="s">
        <v>95</v>
      </c>
      <c r="DM7" s="21" t="s">
        <v>95</v>
      </c>
      <c r="DN7" s="21" t="s">
        <v>95</v>
      </c>
      <c r="DO7" s="152"/>
      <c r="DP7" s="23" t="s">
        <v>11</v>
      </c>
      <c r="DQ7" s="5" t="s">
        <v>283</v>
      </c>
      <c r="DR7" s="20" t="s">
        <v>12</v>
      </c>
      <c r="DS7" s="105" t="s">
        <v>22</v>
      </c>
      <c r="DT7" s="19" t="s">
        <v>423</v>
      </c>
      <c r="DU7" s="19" t="s">
        <v>304</v>
      </c>
      <c r="DV7" s="105" t="s">
        <v>14</v>
      </c>
      <c r="DW7" s="105" t="s">
        <v>305</v>
      </c>
      <c r="DX7" s="105" t="s">
        <v>14</v>
      </c>
      <c r="DY7" s="105" t="s">
        <v>117</v>
      </c>
      <c r="DZ7" s="105" t="s">
        <v>14</v>
      </c>
      <c r="EA7" s="105" t="s">
        <v>16</v>
      </c>
      <c r="EB7" s="19" t="s">
        <v>306</v>
      </c>
      <c r="EC7" s="105" t="s">
        <v>102</v>
      </c>
      <c r="ED7" s="105" t="s">
        <v>102</v>
      </c>
      <c r="EE7" s="105" t="s">
        <v>102</v>
      </c>
      <c r="EF7" s="105" t="s">
        <v>102</v>
      </c>
      <c r="EG7" s="105" t="s">
        <v>424</v>
      </c>
      <c r="EH7" s="105" t="s">
        <v>102</v>
      </c>
      <c r="EJ7" s="8" t="s">
        <v>169</v>
      </c>
      <c r="EK7" s="8" t="s">
        <v>169</v>
      </c>
      <c r="EL7" s="8" t="s">
        <v>169</v>
      </c>
      <c r="EM7" s="8" t="s">
        <v>169</v>
      </c>
      <c r="EN7" s="8" t="s">
        <v>169</v>
      </c>
      <c r="EO7" s="8" t="s">
        <v>169</v>
      </c>
      <c r="EP7" s="8" t="s">
        <v>169</v>
      </c>
      <c r="EQ7" s="8" t="s">
        <v>169</v>
      </c>
      <c r="ER7" s="8" t="s">
        <v>169</v>
      </c>
      <c r="ES7" s="8" t="s">
        <v>169</v>
      </c>
      <c r="ET7" s="8" t="s">
        <v>169</v>
      </c>
      <c r="EU7" s="8" t="s">
        <v>169</v>
      </c>
      <c r="EV7" s="8" t="s">
        <v>169</v>
      </c>
      <c r="EW7" s="8" t="s">
        <v>169</v>
      </c>
    </row>
    <row r="8" spans="1:153" ht="10.9" customHeight="1">
      <c r="A8" s="23" t="s">
        <v>19</v>
      </c>
      <c r="B8" s="5" t="s">
        <v>311</v>
      </c>
      <c r="C8" s="105" t="s">
        <v>21</v>
      </c>
      <c r="D8" s="105" t="s">
        <v>22</v>
      </c>
      <c r="E8" s="105" t="s">
        <v>22</v>
      </c>
      <c r="F8" s="105" t="s">
        <v>288</v>
      </c>
      <c r="G8" s="105" t="s">
        <v>99</v>
      </c>
      <c r="H8" s="105" t="s">
        <v>288</v>
      </c>
      <c r="I8" s="105" t="s">
        <v>99</v>
      </c>
      <c r="J8" s="105" t="s">
        <v>288</v>
      </c>
      <c r="K8" s="105" t="s">
        <v>99</v>
      </c>
      <c r="L8" s="105">
        <v>0.46</v>
      </c>
      <c r="M8" s="105" t="s">
        <v>288</v>
      </c>
      <c r="N8" s="105" t="s">
        <v>102</v>
      </c>
      <c r="O8" s="105" t="s">
        <v>102</v>
      </c>
      <c r="P8" s="105" t="s">
        <v>102</v>
      </c>
      <c r="Q8" s="105" t="s">
        <v>102</v>
      </c>
      <c r="R8" s="105" t="s">
        <v>102</v>
      </c>
      <c r="S8" s="152"/>
      <c r="T8" s="17" t="s">
        <v>19</v>
      </c>
      <c r="U8" s="5" t="s">
        <v>311</v>
      </c>
      <c r="V8" s="38" t="s">
        <v>21</v>
      </c>
      <c r="W8" s="21" t="s">
        <v>22</v>
      </c>
      <c r="X8" s="21" t="s">
        <v>291</v>
      </c>
      <c r="Y8" s="21" t="s">
        <v>98</v>
      </c>
      <c r="Z8" s="21" t="s">
        <v>414</v>
      </c>
      <c r="AA8" s="21" t="s">
        <v>316</v>
      </c>
      <c r="AB8" s="21" t="s">
        <v>414</v>
      </c>
      <c r="AC8" s="21" t="s">
        <v>101</v>
      </c>
      <c r="AD8" s="21" t="s">
        <v>414</v>
      </c>
      <c r="AE8" s="21">
        <v>0.46</v>
      </c>
      <c r="AF8" s="5" t="s">
        <v>102</v>
      </c>
      <c r="AG8" s="21" t="s">
        <v>102</v>
      </c>
      <c r="AH8" s="21" t="s">
        <v>102</v>
      </c>
      <c r="AI8" s="21" t="s">
        <v>102</v>
      </c>
      <c r="AJ8" s="21" t="s">
        <v>102</v>
      </c>
      <c r="AK8" s="21" t="s">
        <v>102</v>
      </c>
      <c r="AL8" s="21" t="s">
        <v>102</v>
      </c>
      <c r="AM8" s="152"/>
      <c r="AN8" s="17" t="s">
        <v>19</v>
      </c>
      <c r="AO8" s="5" t="s">
        <v>311</v>
      </c>
      <c r="AP8" s="21" t="s">
        <v>21</v>
      </c>
      <c r="AQ8" s="21" t="s">
        <v>22</v>
      </c>
      <c r="AR8" s="21" t="s">
        <v>425</v>
      </c>
      <c r="AS8" s="21" t="s">
        <v>98</v>
      </c>
      <c r="AT8" s="21" t="s">
        <v>426</v>
      </c>
      <c r="AU8" s="21" t="s">
        <v>427</v>
      </c>
      <c r="AV8" s="21" t="s">
        <v>428</v>
      </c>
      <c r="AW8" s="21" t="s">
        <v>101</v>
      </c>
      <c r="AX8" s="21" t="s">
        <v>414</v>
      </c>
      <c r="AY8" s="21">
        <v>0.46</v>
      </c>
      <c r="AZ8" s="5" t="s">
        <v>102</v>
      </c>
      <c r="BA8" s="21" t="s">
        <v>102</v>
      </c>
      <c r="BB8" s="21" t="s">
        <v>102</v>
      </c>
      <c r="BC8" s="21" t="s">
        <v>102</v>
      </c>
      <c r="BD8" s="21" t="s">
        <v>102</v>
      </c>
      <c r="BE8" s="21" t="s">
        <v>102</v>
      </c>
      <c r="BF8" s="21" t="s">
        <v>102</v>
      </c>
      <c r="BG8" s="152"/>
      <c r="BH8" s="17" t="s">
        <v>19</v>
      </c>
      <c r="BI8" s="5" t="s">
        <v>311</v>
      </c>
      <c r="BJ8" s="38" t="s">
        <v>21</v>
      </c>
      <c r="BK8" s="1" t="s">
        <v>429</v>
      </c>
      <c r="BL8" s="1" t="s">
        <v>429</v>
      </c>
      <c r="BM8" s="21" t="s">
        <v>123</v>
      </c>
      <c r="BN8" s="21">
        <v>0.25</v>
      </c>
      <c r="BO8" s="21" t="s">
        <v>123</v>
      </c>
      <c r="BP8" s="21" t="s">
        <v>414</v>
      </c>
      <c r="BR8" s="1" t="s">
        <v>430</v>
      </c>
      <c r="BS8" s="1" t="s">
        <v>430</v>
      </c>
      <c r="BT8" s="21" t="s">
        <v>123</v>
      </c>
      <c r="BU8" s="21" t="s">
        <v>123</v>
      </c>
      <c r="BV8" s="21" t="s">
        <v>123</v>
      </c>
      <c r="BW8" s="21" t="s">
        <v>123</v>
      </c>
      <c r="BX8" s="21" t="s">
        <v>123</v>
      </c>
      <c r="BY8" s="21" t="s">
        <v>123</v>
      </c>
      <c r="BZ8" s="21" t="s">
        <v>123</v>
      </c>
      <c r="CA8" s="152"/>
      <c r="CB8" s="23" t="s">
        <v>19</v>
      </c>
      <c r="CC8" s="5" t="s">
        <v>311</v>
      </c>
      <c r="CD8" s="105" t="s">
        <v>21</v>
      </c>
      <c r="CE8" s="105" t="s">
        <v>22</v>
      </c>
      <c r="CF8" s="105" t="s">
        <v>22</v>
      </c>
      <c r="CG8" s="105" t="s">
        <v>98</v>
      </c>
      <c r="CH8" s="105" t="s">
        <v>99</v>
      </c>
      <c r="CI8" s="105" t="s">
        <v>431</v>
      </c>
      <c r="CJ8" s="105" t="s">
        <v>99</v>
      </c>
      <c r="CK8" s="105" t="s">
        <v>432</v>
      </c>
      <c r="CL8" s="105" t="s">
        <v>99</v>
      </c>
      <c r="CM8" s="105">
        <v>0.46</v>
      </c>
      <c r="CN8" s="19" t="s">
        <v>102</v>
      </c>
      <c r="CO8" s="105" t="s">
        <v>102</v>
      </c>
      <c r="CP8" s="105" t="s">
        <v>102</v>
      </c>
      <c r="CQ8" s="105" t="s">
        <v>102</v>
      </c>
      <c r="CR8" s="105" t="s">
        <v>102</v>
      </c>
      <c r="CS8" s="105" t="s">
        <v>102</v>
      </c>
      <c r="CT8" s="105" t="s">
        <v>102</v>
      </c>
      <c r="CU8" s="152"/>
      <c r="CV8" s="17" t="s">
        <v>19</v>
      </c>
      <c r="CW8" s="5" t="s">
        <v>311</v>
      </c>
      <c r="CX8" s="21" t="s">
        <v>21</v>
      </c>
      <c r="CY8" s="21" t="s">
        <v>22</v>
      </c>
      <c r="CZ8" s="21" t="s">
        <v>22</v>
      </c>
      <c r="DA8" s="21" t="s">
        <v>98</v>
      </c>
      <c r="DB8" s="21" t="s">
        <v>414</v>
      </c>
      <c r="DC8" s="21" t="s">
        <v>433</v>
      </c>
      <c r="DD8" s="21" t="s">
        <v>414</v>
      </c>
      <c r="DE8" s="21" t="s">
        <v>434</v>
      </c>
      <c r="DF8" s="21" t="s">
        <v>414</v>
      </c>
      <c r="DG8" s="21">
        <v>0.46</v>
      </c>
      <c r="DH8" s="5" t="s">
        <v>102</v>
      </c>
      <c r="DI8" s="21" t="s">
        <v>102</v>
      </c>
      <c r="DJ8" s="21" t="s">
        <v>102</v>
      </c>
      <c r="DK8" s="21" t="s">
        <v>102</v>
      </c>
      <c r="DL8" s="21" t="s">
        <v>102</v>
      </c>
      <c r="DM8" s="21" t="s">
        <v>102</v>
      </c>
      <c r="DN8" s="21" t="s">
        <v>102</v>
      </c>
      <c r="DO8" s="152"/>
      <c r="DP8" s="23" t="s">
        <v>19</v>
      </c>
      <c r="DQ8" s="5" t="s">
        <v>311</v>
      </c>
      <c r="DR8" s="105" t="s">
        <v>21</v>
      </c>
      <c r="DS8" s="105" t="s">
        <v>407</v>
      </c>
      <c r="DT8" s="19" t="s">
        <v>435</v>
      </c>
      <c r="DU8" s="105" t="s">
        <v>407</v>
      </c>
      <c r="DV8" s="105" t="s">
        <v>99</v>
      </c>
      <c r="DW8" s="105" t="s">
        <v>407</v>
      </c>
      <c r="DX8" s="105" t="s">
        <v>99</v>
      </c>
      <c r="DY8" s="105" t="s">
        <v>407</v>
      </c>
      <c r="DZ8" s="105" t="s">
        <v>99</v>
      </c>
      <c r="EA8" s="105">
        <v>0.46</v>
      </c>
      <c r="EB8" s="105" t="s">
        <v>407</v>
      </c>
      <c r="EC8" s="20" t="s">
        <v>436</v>
      </c>
      <c r="EE8" s="20" t="s">
        <v>437</v>
      </c>
      <c r="EI8" s="17" t="s">
        <v>19</v>
      </c>
      <c r="EJ8" s="8" t="s">
        <v>102</v>
      </c>
      <c r="EK8" s="8" t="s">
        <v>14</v>
      </c>
      <c r="EL8" s="8" t="s">
        <v>102</v>
      </c>
      <c r="EM8" s="8" t="s">
        <v>14</v>
      </c>
      <c r="EN8" s="8" t="s">
        <v>102</v>
      </c>
      <c r="EO8" s="8" t="s">
        <v>14</v>
      </c>
      <c r="EP8" s="8" t="s">
        <v>16</v>
      </c>
      <c r="EQ8" s="8" t="s">
        <v>102</v>
      </c>
      <c r="ER8" s="8" t="s">
        <v>102</v>
      </c>
      <c r="ES8" s="8" t="s">
        <v>102</v>
      </c>
      <c r="ET8" s="8" t="s">
        <v>102</v>
      </c>
      <c r="EU8" s="8" t="s">
        <v>102</v>
      </c>
      <c r="EV8" s="8" t="s">
        <v>102</v>
      </c>
      <c r="EW8" s="8" t="s">
        <v>102</v>
      </c>
    </row>
    <row r="9" spans="1:153" ht="10.9" customHeight="1">
      <c r="A9" s="23" t="s">
        <v>27</v>
      </c>
      <c r="B9" s="21" t="s">
        <v>327</v>
      </c>
      <c r="C9" s="105" t="s">
        <v>29</v>
      </c>
      <c r="D9" s="105" t="s">
        <v>30</v>
      </c>
      <c r="E9" s="105" t="s">
        <v>30</v>
      </c>
      <c r="F9" s="105" t="s">
        <v>31</v>
      </c>
      <c r="G9" s="105" t="s">
        <v>32</v>
      </c>
      <c r="H9" s="105" t="s">
        <v>33</v>
      </c>
      <c r="I9" s="105" t="s">
        <v>34</v>
      </c>
      <c r="J9" s="105" t="s">
        <v>35</v>
      </c>
      <c r="K9" s="105" t="s">
        <v>35</v>
      </c>
      <c r="L9" s="105" t="s">
        <v>35</v>
      </c>
      <c r="M9" s="105" t="s">
        <v>35</v>
      </c>
      <c r="N9" s="105" t="s">
        <v>32</v>
      </c>
      <c r="O9" s="105" t="s">
        <v>32</v>
      </c>
      <c r="P9" s="105" t="s">
        <v>32</v>
      </c>
      <c r="Q9" s="105" t="s">
        <v>32</v>
      </c>
      <c r="R9" s="105" t="s">
        <v>32</v>
      </c>
      <c r="S9" s="152"/>
      <c r="T9" s="17" t="s">
        <v>27</v>
      </c>
      <c r="U9" s="21" t="s">
        <v>327</v>
      </c>
      <c r="V9" s="21" t="s">
        <v>29</v>
      </c>
      <c r="W9" s="21" t="s">
        <v>30</v>
      </c>
      <c r="X9" s="21" t="s">
        <v>30</v>
      </c>
      <c r="Y9" s="21" t="s">
        <v>31</v>
      </c>
      <c r="Z9" s="21" t="s">
        <v>32</v>
      </c>
      <c r="AA9" s="21" t="s">
        <v>33</v>
      </c>
      <c r="AB9" s="21" t="s">
        <v>34</v>
      </c>
      <c r="AC9" s="21" t="s">
        <v>35</v>
      </c>
      <c r="AD9" s="21" t="s">
        <v>35</v>
      </c>
      <c r="AE9" s="21" t="s">
        <v>35</v>
      </c>
      <c r="AF9" s="21" t="s">
        <v>35</v>
      </c>
      <c r="AG9" s="21" t="s">
        <v>32</v>
      </c>
      <c r="AH9" s="21" t="s">
        <v>32</v>
      </c>
      <c r="AI9" s="21" t="s">
        <v>32</v>
      </c>
      <c r="AJ9" s="21" t="s">
        <v>32</v>
      </c>
      <c r="AK9" s="21" t="s">
        <v>32</v>
      </c>
      <c r="AL9" s="21" t="s">
        <v>32</v>
      </c>
      <c r="AM9" s="152"/>
      <c r="AN9" s="17" t="s">
        <v>27</v>
      </c>
      <c r="AO9" s="21" t="s">
        <v>327</v>
      </c>
      <c r="AP9" s="21" t="s">
        <v>29</v>
      </c>
      <c r="AQ9" s="21" t="s">
        <v>30</v>
      </c>
      <c r="AR9" s="21" t="s">
        <v>30</v>
      </c>
      <c r="AS9" s="21" t="s">
        <v>31</v>
      </c>
      <c r="AT9" s="21" t="s">
        <v>32</v>
      </c>
      <c r="AU9" s="21" t="s">
        <v>33</v>
      </c>
      <c r="AV9" s="21" t="s">
        <v>34</v>
      </c>
      <c r="AW9" s="21" t="s">
        <v>35</v>
      </c>
      <c r="AX9" s="21" t="s">
        <v>35</v>
      </c>
      <c r="AY9" s="21" t="s">
        <v>35</v>
      </c>
      <c r="AZ9" s="21" t="s">
        <v>35</v>
      </c>
      <c r="BA9" s="21" t="s">
        <v>32</v>
      </c>
      <c r="BB9" s="21" t="s">
        <v>32</v>
      </c>
      <c r="BC9" s="21" t="s">
        <v>32</v>
      </c>
      <c r="BD9" s="21" t="s">
        <v>32</v>
      </c>
      <c r="BE9" s="21" t="s">
        <v>32</v>
      </c>
      <c r="BF9" s="21" t="s">
        <v>32</v>
      </c>
      <c r="BG9" s="152"/>
      <c r="BH9" s="17" t="s">
        <v>27</v>
      </c>
      <c r="BI9" s="21" t="s">
        <v>327</v>
      </c>
      <c r="BJ9" s="21" t="s">
        <v>29</v>
      </c>
      <c r="BK9" s="21" t="s">
        <v>30</v>
      </c>
      <c r="BL9" s="21" t="s">
        <v>30</v>
      </c>
      <c r="BM9" s="21" t="s">
        <v>31</v>
      </c>
      <c r="BN9" s="21" t="s">
        <v>32</v>
      </c>
      <c r="BO9" s="21" t="s">
        <v>33</v>
      </c>
      <c r="BP9" s="21" t="s">
        <v>34</v>
      </c>
      <c r="BQ9" s="21" t="s">
        <v>35</v>
      </c>
      <c r="BR9" s="21" t="s">
        <v>35</v>
      </c>
      <c r="BS9" s="21" t="s">
        <v>35</v>
      </c>
      <c r="BT9" s="21" t="s">
        <v>35</v>
      </c>
      <c r="BU9" s="21" t="s">
        <v>32</v>
      </c>
      <c r="BV9" s="21" t="s">
        <v>32</v>
      </c>
      <c r="BW9" s="21" t="s">
        <v>32</v>
      </c>
      <c r="BX9" s="21" t="s">
        <v>32</v>
      </c>
      <c r="BY9" s="21" t="s">
        <v>32</v>
      </c>
      <c r="BZ9" s="21" t="s">
        <v>32</v>
      </c>
      <c r="CA9" s="152"/>
      <c r="CB9" s="23" t="s">
        <v>27</v>
      </c>
      <c r="CC9" s="21" t="s">
        <v>327</v>
      </c>
      <c r="CD9" s="105" t="s">
        <v>29</v>
      </c>
      <c r="CE9" s="105" t="s">
        <v>30</v>
      </c>
      <c r="CF9" s="105" t="s">
        <v>30</v>
      </c>
      <c r="CG9" s="105" t="s">
        <v>31</v>
      </c>
      <c r="CH9" s="105" t="s">
        <v>32</v>
      </c>
      <c r="CI9" s="105" t="s">
        <v>33</v>
      </c>
      <c r="CJ9" s="105" t="s">
        <v>34</v>
      </c>
      <c r="CK9" s="105" t="s">
        <v>35</v>
      </c>
      <c r="CL9" s="105" t="s">
        <v>35</v>
      </c>
      <c r="CM9" s="105" t="s">
        <v>35</v>
      </c>
      <c r="CN9" s="105" t="s">
        <v>35</v>
      </c>
      <c r="CO9" s="105" t="s">
        <v>32</v>
      </c>
      <c r="CP9" s="105" t="s">
        <v>32</v>
      </c>
      <c r="CQ9" s="105" t="s">
        <v>32</v>
      </c>
      <c r="CR9" s="105" t="s">
        <v>32</v>
      </c>
      <c r="CS9" s="105" t="s">
        <v>32</v>
      </c>
      <c r="CT9" s="105" t="s">
        <v>32</v>
      </c>
      <c r="CU9" s="152"/>
      <c r="CV9" s="17" t="s">
        <v>27</v>
      </c>
      <c r="CW9" s="21" t="s">
        <v>327</v>
      </c>
      <c r="CX9" s="21" t="s">
        <v>29</v>
      </c>
      <c r="CY9" s="21" t="s">
        <v>30</v>
      </c>
      <c r="CZ9" s="21" t="s">
        <v>30</v>
      </c>
      <c r="DA9" s="21" t="s">
        <v>31</v>
      </c>
      <c r="DB9" s="21" t="s">
        <v>32</v>
      </c>
      <c r="DC9" s="21" t="s">
        <v>33</v>
      </c>
      <c r="DD9" s="21" t="s">
        <v>34</v>
      </c>
      <c r="DE9" s="21" t="s">
        <v>35</v>
      </c>
      <c r="DF9" s="21" t="s">
        <v>35</v>
      </c>
      <c r="DG9" s="21" t="s">
        <v>35</v>
      </c>
      <c r="DH9" s="21" t="s">
        <v>35</v>
      </c>
      <c r="DI9" s="21" t="s">
        <v>32</v>
      </c>
      <c r="DJ9" s="21" t="s">
        <v>32</v>
      </c>
      <c r="DK9" s="21" t="s">
        <v>32</v>
      </c>
      <c r="DL9" s="21" t="s">
        <v>32</v>
      </c>
      <c r="DM9" s="21" t="s">
        <v>32</v>
      </c>
      <c r="DN9" s="21" t="s">
        <v>32</v>
      </c>
      <c r="DO9" s="152"/>
      <c r="DP9" s="23" t="s">
        <v>27</v>
      </c>
      <c r="DQ9" s="21" t="s">
        <v>327</v>
      </c>
      <c r="DR9" s="105" t="s">
        <v>29</v>
      </c>
      <c r="DS9" s="105" t="s">
        <v>30</v>
      </c>
      <c r="DT9" s="105" t="s">
        <v>30</v>
      </c>
      <c r="DU9" s="105" t="s">
        <v>31</v>
      </c>
      <c r="DV9" s="105" t="s">
        <v>32</v>
      </c>
      <c r="DW9" s="105" t="s">
        <v>33</v>
      </c>
      <c r="DX9" s="105" t="s">
        <v>34</v>
      </c>
      <c r="DY9" s="105" t="s">
        <v>35</v>
      </c>
      <c r="DZ9" s="105" t="s">
        <v>35</v>
      </c>
      <c r="EA9" s="105" t="s">
        <v>35</v>
      </c>
      <c r="EB9" s="105" t="s">
        <v>35</v>
      </c>
      <c r="EC9" s="105" t="s">
        <v>32</v>
      </c>
      <c r="ED9" s="105" t="s">
        <v>32</v>
      </c>
      <c r="EE9" s="105" t="s">
        <v>32</v>
      </c>
      <c r="EF9" s="105" t="s">
        <v>32</v>
      </c>
      <c r="EG9" s="105" t="s">
        <v>32</v>
      </c>
      <c r="EH9" s="105" t="s">
        <v>32</v>
      </c>
      <c r="EI9" s="17" t="s">
        <v>27</v>
      </c>
      <c r="EJ9" s="39" t="s">
        <v>174</v>
      </c>
      <c r="EK9" s="39" t="s">
        <v>174</v>
      </c>
      <c r="EL9" s="39" t="s">
        <v>174</v>
      </c>
      <c r="EM9" s="39" t="s">
        <v>174</v>
      </c>
      <c r="EN9" s="39" t="s">
        <v>174</v>
      </c>
      <c r="EO9" s="39" t="s">
        <v>174</v>
      </c>
      <c r="EP9" s="39" t="s">
        <v>174</v>
      </c>
      <c r="EQ9" s="39" t="s">
        <v>174</v>
      </c>
      <c r="ER9" s="39" t="s">
        <v>174</v>
      </c>
      <c r="ES9" s="39" t="s">
        <v>174</v>
      </c>
      <c r="ET9" s="39" t="s">
        <v>174</v>
      </c>
      <c r="EU9" s="39" t="s">
        <v>174</v>
      </c>
      <c r="EV9" s="39" t="s">
        <v>174</v>
      </c>
      <c r="EW9" s="39" t="s">
        <v>174</v>
      </c>
    </row>
    <row r="10" spans="1:153" ht="18" customHeight="1">
      <c r="A10" s="23" t="s">
        <v>36</v>
      </c>
      <c r="B10" s="162">
        <v>2065</v>
      </c>
      <c r="C10" s="163">
        <f>SUM(B10/271519)</f>
        <v>7.6053609507990231E-3</v>
      </c>
      <c r="D10" s="111">
        <f>SUM(C10*0)</f>
        <v>0</v>
      </c>
      <c r="E10" s="111">
        <f t="shared" ref="E10:E23" si="0">SUM(D10*0.09)</f>
        <v>0</v>
      </c>
      <c r="F10" s="112">
        <f t="shared" ref="F10:F23" si="1">SUM(D10*0.05)/2000</f>
        <v>0</v>
      </c>
      <c r="G10" s="164">
        <f t="shared" ref="G10:G23" si="2">SUM(F10*0.09)/65</f>
        <v>0</v>
      </c>
      <c r="H10" s="112">
        <f>SUM(D10*11)/2000</f>
        <v>0</v>
      </c>
      <c r="I10" s="165">
        <f t="shared" ref="I10:I23" si="3">SUM(H10*0.09)/65</f>
        <v>0</v>
      </c>
      <c r="J10" s="112">
        <f t="shared" ref="J10:J23" si="4">SUM(D10*5)/2000</f>
        <v>0</v>
      </c>
      <c r="K10" s="165">
        <f t="shared" ref="K10:K23" si="5">SUM(J10*0.09)/65</f>
        <v>0</v>
      </c>
      <c r="L10" s="165">
        <f t="shared" ref="L10:L23" si="6">SUM(J10*0.46)/65</f>
        <v>0</v>
      </c>
      <c r="M10" s="112">
        <f>SUM(D10*38)/2000</f>
        <v>0</v>
      </c>
      <c r="N10" s="112">
        <f>SUM(D10*13.04)/2000</f>
        <v>0</v>
      </c>
      <c r="O10" s="112">
        <f>SUM(D10*12)/2000</f>
        <v>0</v>
      </c>
      <c r="P10" s="112">
        <f>SUM(D10*2.44)/2000</f>
        <v>0</v>
      </c>
      <c r="Q10" s="112">
        <f>SUM(D10*1.4)/2000</f>
        <v>0</v>
      </c>
      <c r="R10" s="112">
        <f>SUM(D10*0.03)/2000</f>
        <v>0</v>
      </c>
      <c r="S10" s="152"/>
      <c r="T10" s="17" t="s">
        <v>36</v>
      </c>
      <c r="U10" s="162">
        <v>2065</v>
      </c>
      <c r="V10" s="166">
        <f>SUM(U10/226698)</f>
        <v>9.1090349275247239E-3</v>
      </c>
      <c r="W10" s="48">
        <f>SUM(V10*49939.5)</f>
        <v>454.90064976312095</v>
      </c>
      <c r="X10" s="48">
        <f t="shared" ref="X10:X23" si="7">SUM(W10*0.09)</f>
        <v>40.941058478680887</v>
      </c>
      <c r="Y10" s="45">
        <f>SUM(W10*0.2)/2000</f>
        <v>4.5490064976312097E-2</v>
      </c>
      <c r="Z10" s="46">
        <f>SUM(Y10*0.25)/65</f>
        <v>1.7496178837043115E-4</v>
      </c>
      <c r="AA10" s="45">
        <f t="shared" ref="AA10:AA23" si="8">SUM(W10*20)/2000</f>
        <v>4.5490064976312095</v>
      </c>
      <c r="AB10" s="46">
        <f>SUM(AA10*0.25)/65</f>
        <v>1.7496178837043113E-2</v>
      </c>
      <c r="AC10" s="45">
        <f t="shared" ref="AC10:AC23" si="9">SUM(W10*5)/2000</f>
        <v>1.1372516244078024</v>
      </c>
      <c r="AD10" s="46">
        <f>SUM(AC10*0.25)/65</f>
        <v>4.3740447092607783E-3</v>
      </c>
      <c r="AE10" s="45">
        <f t="shared" ref="AE10:AE23" si="10">SUM(AC10*0.46)/65</f>
        <v>8.0482422650398327E-3</v>
      </c>
      <c r="AF10" s="45">
        <f t="shared" ref="AF10:AF23" si="11">SUM(W10*42.6)/2000</f>
        <v>9.6893838399544769</v>
      </c>
      <c r="AG10" s="45">
        <f t="shared" ref="AG10:AG23" si="12">SUM(W10*2.3)/2000</f>
        <v>0.52313574722758904</v>
      </c>
      <c r="AH10" s="45">
        <f>SUM(W10*1)/2000</f>
        <v>0.22745032488156047</v>
      </c>
      <c r="AI10" s="45">
        <f t="shared" ref="AI10:AI23" si="13">SUM(W10*1.55)/2000</f>
        <v>0.35254800356641874</v>
      </c>
      <c r="AJ10" s="45">
        <f>SUM(W10*0.25)/2000</f>
        <v>5.6862581220390118E-2</v>
      </c>
      <c r="AK10" s="97">
        <f>SUM(W10*1.3)/2000</f>
        <v>0.29568542234602863</v>
      </c>
      <c r="AL10" s="97">
        <f>SUM(W10*0.8)/2000</f>
        <v>0.18196025990524839</v>
      </c>
      <c r="AM10" s="152"/>
      <c r="AN10" s="17" t="s">
        <v>36</v>
      </c>
      <c r="AO10" s="162">
        <v>2065</v>
      </c>
      <c r="AP10" s="166">
        <f>SUM(AO10/226698)</f>
        <v>9.1090349275247239E-3</v>
      </c>
      <c r="AQ10" s="48">
        <f>SUM(AP10*0)</f>
        <v>0</v>
      </c>
      <c r="AR10" s="45">
        <f>SUM(AQ10*0.25)/65</f>
        <v>0</v>
      </c>
      <c r="AS10" s="45">
        <f>SUM(AQ10*0.28)/2000</f>
        <v>0</v>
      </c>
      <c r="AT10" s="49">
        <f>SUM(AS10*0.25)/65</f>
        <v>0</v>
      </c>
      <c r="AU10" s="45">
        <f>SUM(AQ10*55)/2000</f>
        <v>0</v>
      </c>
      <c r="AV10" s="46">
        <f>SUM(AU10*0.25)/65</f>
        <v>0</v>
      </c>
      <c r="AW10" s="45">
        <f t="shared" ref="AW10:AW23" si="14">SUM(AQ10*5)/2000</f>
        <v>0</v>
      </c>
      <c r="AX10" s="46">
        <f>SUM(AW10*0.25)/65</f>
        <v>0</v>
      </c>
      <c r="AY10" s="46">
        <f t="shared" ref="AY10:AY23" si="15">SUM(AW10*0.46)/90</f>
        <v>0</v>
      </c>
      <c r="AZ10" s="45">
        <f>SUM(AQ10*47.1)/2000</f>
        <v>0</v>
      </c>
      <c r="BA10" s="45">
        <f>SUM(AQ10*5.06)/2000</f>
        <v>0</v>
      </c>
      <c r="BB10" s="45">
        <f>SUM(AQ10*6.56)/2000</f>
        <v>0</v>
      </c>
      <c r="BC10" s="45">
        <f>SUM(AQ10*3.3)/2000</f>
        <v>0</v>
      </c>
      <c r="BD10" s="45">
        <f>SUM(AQ10*4.8)/2000</f>
        <v>0</v>
      </c>
      <c r="BE10" s="45">
        <f>SUM(AQ10*0.83)/2000</f>
        <v>0</v>
      </c>
      <c r="BF10" s="45">
        <f>SUM(AQ10*0.8)/2000</f>
        <v>0</v>
      </c>
      <c r="BG10" s="152"/>
      <c r="BH10" s="17" t="s">
        <v>36</v>
      </c>
      <c r="BI10" s="162">
        <v>2065</v>
      </c>
      <c r="BJ10" s="166">
        <f>SUM(BI10/226698)</f>
        <v>9.1090349275247239E-3</v>
      </c>
      <c r="BK10" s="48">
        <f>SUM(BJ10*22620.6)</f>
        <v>206.05183548156575</v>
      </c>
      <c r="BL10" s="45">
        <f>SUM(BK10*0.25)/92</f>
        <v>0.55992346598251563</v>
      </c>
      <c r="BM10" s="45">
        <f t="shared" ref="BM10:BM23" si="16">SUM(BK10*5.5)/2000</f>
        <v>0.56664254757430577</v>
      </c>
      <c r="BN10" s="46">
        <f>SUM(BM10*0.25)/65</f>
        <v>2.1793944137473297E-3</v>
      </c>
      <c r="BO10" s="45">
        <f t="shared" ref="BO10:BO23" si="17">SUM(BK10*100)/2000</f>
        <v>10.302591774078287</v>
      </c>
      <c r="BP10" s="46">
        <f>SUM(BO10*0.25)/65</f>
        <v>3.9625352977224179E-2</v>
      </c>
      <c r="BQ10" s="45">
        <f>SUM(BK10*84)/2000</f>
        <v>8.6541770902257618</v>
      </c>
      <c r="BR10" s="46">
        <f>SUM(BQ10*0.25)/65</f>
        <v>3.3285296500868311E-2</v>
      </c>
      <c r="BS10" s="46">
        <f>SUM(BQ10*0.46)/65</f>
        <v>6.1244945561597701E-2</v>
      </c>
      <c r="BT10" s="45">
        <f t="shared" ref="BT10:BT23" si="18">SUM(BK10*0.6)/2000</f>
        <v>6.1815550644469724E-2</v>
      </c>
      <c r="BU10" s="45">
        <f t="shared" ref="BU10:BU23" si="19">SUM(BK10*0.69)/2000</f>
        <v>7.1087883241140182E-2</v>
      </c>
      <c r="BV10" s="45">
        <f>SUM(BK10*0.13)/2000</f>
        <v>1.3393369306301773E-2</v>
      </c>
      <c r="BW10" s="45">
        <f t="shared" ref="BW10:BW23" si="20">SUM(BK10*0.6)/2000</f>
        <v>6.1815550644469724E-2</v>
      </c>
      <c r="BX10" s="45">
        <f>SUM(BK10*0.11)/2000</f>
        <v>1.1332850951486116E-2</v>
      </c>
      <c r="BY10" s="45">
        <f>SUM(BK10*0.49)/2000</f>
        <v>5.0482699692983607E-2</v>
      </c>
      <c r="BZ10" s="45">
        <f>SUM(BK10*3.2)/2000</f>
        <v>0.3296829367705052</v>
      </c>
      <c r="CA10" s="152"/>
      <c r="CB10" s="23" t="s">
        <v>36</v>
      </c>
      <c r="CC10" s="162">
        <v>2065</v>
      </c>
      <c r="CD10" s="163">
        <f t="shared" ref="CD10:CD23" si="21">SUM(CC10/390351)</f>
        <v>5.2901106952460732E-3</v>
      </c>
      <c r="CE10" s="111">
        <f>SUM(CD10*0)</f>
        <v>0</v>
      </c>
      <c r="CF10" s="112">
        <f t="shared" ref="CF10:CF23" si="22">SUM(CE10*0.09)</f>
        <v>0</v>
      </c>
      <c r="CG10" s="165">
        <f t="shared" ref="CG10:CG23" si="23">SUM(CE10*0.34)/2000</f>
        <v>0</v>
      </c>
      <c r="CH10" s="164">
        <f t="shared" ref="CH10:CH23" si="24">SUM(CG10*0.09)/65</f>
        <v>0</v>
      </c>
      <c r="CI10" s="112">
        <f t="shared" ref="CI10:CI23" si="25">SUM(CE10*20)/2000</f>
        <v>0</v>
      </c>
      <c r="CJ10" s="165">
        <f t="shared" ref="CJ10:CJ23" si="26">SUM(CI10*0.09)/65</f>
        <v>0</v>
      </c>
      <c r="CK10" s="112">
        <f t="shared" ref="CK10:CK23" si="27">SUM(CE10*5)/2000</f>
        <v>0</v>
      </c>
      <c r="CL10" s="165">
        <f t="shared" ref="CL10:CL23" si="28">SUM(CK10*0.09)/65</f>
        <v>0</v>
      </c>
      <c r="CM10" s="165">
        <f t="shared" ref="CM10:CM23" si="29">SUM(CK10*0.46)/65</f>
        <v>0</v>
      </c>
      <c r="CN10" s="112">
        <f t="shared" ref="CN10:CN23" si="30">SUM(CE10*144)/2000</f>
        <v>0</v>
      </c>
      <c r="CO10" s="112">
        <f t="shared" ref="CO10:CP23" si="31">SUM(CE10*1.08)/2000</f>
        <v>0</v>
      </c>
      <c r="CP10" s="112">
        <f t="shared" si="31"/>
        <v>0</v>
      </c>
      <c r="CQ10" s="112">
        <f t="shared" ref="CQ10:CT23" si="32">SUM(CE10*0.83)/2000</f>
        <v>0</v>
      </c>
      <c r="CR10" s="112">
        <f t="shared" si="32"/>
        <v>0</v>
      </c>
      <c r="CS10" s="112">
        <f t="shared" si="32"/>
        <v>0</v>
      </c>
      <c r="CT10" s="112">
        <f t="shared" si="32"/>
        <v>0</v>
      </c>
      <c r="CU10" s="152"/>
      <c r="CV10" s="17" t="s">
        <v>36</v>
      </c>
      <c r="CW10" s="162">
        <v>2065</v>
      </c>
      <c r="CX10" s="166">
        <f>SUM(CW10/226698)</f>
        <v>9.1090349275247239E-3</v>
      </c>
      <c r="CY10" s="44">
        <f>SUM(CX10*13496.6)</f>
        <v>122.94100080283019</v>
      </c>
      <c r="CZ10" s="45">
        <f>SUM(CY10*0.25)/65</f>
        <v>0.47285000308780845</v>
      </c>
      <c r="DA10" s="45">
        <f>SUM(CY10*0.52)/2000</f>
        <v>3.1964660208735847E-2</v>
      </c>
      <c r="DB10" s="46">
        <f>SUM(DA10*0.25)/65</f>
        <v>1.2294100080283019E-4</v>
      </c>
      <c r="DC10" s="45">
        <f>SUM(CY10*14.23)/2000</f>
        <v>0.87472522071213676</v>
      </c>
      <c r="DD10" s="46">
        <f>SUM(DC10*0.25)/65</f>
        <v>3.3643277719697566E-3</v>
      </c>
      <c r="DE10" s="45">
        <f>SUM(CY10*7.97)/2000</f>
        <v>0.48991988819927829</v>
      </c>
      <c r="DF10" s="46">
        <f>SUM(DE10*0.25)/65</f>
        <v>1.8843072623049165E-3</v>
      </c>
      <c r="DG10" s="46">
        <f t="shared" ref="DG10:DG23" si="33">SUM(DE10*0.46)/65</f>
        <v>3.4671253626410467E-3</v>
      </c>
      <c r="DH10" s="46">
        <f>SUM(CY10*0.06)/2000</f>
        <v>3.6882300240849053E-3</v>
      </c>
      <c r="DI10" s="46">
        <f>SUM(CY10*0.02)/2000</f>
        <v>1.229410008028302E-3</v>
      </c>
      <c r="DJ10" s="46">
        <f>SUM(CY10*0.05)/2000</f>
        <v>3.0735250200707551E-3</v>
      </c>
      <c r="DK10" s="100">
        <f>SUM(CY10*0.01)/2000</f>
        <v>6.1470500401415099E-4</v>
      </c>
      <c r="DL10" s="100">
        <f>SUM(CY10*0.04)/2000</f>
        <v>2.458820016056604E-3</v>
      </c>
      <c r="DM10" s="100">
        <f>SUM(CY10*0.03)/2000</f>
        <v>1.8441150120424527E-3</v>
      </c>
      <c r="DN10" s="100">
        <f>SUM(CY10*0.05)/2000</f>
        <v>3.0735250200707551E-3</v>
      </c>
      <c r="DO10" s="152"/>
      <c r="DP10" s="23" t="s">
        <v>36</v>
      </c>
      <c r="DQ10" s="162">
        <v>2065</v>
      </c>
      <c r="DR10" s="163">
        <f>SUM(DQ10/226698)</f>
        <v>9.1090349275247239E-3</v>
      </c>
      <c r="DS10" s="111">
        <f>SUM(DR10*4178382)</f>
        <v>38061.027578540612</v>
      </c>
      <c r="DT10" s="112">
        <f>SUM(DS10*0.09)/92</f>
        <v>37.233613935528858</v>
      </c>
      <c r="DU10" s="165">
        <f t="shared" ref="DU10:DU23" si="34">SUM(DS10*0.017)/2000</f>
        <v>0.32351873441759521</v>
      </c>
      <c r="DV10" s="164">
        <f t="shared" ref="DV10:DV23" si="35">SUM(DU10*0.09)/65</f>
        <v>4.4794901688590105E-4</v>
      </c>
      <c r="DW10" s="165">
        <f t="shared" ref="DW10:DW23" si="36">SUM(DS10*0.22)/2000</f>
        <v>4.1867130336394673</v>
      </c>
      <c r="DX10" s="165">
        <f t="shared" ref="DX10:DX23" si="37">SUM(DW10*0.09)/65</f>
        <v>5.7969872773469544E-3</v>
      </c>
      <c r="DY10" s="165">
        <f t="shared" ref="DY10:DY23" si="38">SUM(DS10*0.6)/2000</f>
        <v>11.418308273562182</v>
      </c>
      <c r="DZ10" s="165">
        <f t="shared" ref="DZ10:DZ23" si="39">SUM(DY10*0.09)/65</f>
        <v>1.5809965301855328E-2</v>
      </c>
      <c r="EA10" s="165">
        <f t="shared" ref="EA10:EA23" si="40">SUM(DY10*0.46)/65</f>
        <v>8.0806489320593908E-2</v>
      </c>
      <c r="EB10" s="165">
        <f t="shared" ref="EB10:EB23" si="41">SUM(DS10*0.025)/2000</f>
        <v>0.47576284473175767</v>
      </c>
      <c r="EC10" s="165">
        <f>SUM(DS10*0.5032)/2000</f>
        <v>9.576154538760818</v>
      </c>
      <c r="ED10" s="165">
        <f t="shared" ref="ED10:ED23" si="42">SUM(DS10*0.5)/2000</f>
        <v>9.5152568946351526</v>
      </c>
      <c r="EE10" s="165">
        <f>SUM(DS10*0.4345)/2000</f>
        <v>8.2687582414379488</v>
      </c>
      <c r="EF10" s="165">
        <f t="shared" ref="EF10:EF23" si="43">SUM(DS10*0.43)/2000</f>
        <v>8.1831209293862308</v>
      </c>
      <c r="EG10" s="165">
        <f>SUM(DS10*0.00448)/2000</f>
        <v>8.5256701775930963E-2</v>
      </c>
      <c r="EH10" s="165">
        <f>SUM(DS10*0.012)/2000</f>
        <v>0.22836616547124367</v>
      </c>
      <c r="EI10" s="17" t="s">
        <v>36</v>
      </c>
      <c r="EJ10" s="61">
        <f>SUM(F10,Y10,AS10,BM10,CG10,DA10,DU10)</f>
        <v>0.96761600717694907</v>
      </c>
      <c r="EK10" s="61">
        <f>SUM(G10,Z10,AT10,BN10,CH10,DB10,DV10)</f>
        <v>2.9252462198064919E-3</v>
      </c>
      <c r="EL10" s="61">
        <f>SUM(H10,AA10,AU10,BO10,CI10,DC10,DW10)</f>
        <v>19.913036526061099</v>
      </c>
      <c r="EM10" s="61">
        <f>SUM(I10,AB10,AV10,BP10,CJ10,DD10,DX10)</f>
        <v>6.6282846863584016E-2</v>
      </c>
      <c r="EN10" s="61">
        <f>SUM(J10,AC10,AW10,BQ10,CK10,DE10,DY10)</f>
        <v>21.699656876395025</v>
      </c>
      <c r="EO10" s="61">
        <f t="shared" ref="EO10:EQ25" si="44">SUM(K10,AD10,AX10,BR10,CL10,DF10,DZ10)</f>
        <v>5.535361377428933E-2</v>
      </c>
      <c r="EP10" s="61">
        <f t="shared" si="44"/>
        <v>0.15356680250987248</v>
      </c>
      <c r="EQ10" s="61">
        <f>SUM(M10,AF10,AZ10,BT10,CN10,DH10,EB10)</f>
        <v>10.23065046535479</v>
      </c>
      <c r="ER10" s="61">
        <f>SUM(N10,AG10,BB10,BU10,CO10,DJ10,EC10)</f>
        <v>10.173451694249618</v>
      </c>
      <c r="ES10" s="61">
        <f>SUM(O10,AH10,BA10,BV10,CP10,DI10,ED10)</f>
        <v>9.7573299988310431</v>
      </c>
      <c r="ET10" s="61">
        <f>SUM(P10,AI10,BD10,BW10,CQ10,DL10,EE10)</f>
        <v>8.6855806156648931</v>
      </c>
      <c r="EU10" s="61">
        <f>SUM(Q10,AJ10,BC10,BX10,CR10,DK10,EF10)</f>
        <v>8.2519310665621219</v>
      </c>
      <c r="EV10" s="61">
        <f>SUM(Q10,AK10,BE10,BY10,CS10,DM10,EG10)</f>
        <v>0.43326893882698569</v>
      </c>
      <c r="EW10" s="61">
        <f>SUM(R10,AL10,BF10,BZ10,CT10,DN10,EH10)</f>
        <v>0.74308288716706794</v>
      </c>
    </row>
    <row r="11" spans="1:153" ht="18" customHeight="1">
      <c r="A11" s="23" t="s">
        <v>37</v>
      </c>
      <c r="B11" s="162">
        <v>4911</v>
      </c>
      <c r="C11" s="163">
        <f t="shared" ref="C11:C25" si="45">SUM(B11/271519)</f>
        <v>1.8087132023909928E-2</v>
      </c>
      <c r="D11" s="111">
        <f t="shared" ref="D11:D25" si="46">SUM(C11*0)</f>
        <v>0</v>
      </c>
      <c r="E11" s="111">
        <f t="shared" si="0"/>
        <v>0</v>
      </c>
      <c r="F11" s="112">
        <f t="shared" si="1"/>
        <v>0</v>
      </c>
      <c r="G11" s="164">
        <f t="shared" si="2"/>
        <v>0</v>
      </c>
      <c r="H11" s="112">
        <f t="shared" ref="H11:H25" si="47">SUM(D11*11)/2000</f>
        <v>0</v>
      </c>
      <c r="I11" s="165">
        <f t="shared" si="3"/>
        <v>0</v>
      </c>
      <c r="J11" s="112">
        <f t="shared" si="4"/>
        <v>0</v>
      </c>
      <c r="K11" s="165">
        <f t="shared" si="5"/>
        <v>0</v>
      </c>
      <c r="L11" s="165">
        <f t="shared" si="6"/>
        <v>0</v>
      </c>
      <c r="M11" s="112">
        <f t="shared" ref="M11:M25" si="48">SUM(D11*38)/2000</f>
        <v>0</v>
      </c>
      <c r="N11" s="112">
        <f t="shared" ref="N11:N25" si="49">SUM(D11*13.04)/2000</f>
        <v>0</v>
      </c>
      <c r="O11" s="112">
        <f t="shared" ref="O11:O25" si="50">SUM(D11*12)/2000</f>
        <v>0</v>
      </c>
      <c r="P11" s="112">
        <f t="shared" ref="P11:P25" si="51">SUM(D11*2.44)/2000</f>
        <v>0</v>
      </c>
      <c r="Q11" s="112">
        <f t="shared" ref="Q11:Q25" si="52">SUM(D11*1.4)/2000</f>
        <v>0</v>
      </c>
      <c r="R11" s="112">
        <f t="shared" ref="R11:R25" si="53">SUM(D11*0.03)/2000</f>
        <v>0</v>
      </c>
      <c r="S11" s="152"/>
      <c r="T11" s="17" t="s">
        <v>37</v>
      </c>
      <c r="U11" s="162">
        <v>4911</v>
      </c>
      <c r="V11" s="166">
        <f t="shared" ref="V11:V25" si="54">SUM(U11/226698)</f>
        <v>2.1663181854273086E-2</v>
      </c>
      <c r="W11" s="48">
        <f t="shared" ref="W11:W25" si="55">SUM(V11*49939.5)</f>
        <v>1081.8484702114708</v>
      </c>
      <c r="X11" s="48">
        <f t="shared" si="7"/>
        <v>97.366362319032376</v>
      </c>
      <c r="Y11" s="45">
        <f t="shared" ref="Y11:Y25" si="56">SUM(W11*0.2)/2000</f>
        <v>0.1081848470211471</v>
      </c>
      <c r="Z11" s="46">
        <f t="shared" ref="Z11:Z25" si="57">SUM(Y11*0.25)/65</f>
        <v>4.1609556546595038E-4</v>
      </c>
      <c r="AA11" s="45">
        <f t="shared" si="8"/>
        <v>10.818484702114709</v>
      </c>
      <c r="AB11" s="46">
        <f t="shared" ref="AB11:AB25" si="58">SUM(AA11*0.25)/65</f>
        <v>4.1609556546595039E-2</v>
      </c>
      <c r="AC11" s="45">
        <f t="shared" si="9"/>
        <v>2.7046211755286773</v>
      </c>
      <c r="AD11" s="46">
        <f t="shared" ref="AD11:AD25" si="59">SUM(AC11*0.25)/65</f>
        <v>1.040238913664876E-2</v>
      </c>
      <c r="AE11" s="45">
        <f t="shared" si="10"/>
        <v>1.9140396011433716E-2</v>
      </c>
      <c r="AF11" s="45">
        <f t="shared" si="11"/>
        <v>23.043372415504329</v>
      </c>
      <c r="AG11" s="45">
        <f t="shared" si="12"/>
        <v>1.2441257407431914</v>
      </c>
      <c r="AH11" s="45">
        <f t="shared" ref="AH11:AH25" si="60">SUM(W11*1)/2000</f>
        <v>0.5409242351057354</v>
      </c>
      <c r="AI11" s="45">
        <f t="shared" si="13"/>
        <v>0.83843256441388991</v>
      </c>
      <c r="AJ11" s="45">
        <f t="shared" ref="AJ11:AJ25" si="61">SUM(W11*0.25)/2000</f>
        <v>0.13523105877643385</v>
      </c>
      <c r="AK11" s="97">
        <f t="shared" ref="AK11:AK25" si="62">SUM(W11*1.3)/2000</f>
        <v>0.70320150563745609</v>
      </c>
      <c r="AL11" s="97">
        <f t="shared" ref="AL11:AL25" si="63">SUM(W11*0.8)/2000</f>
        <v>0.43273938808458839</v>
      </c>
      <c r="AM11" s="152"/>
      <c r="AN11" s="17" t="s">
        <v>37</v>
      </c>
      <c r="AO11" s="162">
        <v>4911</v>
      </c>
      <c r="AP11" s="166">
        <f t="shared" ref="AP11:AP25" si="64">SUM(AO11/226698)</f>
        <v>2.1663181854273086E-2</v>
      </c>
      <c r="AQ11" s="48">
        <f t="shared" ref="AQ11:AQ25" si="65">SUM(AP11*0)</f>
        <v>0</v>
      </c>
      <c r="AR11" s="45">
        <f t="shared" ref="AR11:AR25" si="66">SUM(AQ11*0.25)/65</f>
        <v>0</v>
      </c>
      <c r="AS11" s="45">
        <f t="shared" ref="AS11:AS25" si="67">SUM(AQ11*0.28)/2000</f>
        <v>0</v>
      </c>
      <c r="AT11" s="49">
        <f t="shared" ref="AT11:AT25" si="68">SUM(AS11*0.25)/65</f>
        <v>0</v>
      </c>
      <c r="AU11" s="45">
        <f t="shared" ref="AU11:AU25" si="69">SUM(AQ11*55)/2000</f>
        <v>0</v>
      </c>
      <c r="AV11" s="46">
        <f t="shared" ref="AV11:AV25" si="70">SUM(AU11*0.25)/65</f>
        <v>0</v>
      </c>
      <c r="AW11" s="45">
        <f t="shared" si="14"/>
        <v>0</v>
      </c>
      <c r="AX11" s="46">
        <f t="shared" ref="AX11:AX25" si="71">SUM(AW11*0.25)/65</f>
        <v>0</v>
      </c>
      <c r="AY11" s="46">
        <f t="shared" si="15"/>
        <v>0</v>
      </c>
      <c r="AZ11" s="45">
        <f t="shared" ref="AZ11:AZ25" si="72">SUM(AQ11*47.1)/2000</f>
        <v>0</v>
      </c>
      <c r="BA11" s="45">
        <f t="shared" ref="BA11:BA25" si="73">SUM(AQ11*5.06)/2000</f>
        <v>0</v>
      </c>
      <c r="BB11" s="45">
        <f t="shared" ref="BB11:BB25" si="74">SUM(AQ11*6.56)/2000</f>
        <v>0</v>
      </c>
      <c r="BC11" s="45">
        <f t="shared" ref="BC11:BC25" si="75">SUM(AQ11*3.3)/2000</f>
        <v>0</v>
      </c>
      <c r="BD11" s="45">
        <f t="shared" ref="BD11:BD25" si="76">SUM(AQ11*4.8)/2000</f>
        <v>0</v>
      </c>
      <c r="BE11" s="45">
        <f t="shared" ref="BE11:BE25" si="77">SUM(AQ11*0.83)/2000</f>
        <v>0</v>
      </c>
      <c r="BF11" s="45">
        <f t="shared" ref="BF11:BF25" si="78">SUM(AQ11*0.8)/2000</f>
        <v>0</v>
      </c>
      <c r="BG11" s="152"/>
      <c r="BH11" s="17" t="s">
        <v>37</v>
      </c>
      <c r="BI11" s="162">
        <v>4911</v>
      </c>
      <c r="BJ11" s="166">
        <f t="shared" ref="BJ11:BJ25" si="79">SUM(BI11/226698)</f>
        <v>2.1663181854273086E-2</v>
      </c>
      <c r="BK11" s="48">
        <f t="shared" ref="BK11:BK25" si="80">SUM(BJ11*22620.6)</f>
        <v>490.03417145276973</v>
      </c>
      <c r="BL11" s="45">
        <f t="shared" ref="BL11:BL25" si="81">SUM(BK11*0.25)/92</f>
        <v>1.3316145963390482</v>
      </c>
      <c r="BM11" s="45">
        <f t="shared" si="16"/>
        <v>1.3475939714951166</v>
      </c>
      <c r="BN11" s="46">
        <f t="shared" ref="BN11:BN25" si="82">SUM(BM11*0.25)/65</f>
        <v>5.1830537365196794E-3</v>
      </c>
      <c r="BO11" s="45">
        <f t="shared" si="17"/>
        <v>24.501708572638485</v>
      </c>
      <c r="BP11" s="46">
        <f t="shared" ref="BP11:BP25" si="83">SUM(BO11*0.25)/65</f>
        <v>9.4237340663994168E-2</v>
      </c>
      <c r="BQ11" s="45">
        <f t="shared" ref="BQ11:BQ23" si="84">SUM(BK11*84)/2000</f>
        <v>20.581435201016326</v>
      </c>
      <c r="BR11" s="46">
        <f t="shared" ref="BR11:BR25" si="85">SUM(BQ11*0.25)/65</f>
        <v>7.9159366157755096E-2</v>
      </c>
      <c r="BS11" s="46">
        <f t="shared" ref="BS11:BS25" si="86">SUM(BQ11*0.46)/65</f>
        <v>0.14565323373026939</v>
      </c>
      <c r="BT11" s="45">
        <f t="shared" si="18"/>
        <v>0.14701025143583094</v>
      </c>
      <c r="BU11" s="45">
        <f t="shared" si="19"/>
        <v>0.16906178915120554</v>
      </c>
      <c r="BV11" s="45">
        <f t="shared" ref="BV11:BV25" si="87">SUM(BK11*0.13)/2000</f>
        <v>3.185222114443003E-2</v>
      </c>
      <c r="BW11" s="45">
        <f t="shared" si="20"/>
        <v>0.14701025143583094</v>
      </c>
      <c r="BX11" s="45">
        <f t="shared" ref="BX11:BX25" si="88">SUM(BK11*0.11)/2000</f>
        <v>2.6951879429902334E-2</v>
      </c>
      <c r="BY11" s="45">
        <f t="shared" ref="BY11:BY25" si="89">SUM(BK11*0.49)/2000</f>
        <v>0.12005837200592857</v>
      </c>
      <c r="BZ11" s="45">
        <f t="shared" ref="BZ11:BZ25" si="90">SUM(BK11*3.2)/2000</f>
        <v>0.78405467432443166</v>
      </c>
      <c r="CA11" s="152"/>
      <c r="CB11" s="23" t="s">
        <v>37</v>
      </c>
      <c r="CC11" s="162">
        <v>4911</v>
      </c>
      <c r="CD11" s="163">
        <f t="shared" si="21"/>
        <v>1.2580984805982309E-2</v>
      </c>
      <c r="CE11" s="111">
        <f t="shared" ref="CE11:CE25" si="91">SUM(CD11*0)</f>
        <v>0</v>
      </c>
      <c r="CF11" s="112">
        <f t="shared" si="22"/>
        <v>0</v>
      </c>
      <c r="CG11" s="165">
        <f t="shared" si="23"/>
        <v>0</v>
      </c>
      <c r="CH11" s="164">
        <f t="shared" si="24"/>
        <v>0</v>
      </c>
      <c r="CI11" s="112">
        <f t="shared" si="25"/>
        <v>0</v>
      </c>
      <c r="CJ11" s="165">
        <f t="shared" si="26"/>
        <v>0</v>
      </c>
      <c r="CK11" s="112">
        <f t="shared" si="27"/>
        <v>0</v>
      </c>
      <c r="CL11" s="165">
        <f t="shared" si="28"/>
        <v>0</v>
      </c>
      <c r="CM11" s="165">
        <f t="shared" si="29"/>
        <v>0</v>
      </c>
      <c r="CN11" s="112">
        <f t="shared" si="30"/>
        <v>0</v>
      </c>
      <c r="CO11" s="112">
        <f t="shared" si="31"/>
        <v>0</v>
      </c>
      <c r="CP11" s="112">
        <f t="shared" si="31"/>
        <v>0</v>
      </c>
      <c r="CQ11" s="112">
        <f t="shared" si="32"/>
        <v>0</v>
      </c>
      <c r="CR11" s="112">
        <f t="shared" si="32"/>
        <v>0</v>
      </c>
      <c r="CS11" s="112">
        <f t="shared" si="32"/>
        <v>0</v>
      </c>
      <c r="CT11" s="112">
        <f t="shared" si="32"/>
        <v>0</v>
      </c>
      <c r="CU11" s="152"/>
      <c r="CV11" s="17" t="s">
        <v>37</v>
      </c>
      <c r="CW11" s="162">
        <v>4911</v>
      </c>
      <c r="CX11" s="166">
        <f t="shared" ref="CX11:CX25" si="92">SUM(CW11/226698)</f>
        <v>2.1663181854273086E-2</v>
      </c>
      <c r="CY11" s="44">
        <f t="shared" ref="CY11:CY25" si="93">SUM(CX11*13496.6)</f>
        <v>292.37930021438217</v>
      </c>
      <c r="CZ11" s="45">
        <f t="shared" ref="CZ11:CZ25" si="94">SUM(CY11*0.25)/65</f>
        <v>1.124535770055316</v>
      </c>
      <c r="DA11" s="45">
        <f t="shared" ref="DA11:DA25" si="95">SUM(CY11*0.52)/2000</f>
        <v>7.6018618055739368E-2</v>
      </c>
      <c r="DB11" s="46">
        <f t="shared" ref="DB11:DB25" si="96">SUM(DA11*0.25)/65</f>
        <v>2.9237930021438216E-4</v>
      </c>
      <c r="DC11" s="45">
        <f t="shared" ref="DC11:DC25" si="97">SUM(CY11*14.23)/2000</f>
        <v>2.0802787210253291</v>
      </c>
      <c r="DD11" s="46">
        <f t="shared" ref="DD11:DD25" si="98">SUM(DC11*0.25)/65</f>
        <v>8.0010720039435726E-3</v>
      </c>
      <c r="DE11" s="45">
        <f t="shared" ref="DE11:DE25" si="99">SUM(CY11*7.97)/2000</f>
        <v>1.1651315113543128</v>
      </c>
      <c r="DF11" s="46">
        <f t="shared" ref="DF11:DF25" si="100">SUM(DE11*0.25)/65</f>
        <v>4.4812750436704343E-3</v>
      </c>
      <c r="DG11" s="46">
        <f t="shared" si="33"/>
        <v>8.2455460803535999E-3</v>
      </c>
      <c r="DH11" s="46">
        <f t="shared" ref="DH11:DH25" si="101">SUM(CY11*0.06)/2000</f>
        <v>8.771379006431464E-3</v>
      </c>
      <c r="DI11" s="46">
        <f t="shared" ref="DI11:DI25" si="102">SUM(CY11*0.02)/2000</f>
        <v>2.9237930021438221E-3</v>
      </c>
      <c r="DJ11" s="46">
        <f t="shared" ref="DJ11:DJ25" si="103">SUM(CY11*0.05)/2000</f>
        <v>7.3094825053595545E-3</v>
      </c>
      <c r="DK11" s="100">
        <f t="shared" ref="DK11:DK25" si="104">SUM(CY11*0.01)/2000</f>
        <v>1.461896501071911E-3</v>
      </c>
      <c r="DL11" s="100">
        <f t="shared" ref="DL11:DL25" si="105">SUM(CY11*0.04)/2000</f>
        <v>5.8475860042876441E-3</v>
      </c>
      <c r="DM11" s="100">
        <f t="shared" ref="DM11:DM25" si="106">SUM(CY11*0.03)/2000</f>
        <v>4.385689503215732E-3</v>
      </c>
      <c r="DN11" s="100">
        <f t="shared" ref="DN11:DN25" si="107">SUM(CY11*0.05)/2000</f>
        <v>7.3094825053595545E-3</v>
      </c>
      <c r="DO11" s="152"/>
      <c r="DP11" s="23" t="s">
        <v>37</v>
      </c>
      <c r="DQ11" s="162">
        <v>4911</v>
      </c>
      <c r="DR11" s="163">
        <f t="shared" ref="DR11:DR25" si="108">SUM(DQ11/226698)</f>
        <v>2.1663181854273086E-2</v>
      </c>
      <c r="DS11" s="111">
        <f t="shared" ref="DS11:DS25" si="109">SUM(DR11*4178382)</f>
        <v>90517.049122621291</v>
      </c>
      <c r="DT11" s="112">
        <f t="shared" ref="DT11:DT25" si="110">SUM(DS11*0.09)/92</f>
        <v>88.549287185173</v>
      </c>
      <c r="DU11" s="165">
        <f t="shared" si="34"/>
        <v>0.76939491754228106</v>
      </c>
      <c r="DV11" s="164">
        <f t="shared" si="35"/>
        <v>1.0653160396739275E-3</v>
      </c>
      <c r="DW11" s="165">
        <f t="shared" si="36"/>
        <v>9.9568754034883415</v>
      </c>
      <c r="DX11" s="165">
        <f t="shared" si="37"/>
        <v>1.3786442866368473E-2</v>
      </c>
      <c r="DY11" s="165">
        <f t="shared" si="38"/>
        <v>27.155114736786384</v>
      </c>
      <c r="DZ11" s="165">
        <f t="shared" si="39"/>
        <v>3.759938963555038E-2</v>
      </c>
      <c r="EA11" s="165">
        <f t="shared" si="40"/>
        <v>0.19217465813725748</v>
      </c>
      <c r="EB11" s="165">
        <f t="shared" si="41"/>
        <v>1.1314631140327662</v>
      </c>
      <c r="EC11" s="165">
        <f t="shared" ref="EC11:EC25" si="111">SUM(DS11*0.5032)/2000</f>
        <v>22.774089559251514</v>
      </c>
      <c r="ED11" s="165">
        <f t="shared" si="42"/>
        <v>22.629262280655322</v>
      </c>
      <c r="EE11" s="165">
        <f t="shared" ref="EE11:EE25" si="112">SUM(DS11*0.4345)/2000</f>
        <v>19.664828921889477</v>
      </c>
      <c r="EF11" s="165">
        <f t="shared" si="43"/>
        <v>19.461165561363579</v>
      </c>
      <c r="EG11" s="165">
        <f t="shared" ref="EG11:EG25" si="113">SUM(DS11*0.00448)/2000</f>
        <v>0.20275819003467169</v>
      </c>
      <c r="EH11" s="165">
        <f t="shared" ref="EH11:EH25" si="114">SUM(DS11*0.012)/2000</f>
        <v>0.5431022947357278</v>
      </c>
      <c r="EI11" s="17" t="s">
        <v>37</v>
      </c>
      <c r="EJ11" s="61">
        <f t="shared" ref="EJ11:EN25" si="115">SUM(F11,Y11,AS11,BM11,CG11,DA11,DU11)</f>
        <v>2.301192354114284</v>
      </c>
      <c r="EK11" s="61">
        <f t="shared" si="115"/>
        <v>6.9568446418739396E-3</v>
      </c>
      <c r="EL11" s="61">
        <f t="shared" si="115"/>
        <v>47.357347399266864</v>
      </c>
      <c r="EM11" s="61">
        <f t="shared" si="115"/>
        <v>0.15763441208090123</v>
      </c>
      <c r="EN11" s="61">
        <f t="shared" si="115"/>
        <v>51.606302624685704</v>
      </c>
      <c r="EO11" s="61">
        <f t="shared" si="44"/>
        <v>0.13164241997362466</v>
      </c>
      <c r="EP11" s="61">
        <f t="shared" si="44"/>
        <v>0.36521383395931417</v>
      </c>
      <c r="EQ11" s="61">
        <f t="shared" si="44"/>
        <v>24.330617159979358</v>
      </c>
      <c r="ER11" s="61">
        <f t="shared" ref="ER11:ER23" si="116">SUM(N11,AG11,BB11,BU11,CO11,DJ11,EC11)</f>
        <v>24.194586571651271</v>
      </c>
      <c r="ES11" s="61">
        <f t="shared" ref="ES11:ES25" si="117">SUM(O11,AH11,BA11,BV11,CP11,DI11,ED11)</f>
        <v>23.204962529907633</v>
      </c>
      <c r="ET11" s="61">
        <f t="shared" ref="ET11:ET25" si="118">SUM(P11,AI11,BD11,BW11,CQ11,DL11,EE11)</f>
        <v>20.656119323743486</v>
      </c>
      <c r="EU11" s="61">
        <f t="shared" ref="EU11:EU25" si="119">SUM(Q11,AJ11,BC11,BX11,CR11,DK11,EF11)</f>
        <v>19.624810396070988</v>
      </c>
      <c r="EV11" s="61">
        <f t="shared" ref="EV11:EW23" si="120">SUM(Q11,AK11,BE11,BY11,CS11,DM11,EG11)</f>
        <v>1.0304037571812721</v>
      </c>
      <c r="EW11" s="61">
        <f t="shared" si="120"/>
        <v>1.7672058396501074</v>
      </c>
    </row>
    <row r="12" spans="1:153" ht="18" customHeight="1">
      <c r="A12" s="23" t="s">
        <v>38</v>
      </c>
      <c r="B12" s="162">
        <v>27739</v>
      </c>
      <c r="C12" s="163">
        <f t="shared" si="45"/>
        <v>0.10216227961947415</v>
      </c>
      <c r="D12" s="111">
        <f t="shared" si="46"/>
        <v>0</v>
      </c>
      <c r="E12" s="111">
        <f t="shared" si="0"/>
        <v>0</v>
      </c>
      <c r="F12" s="112">
        <f t="shared" si="1"/>
        <v>0</v>
      </c>
      <c r="G12" s="164">
        <f t="shared" si="2"/>
        <v>0</v>
      </c>
      <c r="H12" s="112">
        <f t="shared" si="47"/>
        <v>0</v>
      </c>
      <c r="I12" s="165">
        <f t="shared" si="3"/>
        <v>0</v>
      </c>
      <c r="J12" s="112">
        <f t="shared" si="4"/>
        <v>0</v>
      </c>
      <c r="K12" s="165">
        <f t="shared" si="5"/>
        <v>0</v>
      </c>
      <c r="L12" s="165">
        <f t="shared" si="6"/>
        <v>0</v>
      </c>
      <c r="M12" s="112">
        <f t="shared" si="48"/>
        <v>0</v>
      </c>
      <c r="N12" s="112">
        <f t="shared" si="49"/>
        <v>0</v>
      </c>
      <c r="O12" s="112">
        <f t="shared" si="50"/>
        <v>0</v>
      </c>
      <c r="P12" s="112">
        <f t="shared" si="51"/>
        <v>0</v>
      </c>
      <c r="Q12" s="112">
        <f t="shared" si="52"/>
        <v>0</v>
      </c>
      <c r="R12" s="112">
        <f t="shared" si="53"/>
        <v>0</v>
      </c>
      <c r="S12" s="152"/>
      <c r="T12" s="17" t="s">
        <v>38</v>
      </c>
      <c r="U12" s="162">
        <v>27739</v>
      </c>
      <c r="V12" s="166">
        <f t="shared" si="54"/>
        <v>0.12236102656397498</v>
      </c>
      <c r="W12" s="48">
        <f t="shared" si="55"/>
        <v>6110.648486091628</v>
      </c>
      <c r="X12" s="48">
        <f t="shared" si="7"/>
        <v>549.95836374824648</v>
      </c>
      <c r="Y12" s="45">
        <f t="shared" si="56"/>
        <v>0.61106484860916277</v>
      </c>
      <c r="Z12" s="46">
        <f t="shared" si="57"/>
        <v>2.3502494177275492E-3</v>
      </c>
      <c r="AA12" s="45">
        <f t="shared" si="8"/>
        <v>61.106484860916282</v>
      </c>
      <c r="AB12" s="46">
        <f t="shared" si="58"/>
        <v>0.23502494177275493</v>
      </c>
      <c r="AC12" s="45">
        <f t="shared" si="9"/>
        <v>15.276621215229071</v>
      </c>
      <c r="AD12" s="46">
        <f t="shared" si="59"/>
        <v>5.8756235443188733E-2</v>
      </c>
      <c r="AE12" s="45">
        <f t="shared" si="10"/>
        <v>0.10811147321546728</v>
      </c>
      <c r="AF12" s="45">
        <f t="shared" si="11"/>
        <v>130.15681275375169</v>
      </c>
      <c r="AG12" s="45">
        <f t="shared" si="12"/>
        <v>7.0272457590053721</v>
      </c>
      <c r="AH12" s="45">
        <f t="shared" si="60"/>
        <v>3.0553242430458138</v>
      </c>
      <c r="AI12" s="45">
        <f t="shared" si="13"/>
        <v>4.735752576721012</v>
      </c>
      <c r="AJ12" s="45">
        <f t="shared" si="61"/>
        <v>0.76383106076145346</v>
      </c>
      <c r="AK12" s="97">
        <f t="shared" si="62"/>
        <v>3.9719215159595582</v>
      </c>
      <c r="AL12" s="97">
        <f t="shared" si="63"/>
        <v>2.4442593944366511</v>
      </c>
      <c r="AM12" s="152"/>
      <c r="AN12" s="17" t="s">
        <v>38</v>
      </c>
      <c r="AO12" s="162">
        <v>27739</v>
      </c>
      <c r="AP12" s="166">
        <f t="shared" si="64"/>
        <v>0.12236102656397498</v>
      </c>
      <c r="AQ12" s="48">
        <f t="shared" si="65"/>
        <v>0</v>
      </c>
      <c r="AR12" s="45">
        <f t="shared" si="66"/>
        <v>0</v>
      </c>
      <c r="AS12" s="45">
        <f t="shared" si="67"/>
        <v>0</v>
      </c>
      <c r="AT12" s="49">
        <f t="shared" si="68"/>
        <v>0</v>
      </c>
      <c r="AU12" s="45">
        <f t="shared" si="69"/>
        <v>0</v>
      </c>
      <c r="AV12" s="46">
        <f t="shared" si="70"/>
        <v>0</v>
      </c>
      <c r="AW12" s="45">
        <f t="shared" si="14"/>
        <v>0</v>
      </c>
      <c r="AX12" s="46">
        <f t="shared" si="71"/>
        <v>0</v>
      </c>
      <c r="AY12" s="46">
        <f t="shared" si="15"/>
        <v>0</v>
      </c>
      <c r="AZ12" s="45">
        <f t="shared" si="72"/>
        <v>0</v>
      </c>
      <c r="BA12" s="45">
        <f t="shared" si="73"/>
        <v>0</v>
      </c>
      <c r="BB12" s="45">
        <f t="shared" si="74"/>
        <v>0</v>
      </c>
      <c r="BC12" s="45">
        <f t="shared" si="75"/>
        <v>0</v>
      </c>
      <c r="BD12" s="45">
        <f t="shared" si="76"/>
        <v>0</v>
      </c>
      <c r="BE12" s="45">
        <f t="shared" si="77"/>
        <v>0</v>
      </c>
      <c r="BF12" s="45">
        <f t="shared" si="78"/>
        <v>0</v>
      </c>
      <c r="BG12" s="152"/>
      <c r="BH12" s="17" t="s">
        <v>38</v>
      </c>
      <c r="BI12" s="162">
        <v>27739</v>
      </c>
      <c r="BJ12" s="166">
        <f t="shared" si="79"/>
        <v>0.12236102656397498</v>
      </c>
      <c r="BK12" s="48">
        <f t="shared" si="80"/>
        <v>2767.879837493052</v>
      </c>
      <c r="BL12" s="45">
        <f t="shared" si="81"/>
        <v>7.5214126018832932</v>
      </c>
      <c r="BM12" s="45">
        <f t="shared" si="16"/>
        <v>7.6116695531058927</v>
      </c>
      <c r="BN12" s="46">
        <f t="shared" si="82"/>
        <v>2.9275652127330357E-2</v>
      </c>
      <c r="BO12" s="45">
        <f t="shared" si="17"/>
        <v>138.39399187465258</v>
      </c>
      <c r="BP12" s="46">
        <f t="shared" si="83"/>
        <v>0.53228458413327917</v>
      </c>
      <c r="BQ12" s="45">
        <f t="shared" si="84"/>
        <v>116.25095317470817</v>
      </c>
      <c r="BR12" s="46">
        <f t="shared" si="85"/>
        <v>0.44711905067195451</v>
      </c>
      <c r="BS12" s="46">
        <f t="shared" si="86"/>
        <v>0.82269905323639625</v>
      </c>
      <c r="BT12" s="45">
        <f t="shared" si="18"/>
        <v>0.83036395124791551</v>
      </c>
      <c r="BU12" s="45">
        <f t="shared" si="19"/>
        <v>0.95491854393510289</v>
      </c>
      <c r="BV12" s="45">
        <f t="shared" si="87"/>
        <v>0.1799121894370484</v>
      </c>
      <c r="BW12" s="45">
        <f t="shared" si="20"/>
        <v>0.83036395124791551</v>
      </c>
      <c r="BX12" s="45">
        <f t="shared" si="88"/>
        <v>0.15223339106211786</v>
      </c>
      <c r="BY12" s="45">
        <f t="shared" si="89"/>
        <v>0.67813056018579776</v>
      </c>
      <c r="BZ12" s="45">
        <f t="shared" si="90"/>
        <v>4.4286077399888839</v>
      </c>
      <c r="CA12" s="152"/>
      <c r="CB12" s="23" t="s">
        <v>38</v>
      </c>
      <c r="CC12" s="162">
        <v>27739</v>
      </c>
      <c r="CD12" s="163">
        <f t="shared" si="21"/>
        <v>7.1061685508683206E-2</v>
      </c>
      <c r="CE12" s="111">
        <f t="shared" si="91"/>
        <v>0</v>
      </c>
      <c r="CF12" s="112">
        <f t="shared" si="22"/>
        <v>0</v>
      </c>
      <c r="CG12" s="165">
        <f t="shared" si="23"/>
        <v>0</v>
      </c>
      <c r="CH12" s="164">
        <f t="shared" si="24"/>
        <v>0</v>
      </c>
      <c r="CI12" s="112">
        <f t="shared" si="25"/>
        <v>0</v>
      </c>
      <c r="CJ12" s="165">
        <f t="shared" si="26"/>
        <v>0</v>
      </c>
      <c r="CK12" s="112">
        <f t="shared" si="27"/>
        <v>0</v>
      </c>
      <c r="CL12" s="165">
        <f t="shared" si="28"/>
        <v>0</v>
      </c>
      <c r="CM12" s="165">
        <f t="shared" si="29"/>
        <v>0</v>
      </c>
      <c r="CN12" s="112">
        <f t="shared" si="30"/>
        <v>0</v>
      </c>
      <c r="CO12" s="112">
        <f t="shared" si="31"/>
        <v>0</v>
      </c>
      <c r="CP12" s="112">
        <f t="shared" si="31"/>
        <v>0</v>
      </c>
      <c r="CQ12" s="112">
        <f t="shared" si="32"/>
        <v>0</v>
      </c>
      <c r="CR12" s="112">
        <f t="shared" si="32"/>
        <v>0</v>
      </c>
      <c r="CS12" s="112">
        <f t="shared" si="32"/>
        <v>0</v>
      </c>
      <c r="CT12" s="112">
        <f t="shared" si="32"/>
        <v>0</v>
      </c>
      <c r="CU12" s="152"/>
      <c r="CV12" s="17" t="s">
        <v>38</v>
      </c>
      <c r="CW12" s="162">
        <v>27739</v>
      </c>
      <c r="CX12" s="166">
        <f t="shared" si="92"/>
        <v>0.12236102656397498</v>
      </c>
      <c r="CY12" s="44">
        <f t="shared" si="93"/>
        <v>1651.4578311233447</v>
      </c>
      <c r="CZ12" s="45">
        <f t="shared" si="94"/>
        <v>6.3517608889359414</v>
      </c>
      <c r="DA12" s="45">
        <f t="shared" si="95"/>
        <v>0.42937903609206962</v>
      </c>
      <c r="DB12" s="46">
        <f t="shared" si="96"/>
        <v>1.6514578311233447E-3</v>
      </c>
      <c r="DC12" s="45">
        <f t="shared" si="97"/>
        <v>11.750122468442598</v>
      </c>
      <c r="DD12" s="46">
        <f t="shared" si="98"/>
        <v>4.5192778724779226E-2</v>
      </c>
      <c r="DE12" s="45">
        <f t="shared" si="99"/>
        <v>6.5810594570265284</v>
      </c>
      <c r="DF12" s="46">
        <f t="shared" si="100"/>
        <v>2.5311767142409725E-2</v>
      </c>
      <c r="DG12" s="46">
        <f t="shared" si="33"/>
        <v>4.6573651542033891E-2</v>
      </c>
      <c r="DH12" s="46">
        <f t="shared" si="101"/>
        <v>4.9543734933700345E-2</v>
      </c>
      <c r="DI12" s="46">
        <f t="shared" si="102"/>
        <v>1.6514578311233447E-2</v>
      </c>
      <c r="DJ12" s="46">
        <f t="shared" si="103"/>
        <v>4.1286445778083616E-2</v>
      </c>
      <c r="DK12" s="100">
        <f t="shared" si="104"/>
        <v>8.2572891556167236E-3</v>
      </c>
      <c r="DL12" s="100">
        <f t="shared" si="105"/>
        <v>3.3029156622466894E-2</v>
      </c>
      <c r="DM12" s="100">
        <f t="shared" si="106"/>
        <v>2.4771867466850173E-2</v>
      </c>
      <c r="DN12" s="100">
        <f t="shared" si="107"/>
        <v>4.1286445778083616E-2</v>
      </c>
      <c r="DO12" s="152"/>
      <c r="DP12" s="23" t="s">
        <v>38</v>
      </c>
      <c r="DQ12" s="162">
        <v>27739</v>
      </c>
      <c r="DR12" s="163">
        <f t="shared" si="108"/>
        <v>0.12236102656397498</v>
      </c>
      <c r="DS12" s="111">
        <f t="shared" si="109"/>
        <v>511271.11089643487</v>
      </c>
      <c r="DT12" s="112">
        <f t="shared" si="110"/>
        <v>500.15652152912111</v>
      </c>
      <c r="DU12" s="165">
        <f t="shared" si="34"/>
        <v>4.3458044426196967</v>
      </c>
      <c r="DV12" s="164">
        <f t="shared" si="35"/>
        <v>6.0172676897811183E-3</v>
      </c>
      <c r="DW12" s="165">
        <f t="shared" si="36"/>
        <v>56.239822198607833</v>
      </c>
      <c r="DX12" s="165">
        <f t="shared" si="37"/>
        <v>7.7870523044226217E-2</v>
      </c>
      <c r="DY12" s="165">
        <f t="shared" si="38"/>
        <v>153.38133326893046</v>
      </c>
      <c r="DZ12" s="165">
        <f t="shared" si="39"/>
        <v>0.21237415375698063</v>
      </c>
      <c r="EA12" s="165">
        <f t="shared" si="40"/>
        <v>1.0854678969801235</v>
      </c>
      <c r="EB12" s="165">
        <f t="shared" si="41"/>
        <v>6.3908888862054365</v>
      </c>
      <c r="EC12" s="165">
        <f t="shared" si="111"/>
        <v>128.635811501543</v>
      </c>
      <c r="ED12" s="165">
        <f t="shared" si="42"/>
        <v>127.81777772410872</v>
      </c>
      <c r="EE12" s="165">
        <f t="shared" si="112"/>
        <v>111.07364884225048</v>
      </c>
      <c r="EF12" s="165">
        <f t="shared" si="43"/>
        <v>109.9232888427335</v>
      </c>
      <c r="EG12" s="165">
        <f t="shared" si="113"/>
        <v>1.1452472884080138</v>
      </c>
      <c r="EH12" s="165">
        <f t="shared" si="114"/>
        <v>3.0676266653786093</v>
      </c>
      <c r="EI12" s="17" t="s">
        <v>38</v>
      </c>
      <c r="EJ12" s="61">
        <f t="shared" si="115"/>
        <v>12.997917880426821</v>
      </c>
      <c r="EK12" s="61">
        <f t="shared" si="115"/>
        <v>3.9294627065962373E-2</v>
      </c>
      <c r="EL12" s="61">
        <f t="shared" si="115"/>
        <v>267.49042140261929</v>
      </c>
      <c r="EM12" s="61">
        <f t="shared" si="115"/>
        <v>0.89037282767503956</v>
      </c>
      <c r="EN12" s="61">
        <f t="shared" si="115"/>
        <v>291.48996711589422</v>
      </c>
      <c r="EO12" s="61">
        <f t="shared" si="44"/>
        <v>0.74356120701453354</v>
      </c>
      <c r="EP12" s="61">
        <f t="shared" si="44"/>
        <v>2.0628520749740211</v>
      </c>
      <c r="EQ12" s="61">
        <f t="shared" si="44"/>
        <v>137.42760932613874</v>
      </c>
      <c r="ER12" s="61">
        <f t="shared" si="116"/>
        <v>136.65926225026158</v>
      </c>
      <c r="ES12" s="61">
        <f t="shared" si="117"/>
        <v>131.06952873490283</v>
      </c>
      <c r="ET12" s="61">
        <f t="shared" si="118"/>
        <v>116.67279452684187</v>
      </c>
      <c r="EU12" s="61">
        <f t="shared" si="119"/>
        <v>110.84761058371268</v>
      </c>
      <c r="EV12" s="61">
        <f t="shared" si="120"/>
        <v>5.8200712320202204</v>
      </c>
      <c r="EW12" s="61">
        <f t="shared" si="120"/>
        <v>9.9817802455822271</v>
      </c>
    </row>
    <row r="13" spans="1:153" ht="18" customHeight="1">
      <c r="A13" s="23" t="s">
        <v>39</v>
      </c>
      <c r="B13" s="162">
        <v>105</v>
      </c>
      <c r="C13" s="163">
        <f t="shared" si="45"/>
        <v>3.8671326868469608E-4</v>
      </c>
      <c r="D13" s="111">
        <f t="shared" si="46"/>
        <v>0</v>
      </c>
      <c r="E13" s="111">
        <f t="shared" si="0"/>
        <v>0</v>
      </c>
      <c r="F13" s="112">
        <f t="shared" si="1"/>
        <v>0</v>
      </c>
      <c r="G13" s="164">
        <f t="shared" si="2"/>
        <v>0</v>
      </c>
      <c r="H13" s="112">
        <f t="shared" si="47"/>
        <v>0</v>
      </c>
      <c r="I13" s="165">
        <f t="shared" si="3"/>
        <v>0</v>
      </c>
      <c r="J13" s="112">
        <f t="shared" si="4"/>
        <v>0</v>
      </c>
      <c r="K13" s="165">
        <f t="shared" si="5"/>
        <v>0</v>
      </c>
      <c r="L13" s="165">
        <f t="shared" si="6"/>
        <v>0</v>
      </c>
      <c r="M13" s="112">
        <f t="shared" si="48"/>
        <v>0</v>
      </c>
      <c r="N13" s="112">
        <f t="shared" si="49"/>
        <v>0</v>
      </c>
      <c r="O13" s="112">
        <f t="shared" si="50"/>
        <v>0</v>
      </c>
      <c r="P13" s="112">
        <f t="shared" si="51"/>
        <v>0</v>
      </c>
      <c r="Q13" s="112">
        <f t="shared" si="52"/>
        <v>0</v>
      </c>
      <c r="R13" s="112">
        <f t="shared" si="53"/>
        <v>0</v>
      </c>
      <c r="S13" s="152"/>
      <c r="T13" s="17" t="s">
        <v>39</v>
      </c>
      <c r="U13" s="162">
        <v>105</v>
      </c>
      <c r="V13" s="166">
        <f t="shared" si="54"/>
        <v>4.6317126750125716E-4</v>
      </c>
      <c r="W13" s="48">
        <f t="shared" si="55"/>
        <v>23.130541513379033</v>
      </c>
      <c r="X13" s="48">
        <f t="shared" si="7"/>
        <v>2.0817487362041129</v>
      </c>
      <c r="Y13" s="45">
        <f t="shared" si="56"/>
        <v>2.3130541513379033E-3</v>
      </c>
      <c r="Z13" s="46">
        <f t="shared" si="57"/>
        <v>8.8963621205303975E-6</v>
      </c>
      <c r="AA13" s="45">
        <f t="shared" si="8"/>
        <v>0.23130541513379033</v>
      </c>
      <c r="AB13" s="46">
        <f t="shared" si="58"/>
        <v>8.896362120530397E-4</v>
      </c>
      <c r="AC13" s="45">
        <f t="shared" si="9"/>
        <v>5.7826353783447582E-2</v>
      </c>
      <c r="AD13" s="46">
        <f t="shared" si="59"/>
        <v>2.2240905301325992E-4</v>
      </c>
      <c r="AE13" s="45">
        <f t="shared" si="10"/>
        <v>4.0923265754439826E-4</v>
      </c>
      <c r="AF13" s="45">
        <f t="shared" si="11"/>
        <v>0.49268053423497343</v>
      </c>
      <c r="AG13" s="45">
        <f t="shared" si="12"/>
        <v>2.6600122740385885E-2</v>
      </c>
      <c r="AH13" s="45">
        <f t="shared" si="60"/>
        <v>1.1565270756689516E-2</v>
      </c>
      <c r="AI13" s="45">
        <f t="shared" si="13"/>
        <v>1.7926169672868753E-2</v>
      </c>
      <c r="AJ13" s="45">
        <f t="shared" si="61"/>
        <v>2.8913176891723789E-3</v>
      </c>
      <c r="AK13" s="97">
        <f t="shared" si="62"/>
        <v>1.5034851983696373E-2</v>
      </c>
      <c r="AL13" s="97">
        <f t="shared" si="63"/>
        <v>9.2522166053516132E-3</v>
      </c>
      <c r="AM13" s="152"/>
      <c r="AN13" s="17" t="s">
        <v>39</v>
      </c>
      <c r="AO13" s="162">
        <v>105</v>
      </c>
      <c r="AP13" s="166">
        <f t="shared" si="64"/>
        <v>4.6317126750125716E-4</v>
      </c>
      <c r="AQ13" s="48">
        <f t="shared" si="65"/>
        <v>0</v>
      </c>
      <c r="AR13" s="45">
        <f t="shared" si="66"/>
        <v>0</v>
      </c>
      <c r="AS13" s="45">
        <f t="shared" si="67"/>
        <v>0</v>
      </c>
      <c r="AT13" s="49">
        <f t="shared" si="68"/>
        <v>0</v>
      </c>
      <c r="AU13" s="45">
        <f t="shared" si="69"/>
        <v>0</v>
      </c>
      <c r="AV13" s="46">
        <f t="shared" si="70"/>
        <v>0</v>
      </c>
      <c r="AW13" s="45">
        <f t="shared" si="14"/>
        <v>0</v>
      </c>
      <c r="AX13" s="46">
        <f t="shared" si="71"/>
        <v>0</v>
      </c>
      <c r="AY13" s="46">
        <f t="shared" si="15"/>
        <v>0</v>
      </c>
      <c r="AZ13" s="45">
        <f t="shared" si="72"/>
        <v>0</v>
      </c>
      <c r="BA13" s="45">
        <f t="shared" si="73"/>
        <v>0</v>
      </c>
      <c r="BB13" s="45">
        <f t="shared" si="74"/>
        <v>0</v>
      </c>
      <c r="BC13" s="45">
        <f t="shared" si="75"/>
        <v>0</v>
      </c>
      <c r="BD13" s="45">
        <f t="shared" si="76"/>
        <v>0</v>
      </c>
      <c r="BE13" s="45">
        <f t="shared" si="77"/>
        <v>0</v>
      </c>
      <c r="BF13" s="45">
        <f t="shared" si="78"/>
        <v>0</v>
      </c>
      <c r="BG13" s="152"/>
      <c r="BH13" s="17" t="s">
        <v>39</v>
      </c>
      <c r="BI13" s="162">
        <v>105</v>
      </c>
      <c r="BJ13" s="166">
        <f t="shared" si="79"/>
        <v>4.6317126750125716E-4</v>
      </c>
      <c r="BK13" s="48">
        <f t="shared" si="80"/>
        <v>10.477211973638937</v>
      </c>
      <c r="BL13" s="45">
        <f t="shared" si="81"/>
        <v>2.8470684710975372E-2</v>
      </c>
      <c r="BM13" s="45">
        <f t="shared" si="16"/>
        <v>2.8812332927507078E-2</v>
      </c>
      <c r="BN13" s="46">
        <f t="shared" si="82"/>
        <v>1.1081666510579645E-4</v>
      </c>
      <c r="BO13" s="45">
        <f t="shared" si="17"/>
        <v>0.52386059868194679</v>
      </c>
      <c r="BP13" s="46">
        <f t="shared" si="83"/>
        <v>2.0148484564690263E-3</v>
      </c>
      <c r="BQ13" s="45">
        <f t="shared" si="84"/>
        <v>0.44004290289283532</v>
      </c>
      <c r="BR13" s="46">
        <f t="shared" si="85"/>
        <v>1.6924727034339821E-3</v>
      </c>
      <c r="BS13" s="46">
        <f t="shared" si="86"/>
        <v>3.1141497743185269E-3</v>
      </c>
      <c r="BT13" s="45">
        <f t="shared" si="18"/>
        <v>3.1431635920916808E-3</v>
      </c>
      <c r="BU13" s="45">
        <f t="shared" si="19"/>
        <v>3.6146381309054331E-3</v>
      </c>
      <c r="BV13" s="45">
        <f t="shared" si="87"/>
        <v>6.8101877828653085E-4</v>
      </c>
      <c r="BW13" s="45">
        <f t="shared" si="20"/>
        <v>3.1431635920916808E-3</v>
      </c>
      <c r="BX13" s="45">
        <f t="shared" si="88"/>
        <v>5.762466585501416E-4</v>
      </c>
      <c r="BY13" s="45">
        <f t="shared" si="89"/>
        <v>2.5669169335415395E-3</v>
      </c>
      <c r="BZ13" s="45">
        <f t="shared" si="90"/>
        <v>1.6763539157822301E-2</v>
      </c>
      <c r="CA13" s="152"/>
      <c r="CB13" s="23" t="s">
        <v>39</v>
      </c>
      <c r="CC13" s="162">
        <v>105</v>
      </c>
      <c r="CD13" s="163">
        <f t="shared" si="21"/>
        <v>2.6898867941929188E-4</v>
      </c>
      <c r="CE13" s="111">
        <f t="shared" si="91"/>
        <v>0</v>
      </c>
      <c r="CF13" s="112">
        <f t="shared" si="22"/>
        <v>0</v>
      </c>
      <c r="CG13" s="165">
        <f t="shared" si="23"/>
        <v>0</v>
      </c>
      <c r="CH13" s="164">
        <f t="shared" si="24"/>
        <v>0</v>
      </c>
      <c r="CI13" s="112">
        <f t="shared" si="25"/>
        <v>0</v>
      </c>
      <c r="CJ13" s="165">
        <f t="shared" si="26"/>
        <v>0</v>
      </c>
      <c r="CK13" s="112">
        <f t="shared" si="27"/>
        <v>0</v>
      </c>
      <c r="CL13" s="165">
        <f t="shared" si="28"/>
        <v>0</v>
      </c>
      <c r="CM13" s="165">
        <f t="shared" si="29"/>
        <v>0</v>
      </c>
      <c r="CN13" s="112">
        <f t="shared" si="30"/>
        <v>0</v>
      </c>
      <c r="CO13" s="112">
        <f t="shared" si="31"/>
        <v>0</v>
      </c>
      <c r="CP13" s="112">
        <f t="shared" si="31"/>
        <v>0</v>
      </c>
      <c r="CQ13" s="112">
        <f t="shared" si="32"/>
        <v>0</v>
      </c>
      <c r="CR13" s="112">
        <f t="shared" si="32"/>
        <v>0</v>
      </c>
      <c r="CS13" s="112">
        <f t="shared" si="32"/>
        <v>0</v>
      </c>
      <c r="CT13" s="112">
        <f t="shared" si="32"/>
        <v>0</v>
      </c>
      <c r="CU13" s="152"/>
      <c r="CV13" s="17" t="s">
        <v>39</v>
      </c>
      <c r="CW13" s="162">
        <v>105</v>
      </c>
      <c r="CX13" s="166">
        <f t="shared" si="92"/>
        <v>4.6317126750125716E-4</v>
      </c>
      <c r="CY13" s="44">
        <f t="shared" si="93"/>
        <v>6.2512373289574672</v>
      </c>
      <c r="CZ13" s="45">
        <f t="shared" si="94"/>
        <v>2.404322049599026E-2</v>
      </c>
      <c r="DA13" s="45">
        <f t="shared" si="95"/>
        <v>1.6253217055289416E-3</v>
      </c>
      <c r="DB13" s="46">
        <f t="shared" si="96"/>
        <v>6.2512373289574677E-6</v>
      </c>
      <c r="DC13" s="45">
        <f t="shared" si="97"/>
        <v>4.4477553595532376E-2</v>
      </c>
      <c r="DD13" s="46">
        <f t="shared" si="98"/>
        <v>1.7106751382897067E-4</v>
      </c>
      <c r="DE13" s="45">
        <f t="shared" si="99"/>
        <v>2.4911180755895504E-2</v>
      </c>
      <c r="DF13" s="46">
        <f t="shared" si="100"/>
        <v>9.5812233676521164E-5</v>
      </c>
      <c r="DG13" s="46">
        <f t="shared" si="33"/>
        <v>1.7629450996479898E-4</v>
      </c>
      <c r="DH13" s="46">
        <f t="shared" si="101"/>
        <v>1.8753711986872401E-4</v>
      </c>
      <c r="DI13" s="46">
        <f t="shared" si="102"/>
        <v>6.251237328957468E-5</v>
      </c>
      <c r="DJ13" s="46">
        <f t="shared" si="103"/>
        <v>1.5628093322393667E-4</v>
      </c>
      <c r="DK13" s="100">
        <f t="shared" si="104"/>
        <v>3.125618664478734E-5</v>
      </c>
      <c r="DL13" s="100">
        <f t="shared" si="105"/>
        <v>1.2502474657914936E-4</v>
      </c>
      <c r="DM13" s="100">
        <f t="shared" si="106"/>
        <v>9.3768559934362007E-5</v>
      </c>
      <c r="DN13" s="100">
        <f t="shared" si="107"/>
        <v>1.5628093322393667E-4</v>
      </c>
      <c r="DO13" s="152"/>
      <c r="DP13" s="23" t="s">
        <v>39</v>
      </c>
      <c r="DQ13" s="162">
        <v>105</v>
      </c>
      <c r="DR13" s="163">
        <f t="shared" si="108"/>
        <v>4.6317126750125716E-4</v>
      </c>
      <c r="DS13" s="111">
        <f t="shared" si="109"/>
        <v>1935.306487044438</v>
      </c>
      <c r="DT13" s="112">
        <f t="shared" si="110"/>
        <v>1.893234606891298</v>
      </c>
      <c r="DU13" s="165">
        <f t="shared" si="34"/>
        <v>1.6450105139877724E-2</v>
      </c>
      <c r="DV13" s="164">
        <f t="shared" si="35"/>
        <v>2.2777068655215308E-5</v>
      </c>
      <c r="DW13" s="165">
        <f t="shared" si="36"/>
        <v>0.21288371357488819</v>
      </c>
      <c r="DX13" s="165">
        <f t="shared" si="37"/>
        <v>2.9476206494984521E-4</v>
      </c>
      <c r="DY13" s="165">
        <f t="shared" si="38"/>
        <v>0.58059194611333131</v>
      </c>
      <c r="DZ13" s="165">
        <f t="shared" si="39"/>
        <v>8.0389654077230488E-4</v>
      </c>
      <c r="EA13" s="165">
        <f t="shared" si="40"/>
        <v>4.1088045417251142E-3</v>
      </c>
      <c r="EB13" s="165">
        <f t="shared" si="41"/>
        <v>2.4191331088055476E-2</v>
      </c>
      <c r="EC13" s="165">
        <f t="shared" si="111"/>
        <v>0.48692311214038059</v>
      </c>
      <c r="ED13" s="165">
        <f t="shared" si="42"/>
        <v>0.48382662176110947</v>
      </c>
      <c r="EE13" s="165">
        <f t="shared" si="112"/>
        <v>0.4204453343104041</v>
      </c>
      <c r="EF13" s="165">
        <f t="shared" si="43"/>
        <v>0.41609089471455418</v>
      </c>
      <c r="EG13" s="165">
        <f t="shared" si="113"/>
        <v>4.3350865309795409E-3</v>
      </c>
      <c r="EH13" s="165">
        <f t="shared" si="114"/>
        <v>1.1611838922266629E-2</v>
      </c>
      <c r="EI13" s="17" t="s">
        <v>39</v>
      </c>
      <c r="EJ13" s="61">
        <f t="shared" si="115"/>
        <v>4.9200813924251643E-2</v>
      </c>
      <c r="EK13" s="61">
        <f t="shared" si="115"/>
        <v>1.4874133321049962E-4</v>
      </c>
      <c r="EL13" s="61">
        <f t="shared" si="115"/>
        <v>1.0125272809861576</v>
      </c>
      <c r="EM13" s="61">
        <f t="shared" si="115"/>
        <v>3.3703142473008817E-3</v>
      </c>
      <c r="EN13" s="61">
        <f t="shared" si="115"/>
        <v>1.1033723835455098</v>
      </c>
      <c r="EO13" s="61">
        <f t="shared" si="44"/>
        <v>2.8145905308960681E-3</v>
      </c>
      <c r="EP13" s="61">
        <f t="shared" si="44"/>
        <v>7.8084814835528383E-3</v>
      </c>
      <c r="EQ13" s="61">
        <f t="shared" si="44"/>
        <v>0.52020256603498927</v>
      </c>
      <c r="ER13" s="61">
        <f t="shared" si="116"/>
        <v>0.51729415394489586</v>
      </c>
      <c r="ES13" s="61">
        <f t="shared" si="117"/>
        <v>0.49613542366937508</v>
      </c>
      <c r="ET13" s="61">
        <f t="shared" si="118"/>
        <v>0.44163969232194367</v>
      </c>
      <c r="EU13" s="61">
        <f t="shared" si="119"/>
        <v>0.41958971524892147</v>
      </c>
      <c r="EV13" s="61">
        <f t="shared" si="120"/>
        <v>2.2030624008151811E-2</v>
      </c>
      <c r="EW13" s="61">
        <f t="shared" si="120"/>
        <v>3.7783875618664482E-2</v>
      </c>
    </row>
    <row r="14" spans="1:153" ht="18" customHeight="1">
      <c r="A14" s="23" t="s">
        <v>40</v>
      </c>
      <c r="B14" s="162">
        <v>37346</v>
      </c>
      <c r="C14" s="163">
        <f t="shared" si="45"/>
        <v>0.1375447022123682</v>
      </c>
      <c r="D14" s="111">
        <f t="shared" si="46"/>
        <v>0</v>
      </c>
      <c r="E14" s="111">
        <f t="shared" si="0"/>
        <v>0</v>
      </c>
      <c r="F14" s="112">
        <f t="shared" si="1"/>
        <v>0</v>
      </c>
      <c r="G14" s="164">
        <f t="shared" si="2"/>
        <v>0</v>
      </c>
      <c r="H14" s="112">
        <f t="shared" si="47"/>
        <v>0</v>
      </c>
      <c r="I14" s="165">
        <f t="shared" si="3"/>
        <v>0</v>
      </c>
      <c r="J14" s="112">
        <f t="shared" si="4"/>
        <v>0</v>
      </c>
      <c r="K14" s="165">
        <f t="shared" si="5"/>
        <v>0</v>
      </c>
      <c r="L14" s="165">
        <f t="shared" si="6"/>
        <v>0</v>
      </c>
      <c r="M14" s="112">
        <f t="shared" si="48"/>
        <v>0</v>
      </c>
      <c r="N14" s="112">
        <f t="shared" si="49"/>
        <v>0</v>
      </c>
      <c r="O14" s="112">
        <f t="shared" si="50"/>
        <v>0</v>
      </c>
      <c r="P14" s="112">
        <f t="shared" si="51"/>
        <v>0</v>
      </c>
      <c r="Q14" s="112">
        <f t="shared" si="52"/>
        <v>0</v>
      </c>
      <c r="R14" s="112">
        <f t="shared" si="53"/>
        <v>0</v>
      </c>
      <c r="S14" s="152"/>
      <c r="T14" s="17" t="s">
        <v>40</v>
      </c>
      <c r="U14" s="162">
        <v>37346</v>
      </c>
      <c r="V14" s="166">
        <f t="shared" si="54"/>
        <v>0.16473899196287572</v>
      </c>
      <c r="W14" s="48">
        <f t="shared" si="55"/>
        <v>8226.9828891300331</v>
      </c>
      <c r="X14" s="48">
        <f t="shared" si="7"/>
        <v>740.4284600217029</v>
      </c>
      <c r="Y14" s="45">
        <f t="shared" si="56"/>
        <v>0.82269828891300334</v>
      </c>
      <c r="Z14" s="46">
        <f t="shared" si="57"/>
        <v>3.1642241881269361E-3</v>
      </c>
      <c r="AA14" s="45">
        <f t="shared" si="8"/>
        <v>82.269828891300335</v>
      </c>
      <c r="AB14" s="46">
        <f t="shared" si="58"/>
        <v>0.31642241881269362</v>
      </c>
      <c r="AC14" s="45">
        <f t="shared" si="9"/>
        <v>20.567457222825084</v>
      </c>
      <c r="AD14" s="46">
        <f t="shared" si="59"/>
        <v>7.9105604703173404E-2</v>
      </c>
      <c r="AE14" s="45">
        <f t="shared" si="10"/>
        <v>0.14555431265383906</v>
      </c>
      <c r="AF14" s="45">
        <f t="shared" si="11"/>
        <v>175.23473553846972</v>
      </c>
      <c r="AG14" s="45">
        <f t="shared" si="12"/>
        <v>9.4610303224995373</v>
      </c>
      <c r="AH14" s="45">
        <f t="shared" si="60"/>
        <v>4.1134914445650166</v>
      </c>
      <c r="AI14" s="45">
        <f t="shared" si="13"/>
        <v>6.375911739075776</v>
      </c>
      <c r="AJ14" s="45">
        <f t="shared" si="61"/>
        <v>1.0283728611412541</v>
      </c>
      <c r="AK14" s="97">
        <f t="shared" si="62"/>
        <v>5.3475388779345225</v>
      </c>
      <c r="AL14" s="97">
        <f t="shared" si="63"/>
        <v>3.2907931556520134</v>
      </c>
      <c r="AM14" s="152"/>
      <c r="AN14" s="17" t="s">
        <v>40</v>
      </c>
      <c r="AO14" s="162">
        <v>37346</v>
      </c>
      <c r="AP14" s="166">
        <f t="shared" si="64"/>
        <v>0.16473899196287572</v>
      </c>
      <c r="AQ14" s="48">
        <f t="shared" si="65"/>
        <v>0</v>
      </c>
      <c r="AR14" s="45">
        <f t="shared" si="66"/>
        <v>0</v>
      </c>
      <c r="AS14" s="45">
        <f t="shared" si="67"/>
        <v>0</v>
      </c>
      <c r="AT14" s="49">
        <f t="shared" si="68"/>
        <v>0</v>
      </c>
      <c r="AU14" s="45">
        <f t="shared" si="69"/>
        <v>0</v>
      </c>
      <c r="AV14" s="46">
        <f t="shared" si="70"/>
        <v>0</v>
      </c>
      <c r="AW14" s="45">
        <f t="shared" si="14"/>
        <v>0</v>
      </c>
      <c r="AX14" s="46">
        <f t="shared" si="71"/>
        <v>0</v>
      </c>
      <c r="AY14" s="46">
        <f t="shared" si="15"/>
        <v>0</v>
      </c>
      <c r="AZ14" s="45">
        <f t="shared" si="72"/>
        <v>0</v>
      </c>
      <c r="BA14" s="45">
        <f t="shared" si="73"/>
        <v>0</v>
      </c>
      <c r="BB14" s="45">
        <f t="shared" si="74"/>
        <v>0</v>
      </c>
      <c r="BC14" s="45">
        <f t="shared" si="75"/>
        <v>0</v>
      </c>
      <c r="BD14" s="45">
        <f t="shared" si="76"/>
        <v>0</v>
      </c>
      <c r="BE14" s="45">
        <f t="shared" si="77"/>
        <v>0</v>
      </c>
      <c r="BF14" s="45">
        <f t="shared" si="78"/>
        <v>0</v>
      </c>
      <c r="BG14" s="152"/>
      <c r="BH14" s="17" t="s">
        <v>40</v>
      </c>
      <c r="BI14" s="162">
        <v>37346</v>
      </c>
      <c r="BJ14" s="166">
        <f t="shared" si="79"/>
        <v>0.16473899196287572</v>
      </c>
      <c r="BK14" s="48">
        <f t="shared" si="80"/>
        <v>3726.4948415954264</v>
      </c>
      <c r="BL14" s="45">
        <f t="shared" si="81"/>
        <v>10.126344678248442</v>
      </c>
      <c r="BM14" s="45">
        <f t="shared" si="16"/>
        <v>10.247860814387423</v>
      </c>
      <c r="BN14" s="46">
        <f t="shared" si="82"/>
        <v>3.9414849286105474E-2</v>
      </c>
      <c r="BO14" s="45">
        <f t="shared" si="17"/>
        <v>186.32474207977134</v>
      </c>
      <c r="BP14" s="46">
        <f t="shared" si="83"/>
        <v>0.71663362338373593</v>
      </c>
      <c r="BQ14" s="45">
        <f t="shared" si="84"/>
        <v>156.51278334700791</v>
      </c>
      <c r="BR14" s="46">
        <f t="shared" si="85"/>
        <v>0.60197224364233815</v>
      </c>
      <c r="BS14" s="46">
        <f t="shared" si="86"/>
        <v>1.1076289283019021</v>
      </c>
      <c r="BT14" s="45">
        <f t="shared" si="18"/>
        <v>1.1179484524786278</v>
      </c>
      <c r="BU14" s="45">
        <f t="shared" si="19"/>
        <v>1.2856407203504221</v>
      </c>
      <c r="BV14" s="45">
        <f t="shared" si="87"/>
        <v>0.24222216470370272</v>
      </c>
      <c r="BW14" s="45">
        <f t="shared" si="20"/>
        <v>1.1179484524786278</v>
      </c>
      <c r="BX14" s="45">
        <f t="shared" si="88"/>
        <v>0.20495721628774846</v>
      </c>
      <c r="BY14" s="45">
        <f t="shared" si="89"/>
        <v>0.91299123619087952</v>
      </c>
      <c r="BZ14" s="45">
        <f t="shared" si="90"/>
        <v>5.962391746552683</v>
      </c>
      <c r="CA14" s="152"/>
      <c r="CB14" s="23" t="s">
        <v>40</v>
      </c>
      <c r="CC14" s="162">
        <v>37346</v>
      </c>
      <c r="CD14" s="163">
        <f t="shared" si="21"/>
        <v>9.5672868777074996E-2</v>
      </c>
      <c r="CE14" s="111">
        <f t="shared" si="91"/>
        <v>0</v>
      </c>
      <c r="CF14" s="112">
        <f t="shared" si="22"/>
        <v>0</v>
      </c>
      <c r="CG14" s="165">
        <f t="shared" si="23"/>
        <v>0</v>
      </c>
      <c r="CH14" s="164">
        <f t="shared" si="24"/>
        <v>0</v>
      </c>
      <c r="CI14" s="112">
        <f t="shared" si="25"/>
        <v>0</v>
      </c>
      <c r="CJ14" s="165">
        <f t="shared" si="26"/>
        <v>0</v>
      </c>
      <c r="CK14" s="112">
        <f t="shared" si="27"/>
        <v>0</v>
      </c>
      <c r="CL14" s="165">
        <f t="shared" si="28"/>
        <v>0</v>
      </c>
      <c r="CM14" s="165">
        <f t="shared" si="29"/>
        <v>0</v>
      </c>
      <c r="CN14" s="112">
        <f t="shared" si="30"/>
        <v>0</v>
      </c>
      <c r="CO14" s="112">
        <f t="shared" si="31"/>
        <v>0</v>
      </c>
      <c r="CP14" s="112">
        <f t="shared" si="31"/>
        <v>0</v>
      </c>
      <c r="CQ14" s="112">
        <f t="shared" si="32"/>
        <v>0</v>
      </c>
      <c r="CR14" s="112">
        <f t="shared" si="32"/>
        <v>0</v>
      </c>
      <c r="CS14" s="112">
        <f t="shared" si="32"/>
        <v>0</v>
      </c>
      <c r="CT14" s="112">
        <f t="shared" si="32"/>
        <v>0</v>
      </c>
      <c r="CU14" s="152"/>
      <c r="CV14" s="17" t="s">
        <v>40</v>
      </c>
      <c r="CW14" s="162">
        <v>37346</v>
      </c>
      <c r="CX14" s="166">
        <f t="shared" si="92"/>
        <v>0.16473899196287572</v>
      </c>
      <c r="CY14" s="44">
        <f t="shared" si="93"/>
        <v>2223.4162789261486</v>
      </c>
      <c r="CZ14" s="45">
        <f t="shared" si="94"/>
        <v>8.5516010727928791</v>
      </c>
      <c r="DA14" s="45">
        <f t="shared" si="95"/>
        <v>0.57808823252079866</v>
      </c>
      <c r="DB14" s="46">
        <f t="shared" si="96"/>
        <v>2.2234162789261489E-3</v>
      </c>
      <c r="DC14" s="45">
        <f t="shared" si="97"/>
        <v>15.819606824559546</v>
      </c>
      <c r="DD14" s="46">
        <f t="shared" si="98"/>
        <v>6.0844641632921331E-2</v>
      </c>
      <c r="DE14" s="45">
        <f t="shared" si="99"/>
        <v>8.8603138715207024</v>
      </c>
      <c r="DF14" s="46">
        <f t="shared" si="100"/>
        <v>3.4078130275079624E-2</v>
      </c>
      <c r="DG14" s="46">
        <f t="shared" si="33"/>
        <v>6.27037597061465E-2</v>
      </c>
      <c r="DH14" s="46">
        <f t="shared" si="101"/>
        <v>6.670248836778446E-2</v>
      </c>
      <c r="DI14" s="46">
        <f t="shared" si="102"/>
        <v>2.2234162789261484E-2</v>
      </c>
      <c r="DJ14" s="46">
        <f t="shared" si="103"/>
        <v>5.5585406973153714E-2</v>
      </c>
      <c r="DK14" s="100">
        <f t="shared" si="104"/>
        <v>1.1117081394630742E-2</v>
      </c>
      <c r="DL14" s="100">
        <f t="shared" si="105"/>
        <v>4.4468325578522969E-2</v>
      </c>
      <c r="DM14" s="100">
        <f t="shared" si="106"/>
        <v>3.335124418389223E-2</v>
      </c>
      <c r="DN14" s="100">
        <f t="shared" si="107"/>
        <v>5.5585406973153714E-2</v>
      </c>
      <c r="DO14" s="152"/>
      <c r="DP14" s="23" t="s">
        <v>40</v>
      </c>
      <c r="DQ14" s="162">
        <v>37346</v>
      </c>
      <c r="DR14" s="163">
        <f t="shared" si="108"/>
        <v>0.16473899196287572</v>
      </c>
      <c r="DS14" s="111">
        <f t="shared" si="109"/>
        <v>688342.43871582462</v>
      </c>
      <c r="DT14" s="112">
        <f t="shared" si="110"/>
        <v>673.37847265678499</v>
      </c>
      <c r="DU14" s="165">
        <f t="shared" si="34"/>
        <v>5.8509107290845099</v>
      </c>
      <c r="DV14" s="164">
        <f t="shared" si="35"/>
        <v>8.1012610095016289E-3</v>
      </c>
      <c r="DW14" s="165">
        <f t="shared" si="36"/>
        <v>75.717668258740716</v>
      </c>
      <c r="DX14" s="165">
        <f t="shared" si="37"/>
        <v>0.10483984835825637</v>
      </c>
      <c r="DY14" s="165">
        <f t="shared" si="38"/>
        <v>206.50273161474738</v>
      </c>
      <c r="DZ14" s="165">
        <f t="shared" si="39"/>
        <v>0.285926859158881</v>
      </c>
      <c r="EA14" s="165">
        <f t="shared" si="40"/>
        <v>1.4614039468120585</v>
      </c>
      <c r="EB14" s="165">
        <f t="shared" si="41"/>
        <v>8.6042804839478091</v>
      </c>
      <c r="EC14" s="165">
        <f t="shared" si="111"/>
        <v>173.18695758090149</v>
      </c>
      <c r="ED14" s="165">
        <f t="shared" si="42"/>
        <v>172.08560967895616</v>
      </c>
      <c r="EE14" s="165">
        <f t="shared" si="112"/>
        <v>149.54239481101291</v>
      </c>
      <c r="EF14" s="165">
        <f t="shared" si="43"/>
        <v>147.99362432390231</v>
      </c>
      <c r="EG14" s="165">
        <f t="shared" si="113"/>
        <v>1.5418870627234471</v>
      </c>
      <c r="EH14" s="165">
        <f t="shared" si="114"/>
        <v>4.1300546322949474</v>
      </c>
      <c r="EI14" s="17" t="s">
        <v>40</v>
      </c>
      <c r="EJ14" s="61">
        <f t="shared" si="115"/>
        <v>17.499558064905735</v>
      </c>
      <c r="EK14" s="61">
        <f t="shared" si="115"/>
        <v>5.2903750762660191E-2</v>
      </c>
      <c r="EL14" s="61">
        <f t="shared" si="115"/>
        <v>360.13184605437198</v>
      </c>
      <c r="EM14" s="61">
        <f t="shared" si="115"/>
        <v>1.1987405321876075</v>
      </c>
      <c r="EN14" s="61">
        <f t="shared" si="115"/>
        <v>392.4432860561011</v>
      </c>
      <c r="EO14" s="61">
        <f t="shared" si="44"/>
        <v>1.0010828377794723</v>
      </c>
      <c r="EP14" s="61">
        <f t="shared" si="44"/>
        <v>2.7772909474739462</v>
      </c>
      <c r="EQ14" s="61">
        <f t="shared" si="44"/>
        <v>185.02366696326393</v>
      </c>
      <c r="ER14" s="61">
        <f t="shared" si="116"/>
        <v>183.98921403072461</v>
      </c>
      <c r="ES14" s="61">
        <f t="shared" si="117"/>
        <v>176.46355745101414</v>
      </c>
      <c r="ET14" s="61">
        <f t="shared" si="118"/>
        <v>157.08072332814584</v>
      </c>
      <c r="EU14" s="61">
        <f t="shared" si="119"/>
        <v>149.23807148272596</v>
      </c>
      <c r="EV14" s="61">
        <f t="shared" si="120"/>
        <v>7.835768421032741</v>
      </c>
      <c r="EW14" s="61">
        <f t="shared" si="120"/>
        <v>13.438824941472799</v>
      </c>
    </row>
    <row r="15" spans="1:153" ht="18" customHeight="1">
      <c r="A15" s="23" t="s">
        <v>41</v>
      </c>
      <c r="B15" s="162">
        <v>3882</v>
      </c>
      <c r="C15" s="163">
        <f t="shared" si="45"/>
        <v>1.4297341990799907E-2</v>
      </c>
      <c r="D15" s="111">
        <f t="shared" si="46"/>
        <v>0</v>
      </c>
      <c r="E15" s="111">
        <f t="shared" si="0"/>
        <v>0</v>
      </c>
      <c r="F15" s="112">
        <f t="shared" si="1"/>
        <v>0</v>
      </c>
      <c r="G15" s="164">
        <f t="shared" si="2"/>
        <v>0</v>
      </c>
      <c r="H15" s="112">
        <f t="shared" si="47"/>
        <v>0</v>
      </c>
      <c r="I15" s="165">
        <f t="shared" si="3"/>
        <v>0</v>
      </c>
      <c r="J15" s="112">
        <f t="shared" si="4"/>
        <v>0</v>
      </c>
      <c r="K15" s="165">
        <f t="shared" si="5"/>
        <v>0</v>
      </c>
      <c r="L15" s="165">
        <f t="shared" si="6"/>
        <v>0</v>
      </c>
      <c r="M15" s="112">
        <f t="shared" si="48"/>
        <v>0</v>
      </c>
      <c r="N15" s="112">
        <f t="shared" si="49"/>
        <v>0</v>
      </c>
      <c r="O15" s="112">
        <f t="shared" si="50"/>
        <v>0</v>
      </c>
      <c r="P15" s="112">
        <f t="shared" si="51"/>
        <v>0</v>
      </c>
      <c r="Q15" s="112">
        <f t="shared" si="52"/>
        <v>0</v>
      </c>
      <c r="R15" s="112">
        <f t="shared" si="53"/>
        <v>0</v>
      </c>
      <c r="S15" s="152"/>
      <c r="T15" s="17" t="s">
        <v>41</v>
      </c>
      <c r="U15" s="162">
        <v>3882</v>
      </c>
      <c r="V15" s="166">
        <f t="shared" si="54"/>
        <v>1.7124103432760766E-2</v>
      </c>
      <c r="W15" s="48">
        <f t="shared" si="55"/>
        <v>855.16916338035628</v>
      </c>
      <c r="X15" s="48">
        <f t="shared" si="7"/>
        <v>76.965224704232057</v>
      </c>
      <c r="Y15" s="45">
        <f t="shared" si="56"/>
        <v>8.5516916338035626E-2</v>
      </c>
      <c r="Z15" s="46">
        <f t="shared" si="57"/>
        <v>3.2891121668475243E-4</v>
      </c>
      <c r="AA15" s="45">
        <f t="shared" si="8"/>
        <v>8.5516916338035625</v>
      </c>
      <c r="AB15" s="46">
        <f t="shared" si="58"/>
        <v>3.2891121668475243E-2</v>
      </c>
      <c r="AC15" s="45">
        <f t="shared" si="9"/>
        <v>2.1379229084508906</v>
      </c>
      <c r="AD15" s="46">
        <f t="shared" si="59"/>
        <v>8.2227804171188107E-3</v>
      </c>
      <c r="AE15" s="45">
        <f t="shared" si="10"/>
        <v>1.5129915967498611E-2</v>
      </c>
      <c r="AF15" s="45">
        <f t="shared" si="11"/>
        <v>18.215103180001588</v>
      </c>
      <c r="AG15" s="45">
        <f t="shared" si="12"/>
        <v>0.9834445378874096</v>
      </c>
      <c r="AH15" s="45">
        <f t="shared" si="60"/>
        <v>0.42758458169017816</v>
      </c>
      <c r="AI15" s="45">
        <f t="shared" si="13"/>
        <v>0.66275610161977616</v>
      </c>
      <c r="AJ15" s="45">
        <f t="shared" si="61"/>
        <v>0.10689614542254454</v>
      </c>
      <c r="AK15" s="97">
        <f t="shared" si="62"/>
        <v>0.55585995619723161</v>
      </c>
      <c r="AL15" s="97">
        <f t="shared" si="63"/>
        <v>0.3420676653521425</v>
      </c>
      <c r="AM15" s="152"/>
      <c r="AN15" s="17" t="s">
        <v>41</v>
      </c>
      <c r="AO15" s="162">
        <v>3882</v>
      </c>
      <c r="AP15" s="166">
        <f t="shared" si="64"/>
        <v>1.7124103432760766E-2</v>
      </c>
      <c r="AQ15" s="48">
        <f t="shared" si="65"/>
        <v>0</v>
      </c>
      <c r="AR15" s="45">
        <f t="shared" si="66"/>
        <v>0</v>
      </c>
      <c r="AS15" s="45">
        <f t="shared" si="67"/>
        <v>0</v>
      </c>
      <c r="AT15" s="49">
        <f t="shared" si="68"/>
        <v>0</v>
      </c>
      <c r="AU15" s="45">
        <f t="shared" si="69"/>
        <v>0</v>
      </c>
      <c r="AV15" s="46">
        <f t="shared" si="70"/>
        <v>0</v>
      </c>
      <c r="AW15" s="45">
        <f t="shared" si="14"/>
        <v>0</v>
      </c>
      <c r="AX15" s="46">
        <f t="shared" si="71"/>
        <v>0</v>
      </c>
      <c r="AY15" s="46">
        <f t="shared" si="15"/>
        <v>0</v>
      </c>
      <c r="AZ15" s="45">
        <f t="shared" si="72"/>
        <v>0</v>
      </c>
      <c r="BA15" s="45">
        <f t="shared" si="73"/>
        <v>0</v>
      </c>
      <c r="BB15" s="45">
        <f t="shared" si="74"/>
        <v>0</v>
      </c>
      <c r="BC15" s="45">
        <f t="shared" si="75"/>
        <v>0</v>
      </c>
      <c r="BD15" s="45">
        <f t="shared" si="76"/>
        <v>0</v>
      </c>
      <c r="BE15" s="45">
        <f t="shared" si="77"/>
        <v>0</v>
      </c>
      <c r="BF15" s="45">
        <f t="shared" si="78"/>
        <v>0</v>
      </c>
      <c r="BG15" s="152"/>
      <c r="BH15" s="17" t="s">
        <v>41</v>
      </c>
      <c r="BI15" s="162">
        <v>3882</v>
      </c>
      <c r="BJ15" s="166">
        <f t="shared" si="79"/>
        <v>1.7124103432760766E-2</v>
      </c>
      <c r="BK15" s="48">
        <f t="shared" si="80"/>
        <v>387.35749411110817</v>
      </c>
      <c r="BL15" s="45">
        <f t="shared" si="81"/>
        <v>1.0526018861714896</v>
      </c>
      <c r="BM15" s="45">
        <f t="shared" si="16"/>
        <v>1.0652331088055476</v>
      </c>
      <c r="BN15" s="46">
        <f t="shared" si="82"/>
        <v>4.0970504184828756E-3</v>
      </c>
      <c r="BO15" s="45">
        <f t="shared" si="17"/>
        <v>19.367874705555408</v>
      </c>
      <c r="BP15" s="46">
        <f t="shared" si="83"/>
        <v>7.4491825790597724E-2</v>
      </c>
      <c r="BQ15" s="45">
        <f t="shared" si="84"/>
        <v>16.269014752666543</v>
      </c>
      <c r="BR15" s="46">
        <f t="shared" si="85"/>
        <v>6.2573133664102082E-2</v>
      </c>
      <c r="BS15" s="46">
        <f t="shared" si="86"/>
        <v>0.11513456594194785</v>
      </c>
      <c r="BT15" s="45">
        <f t="shared" si="18"/>
        <v>0.11620724823333245</v>
      </c>
      <c r="BU15" s="45">
        <f t="shared" si="19"/>
        <v>0.13363833546833231</v>
      </c>
      <c r="BV15" s="45">
        <f t="shared" si="87"/>
        <v>2.5178237117222033E-2</v>
      </c>
      <c r="BW15" s="45">
        <f t="shared" si="20"/>
        <v>0.11620724823333245</v>
      </c>
      <c r="BX15" s="45">
        <f t="shared" si="88"/>
        <v>2.1304662176110947E-2</v>
      </c>
      <c r="BY15" s="45">
        <f t="shared" si="89"/>
        <v>9.4902586057221502E-2</v>
      </c>
      <c r="BZ15" s="45">
        <f t="shared" si="90"/>
        <v>0.6197719905777731</v>
      </c>
      <c r="CA15" s="152"/>
      <c r="CB15" s="23" t="s">
        <v>41</v>
      </c>
      <c r="CC15" s="162">
        <v>3882</v>
      </c>
      <c r="CD15" s="163">
        <f t="shared" si="21"/>
        <v>9.9448957476732484E-3</v>
      </c>
      <c r="CE15" s="111">
        <f t="shared" si="91"/>
        <v>0</v>
      </c>
      <c r="CF15" s="112">
        <f t="shared" si="22"/>
        <v>0</v>
      </c>
      <c r="CG15" s="165">
        <f t="shared" si="23"/>
        <v>0</v>
      </c>
      <c r="CH15" s="164">
        <f t="shared" si="24"/>
        <v>0</v>
      </c>
      <c r="CI15" s="112">
        <f t="shared" si="25"/>
        <v>0</v>
      </c>
      <c r="CJ15" s="165">
        <f t="shared" si="26"/>
        <v>0</v>
      </c>
      <c r="CK15" s="112">
        <f t="shared" si="27"/>
        <v>0</v>
      </c>
      <c r="CL15" s="165">
        <f t="shared" si="28"/>
        <v>0</v>
      </c>
      <c r="CM15" s="165">
        <f t="shared" si="29"/>
        <v>0</v>
      </c>
      <c r="CN15" s="112">
        <f t="shared" si="30"/>
        <v>0</v>
      </c>
      <c r="CO15" s="112">
        <f t="shared" si="31"/>
        <v>0</v>
      </c>
      <c r="CP15" s="112">
        <f t="shared" si="31"/>
        <v>0</v>
      </c>
      <c r="CQ15" s="112">
        <f t="shared" si="32"/>
        <v>0</v>
      </c>
      <c r="CR15" s="112">
        <f t="shared" si="32"/>
        <v>0</v>
      </c>
      <c r="CS15" s="112">
        <f t="shared" si="32"/>
        <v>0</v>
      </c>
      <c r="CT15" s="112">
        <f t="shared" si="32"/>
        <v>0</v>
      </c>
      <c r="CU15" s="152"/>
      <c r="CV15" s="17" t="s">
        <v>41</v>
      </c>
      <c r="CW15" s="162">
        <v>3882</v>
      </c>
      <c r="CX15" s="166">
        <f t="shared" si="92"/>
        <v>1.7124103432760766E-2</v>
      </c>
      <c r="CY15" s="44">
        <f t="shared" si="93"/>
        <v>231.11717439059896</v>
      </c>
      <c r="CZ15" s="45">
        <f t="shared" si="94"/>
        <v>0.88891220919461134</v>
      </c>
      <c r="DA15" s="45">
        <f t="shared" si="95"/>
        <v>6.0090465341555738E-2</v>
      </c>
      <c r="DB15" s="46">
        <f t="shared" si="96"/>
        <v>2.31117174390599E-4</v>
      </c>
      <c r="DC15" s="45">
        <f t="shared" si="97"/>
        <v>1.6443986957891115</v>
      </c>
      <c r="DD15" s="46">
        <f t="shared" si="98"/>
        <v>6.3246103684196598E-3</v>
      </c>
      <c r="DE15" s="45">
        <f t="shared" si="99"/>
        <v>0.92100193994653679</v>
      </c>
      <c r="DF15" s="46">
        <f t="shared" si="100"/>
        <v>3.542315153640526E-3</v>
      </c>
      <c r="DG15" s="46">
        <f t="shared" si="33"/>
        <v>6.5178598826985679E-3</v>
      </c>
      <c r="DH15" s="46">
        <f t="shared" si="101"/>
        <v>6.9335152317179681E-3</v>
      </c>
      <c r="DI15" s="46">
        <f t="shared" si="102"/>
        <v>2.3111717439059896E-3</v>
      </c>
      <c r="DJ15" s="46">
        <f t="shared" si="103"/>
        <v>5.777929359764975E-3</v>
      </c>
      <c r="DK15" s="100">
        <f t="shared" si="104"/>
        <v>1.1555858719529948E-3</v>
      </c>
      <c r="DL15" s="100">
        <f t="shared" si="105"/>
        <v>4.6223434878119793E-3</v>
      </c>
      <c r="DM15" s="100">
        <f t="shared" si="106"/>
        <v>3.466757615858984E-3</v>
      </c>
      <c r="DN15" s="100">
        <f t="shared" si="107"/>
        <v>5.777929359764975E-3</v>
      </c>
      <c r="DO15" s="152"/>
      <c r="DP15" s="23" t="s">
        <v>41</v>
      </c>
      <c r="DQ15" s="162">
        <v>3882</v>
      </c>
      <c r="DR15" s="163">
        <f t="shared" si="108"/>
        <v>1.7124103432760766E-2</v>
      </c>
      <c r="DS15" s="111">
        <f t="shared" si="109"/>
        <v>71551.04554958579</v>
      </c>
      <c r="DT15" s="112">
        <f t="shared" si="110"/>
        <v>69.995588037638271</v>
      </c>
      <c r="DU15" s="165">
        <f t="shared" si="34"/>
        <v>0.6081838871714792</v>
      </c>
      <c r="DV15" s="164">
        <f t="shared" si="35"/>
        <v>8.4210076685281739E-4</v>
      </c>
      <c r="DW15" s="165">
        <f t="shared" si="36"/>
        <v>7.8706150104544363</v>
      </c>
      <c r="DX15" s="165">
        <f t="shared" si="37"/>
        <v>1.089777462985999E-2</v>
      </c>
      <c r="DY15" s="165">
        <f t="shared" si="38"/>
        <v>21.465313664875737</v>
      </c>
      <c r="DZ15" s="165">
        <f t="shared" si="39"/>
        <v>2.9721203535981788E-2</v>
      </c>
      <c r="EA15" s="165">
        <f t="shared" si="40"/>
        <v>0.15190837362835136</v>
      </c>
      <c r="EB15" s="165">
        <f t="shared" si="41"/>
        <v>0.89438806936982251</v>
      </c>
      <c r="EC15" s="165">
        <f t="shared" si="111"/>
        <v>18.002243060275784</v>
      </c>
      <c r="ED15" s="165">
        <f t="shared" si="42"/>
        <v>17.887761387396448</v>
      </c>
      <c r="EE15" s="165">
        <f t="shared" si="112"/>
        <v>15.544464645647514</v>
      </c>
      <c r="EF15" s="165">
        <f t="shared" si="43"/>
        <v>15.383474793160945</v>
      </c>
      <c r="EG15" s="165">
        <f t="shared" si="113"/>
        <v>0.16027434203107216</v>
      </c>
      <c r="EH15" s="165">
        <f t="shared" si="114"/>
        <v>0.42930627329751475</v>
      </c>
      <c r="EI15" s="17" t="s">
        <v>41</v>
      </c>
      <c r="EJ15" s="61">
        <f t="shared" si="115"/>
        <v>1.8190243776566182</v>
      </c>
      <c r="EK15" s="61">
        <f t="shared" si="115"/>
        <v>5.4991795764110438E-3</v>
      </c>
      <c r="EL15" s="61">
        <f t="shared" si="115"/>
        <v>37.434580045602516</v>
      </c>
      <c r="EM15" s="61">
        <f t="shared" si="115"/>
        <v>0.12460533245735261</v>
      </c>
      <c r="EN15" s="61">
        <f t="shared" si="115"/>
        <v>40.793253265939704</v>
      </c>
      <c r="EO15" s="61">
        <f t="shared" si="44"/>
        <v>0.1040594327708432</v>
      </c>
      <c r="EP15" s="61">
        <f t="shared" si="44"/>
        <v>0.2886907154204964</v>
      </c>
      <c r="EQ15" s="61">
        <f t="shared" si="44"/>
        <v>19.232632012836461</v>
      </c>
      <c r="ER15" s="61">
        <f t="shared" si="116"/>
        <v>19.125103862991292</v>
      </c>
      <c r="ES15" s="61">
        <f t="shared" si="117"/>
        <v>18.342835377947754</v>
      </c>
      <c r="ET15" s="61">
        <f t="shared" si="118"/>
        <v>16.328050338988433</v>
      </c>
      <c r="EU15" s="61">
        <f t="shared" si="119"/>
        <v>15.512831186631553</v>
      </c>
      <c r="EV15" s="61">
        <f t="shared" si="120"/>
        <v>0.81450364190138425</v>
      </c>
      <c r="EW15" s="61">
        <f t="shared" si="120"/>
        <v>1.3969238585871953</v>
      </c>
    </row>
    <row r="16" spans="1:153" ht="18" customHeight="1">
      <c r="A16" s="23" t="s">
        <v>42</v>
      </c>
      <c r="B16" s="162">
        <v>20243</v>
      </c>
      <c r="C16" s="163">
        <f t="shared" si="45"/>
        <v>7.455463521889813E-2</v>
      </c>
      <c r="D16" s="111">
        <f t="shared" si="46"/>
        <v>0</v>
      </c>
      <c r="E16" s="111">
        <f t="shared" si="0"/>
        <v>0</v>
      </c>
      <c r="F16" s="112">
        <f t="shared" si="1"/>
        <v>0</v>
      </c>
      <c r="G16" s="164">
        <f t="shared" si="2"/>
        <v>0</v>
      </c>
      <c r="H16" s="112">
        <f t="shared" si="47"/>
        <v>0</v>
      </c>
      <c r="I16" s="165">
        <f t="shared" si="3"/>
        <v>0</v>
      </c>
      <c r="J16" s="112">
        <f t="shared" si="4"/>
        <v>0</v>
      </c>
      <c r="K16" s="165">
        <f t="shared" si="5"/>
        <v>0</v>
      </c>
      <c r="L16" s="165">
        <f t="shared" si="6"/>
        <v>0</v>
      </c>
      <c r="M16" s="112">
        <f t="shared" si="48"/>
        <v>0</v>
      </c>
      <c r="N16" s="112">
        <f t="shared" si="49"/>
        <v>0</v>
      </c>
      <c r="O16" s="112">
        <f t="shared" si="50"/>
        <v>0</v>
      </c>
      <c r="P16" s="112">
        <f t="shared" si="51"/>
        <v>0</v>
      </c>
      <c r="Q16" s="112">
        <f t="shared" si="52"/>
        <v>0</v>
      </c>
      <c r="R16" s="112">
        <f t="shared" si="53"/>
        <v>0</v>
      </c>
      <c r="S16" s="152"/>
      <c r="T16" s="17" t="s">
        <v>42</v>
      </c>
      <c r="U16" s="162">
        <v>20243</v>
      </c>
      <c r="V16" s="166">
        <f t="shared" si="54"/>
        <v>8.9295009219313798E-2</v>
      </c>
      <c r="W16" s="48">
        <f t="shared" si="55"/>
        <v>4459.3481129079219</v>
      </c>
      <c r="X16" s="48">
        <f t="shared" si="7"/>
        <v>401.34133016171296</v>
      </c>
      <c r="Y16" s="45">
        <f t="shared" si="56"/>
        <v>0.44593481129079221</v>
      </c>
      <c r="Z16" s="46">
        <f t="shared" si="57"/>
        <v>1.71513388957997E-3</v>
      </c>
      <c r="AA16" s="45">
        <f t="shared" si="8"/>
        <v>44.593481129079223</v>
      </c>
      <c r="AB16" s="46">
        <f t="shared" si="58"/>
        <v>0.171513388957997</v>
      </c>
      <c r="AC16" s="45">
        <f t="shared" si="9"/>
        <v>11.148370282269806</v>
      </c>
      <c r="AD16" s="46">
        <f t="shared" si="59"/>
        <v>4.2878347239499251E-2</v>
      </c>
      <c r="AE16" s="45">
        <f t="shared" si="10"/>
        <v>7.8896158920678625E-2</v>
      </c>
      <c r="AF16" s="45">
        <f t="shared" si="11"/>
        <v>94.984114804938741</v>
      </c>
      <c r="AG16" s="45">
        <f t="shared" si="12"/>
        <v>5.1282503298441098</v>
      </c>
      <c r="AH16" s="45">
        <f t="shared" si="60"/>
        <v>2.2296740564539608</v>
      </c>
      <c r="AI16" s="45">
        <f t="shared" si="13"/>
        <v>3.4559947875036396</v>
      </c>
      <c r="AJ16" s="45">
        <f t="shared" si="61"/>
        <v>0.55741851411349019</v>
      </c>
      <c r="AK16" s="97">
        <f t="shared" si="62"/>
        <v>2.8985762733901494</v>
      </c>
      <c r="AL16" s="97">
        <f t="shared" si="63"/>
        <v>1.7837392451631688</v>
      </c>
      <c r="AM16" s="152"/>
      <c r="AN16" s="17" t="s">
        <v>42</v>
      </c>
      <c r="AO16" s="162">
        <v>20243</v>
      </c>
      <c r="AP16" s="166">
        <f t="shared" si="64"/>
        <v>8.9295009219313798E-2</v>
      </c>
      <c r="AQ16" s="48">
        <f t="shared" si="65"/>
        <v>0</v>
      </c>
      <c r="AR16" s="45">
        <f t="shared" si="66"/>
        <v>0</v>
      </c>
      <c r="AS16" s="45">
        <f t="shared" si="67"/>
        <v>0</v>
      </c>
      <c r="AT16" s="49">
        <f t="shared" si="68"/>
        <v>0</v>
      </c>
      <c r="AU16" s="45">
        <f t="shared" si="69"/>
        <v>0</v>
      </c>
      <c r="AV16" s="46">
        <f t="shared" si="70"/>
        <v>0</v>
      </c>
      <c r="AW16" s="45">
        <f t="shared" si="14"/>
        <v>0</v>
      </c>
      <c r="AX16" s="46">
        <f t="shared" si="71"/>
        <v>0</v>
      </c>
      <c r="AY16" s="46">
        <f t="shared" si="15"/>
        <v>0</v>
      </c>
      <c r="AZ16" s="45">
        <f t="shared" si="72"/>
        <v>0</v>
      </c>
      <c r="BA16" s="45">
        <f t="shared" si="73"/>
        <v>0</v>
      </c>
      <c r="BB16" s="45">
        <f t="shared" si="74"/>
        <v>0</v>
      </c>
      <c r="BC16" s="45">
        <f t="shared" si="75"/>
        <v>0</v>
      </c>
      <c r="BD16" s="45">
        <f t="shared" si="76"/>
        <v>0</v>
      </c>
      <c r="BE16" s="45">
        <f t="shared" si="77"/>
        <v>0</v>
      </c>
      <c r="BF16" s="45">
        <f t="shared" si="78"/>
        <v>0</v>
      </c>
      <c r="BG16" s="152"/>
      <c r="BH16" s="17" t="s">
        <v>42</v>
      </c>
      <c r="BI16" s="162">
        <v>20243</v>
      </c>
      <c r="BJ16" s="166">
        <f t="shared" si="79"/>
        <v>8.9295009219313798E-2</v>
      </c>
      <c r="BK16" s="48">
        <f t="shared" si="80"/>
        <v>2019.9066855464096</v>
      </c>
      <c r="BL16" s="45">
        <f t="shared" si="81"/>
        <v>5.4888768628978521</v>
      </c>
      <c r="BM16" s="45">
        <f t="shared" si="16"/>
        <v>5.5547433852526265</v>
      </c>
      <c r="BN16" s="46">
        <f t="shared" si="82"/>
        <v>2.1364397635587024E-2</v>
      </c>
      <c r="BO16" s="45">
        <f t="shared" si="17"/>
        <v>100.99533427732048</v>
      </c>
      <c r="BP16" s="46">
        <f t="shared" si="83"/>
        <v>0.38844359337430956</v>
      </c>
      <c r="BQ16" s="45">
        <f t="shared" si="84"/>
        <v>84.836080792949204</v>
      </c>
      <c r="BR16" s="46">
        <f t="shared" si="85"/>
        <v>0.32629261843442003</v>
      </c>
      <c r="BS16" s="46">
        <f t="shared" si="86"/>
        <v>0.60037841791933289</v>
      </c>
      <c r="BT16" s="45">
        <f t="shared" si="18"/>
        <v>0.60597200566392284</v>
      </c>
      <c r="BU16" s="45">
        <f t="shared" si="19"/>
        <v>0.69686780651351121</v>
      </c>
      <c r="BV16" s="45">
        <f t="shared" si="87"/>
        <v>0.13129393456051661</v>
      </c>
      <c r="BW16" s="45">
        <f t="shared" si="20"/>
        <v>0.60597200566392284</v>
      </c>
      <c r="BX16" s="45">
        <f t="shared" si="88"/>
        <v>0.11109486770505252</v>
      </c>
      <c r="BY16" s="45">
        <f t="shared" si="89"/>
        <v>0.49487713795887034</v>
      </c>
      <c r="BZ16" s="45">
        <f t="shared" si="90"/>
        <v>3.2318506968742553</v>
      </c>
      <c r="CA16" s="152"/>
      <c r="CB16" s="23" t="s">
        <v>42</v>
      </c>
      <c r="CC16" s="162">
        <v>20243</v>
      </c>
      <c r="CD16" s="163">
        <f t="shared" si="21"/>
        <v>5.1858455595092619E-2</v>
      </c>
      <c r="CE16" s="111">
        <f t="shared" si="91"/>
        <v>0</v>
      </c>
      <c r="CF16" s="112">
        <f t="shared" si="22"/>
        <v>0</v>
      </c>
      <c r="CG16" s="165">
        <f t="shared" si="23"/>
        <v>0</v>
      </c>
      <c r="CH16" s="164">
        <f t="shared" si="24"/>
        <v>0</v>
      </c>
      <c r="CI16" s="112">
        <f t="shared" si="25"/>
        <v>0</v>
      </c>
      <c r="CJ16" s="165">
        <f t="shared" si="26"/>
        <v>0</v>
      </c>
      <c r="CK16" s="112">
        <f t="shared" si="27"/>
        <v>0</v>
      </c>
      <c r="CL16" s="165">
        <f t="shared" si="28"/>
        <v>0</v>
      </c>
      <c r="CM16" s="165">
        <f t="shared" si="29"/>
        <v>0</v>
      </c>
      <c r="CN16" s="112">
        <f t="shared" si="30"/>
        <v>0</v>
      </c>
      <c r="CO16" s="112">
        <f t="shared" si="31"/>
        <v>0</v>
      </c>
      <c r="CP16" s="112">
        <f t="shared" si="31"/>
        <v>0</v>
      </c>
      <c r="CQ16" s="112">
        <f t="shared" si="32"/>
        <v>0</v>
      </c>
      <c r="CR16" s="112">
        <f t="shared" si="32"/>
        <v>0</v>
      </c>
      <c r="CS16" s="112">
        <f t="shared" si="32"/>
        <v>0</v>
      </c>
      <c r="CT16" s="112">
        <f t="shared" si="32"/>
        <v>0</v>
      </c>
      <c r="CU16" s="152"/>
      <c r="CV16" s="17" t="s">
        <v>42</v>
      </c>
      <c r="CW16" s="162">
        <v>20243</v>
      </c>
      <c r="CX16" s="166">
        <f t="shared" si="92"/>
        <v>8.9295009219313798E-2</v>
      </c>
      <c r="CY16" s="44">
        <f t="shared" si="93"/>
        <v>1205.1790214293906</v>
      </c>
      <c r="CZ16" s="45">
        <f t="shared" si="94"/>
        <v>4.6353039285745794</v>
      </c>
      <c r="DA16" s="45">
        <f t="shared" si="95"/>
        <v>0.31334654557164154</v>
      </c>
      <c r="DB16" s="46">
        <f t="shared" si="96"/>
        <v>1.2051790214293906E-3</v>
      </c>
      <c r="DC16" s="45">
        <f t="shared" si="97"/>
        <v>8.5748487374701146</v>
      </c>
      <c r="DD16" s="46">
        <f t="shared" si="98"/>
        <v>3.2980187451808134E-2</v>
      </c>
      <c r="DE16" s="45">
        <f t="shared" si="99"/>
        <v>4.8026384003961216</v>
      </c>
      <c r="DF16" s="46">
        <f t="shared" si="100"/>
        <v>1.8471686155369697E-2</v>
      </c>
      <c r="DG16" s="46">
        <f t="shared" si="33"/>
        <v>3.3987902525880243E-2</v>
      </c>
      <c r="DH16" s="46">
        <f t="shared" si="101"/>
        <v>3.6155370642881712E-2</v>
      </c>
      <c r="DI16" s="46">
        <f t="shared" si="102"/>
        <v>1.2051790214293905E-2</v>
      </c>
      <c r="DJ16" s="46">
        <f t="shared" si="103"/>
        <v>3.0129475535734765E-2</v>
      </c>
      <c r="DK16" s="100">
        <f t="shared" si="104"/>
        <v>6.0258951071469526E-3</v>
      </c>
      <c r="DL16" s="100">
        <f t="shared" si="105"/>
        <v>2.4103580428587811E-2</v>
      </c>
      <c r="DM16" s="100">
        <f t="shared" si="106"/>
        <v>1.8077685321440856E-2</v>
      </c>
      <c r="DN16" s="100">
        <f t="shared" si="107"/>
        <v>3.0129475535734765E-2</v>
      </c>
      <c r="DO16" s="152"/>
      <c r="DP16" s="23" t="s">
        <v>42</v>
      </c>
      <c r="DQ16" s="162">
        <v>20243</v>
      </c>
      <c r="DR16" s="163">
        <f t="shared" si="108"/>
        <v>8.9295009219313798E-2</v>
      </c>
      <c r="DS16" s="111">
        <f t="shared" si="109"/>
        <v>373108.65921181481</v>
      </c>
      <c r="DT16" s="112">
        <f t="shared" si="110"/>
        <v>364.99760140286236</v>
      </c>
      <c r="DU16" s="165">
        <f t="shared" si="34"/>
        <v>3.1714236033004264</v>
      </c>
      <c r="DV16" s="164">
        <f t="shared" si="35"/>
        <v>4.3912019122621286E-3</v>
      </c>
      <c r="DW16" s="165">
        <f t="shared" si="36"/>
        <v>41.041952513299627</v>
      </c>
      <c r="DX16" s="165">
        <f t="shared" si="37"/>
        <v>5.682731886456871E-2</v>
      </c>
      <c r="DY16" s="165">
        <f t="shared" si="38"/>
        <v>111.93259776354445</v>
      </c>
      <c r="DZ16" s="165">
        <f t="shared" si="39"/>
        <v>0.15498359690336924</v>
      </c>
      <c r="EA16" s="165">
        <f t="shared" si="40"/>
        <v>0.79213838417277616</v>
      </c>
      <c r="EB16" s="165">
        <f t="shared" si="41"/>
        <v>4.6638582401476851</v>
      </c>
      <c r="EC16" s="165">
        <f t="shared" si="111"/>
        <v>93.874138657692598</v>
      </c>
      <c r="ED16" s="165">
        <f t="shared" si="42"/>
        <v>93.277164802953706</v>
      </c>
      <c r="EE16" s="165">
        <f t="shared" si="112"/>
        <v>81.057856213766755</v>
      </c>
      <c r="EF16" s="165">
        <f t="shared" si="43"/>
        <v>80.218361730540181</v>
      </c>
      <c r="EG16" s="165">
        <f t="shared" si="113"/>
        <v>0.83576339663446519</v>
      </c>
      <c r="EH16" s="165">
        <f t="shared" si="114"/>
        <v>2.2386519552708886</v>
      </c>
      <c r="EI16" s="17" t="s">
        <v>42</v>
      </c>
      <c r="EJ16" s="61">
        <f t="shared" si="115"/>
        <v>9.4854483454154863</v>
      </c>
      <c r="EK16" s="61">
        <f t="shared" si="115"/>
        <v>2.8675912458858512E-2</v>
      </c>
      <c r="EL16" s="61">
        <f t="shared" si="115"/>
        <v>195.20561665716946</v>
      </c>
      <c r="EM16" s="61">
        <f t="shared" si="115"/>
        <v>0.6497644886486833</v>
      </c>
      <c r="EN16" s="61">
        <f t="shared" si="115"/>
        <v>212.71968723915958</v>
      </c>
      <c r="EO16" s="61">
        <f t="shared" si="44"/>
        <v>0.54262624873265819</v>
      </c>
      <c r="EP16" s="61">
        <f t="shared" si="44"/>
        <v>1.505400863538668</v>
      </c>
      <c r="EQ16" s="61">
        <f t="shared" si="44"/>
        <v>100.29010042139325</v>
      </c>
      <c r="ER16" s="61">
        <f t="shared" si="116"/>
        <v>99.729386269585959</v>
      </c>
      <c r="ES16" s="61">
        <f t="shared" si="117"/>
        <v>95.650184584182483</v>
      </c>
      <c r="ET16" s="61">
        <f t="shared" si="118"/>
        <v>85.143926587362898</v>
      </c>
      <c r="EU16" s="61">
        <f t="shared" si="119"/>
        <v>80.892901007465866</v>
      </c>
      <c r="EV16" s="61">
        <f t="shared" si="120"/>
        <v>4.2472944933049259</v>
      </c>
      <c r="EW16" s="61">
        <f t="shared" si="120"/>
        <v>7.2843713728440473</v>
      </c>
    </row>
    <row r="17" spans="1:153" ht="18" customHeight="1">
      <c r="A17" s="23" t="s">
        <v>43</v>
      </c>
      <c r="B17" s="162">
        <v>3408</v>
      </c>
      <c r="C17" s="163">
        <f t="shared" si="45"/>
        <v>1.2551607806451851E-2</v>
      </c>
      <c r="D17" s="111">
        <f t="shared" si="46"/>
        <v>0</v>
      </c>
      <c r="E17" s="111">
        <f t="shared" si="0"/>
        <v>0</v>
      </c>
      <c r="F17" s="112">
        <f t="shared" si="1"/>
        <v>0</v>
      </c>
      <c r="G17" s="164">
        <f t="shared" si="2"/>
        <v>0</v>
      </c>
      <c r="H17" s="112">
        <f t="shared" si="47"/>
        <v>0</v>
      </c>
      <c r="I17" s="165">
        <f t="shared" si="3"/>
        <v>0</v>
      </c>
      <c r="J17" s="112">
        <f t="shared" si="4"/>
        <v>0</v>
      </c>
      <c r="K17" s="165">
        <f t="shared" si="5"/>
        <v>0</v>
      </c>
      <c r="L17" s="165">
        <f t="shared" si="6"/>
        <v>0</v>
      </c>
      <c r="M17" s="112">
        <f t="shared" si="48"/>
        <v>0</v>
      </c>
      <c r="N17" s="112">
        <f t="shared" si="49"/>
        <v>0</v>
      </c>
      <c r="O17" s="112">
        <f t="shared" si="50"/>
        <v>0</v>
      </c>
      <c r="P17" s="112">
        <f t="shared" si="51"/>
        <v>0</v>
      </c>
      <c r="Q17" s="112">
        <f t="shared" si="52"/>
        <v>0</v>
      </c>
      <c r="R17" s="112">
        <f t="shared" si="53"/>
        <v>0</v>
      </c>
      <c r="S17" s="152"/>
      <c r="T17" s="17" t="s">
        <v>43</v>
      </c>
      <c r="U17" s="162">
        <v>3408</v>
      </c>
      <c r="V17" s="166">
        <f t="shared" si="54"/>
        <v>1.5033215996612233E-2</v>
      </c>
      <c r="W17" s="48">
        <f t="shared" si="55"/>
        <v>750.75129026281661</v>
      </c>
      <c r="X17" s="48">
        <f t="shared" si="7"/>
        <v>67.567616123653494</v>
      </c>
      <c r="Y17" s="45">
        <f t="shared" si="56"/>
        <v>7.5075129026281662E-2</v>
      </c>
      <c r="Z17" s="46">
        <f t="shared" si="57"/>
        <v>2.8875049625492945E-4</v>
      </c>
      <c r="AA17" s="45">
        <f t="shared" si="8"/>
        <v>7.5075129026281662</v>
      </c>
      <c r="AB17" s="46">
        <f t="shared" si="58"/>
        <v>2.8875049625492945E-2</v>
      </c>
      <c r="AC17" s="45">
        <f t="shared" si="9"/>
        <v>1.8768782256570415</v>
      </c>
      <c r="AD17" s="46">
        <f t="shared" si="59"/>
        <v>7.2187624063732364E-3</v>
      </c>
      <c r="AE17" s="45">
        <f t="shared" si="10"/>
        <v>1.3282522827726755E-2</v>
      </c>
      <c r="AF17" s="45">
        <f t="shared" si="11"/>
        <v>15.991002482597995</v>
      </c>
      <c r="AG17" s="45">
        <f t="shared" si="12"/>
        <v>0.86336398380223911</v>
      </c>
      <c r="AH17" s="45">
        <f t="shared" si="60"/>
        <v>0.37537564513140831</v>
      </c>
      <c r="AI17" s="45">
        <f t="shared" si="13"/>
        <v>0.58183224995368288</v>
      </c>
      <c r="AJ17" s="45">
        <f t="shared" si="61"/>
        <v>9.3843911282852077E-2</v>
      </c>
      <c r="AK17" s="97">
        <f t="shared" si="62"/>
        <v>0.4879883386708308</v>
      </c>
      <c r="AL17" s="97">
        <f t="shared" si="63"/>
        <v>0.30030051610512665</v>
      </c>
      <c r="AM17" s="152"/>
      <c r="AN17" s="17" t="s">
        <v>43</v>
      </c>
      <c r="AO17" s="162">
        <v>3408</v>
      </c>
      <c r="AP17" s="166">
        <f t="shared" si="64"/>
        <v>1.5033215996612233E-2</v>
      </c>
      <c r="AQ17" s="48">
        <f t="shared" si="65"/>
        <v>0</v>
      </c>
      <c r="AR17" s="45">
        <f t="shared" si="66"/>
        <v>0</v>
      </c>
      <c r="AS17" s="45">
        <f t="shared" si="67"/>
        <v>0</v>
      </c>
      <c r="AT17" s="49">
        <f t="shared" si="68"/>
        <v>0</v>
      </c>
      <c r="AU17" s="45">
        <f t="shared" si="69"/>
        <v>0</v>
      </c>
      <c r="AV17" s="46">
        <f t="shared" si="70"/>
        <v>0</v>
      </c>
      <c r="AW17" s="45">
        <f t="shared" si="14"/>
        <v>0</v>
      </c>
      <c r="AX17" s="46">
        <f t="shared" si="71"/>
        <v>0</v>
      </c>
      <c r="AY17" s="46">
        <f t="shared" si="15"/>
        <v>0</v>
      </c>
      <c r="AZ17" s="45">
        <f t="shared" si="72"/>
        <v>0</v>
      </c>
      <c r="BA17" s="45">
        <f t="shared" si="73"/>
        <v>0</v>
      </c>
      <c r="BB17" s="45">
        <f t="shared" si="74"/>
        <v>0</v>
      </c>
      <c r="BC17" s="45">
        <f t="shared" si="75"/>
        <v>0</v>
      </c>
      <c r="BD17" s="45">
        <f t="shared" si="76"/>
        <v>0</v>
      </c>
      <c r="BE17" s="45">
        <f t="shared" si="77"/>
        <v>0</v>
      </c>
      <c r="BF17" s="45">
        <f t="shared" si="78"/>
        <v>0</v>
      </c>
      <c r="BG17" s="152"/>
      <c r="BH17" s="17" t="s">
        <v>43</v>
      </c>
      <c r="BI17" s="162">
        <v>3408</v>
      </c>
      <c r="BJ17" s="166">
        <f t="shared" si="79"/>
        <v>1.5033215996612233E-2</v>
      </c>
      <c r="BK17" s="48">
        <f t="shared" si="80"/>
        <v>340.06036577296663</v>
      </c>
      <c r="BL17" s="45">
        <f t="shared" si="81"/>
        <v>0.92407708090480067</v>
      </c>
      <c r="BM17" s="45">
        <f t="shared" si="16"/>
        <v>0.93516600587565823</v>
      </c>
      <c r="BN17" s="46">
        <f t="shared" si="82"/>
        <v>3.596792330290993E-3</v>
      </c>
      <c r="BO17" s="45">
        <f t="shared" si="17"/>
        <v>17.003018288648331</v>
      </c>
      <c r="BP17" s="46">
        <f t="shared" si="83"/>
        <v>6.539622418710897E-2</v>
      </c>
      <c r="BQ17" s="45">
        <f t="shared" si="84"/>
        <v>14.282535362464598</v>
      </c>
      <c r="BR17" s="46">
        <f t="shared" si="85"/>
        <v>5.4932828317171528E-2</v>
      </c>
      <c r="BS17" s="46">
        <f t="shared" si="86"/>
        <v>0.10107640410359561</v>
      </c>
      <c r="BT17" s="45">
        <f t="shared" si="18"/>
        <v>0.10201810973188999</v>
      </c>
      <c r="BU17" s="45">
        <f t="shared" si="19"/>
        <v>0.11732082619167347</v>
      </c>
      <c r="BV17" s="45">
        <f t="shared" si="87"/>
        <v>2.2103923775242833E-2</v>
      </c>
      <c r="BW17" s="45">
        <f t="shared" si="20"/>
        <v>0.10201810973188999</v>
      </c>
      <c r="BX17" s="45">
        <f t="shared" si="88"/>
        <v>1.8703320117513165E-2</v>
      </c>
      <c r="BY17" s="45">
        <f t="shared" si="89"/>
        <v>8.3314789614376827E-2</v>
      </c>
      <c r="BZ17" s="45">
        <f t="shared" si="90"/>
        <v>0.54409658523674664</v>
      </c>
      <c r="CA17" s="152"/>
      <c r="CB17" s="23" t="s">
        <v>43</v>
      </c>
      <c r="CC17" s="162">
        <v>3408</v>
      </c>
      <c r="CD17" s="163">
        <f t="shared" si="21"/>
        <v>8.7306039948661582E-3</v>
      </c>
      <c r="CE17" s="111">
        <f t="shared" si="91"/>
        <v>0</v>
      </c>
      <c r="CF17" s="112">
        <f t="shared" si="22"/>
        <v>0</v>
      </c>
      <c r="CG17" s="165">
        <f t="shared" si="23"/>
        <v>0</v>
      </c>
      <c r="CH17" s="164">
        <f t="shared" si="24"/>
        <v>0</v>
      </c>
      <c r="CI17" s="112">
        <f t="shared" si="25"/>
        <v>0</v>
      </c>
      <c r="CJ17" s="165">
        <f t="shared" si="26"/>
        <v>0</v>
      </c>
      <c r="CK17" s="112">
        <f t="shared" si="27"/>
        <v>0</v>
      </c>
      <c r="CL17" s="165">
        <f t="shared" si="28"/>
        <v>0</v>
      </c>
      <c r="CM17" s="165">
        <f t="shared" si="29"/>
        <v>0</v>
      </c>
      <c r="CN17" s="112">
        <f t="shared" si="30"/>
        <v>0</v>
      </c>
      <c r="CO17" s="112">
        <f t="shared" si="31"/>
        <v>0</v>
      </c>
      <c r="CP17" s="112">
        <f t="shared" si="31"/>
        <v>0</v>
      </c>
      <c r="CQ17" s="112">
        <f t="shared" si="32"/>
        <v>0</v>
      </c>
      <c r="CR17" s="112">
        <f t="shared" si="32"/>
        <v>0</v>
      </c>
      <c r="CS17" s="112">
        <f t="shared" si="32"/>
        <v>0</v>
      </c>
      <c r="CT17" s="112">
        <f t="shared" si="32"/>
        <v>0</v>
      </c>
      <c r="CU17" s="152"/>
      <c r="CV17" s="17" t="s">
        <v>43</v>
      </c>
      <c r="CW17" s="162">
        <v>3408</v>
      </c>
      <c r="CX17" s="166">
        <f t="shared" si="92"/>
        <v>1.5033215996612233E-2</v>
      </c>
      <c r="CY17" s="44">
        <f t="shared" si="93"/>
        <v>202.89730301987666</v>
      </c>
      <c r="CZ17" s="45">
        <f t="shared" si="94"/>
        <v>0.78037424238414099</v>
      </c>
      <c r="DA17" s="45">
        <f t="shared" si="95"/>
        <v>5.2753298785167935E-2</v>
      </c>
      <c r="DB17" s="46">
        <f t="shared" si="96"/>
        <v>2.0289730301987667E-4</v>
      </c>
      <c r="DC17" s="45">
        <f t="shared" si="97"/>
        <v>1.4436143109864223</v>
      </c>
      <c r="DD17" s="46">
        <f t="shared" si="98"/>
        <v>5.5523627345631628E-3</v>
      </c>
      <c r="DE17" s="45">
        <f t="shared" si="99"/>
        <v>0.80854575253420846</v>
      </c>
      <c r="DF17" s="46">
        <f t="shared" si="100"/>
        <v>3.1097913559008017E-3</v>
      </c>
      <c r="DG17" s="46">
        <f t="shared" si="33"/>
        <v>5.7220160948574759E-3</v>
      </c>
      <c r="DH17" s="46">
        <f t="shared" si="101"/>
        <v>6.0869190905962992E-3</v>
      </c>
      <c r="DI17" s="46">
        <f t="shared" si="102"/>
        <v>2.0289730301987666E-3</v>
      </c>
      <c r="DJ17" s="46">
        <f t="shared" si="103"/>
        <v>5.0724325754969166E-3</v>
      </c>
      <c r="DK17" s="100">
        <f t="shared" si="104"/>
        <v>1.0144865150993833E-3</v>
      </c>
      <c r="DL17" s="100">
        <f t="shared" si="105"/>
        <v>4.0579460603975331E-3</v>
      </c>
      <c r="DM17" s="100">
        <f t="shared" si="106"/>
        <v>3.0434595452981496E-3</v>
      </c>
      <c r="DN17" s="100">
        <f t="shared" si="107"/>
        <v>5.0724325754969166E-3</v>
      </c>
      <c r="DO17" s="152"/>
      <c r="DP17" s="23" t="s">
        <v>43</v>
      </c>
      <c r="DQ17" s="162">
        <v>3408</v>
      </c>
      <c r="DR17" s="163">
        <f t="shared" si="108"/>
        <v>1.5033215996612233E-2</v>
      </c>
      <c r="DS17" s="111">
        <f t="shared" si="109"/>
        <v>62814.519122356614</v>
      </c>
      <c r="DT17" s="112">
        <f t="shared" si="110"/>
        <v>61.448986097957558</v>
      </c>
      <c r="DU17" s="165">
        <f t="shared" si="34"/>
        <v>0.53392341254003117</v>
      </c>
      <c r="DV17" s="164">
        <f t="shared" si="35"/>
        <v>7.392785712092739E-4</v>
      </c>
      <c r="DW17" s="165">
        <f t="shared" si="36"/>
        <v>6.9095971034592276</v>
      </c>
      <c r="DX17" s="165">
        <f t="shared" si="37"/>
        <v>9.5671344509435444E-3</v>
      </c>
      <c r="DY17" s="165">
        <f t="shared" si="38"/>
        <v>18.844355736706984</v>
      </c>
      <c r="DZ17" s="165">
        <f t="shared" si="39"/>
        <v>2.6092184866209667E-2</v>
      </c>
      <c r="EA17" s="165">
        <f t="shared" si="40"/>
        <v>0.13336005598284942</v>
      </c>
      <c r="EB17" s="165">
        <f t="shared" si="41"/>
        <v>0.78518148902945772</v>
      </c>
      <c r="EC17" s="165">
        <f t="shared" si="111"/>
        <v>15.804133011184923</v>
      </c>
      <c r="ED17" s="165">
        <f t="shared" si="42"/>
        <v>15.703629780589154</v>
      </c>
      <c r="EE17" s="165">
        <f t="shared" si="112"/>
        <v>13.646454279331975</v>
      </c>
      <c r="EF17" s="165">
        <f t="shared" si="43"/>
        <v>13.505121611306672</v>
      </c>
      <c r="EG17" s="165">
        <f t="shared" si="113"/>
        <v>0.1407045228340788</v>
      </c>
      <c r="EH17" s="165">
        <f t="shared" si="114"/>
        <v>0.37688711473413966</v>
      </c>
      <c r="EI17" s="17" t="s">
        <v>43</v>
      </c>
      <c r="EJ17" s="61">
        <f t="shared" si="115"/>
        <v>1.5969178462271392</v>
      </c>
      <c r="EK17" s="61">
        <f t="shared" si="115"/>
        <v>4.8277187007750733E-3</v>
      </c>
      <c r="EL17" s="61">
        <f t="shared" si="115"/>
        <v>32.863742605722152</v>
      </c>
      <c r="EM17" s="61">
        <f t="shared" si="115"/>
        <v>0.10939077099810862</v>
      </c>
      <c r="EN17" s="61">
        <f t="shared" si="115"/>
        <v>35.812315077362832</v>
      </c>
      <c r="EO17" s="61">
        <f t="shared" si="44"/>
        <v>9.1353566945655232E-2</v>
      </c>
      <c r="EP17" s="61">
        <f t="shared" si="44"/>
        <v>0.25344099900902928</v>
      </c>
      <c r="EQ17" s="61">
        <f t="shared" si="44"/>
        <v>16.88428900044994</v>
      </c>
      <c r="ER17" s="61">
        <f t="shared" si="116"/>
        <v>16.789890253754333</v>
      </c>
      <c r="ES17" s="61">
        <f t="shared" si="117"/>
        <v>16.103138322526004</v>
      </c>
      <c r="ET17" s="61">
        <f t="shared" si="118"/>
        <v>14.334362585077946</v>
      </c>
      <c r="EU17" s="61">
        <f t="shared" si="119"/>
        <v>13.618683329222137</v>
      </c>
      <c r="EV17" s="61">
        <f t="shared" si="120"/>
        <v>0.71505111066458471</v>
      </c>
      <c r="EW17" s="61">
        <f t="shared" si="120"/>
        <v>1.2263566486515098</v>
      </c>
    </row>
    <row r="18" spans="1:153" ht="18" customHeight="1">
      <c r="A18" s="23" t="s">
        <v>44</v>
      </c>
      <c r="B18" s="162">
        <v>56239</v>
      </c>
      <c r="C18" s="163">
        <f t="shared" si="45"/>
        <v>0.20712730969103452</v>
      </c>
      <c r="D18" s="111">
        <f t="shared" si="46"/>
        <v>0</v>
      </c>
      <c r="E18" s="111">
        <f t="shared" si="0"/>
        <v>0</v>
      </c>
      <c r="F18" s="112">
        <f t="shared" si="1"/>
        <v>0</v>
      </c>
      <c r="G18" s="164">
        <f t="shared" si="2"/>
        <v>0</v>
      </c>
      <c r="H18" s="112">
        <f t="shared" si="47"/>
        <v>0</v>
      </c>
      <c r="I18" s="165">
        <f t="shared" si="3"/>
        <v>0</v>
      </c>
      <c r="J18" s="112">
        <f t="shared" si="4"/>
        <v>0</v>
      </c>
      <c r="K18" s="165">
        <f t="shared" si="5"/>
        <v>0</v>
      </c>
      <c r="L18" s="165">
        <f t="shared" si="6"/>
        <v>0</v>
      </c>
      <c r="M18" s="112">
        <f t="shared" si="48"/>
        <v>0</v>
      </c>
      <c r="N18" s="112">
        <f t="shared" si="49"/>
        <v>0</v>
      </c>
      <c r="O18" s="112">
        <f t="shared" si="50"/>
        <v>0</v>
      </c>
      <c r="P18" s="112">
        <f t="shared" si="51"/>
        <v>0</v>
      </c>
      <c r="Q18" s="112">
        <f t="shared" si="52"/>
        <v>0</v>
      </c>
      <c r="R18" s="112">
        <f t="shared" si="53"/>
        <v>0</v>
      </c>
      <c r="S18" s="152"/>
      <c r="T18" s="17" t="s">
        <v>44</v>
      </c>
      <c r="U18" s="162">
        <v>56239</v>
      </c>
      <c r="V18" s="166">
        <f t="shared" si="54"/>
        <v>0.24807894202860192</v>
      </c>
      <c r="W18" s="48">
        <f t="shared" si="55"/>
        <v>12388.938325437366</v>
      </c>
      <c r="X18" s="48">
        <f t="shared" si="7"/>
        <v>1115.0044492893628</v>
      </c>
      <c r="Y18" s="45">
        <f t="shared" si="56"/>
        <v>1.2388938325437366</v>
      </c>
      <c r="Z18" s="46">
        <f t="shared" si="57"/>
        <v>4.7649762790143713E-3</v>
      </c>
      <c r="AA18" s="45">
        <f t="shared" si="8"/>
        <v>123.88938325437367</v>
      </c>
      <c r="AB18" s="46">
        <f t="shared" si="58"/>
        <v>0.47649762790143718</v>
      </c>
      <c r="AC18" s="45">
        <f t="shared" si="9"/>
        <v>30.972345813593417</v>
      </c>
      <c r="AD18" s="46">
        <f t="shared" si="59"/>
        <v>0.1191244069753593</v>
      </c>
      <c r="AE18" s="45">
        <f t="shared" si="10"/>
        <v>0.21918890883466111</v>
      </c>
      <c r="AF18" s="45">
        <f t="shared" si="11"/>
        <v>263.8843863318159</v>
      </c>
      <c r="AG18" s="45">
        <f t="shared" si="12"/>
        <v>14.247279074252971</v>
      </c>
      <c r="AH18" s="45">
        <f t="shared" si="60"/>
        <v>6.1944691627186828</v>
      </c>
      <c r="AI18" s="45">
        <f t="shared" si="13"/>
        <v>9.6014272022139586</v>
      </c>
      <c r="AJ18" s="45">
        <f t="shared" si="61"/>
        <v>1.5486172906796707</v>
      </c>
      <c r="AK18" s="97">
        <f t="shared" si="62"/>
        <v>8.0528099115342879</v>
      </c>
      <c r="AL18" s="97">
        <f t="shared" si="63"/>
        <v>4.9555753301749466</v>
      </c>
      <c r="AM18" s="152"/>
      <c r="AN18" s="17" t="s">
        <v>44</v>
      </c>
      <c r="AO18" s="162">
        <v>56239</v>
      </c>
      <c r="AP18" s="166">
        <f t="shared" si="64"/>
        <v>0.24807894202860192</v>
      </c>
      <c r="AQ18" s="48">
        <f t="shared" si="65"/>
        <v>0</v>
      </c>
      <c r="AR18" s="45">
        <f t="shared" si="66"/>
        <v>0</v>
      </c>
      <c r="AS18" s="45">
        <f t="shared" si="67"/>
        <v>0</v>
      </c>
      <c r="AT18" s="49">
        <f t="shared" si="68"/>
        <v>0</v>
      </c>
      <c r="AU18" s="45">
        <f t="shared" si="69"/>
        <v>0</v>
      </c>
      <c r="AV18" s="46">
        <f t="shared" si="70"/>
        <v>0</v>
      </c>
      <c r="AW18" s="45">
        <f t="shared" si="14"/>
        <v>0</v>
      </c>
      <c r="AX18" s="46">
        <f t="shared" si="71"/>
        <v>0</v>
      </c>
      <c r="AY18" s="46">
        <f t="shared" si="15"/>
        <v>0</v>
      </c>
      <c r="AZ18" s="45">
        <f t="shared" si="72"/>
        <v>0</v>
      </c>
      <c r="BA18" s="45">
        <f t="shared" si="73"/>
        <v>0</v>
      </c>
      <c r="BB18" s="45">
        <f t="shared" si="74"/>
        <v>0</v>
      </c>
      <c r="BC18" s="45">
        <f t="shared" si="75"/>
        <v>0</v>
      </c>
      <c r="BD18" s="45">
        <f t="shared" si="76"/>
        <v>0</v>
      </c>
      <c r="BE18" s="45">
        <f t="shared" si="77"/>
        <v>0</v>
      </c>
      <c r="BF18" s="45">
        <f t="shared" si="78"/>
        <v>0</v>
      </c>
      <c r="BG18" s="152"/>
      <c r="BH18" s="17" t="s">
        <v>44</v>
      </c>
      <c r="BI18" s="162">
        <v>56239</v>
      </c>
      <c r="BJ18" s="166">
        <f t="shared" si="79"/>
        <v>0.24807894202860192</v>
      </c>
      <c r="BK18" s="48">
        <f t="shared" si="80"/>
        <v>5611.6945160521927</v>
      </c>
      <c r="BL18" s="45">
        <f t="shared" si="81"/>
        <v>15.249169880576611</v>
      </c>
      <c r="BM18" s="45">
        <f t="shared" si="16"/>
        <v>15.432159919143531</v>
      </c>
      <c r="BN18" s="46">
        <f t="shared" si="82"/>
        <v>5.9354461227475119E-2</v>
      </c>
      <c r="BO18" s="45">
        <f t="shared" si="17"/>
        <v>280.58472580260963</v>
      </c>
      <c r="BP18" s="46">
        <f t="shared" si="83"/>
        <v>1.0791720223177292</v>
      </c>
      <c r="BQ18" s="45">
        <f t="shared" si="84"/>
        <v>235.69116967419208</v>
      </c>
      <c r="BR18" s="46">
        <f t="shared" si="85"/>
        <v>0.90650449874689265</v>
      </c>
      <c r="BS18" s="46">
        <f t="shared" si="86"/>
        <v>1.6679682776942824</v>
      </c>
      <c r="BT18" s="45">
        <f t="shared" si="18"/>
        <v>1.683508354815658</v>
      </c>
      <c r="BU18" s="45">
        <f t="shared" si="19"/>
        <v>1.9360346080380064</v>
      </c>
      <c r="BV18" s="45">
        <f t="shared" si="87"/>
        <v>0.36476014354339253</v>
      </c>
      <c r="BW18" s="45">
        <f t="shared" si="20"/>
        <v>1.683508354815658</v>
      </c>
      <c r="BX18" s="45">
        <f t="shared" si="88"/>
        <v>0.30864319838287058</v>
      </c>
      <c r="BY18" s="45">
        <f t="shared" si="89"/>
        <v>1.3748651564327872</v>
      </c>
      <c r="BZ18" s="45">
        <f t="shared" si="90"/>
        <v>8.978711225683508</v>
      </c>
      <c r="CA18" s="152"/>
      <c r="CB18" s="23" t="s">
        <v>44</v>
      </c>
      <c r="CC18" s="162">
        <v>56239</v>
      </c>
      <c r="CD18" s="163">
        <f t="shared" si="21"/>
        <v>0.14407289849391958</v>
      </c>
      <c r="CE18" s="111">
        <f t="shared" si="91"/>
        <v>0</v>
      </c>
      <c r="CF18" s="112">
        <f t="shared" si="22"/>
        <v>0</v>
      </c>
      <c r="CG18" s="165">
        <f t="shared" si="23"/>
        <v>0</v>
      </c>
      <c r="CH18" s="164">
        <f t="shared" si="24"/>
        <v>0</v>
      </c>
      <c r="CI18" s="112">
        <f t="shared" si="25"/>
        <v>0</v>
      </c>
      <c r="CJ18" s="165">
        <f t="shared" si="26"/>
        <v>0</v>
      </c>
      <c r="CK18" s="112">
        <f t="shared" si="27"/>
        <v>0</v>
      </c>
      <c r="CL18" s="165">
        <f t="shared" si="28"/>
        <v>0</v>
      </c>
      <c r="CM18" s="165">
        <f t="shared" si="29"/>
        <v>0</v>
      </c>
      <c r="CN18" s="112">
        <f t="shared" si="30"/>
        <v>0</v>
      </c>
      <c r="CO18" s="112">
        <f t="shared" si="31"/>
        <v>0</v>
      </c>
      <c r="CP18" s="112">
        <f t="shared" si="31"/>
        <v>0</v>
      </c>
      <c r="CQ18" s="112">
        <f t="shared" si="32"/>
        <v>0</v>
      </c>
      <c r="CR18" s="112">
        <f t="shared" si="32"/>
        <v>0</v>
      </c>
      <c r="CS18" s="112">
        <f t="shared" si="32"/>
        <v>0</v>
      </c>
      <c r="CT18" s="112">
        <f t="shared" si="32"/>
        <v>0</v>
      </c>
      <c r="CU18" s="152"/>
      <c r="CV18" s="17" t="s">
        <v>44</v>
      </c>
      <c r="CW18" s="162">
        <v>56239</v>
      </c>
      <c r="CX18" s="166">
        <f t="shared" si="92"/>
        <v>0.24807894202860192</v>
      </c>
      <c r="CY18" s="44">
        <f t="shared" si="93"/>
        <v>3348.2222489832288</v>
      </c>
      <c r="CZ18" s="45">
        <f t="shared" si="94"/>
        <v>12.877777880704727</v>
      </c>
      <c r="DA18" s="45">
        <f t="shared" si="95"/>
        <v>0.87053778473563959</v>
      </c>
      <c r="DB18" s="46">
        <f t="shared" si="96"/>
        <v>3.3482222489832291E-3</v>
      </c>
      <c r="DC18" s="45">
        <f t="shared" si="97"/>
        <v>23.822601301515675</v>
      </c>
      <c r="DD18" s="46">
        <f t="shared" si="98"/>
        <v>9.1625389621214137E-2</v>
      </c>
      <c r="DE18" s="45">
        <f t="shared" si="99"/>
        <v>13.342665662198167</v>
      </c>
      <c r="DF18" s="46">
        <f t="shared" si="100"/>
        <v>5.1317944854608333E-2</v>
      </c>
      <c r="DG18" s="46">
        <f t="shared" si="33"/>
        <v>9.4425018532479338E-2</v>
      </c>
      <c r="DH18" s="46">
        <f t="shared" si="101"/>
        <v>0.10044666746949686</v>
      </c>
      <c r="DI18" s="46">
        <f t="shared" si="102"/>
        <v>3.3482222489832292E-2</v>
      </c>
      <c r="DJ18" s="46">
        <f t="shared" si="103"/>
        <v>8.3705556224580729E-2</v>
      </c>
      <c r="DK18" s="100">
        <f t="shared" si="104"/>
        <v>1.6741111244916146E-2</v>
      </c>
      <c r="DL18" s="100">
        <f t="shared" si="105"/>
        <v>6.6964444979664584E-2</v>
      </c>
      <c r="DM18" s="100">
        <f t="shared" si="106"/>
        <v>5.0223333734748431E-2</v>
      </c>
      <c r="DN18" s="100">
        <f t="shared" si="107"/>
        <v>8.3705556224580729E-2</v>
      </c>
      <c r="DO18" s="152"/>
      <c r="DP18" s="23" t="s">
        <v>44</v>
      </c>
      <c r="DQ18" s="162">
        <v>56239</v>
      </c>
      <c r="DR18" s="163">
        <f t="shared" si="108"/>
        <v>0.24807894202860192</v>
      </c>
      <c r="DS18" s="111">
        <f t="shared" si="109"/>
        <v>1036568.5859513538</v>
      </c>
      <c r="DT18" s="112">
        <f t="shared" si="110"/>
        <v>1014.034486256759</v>
      </c>
      <c r="DU18" s="165">
        <f t="shared" si="34"/>
        <v>8.8108329805865075</v>
      </c>
      <c r="DV18" s="164">
        <f t="shared" si="35"/>
        <v>1.2199614896196703E-2</v>
      </c>
      <c r="DW18" s="165">
        <f t="shared" si="36"/>
        <v>114.02254445464892</v>
      </c>
      <c r="DX18" s="165">
        <f t="shared" si="37"/>
        <v>0.15787736924489851</v>
      </c>
      <c r="DY18" s="165">
        <f t="shared" si="38"/>
        <v>310.97057578540608</v>
      </c>
      <c r="DZ18" s="165">
        <f t="shared" si="39"/>
        <v>0.43057464339517759</v>
      </c>
      <c r="EA18" s="165">
        <f t="shared" si="40"/>
        <v>2.2007148440197972</v>
      </c>
      <c r="EB18" s="165">
        <f t="shared" si="41"/>
        <v>12.957107324391924</v>
      </c>
      <c r="EC18" s="165">
        <f t="shared" si="111"/>
        <v>260.80065622536063</v>
      </c>
      <c r="ED18" s="165">
        <f t="shared" si="42"/>
        <v>259.14214648783843</v>
      </c>
      <c r="EE18" s="165">
        <f t="shared" si="112"/>
        <v>225.19452529793159</v>
      </c>
      <c r="EF18" s="165">
        <f t="shared" si="43"/>
        <v>222.86224597954106</v>
      </c>
      <c r="EG18" s="165">
        <f t="shared" si="113"/>
        <v>2.3219136325310323</v>
      </c>
      <c r="EH18" s="165">
        <f t="shared" si="114"/>
        <v>6.2194115157081225</v>
      </c>
      <c r="EI18" s="17" t="s">
        <v>44</v>
      </c>
      <c r="EJ18" s="61">
        <f t="shared" si="115"/>
        <v>26.352424517009414</v>
      </c>
      <c r="EK18" s="61">
        <f t="shared" si="115"/>
        <v>7.9667274651669423E-2</v>
      </c>
      <c r="EL18" s="61">
        <f t="shared" si="115"/>
        <v>542.31925481314795</v>
      </c>
      <c r="EM18" s="61">
        <f t="shared" si="115"/>
        <v>1.805172409085279</v>
      </c>
      <c r="EN18" s="61">
        <f t="shared" si="115"/>
        <v>590.97675693538974</v>
      </c>
      <c r="EO18" s="61">
        <f t="shared" si="44"/>
        <v>1.5075214939720378</v>
      </c>
      <c r="EP18" s="61">
        <f t="shared" si="44"/>
        <v>4.1822970490812201</v>
      </c>
      <c r="EQ18" s="61">
        <f t="shared" si="44"/>
        <v>278.625448678493</v>
      </c>
      <c r="ER18" s="61">
        <f t="shared" si="116"/>
        <v>277.06767546387618</v>
      </c>
      <c r="ES18" s="61">
        <f t="shared" si="117"/>
        <v>265.73485801659035</v>
      </c>
      <c r="ET18" s="61">
        <f t="shared" si="118"/>
        <v>236.54642529994086</v>
      </c>
      <c r="EU18" s="61">
        <f t="shared" si="119"/>
        <v>224.73624757984851</v>
      </c>
      <c r="EV18" s="61">
        <f t="shared" si="120"/>
        <v>11.799812034232856</v>
      </c>
      <c r="EW18" s="61">
        <f t="shared" si="120"/>
        <v>20.23740362779116</v>
      </c>
    </row>
    <row r="19" spans="1:153" ht="18" customHeight="1">
      <c r="A19" s="23" t="s">
        <v>45</v>
      </c>
      <c r="B19" s="162">
        <v>27</v>
      </c>
      <c r="C19" s="163">
        <f t="shared" si="45"/>
        <v>9.9440554804636135E-5</v>
      </c>
      <c r="D19" s="111">
        <f t="shared" si="46"/>
        <v>0</v>
      </c>
      <c r="E19" s="111">
        <f t="shared" si="0"/>
        <v>0</v>
      </c>
      <c r="F19" s="112">
        <f t="shared" si="1"/>
        <v>0</v>
      </c>
      <c r="G19" s="164">
        <f t="shared" si="2"/>
        <v>0</v>
      </c>
      <c r="H19" s="112">
        <f t="shared" si="47"/>
        <v>0</v>
      </c>
      <c r="I19" s="165">
        <f t="shared" si="3"/>
        <v>0</v>
      </c>
      <c r="J19" s="112">
        <f t="shared" si="4"/>
        <v>0</v>
      </c>
      <c r="K19" s="165">
        <f t="shared" si="5"/>
        <v>0</v>
      </c>
      <c r="L19" s="165">
        <f t="shared" si="6"/>
        <v>0</v>
      </c>
      <c r="M19" s="112">
        <f t="shared" si="48"/>
        <v>0</v>
      </c>
      <c r="N19" s="112">
        <f t="shared" si="49"/>
        <v>0</v>
      </c>
      <c r="O19" s="112">
        <f t="shared" si="50"/>
        <v>0</v>
      </c>
      <c r="P19" s="112">
        <f t="shared" si="51"/>
        <v>0</v>
      </c>
      <c r="Q19" s="112">
        <f t="shared" si="52"/>
        <v>0</v>
      </c>
      <c r="R19" s="112">
        <f t="shared" si="53"/>
        <v>0</v>
      </c>
      <c r="S19" s="152"/>
      <c r="T19" s="17" t="s">
        <v>45</v>
      </c>
      <c r="U19" s="162">
        <v>27</v>
      </c>
      <c r="V19" s="166">
        <f t="shared" si="54"/>
        <v>1.1910118307175185E-4</v>
      </c>
      <c r="W19" s="48">
        <f t="shared" si="55"/>
        <v>5.9478535320117514</v>
      </c>
      <c r="X19" s="48">
        <f t="shared" si="7"/>
        <v>0.53530681788105761</v>
      </c>
      <c r="Y19" s="45">
        <f t="shared" si="56"/>
        <v>5.9478535320117525E-4</v>
      </c>
      <c r="Z19" s="46">
        <f t="shared" si="57"/>
        <v>2.2876359738506742E-6</v>
      </c>
      <c r="AA19" s="45">
        <f t="shared" si="8"/>
        <v>5.9478535320117515E-2</v>
      </c>
      <c r="AB19" s="46">
        <f t="shared" si="58"/>
        <v>2.2876359738506738E-4</v>
      </c>
      <c r="AC19" s="45">
        <f t="shared" si="9"/>
        <v>1.4869633830029379E-2</v>
      </c>
      <c r="AD19" s="46">
        <f t="shared" si="59"/>
        <v>5.7190899346266844E-5</v>
      </c>
      <c r="AE19" s="45">
        <f t="shared" si="10"/>
        <v>1.0523125479713099E-4</v>
      </c>
      <c r="AF19" s="45">
        <f t="shared" si="11"/>
        <v>0.1266892802318503</v>
      </c>
      <c r="AG19" s="45">
        <f t="shared" si="12"/>
        <v>6.840031561813514E-3</v>
      </c>
      <c r="AH19" s="45">
        <f t="shared" si="60"/>
        <v>2.9739267660058755E-3</v>
      </c>
      <c r="AI19" s="45">
        <f t="shared" si="13"/>
        <v>4.6095864873091068E-3</v>
      </c>
      <c r="AJ19" s="45">
        <f t="shared" si="61"/>
        <v>7.4348169150146887E-4</v>
      </c>
      <c r="AK19" s="97">
        <f t="shared" si="62"/>
        <v>3.8661047958076385E-3</v>
      </c>
      <c r="AL19" s="97">
        <f t="shared" si="63"/>
        <v>2.379141412804701E-3</v>
      </c>
      <c r="AM19" s="152"/>
      <c r="AN19" s="17" t="s">
        <v>45</v>
      </c>
      <c r="AO19" s="162">
        <v>27</v>
      </c>
      <c r="AP19" s="166">
        <f t="shared" si="64"/>
        <v>1.1910118307175185E-4</v>
      </c>
      <c r="AQ19" s="48">
        <f t="shared" si="65"/>
        <v>0</v>
      </c>
      <c r="AR19" s="45">
        <f t="shared" si="66"/>
        <v>0</v>
      </c>
      <c r="AS19" s="45">
        <f t="shared" si="67"/>
        <v>0</v>
      </c>
      <c r="AT19" s="49">
        <f t="shared" si="68"/>
        <v>0</v>
      </c>
      <c r="AU19" s="45">
        <f t="shared" si="69"/>
        <v>0</v>
      </c>
      <c r="AV19" s="46">
        <f t="shared" si="70"/>
        <v>0</v>
      </c>
      <c r="AW19" s="45">
        <f t="shared" si="14"/>
        <v>0</v>
      </c>
      <c r="AX19" s="46">
        <f t="shared" si="71"/>
        <v>0</v>
      </c>
      <c r="AY19" s="46">
        <f t="shared" si="15"/>
        <v>0</v>
      </c>
      <c r="AZ19" s="45">
        <f t="shared" si="72"/>
        <v>0</v>
      </c>
      <c r="BA19" s="45">
        <f t="shared" si="73"/>
        <v>0</v>
      </c>
      <c r="BB19" s="45">
        <f t="shared" si="74"/>
        <v>0</v>
      </c>
      <c r="BC19" s="45">
        <f t="shared" si="75"/>
        <v>0</v>
      </c>
      <c r="BD19" s="45">
        <f t="shared" si="76"/>
        <v>0</v>
      </c>
      <c r="BE19" s="45">
        <f t="shared" si="77"/>
        <v>0</v>
      </c>
      <c r="BF19" s="45">
        <f t="shared" si="78"/>
        <v>0</v>
      </c>
      <c r="BG19" s="152"/>
      <c r="BH19" s="17" t="s">
        <v>45</v>
      </c>
      <c r="BI19" s="162">
        <v>27</v>
      </c>
      <c r="BJ19" s="166">
        <f t="shared" si="79"/>
        <v>1.1910118307175185E-4</v>
      </c>
      <c r="BK19" s="48">
        <f t="shared" si="80"/>
        <v>2.6941402217928698</v>
      </c>
      <c r="BL19" s="45">
        <f t="shared" si="81"/>
        <v>7.3210332113936684E-3</v>
      </c>
      <c r="BM19" s="45">
        <f t="shared" si="16"/>
        <v>7.4088856099303923E-3</v>
      </c>
      <c r="BN19" s="46">
        <f t="shared" si="82"/>
        <v>2.8495713884347664E-5</v>
      </c>
      <c r="BO19" s="45">
        <f t="shared" si="17"/>
        <v>0.13470701108964347</v>
      </c>
      <c r="BP19" s="46">
        <f t="shared" si="83"/>
        <v>5.1810388880632109E-4</v>
      </c>
      <c r="BQ19" s="45">
        <f t="shared" si="84"/>
        <v>0.11315388931530053</v>
      </c>
      <c r="BR19" s="46">
        <f t="shared" si="85"/>
        <v>4.3520726659730972E-4</v>
      </c>
      <c r="BS19" s="46">
        <f t="shared" si="86"/>
        <v>8.0078137053904994E-4</v>
      </c>
      <c r="BT19" s="45">
        <f t="shared" si="18"/>
        <v>8.0824206653786086E-4</v>
      </c>
      <c r="BU19" s="45">
        <f t="shared" si="19"/>
        <v>9.2947837651854005E-4</v>
      </c>
      <c r="BV19" s="45">
        <f t="shared" si="87"/>
        <v>1.7511911441653655E-4</v>
      </c>
      <c r="BW19" s="45">
        <f t="shared" si="20"/>
        <v>8.0824206653786086E-4</v>
      </c>
      <c r="BX19" s="45">
        <f t="shared" si="88"/>
        <v>1.4817771219860783E-4</v>
      </c>
      <c r="BY19" s="45">
        <f t="shared" si="89"/>
        <v>6.6006435433925317E-4</v>
      </c>
      <c r="BZ19" s="45">
        <f t="shared" si="90"/>
        <v>4.3106243548685919E-3</v>
      </c>
      <c r="CA19" s="152"/>
      <c r="CB19" s="23" t="s">
        <v>45</v>
      </c>
      <c r="CC19" s="162">
        <v>27</v>
      </c>
      <c r="CD19" s="163">
        <f t="shared" si="21"/>
        <v>6.9168517564960764E-5</v>
      </c>
      <c r="CE19" s="111">
        <f t="shared" si="91"/>
        <v>0</v>
      </c>
      <c r="CF19" s="112">
        <f t="shared" si="22"/>
        <v>0</v>
      </c>
      <c r="CG19" s="165">
        <f t="shared" si="23"/>
        <v>0</v>
      </c>
      <c r="CH19" s="164">
        <f t="shared" si="24"/>
        <v>0</v>
      </c>
      <c r="CI19" s="112">
        <f t="shared" si="25"/>
        <v>0</v>
      </c>
      <c r="CJ19" s="165">
        <f t="shared" si="26"/>
        <v>0</v>
      </c>
      <c r="CK19" s="112">
        <f t="shared" si="27"/>
        <v>0</v>
      </c>
      <c r="CL19" s="165">
        <f t="shared" si="28"/>
        <v>0</v>
      </c>
      <c r="CM19" s="165">
        <f t="shared" si="29"/>
        <v>0</v>
      </c>
      <c r="CN19" s="112">
        <f t="shared" si="30"/>
        <v>0</v>
      </c>
      <c r="CO19" s="112">
        <f t="shared" si="31"/>
        <v>0</v>
      </c>
      <c r="CP19" s="112">
        <f t="shared" si="31"/>
        <v>0</v>
      </c>
      <c r="CQ19" s="112">
        <f t="shared" si="32"/>
        <v>0</v>
      </c>
      <c r="CR19" s="112">
        <f t="shared" si="32"/>
        <v>0</v>
      </c>
      <c r="CS19" s="112">
        <f t="shared" si="32"/>
        <v>0</v>
      </c>
      <c r="CT19" s="112">
        <f t="shared" si="32"/>
        <v>0</v>
      </c>
      <c r="CU19" s="152"/>
      <c r="CV19" s="17" t="s">
        <v>45</v>
      </c>
      <c r="CW19" s="162">
        <v>27</v>
      </c>
      <c r="CX19" s="166">
        <f t="shared" si="92"/>
        <v>1.1910118307175185E-4</v>
      </c>
      <c r="CY19" s="44">
        <f t="shared" si="93"/>
        <v>1.607461027446206</v>
      </c>
      <c r="CZ19" s="45">
        <f t="shared" si="94"/>
        <v>6.182542413254638E-3</v>
      </c>
      <c r="DA19" s="45">
        <f t="shared" si="95"/>
        <v>4.1793986713601353E-4</v>
      </c>
      <c r="DB19" s="46">
        <f t="shared" si="96"/>
        <v>1.607461027446206E-6</v>
      </c>
      <c r="DC19" s="45">
        <f t="shared" si="97"/>
        <v>1.1437085210279757E-2</v>
      </c>
      <c r="DD19" s="46">
        <f t="shared" si="98"/>
        <v>4.3988789270306758E-5</v>
      </c>
      <c r="DE19" s="45">
        <f t="shared" si="99"/>
        <v>6.4057321943731304E-3</v>
      </c>
      <c r="DF19" s="46">
        <f t="shared" si="100"/>
        <v>2.4637431516819732E-5</v>
      </c>
      <c r="DG19" s="46">
        <f t="shared" si="33"/>
        <v>4.5332873990948311E-5</v>
      </c>
      <c r="DH19" s="46">
        <f t="shared" si="101"/>
        <v>4.8223830823386179E-5</v>
      </c>
      <c r="DI19" s="46">
        <f t="shared" si="102"/>
        <v>1.6074610274462061E-5</v>
      </c>
      <c r="DJ19" s="46">
        <f t="shared" si="103"/>
        <v>4.0186525686155153E-5</v>
      </c>
      <c r="DK19" s="100">
        <f t="shared" si="104"/>
        <v>8.0373051372310304E-6</v>
      </c>
      <c r="DL19" s="100">
        <f t="shared" si="105"/>
        <v>3.2149220548924121E-5</v>
      </c>
      <c r="DM19" s="100">
        <f t="shared" si="106"/>
        <v>2.4111915411693089E-5</v>
      </c>
      <c r="DN19" s="100">
        <f t="shared" si="107"/>
        <v>4.0186525686155153E-5</v>
      </c>
      <c r="DO19" s="152"/>
      <c r="DP19" s="23" t="s">
        <v>45</v>
      </c>
      <c r="DQ19" s="162">
        <v>27</v>
      </c>
      <c r="DR19" s="163">
        <f t="shared" si="108"/>
        <v>1.1910118307175185E-4</v>
      </c>
      <c r="DS19" s="111">
        <f t="shared" si="109"/>
        <v>497.65023952571261</v>
      </c>
      <c r="DT19" s="112">
        <f t="shared" si="110"/>
        <v>0.4868317560577623</v>
      </c>
      <c r="DU19" s="165">
        <f t="shared" si="34"/>
        <v>4.2300270359685579E-3</v>
      </c>
      <c r="DV19" s="164">
        <f t="shared" si="35"/>
        <v>5.8569605113410803E-6</v>
      </c>
      <c r="DW19" s="165">
        <f t="shared" si="36"/>
        <v>5.474152634782839E-2</v>
      </c>
      <c r="DX19" s="165">
        <f t="shared" si="37"/>
        <v>7.579595955853162E-5</v>
      </c>
      <c r="DY19" s="165">
        <f t="shared" si="38"/>
        <v>0.14929507185771376</v>
      </c>
      <c r="DZ19" s="165">
        <f t="shared" si="39"/>
        <v>2.0671625334144983E-4</v>
      </c>
      <c r="EA19" s="165">
        <f t="shared" si="40"/>
        <v>1.0565497393007434E-3</v>
      </c>
      <c r="EB19" s="165">
        <f t="shared" si="41"/>
        <v>6.2206279940714079E-3</v>
      </c>
      <c r="EC19" s="165">
        <f t="shared" si="111"/>
        <v>0.1252088002646693</v>
      </c>
      <c r="ED19" s="165">
        <f t="shared" si="42"/>
        <v>0.12441255988142816</v>
      </c>
      <c r="EE19" s="165">
        <f t="shared" si="112"/>
        <v>0.10811451453696107</v>
      </c>
      <c r="EF19" s="165">
        <f t="shared" si="43"/>
        <v>0.10699480149802822</v>
      </c>
      <c r="EG19" s="165">
        <f t="shared" si="113"/>
        <v>1.1147365365375961E-3</v>
      </c>
      <c r="EH19" s="165">
        <f t="shared" si="114"/>
        <v>2.9859014371542755E-3</v>
      </c>
      <c r="EI19" s="17" t="s">
        <v>45</v>
      </c>
      <c r="EJ19" s="61">
        <f t="shared" si="115"/>
        <v>1.2651637866236139E-2</v>
      </c>
      <c r="EK19" s="61">
        <f t="shared" si="115"/>
        <v>3.8247771396985624E-5</v>
      </c>
      <c r="EL19" s="61">
        <f t="shared" si="115"/>
        <v>0.26036415796786916</v>
      </c>
      <c r="EM19" s="61">
        <f t="shared" si="115"/>
        <v>8.6665223502022689E-4</v>
      </c>
      <c r="EN19" s="61">
        <f t="shared" si="115"/>
        <v>0.2837243271974168</v>
      </c>
      <c r="EO19" s="61">
        <f t="shared" si="44"/>
        <v>7.237518508018462E-4</v>
      </c>
      <c r="EP19" s="61">
        <f t="shared" si="44"/>
        <v>2.0078952386278727E-3</v>
      </c>
      <c r="EQ19" s="61">
        <f t="shared" si="44"/>
        <v>0.13376637412328299</v>
      </c>
      <c r="ER19" s="61">
        <f t="shared" si="116"/>
        <v>0.13301849672868751</v>
      </c>
      <c r="ES19" s="61">
        <f t="shared" si="117"/>
        <v>0.12757768037212502</v>
      </c>
      <c r="ET19" s="61">
        <f t="shared" si="118"/>
        <v>0.11356449231135696</v>
      </c>
      <c r="EU19" s="61">
        <f t="shared" si="119"/>
        <v>0.10789449820686553</v>
      </c>
      <c r="EV19" s="61">
        <f t="shared" si="120"/>
        <v>5.6650176020961807E-3</v>
      </c>
      <c r="EW19" s="61">
        <f t="shared" si="120"/>
        <v>9.7158537305137242E-3</v>
      </c>
    </row>
    <row r="20" spans="1:153" ht="18" customHeight="1">
      <c r="A20" s="23" t="s">
        <v>46</v>
      </c>
      <c r="B20" s="162">
        <v>19658</v>
      </c>
      <c r="C20" s="163">
        <f t="shared" si="45"/>
        <v>7.2400089864797679E-2</v>
      </c>
      <c r="D20" s="111">
        <f t="shared" si="46"/>
        <v>0</v>
      </c>
      <c r="E20" s="111">
        <f t="shared" si="0"/>
        <v>0</v>
      </c>
      <c r="F20" s="112">
        <f t="shared" si="1"/>
        <v>0</v>
      </c>
      <c r="G20" s="164">
        <f t="shared" si="2"/>
        <v>0</v>
      </c>
      <c r="H20" s="112">
        <f t="shared" si="47"/>
        <v>0</v>
      </c>
      <c r="I20" s="165">
        <f t="shared" si="3"/>
        <v>0</v>
      </c>
      <c r="J20" s="112">
        <f t="shared" si="4"/>
        <v>0</v>
      </c>
      <c r="K20" s="165">
        <f t="shared" si="5"/>
        <v>0</v>
      </c>
      <c r="L20" s="165">
        <f t="shared" si="6"/>
        <v>0</v>
      </c>
      <c r="M20" s="112">
        <f t="shared" si="48"/>
        <v>0</v>
      </c>
      <c r="N20" s="112">
        <f t="shared" si="49"/>
        <v>0</v>
      </c>
      <c r="O20" s="112">
        <f t="shared" si="50"/>
        <v>0</v>
      </c>
      <c r="P20" s="112">
        <f t="shared" si="51"/>
        <v>0</v>
      </c>
      <c r="Q20" s="112">
        <f t="shared" si="52"/>
        <v>0</v>
      </c>
      <c r="R20" s="112">
        <f t="shared" si="53"/>
        <v>0</v>
      </c>
      <c r="S20" s="152"/>
      <c r="T20" s="17" t="s">
        <v>46</v>
      </c>
      <c r="U20" s="162">
        <v>19658</v>
      </c>
      <c r="V20" s="166">
        <f t="shared" si="54"/>
        <v>8.6714483586092517E-2</v>
      </c>
      <c r="W20" s="48">
        <f t="shared" si="55"/>
        <v>4330.4779530476671</v>
      </c>
      <c r="X20" s="48">
        <f t="shared" si="7"/>
        <v>389.74301577429003</v>
      </c>
      <c r="Y20" s="45">
        <f t="shared" si="56"/>
        <v>0.43304779530476672</v>
      </c>
      <c r="Z20" s="46">
        <f t="shared" si="57"/>
        <v>1.665568443479872E-3</v>
      </c>
      <c r="AA20" s="45">
        <f t="shared" si="8"/>
        <v>43.304779530476672</v>
      </c>
      <c r="AB20" s="46">
        <f t="shared" si="58"/>
        <v>0.1665568443479872</v>
      </c>
      <c r="AC20" s="45">
        <f t="shared" si="9"/>
        <v>10.826194882619168</v>
      </c>
      <c r="AD20" s="46">
        <f t="shared" si="59"/>
        <v>4.1639211086996801E-2</v>
      </c>
      <c r="AE20" s="45">
        <f t="shared" si="10"/>
        <v>7.6616148400074122E-2</v>
      </c>
      <c r="AF20" s="45">
        <f t="shared" si="11"/>
        <v>92.239180399915327</v>
      </c>
      <c r="AG20" s="45">
        <f t="shared" si="12"/>
        <v>4.9800496460048169</v>
      </c>
      <c r="AH20" s="45">
        <f t="shared" si="60"/>
        <v>2.1652389765238338</v>
      </c>
      <c r="AI20" s="45">
        <f t="shared" si="13"/>
        <v>3.3561204136119422</v>
      </c>
      <c r="AJ20" s="45">
        <f t="shared" si="61"/>
        <v>0.54130974413095845</v>
      </c>
      <c r="AK20" s="97">
        <f t="shared" si="62"/>
        <v>2.814810669480984</v>
      </c>
      <c r="AL20" s="97">
        <f t="shared" si="63"/>
        <v>1.7321911812190669</v>
      </c>
      <c r="AM20" s="152"/>
      <c r="AN20" s="17" t="s">
        <v>46</v>
      </c>
      <c r="AO20" s="162">
        <v>19658</v>
      </c>
      <c r="AP20" s="166">
        <f t="shared" si="64"/>
        <v>8.6714483586092517E-2</v>
      </c>
      <c r="AQ20" s="48">
        <f t="shared" si="65"/>
        <v>0</v>
      </c>
      <c r="AR20" s="45">
        <f t="shared" si="66"/>
        <v>0</v>
      </c>
      <c r="AS20" s="45">
        <f t="shared" si="67"/>
        <v>0</v>
      </c>
      <c r="AT20" s="49">
        <f t="shared" si="68"/>
        <v>0</v>
      </c>
      <c r="AU20" s="45">
        <f t="shared" si="69"/>
        <v>0</v>
      </c>
      <c r="AV20" s="46">
        <f t="shared" si="70"/>
        <v>0</v>
      </c>
      <c r="AW20" s="45">
        <f t="shared" si="14"/>
        <v>0</v>
      </c>
      <c r="AX20" s="46">
        <f t="shared" si="71"/>
        <v>0</v>
      </c>
      <c r="AY20" s="46">
        <f t="shared" si="15"/>
        <v>0</v>
      </c>
      <c r="AZ20" s="45">
        <f t="shared" si="72"/>
        <v>0</v>
      </c>
      <c r="BA20" s="45">
        <f t="shared" si="73"/>
        <v>0</v>
      </c>
      <c r="BB20" s="45">
        <f t="shared" si="74"/>
        <v>0</v>
      </c>
      <c r="BC20" s="45">
        <f t="shared" si="75"/>
        <v>0</v>
      </c>
      <c r="BD20" s="45">
        <f t="shared" si="76"/>
        <v>0</v>
      </c>
      <c r="BE20" s="45">
        <f t="shared" si="77"/>
        <v>0</v>
      </c>
      <c r="BF20" s="45">
        <f t="shared" si="78"/>
        <v>0</v>
      </c>
      <c r="BG20" s="152"/>
      <c r="BH20" s="17" t="s">
        <v>46</v>
      </c>
      <c r="BI20" s="162">
        <v>19658</v>
      </c>
      <c r="BJ20" s="166">
        <f t="shared" si="79"/>
        <v>8.6714483586092517E-2</v>
      </c>
      <c r="BK20" s="48">
        <f t="shared" si="80"/>
        <v>1961.5336474075643</v>
      </c>
      <c r="BL20" s="45">
        <f t="shared" si="81"/>
        <v>5.3302544766509898</v>
      </c>
      <c r="BM20" s="45">
        <f t="shared" si="16"/>
        <v>5.3942175303708018</v>
      </c>
      <c r="BN20" s="46">
        <f t="shared" si="82"/>
        <v>2.0746990501426161E-2</v>
      </c>
      <c r="BO20" s="45">
        <f t="shared" si="17"/>
        <v>98.076682370378208</v>
      </c>
      <c r="BP20" s="46">
        <f t="shared" si="83"/>
        <v>0.37721800911683928</v>
      </c>
      <c r="BQ20" s="45">
        <f t="shared" si="84"/>
        <v>82.384413191117702</v>
      </c>
      <c r="BR20" s="46">
        <f t="shared" si="85"/>
        <v>0.31686312765814501</v>
      </c>
      <c r="BS20" s="46">
        <f t="shared" si="86"/>
        <v>0.58302815489098681</v>
      </c>
      <c r="BT20" s="45">
        <f t="shared" si="18"/>
        <v>0.5884600942222693</v>
      </c>
      <c r="BU20" s="45">
        <f t="shared" si="19"/>
        <v>0.67672910835560973</v>
      </c>
      <c r="BV20" s="45">
        <f t="shared" si="87"/>
        <v>0.12749968708149167</v>
      </c>
      <c r="BW20" s="45">
        <f t="shared" si="20"/>
        <v>0.5884600942222693</v>
      </c>
      <c r="BX20" s="45">
        <f t="shared" si="88"/>
        <v>0.10788435060741604</v>
      </c>
      <c r="BY20" s="45">
        <f t="shared" si="89"/>
        <v>0.48057574361485328</v>
      </c>
      <c r="BZ20" s="45">
        <f t="shared" si="90"/>
        <v>3.1384538358521032</v>
      </c>
      <c r="CA20" s="152"/>
      <c r="CB20" s="23" t="s">
        <v>46</v>
      </c>
      <c r="CC20" s="162">
        <v>19658</v>
      </c>
      <c r="CD20" s="163">
        <f t="shared" si="21"/>
        <v>5.035980438118514E-2</v>
      </c>
      <c r="CE20" s="111">
        <f t="shared" si="91"/>
        <v>0</v>
      </c>
      <c r="CF20" s="112">
        <f t="shared" si="22"/>
        <v>0</v>
      </c>
      <c r="CG20" s="165">
        <f t="shared" si="23"/>
        <v>0</v>
      </c>
      <c r="CH20" s="164">
        <f t="shared" si="24"/>
        <v>0</v>
      </c>
      <c r="CI20" s="112">
        <f t="shared" si="25"/>
        <v>0</v>
      </c>
      <c r="CJ20" s="165">
        <f t="shared" si="26"/>
        <v>0</v>
      </c>
      <c r="CK20" s="112">
        <f t="shared" si="27"/>
        <v>0</v>
      </c>
      <c r="CL20" s="165">
        <f t="shared" si="28"/>
        <v>0</v>
      </c>
      <c r="CM20" s="165">
        <f t="shared" si="29"/>
        <v>0</v>
      </c>
      <c r="CN20" s="112">
        <f t="shared" si="30"/>
        <v>0</v>
      </c>
      <c r="CO20" s="112">
        <f t="shared" si="31"/>
        <v>0</v>
      </c>
      <c r="CP20" s="112">
        <f t="shared" si="31"/>
        <v>0</v>
      </c>
      <c r="CQ20" s="112">
        <f t="shared" si="32"/>
        <v>0</v>
      </c>
      <c r="CR20" s="112">
        <f t="shared" si="32"/>
        <v>0</v>
      </c>
      <c r="CS20" s="112">
        <f t="shared" si="32"/>
        <v>0</v>
      </c>
      <c r="CT20" s="112">
        <f t="shared" si="32"/>
        <v>0</v>
      </c>
      <c r="CU20" s="152"/>
      <c r="CV20" s="17" t="s">
        <v>46</v>
      </c>
      <c r="CW20" s="162">
        <v>19658</v>
      </c>
      <c r="CX20" s="166">
        <f t="shared" si="92"/>
        <v>8.6714483586092517E-2</v>
      </c>
      <c r="CY20" s="44">
        <f t="shared" si="93"/>
        <v>1170.3506991680563</v>
      </c>
      <c r="CZ20" s="45">
        <f t="shared" si="94"/>
        <v>4.5013488429540622</v>
      </c>
      <c r="DA20" s="45">
        <f t="shared" si="95"/>
        <v>0.30429118178369463</v>
      </c>
      <c r="DB20" s="46">
        <f t="shared" si="96"/>
        <v>1.1703506991680563E-3</v>
      </c>
      <c r="DC20" s="45">
        <f t="shared" si="97"/>
        <v>8.3270452245807203</v>
      </c>
      <c r="DD20" s="46">
        <f t="shared" si="98"/>
        <v>3.2027097017618154E-2</v>
      </c>
      <c r="DE20" s="45">
        <f t="shared" si="99"/>
        <v>4.6638475361847043</v>
      </c>
      <c r="DF20" s="46">
        <f t="shared" si="100"/>
        <v>1.793787513917194E-2</v>
      </c>
      <c r="DG20" s="46">
        <f t="shared" si="33"/>
        <v>3.3005690256076366E-2</v>
      </c>
      <c r="DH20" s="46">
        <f t="shared" si="101"/>
        <v>3.5110520975041686E-2</v>
      </c>
      <c r="DI20" s="46">
        <f t="shared" si="102"/>
        <v>1.1703506991680563E-2</v>
      </c>
      <c r="DJ20" s="46">
        <f t="shared" si="103"/>
        <v>2.9258767479201409E-2</v>
      </c>
      <c r="DK20" s="100">
        <f t="shared" si="104"/>
        <v>5.8517534958402815E-3</v>
      </c>
      <c r="DL20" s="100">
        <f t="shared" si="105"/>
        <v>2.3407013983361126E-2</v>
      </c>
      <c r="DM20" s="100">
        <f t="shared" si="106"/>
        <v>1.7555260487520843E-2</v>
      </c>
      <c r="DN20" s="100">
        <f t="shared" si="107"/>
        <v>2.9258767479201409E-2</v>
      </c>
      <c r="DO20" s="152"/>
      <c r="DP20" s="23" t="s">
        <v>46</v>
      </c>
      <c r="DQ20" s="162">
        <v>19658</v>
      </c>
      <c r="DR20" s="163">
        <f t="shared" si="108"/>
        <v>8.6714483586092517E-2</v>
      </c>
      <c r="DS20" s="111">
        <f t="shared" si="109"/>
        <v>362326.23735542444</v>
      </c>
      <c r="DT20" s="112">
        <f t="shared" si="110"/>
        <v>354.44958002161087</v>
      </c>
      <c r="DU20" s="165">
        <f t="shared" si="34"/>
        <v>3.079773017521108</v>
      </c>
      <c r="DV20" s="164">
        <f t="shared" si="35"/>
        <v>4.2643011011830722E-3</v>
      </c>
      <c r="DW20" s="165">
        <f t="shared" si="36"/>
        <v>39.855886109096687</v>
      </c>
      <c r="DX20" s="165">
        <f t="shared" si="37"/>
        <v>5.5185073074133874E-2</v>
      </c>
      <c r="DY20" s="165">
        <f t="shared" si="38"/>
        <v>108.69787120662733</v>
      </c>
      <c r="DZ20" s="165">
        <f t="shared" si="39"/>
        <v>0.15050474474763784</v>
      </c>
      <c r="EA20" s="165">
        <f t="shared" si="40"/>
        <v>0.76924647315459338</v>
      </c>
      <c r="EB20" s="165">
        <f t="shared" si="41"/>
        <v>4.5290779669428058</v>
      </c>
      <c r="EC20" s="165">
        <f t="shared" si="111"/>
        <v>91.161281318624773</v>
      </c>
      <c r="ED20" s="165">
        <f t="shared" si="42"/>
        <v>90.58155933885611</v>
      </c>
      <c r="EE20" s="165">
        <f t="shared" si="112"/>
        <v>78.715375065465949</v>
      </c>
      <c r="EF20" s="165">
        <f t="shared" si="43"/>
        <v>77.900141031416254</v>
      </c>
      <c r="EG20" s="165">
        <f t="shared" si="113"/>
        <v>0.8116107716761507</v>
      </c>
      <c r="EH20" s="165">
        <f t="shared" si="114"/>
        <v>2.1739574241325466</v>
      </c>
      <c r="EI20" s="17" t="s">
        <v>46</v>
      </c>
      <c r="EJ20" s="61">
        <f t="shared" si="115"/>
        <v>9.2113295249803713</v>
      </c>
      <c r="EK20" s="61">
        <f t="shared" si="115"/>
        <v>2.7847210745257166E-2</v>
      </c>
      <c r="EL20" s="61">
        <f t="shared" si="115"/>
        <v>189.5643932345323</v>
      </c>
      <c r="EM20" s="61">
        <f t="shared" si="115"/>
        <v>0.63098702355657854</v>
      </c>
      <c r="EN20" s="61">
        <f t="shared" si="115"/>
        <v>206.57232681654889</v>
      </c>
      <c r="EO20" s="61">
        <f t="shared" si="44"/>
        <v>0.52694495863195157</v>
      </c>
      <c r="EP20" s="61">
        <f t="shared" si="44"/>
        <v>1.4618964667017307</v>
      </c>
      <c r="EQ20" s="61">
        <f t="shared" si="44"/>
        <v>97.391828982055443</v>
      </c>
      <c r="ER20" s="61">
        <f t="shared" si="116"/>
        <v>96.847318840464396</v>
      </c>
      <c r="ES20" s="61">
        <f t="shared" si="117"/>
        <v>92.886001509453109</v>
      </c>
      <c r="ET20" s="61">
        <f t="shared" si="118"/>
        <v>82.683362587283526</v>
      </c>
      <c r="EU20" s="61">
        <f t="shared" si="119"/>
        <v>78.555186879650464</v>
      </c>
      <c r="EV20" s="61">
        <f t="shared" si="120"/>
        <v>4.1245524452595088</v>
      </c>
      <c r="EW20" s="61">
        <f t="shared" si="120"/>
        <v>7.073861208682918</v>
      </c>
    </row>
    <row r="21" spans="1:153" ht="18" customHeight="1">
      <c r="A21" s="23" t="s">
        <v>47</v>
      </c>
      <c r="B21" s="162">
        <v>10108</v>
      </c>
      <c r="C21" s="163">
        <f t="shared" si="45"/>
        <v>3.7227597332046745E-2</v>
      </c>
      <c r="D21" s="111">
        <f t="shared" si="46"/>
        <v>0</v>
      </c>
      <c r="E21" s="111">
        <f t="shared" si="0"/>
        <v>0</v>
      </c>
      <c r="F21" s="112">
        <f t="shared" si="1"/>
        <v>0</v>
      </c>
      <c r="G21" s="164">
        <f t="shared" si="2"/>
        <v>0</v>
      </c>
      <c r="H21" s="112">
        <f t="shared" si="47"/>
        <v>0</v>
      </c>
      <c r="I21" s="165">
        <f t="shared" si="3"/>
        <v>0</v>
      </c>
      <c r="J21" s="112">
        <f t="shared" si="4"/>
        <v>0</v>
      </c>
      <c r="K21" s="165">
        <f t="shared" si="5"/>
        <v>0</v>
      </c>
      <c r="L21" s="165">
        <f t="shared" si="6"/>
        <v>0</v>
      </c>
      <c r="M21" s="112">
        <f t="shared" si="48"/>
        <v>0</v>
      </c>
      <c r="N21" s="112">
        <f t="shared" si="49"/>
        <v>0</v>
      </c>
      <c r="O21" s="112">
        <f t="shared" si="50"/>
        <v>0</v>
      </c>
      <c r="P21" s="112">
        <f t="shared" si="51"/>
        <v>0</v>
      </c>
      <c r="Q21" s="112">
        <f t="shared" si="52"/>
        <v>0</v>
      </c>
      <c r="R21" s="112">
        <f t="shared" si="53"/>
        <v>0</v>
      </c>
      <c r="S21" s="152"/>
      <c r="T21" s="17" t="s">
        <v>47</v>
      </c>
      <c r="U21" s="162">
        <v>10108</v>
      </c>
      <c r="V21" s="166">
        <f t="shared" si="54"/>
        <v>4.4587954018121025E-2</v>
      </c>
      <c r="W21" s="48">
        <f t="shared" si="55"/>
        <v>2226.7001296879548</v>
      </c>
      <c r="X21" s="48">
        <f t="shared" si="7"/>
        <v>200.40301167191592</v>
      </c>
      <c r="Y21" s="45">
        <f t="shared" si="56"/>
        <v>0.22267001296879552</v>
      </c>
      <c r="Z21" s="46">
        <f t="shared" si="57"/>
        <v>8.5642312680305963E-4</v>
      </c>
      <c r="AA21" s="45">
        <f t="shared" si="8"/>
        <v>22.267001296879549</v>
      </c>
      <c r="AB21" s="46">
        <f t="shared" si="58"/>
        <v>8.5642312680305963E-2</v>
      </c>
      <c r="AC21" s="45">
        <f t="shared" si="9"/>
        <v>5.5667503242198872</v>
      </c>
      <c r="AD21" s="46">
        <f t="shared" si="59"/>
        <v>2.1410578170076491E-2</v>
      </c>
      <c r="AE21" s="45">
        <f t="shared" si="10"/>
        <v>3.9395463832940743E-2</v>
      </c>
      <c r="AF21" s="45">
        <f t="shared" si="11"/>
        <v>47.428712762353442</v>
      </c>
      <c r="AG21" s="45">
        <f t="shared" si="12"/>
        <v>2.5607051491411479</v>
      </c>
      <c r="AH21" s="45">
        <f t="shared" si="60"/>
        <v>1.1133500648439774</v>
      </c>
      <c r="AI21" s="45">
        <f t="shared" si="13"/>
        <v>1.725692600508165</v>
      </c>
      <c r="AJ21" s="45">
        <f t="shared" si="61"/>
        <v>0.27833751621099434</v>
      </c>
      <c r="AK21" s="97">
        <f t="shared" si="62"/>
        <v>1.4473550842971705</v>
      </c>
      <c r="AL21" s="97">
        <f t="shared" si="63"/>
        <v>0.89068005187518207</v>
      </c>
      <c r="AM21" s="152"/>
      <c r="AN21" s="17" t="s">
        <v>47</v>
      </c>
      <c r="AO21" s="162">
        <v>10108</v>
      </c>
      <c r="AP21" s="166">
        <f t="shared" si="64"/>
        <v>4.4587954018121025E-2</v>
      </c>
      <c r="AQ21" s="48">
        <f t="shared" si="65"/>
        <v>0</v>
      </c>
      <c r="AR21" s="45">
        <f t="shared" si="66"/>
        <v>0</v>
      </c>
      <c r="AS21" s="45">
        <f t="shared" si="67"/>
        <v>0</v>
      </c>
      <c r="AT21" s="49">
        <f t="shared" si="68"/>
        <v>0</v>
      </c>
      <c r="AU21" s="45">
        <f t="shared" si="69"/>
        <v>0</v>
      </c>
      <c r="AV21" s="46">
        <f t="shared" si="70"/>
        <v>0</v>
      </c>
      <c r="AW21" s="45">
        <f t="shared" si="14"/>
        <v>0</v>
      </c>
      <c r="AX21" s="46">
        <f t="shared" si="71"/>
        <v>0</v>
      </c>
      <c r="AY21" s="46">
        <f t="shared" si="15"/>
        <v>0</v>
      </c>
      <c r="AZ21" s="45">
        <f t="shared" si="72"/>
        <v>0</v>
      </c>
      <c r="BA21" s="45">
        <f t="shared" si="73"/>
        <v>0</v>
      </c>
      <c r="BB21" s="45">
        <f t="shared" si="74"/>
        <v>0</v>
      </c>
      <c r="BC21" s="45">
        <f t="shared" si="75"/>
        <v>0</v>
      </c>
      <c r="BD21" s="45">
        <f t="shared" si="76"/>
        <v>0</v>
      </c>
      <c r="BE21" s="45">
        <f t="shared" si="77"/>
        <v>0</v>
      </c>
      <c r="BF21" s="45">
        <f t="shared" si="78"/>
        <v>0</v>
      </c>
      <c r="BG21" s="152"/>
      <c r="BH21" s="17" t="s">
        <v>47</v>
      </c>
      <c r="BI21" s="162">
        <v>10108</v>
      </c>
      <c r="BJ21" s="166">
        <f t="shared" si="79"/>
        <v>4.4587954018121025E-2</v>
      </c>
      <c r="BK21" s="48">
        <f t="shared" si="80"/>
        <v>1008.6062726623084</v>
      </c>
      <c r="BL21" s="45">
        <f t="shared" si="81"/>
        <v>2.7407779148432292</v>
      </c>
      <c r="BM21" s="45">
        <f t="shared" si="16"/>
        <v>2.7736672498213477</v>
      </c>
      <c r="BN21" s="46">
        <f t="shared" si="82"/>
        <v>1.0667950960851337E-2</v>
      </c>
      <c r="BO21" s="45">
        <f t="shared" si="17"/>
        <v>50.430313633115418</v>
      </c>
      <c r="BP21" s="46">
        <f t="shared" si="83"/>
        <v>0.1939627447427516</v>
      </c>
      <c r="BQ21" s="45">
        <f t="shared" si="84"/>
        <v>42.361463451816945</v>
      </c>
      <c r="BR21" s="46">
        <f t="shared" si="85"/>
        <v>0.16292870558391132</v>
      </c>
      <c r="BS21" s="46">
        <f t="shared" si="86"/>
        <v>0.29978881827439685</v>
      </c>
      <c r="BT21" s="45">
        <f t="shared" si="18"/>
        <v>0.3025818817986925</v>
      </c>
      <c r="BU21" s="45">
        <f t="shared" si="19"/>
        <v>0.34796916406849637</v>
      </c>
      <c r="BV21" s="45">
        <f t="shared" si="87"/>
        <v>6.5559407723050037E-2</v>
      </c>
      <c r="BW21" s="45">
        <f t="shared" si="20"/>
        <v>0.3025818817986925</v>
      </c>
      <c r="BX21" s="45">
        <f t="shared" si="88"/>
        <v>5.5473344996426963E-2</v>
      </c>
      <c r="BY21" s="45">
        <f t="shared" si="89"/>
        <v>0.24710853680226555</v>
      </c>
      <c r="BZ21" s="45">
        <f t="shared" si="90"/>
        <v>1.6137700362596934</v>
      </c>
      <c r="CA21" s="152"/>
      <c r="CB21" s="23" t="s">
        <v>47</v>
      </c>
      <c r="CC21" s="162">
        <v>10108</v>
      </c>
      <c r="CD21" s="163">
        <f t="shared" si="21"/>
        <v>2.5894643538763831E-2</v>
      </c>
      <c r="CE21" s="111">
        <f t="shared" si="91"/>
        <v>0</v>
      </c>
      <c r="CF21" s="112">
        <f t="shared" si="22"/>
        <v>0</v>
      </c>
      <c r="CG21" s="165">
        <f t="shared" si="23"/>
        <v>0</v>
      </c>
      <c r="CH21" s="164">
        <f t="shared" si="24"/>
        <v>0</v>
      </c>
      <c r="CI21" s="112">
        <f t="shared" si="25"/>
        <v>0</v>
      </c>
      <c r="CJ21" s="165">
        <f t="shared" si="26"/>
        <v>0</v>
      </c>
      <c r="CK21" s="112">
        <f t="shared" si="27"/>
        <v>0</v>
      </c>
      <c r="CL21" s="165">
        <f t="shared" si="28"/>
        <v>0</v>
      </c>
      <c r="CM21" s="165">
        <f t="shared" si="29"/>
        <v>0</v>
      </c>
      <c r="CN21" s="112">
        <f t="shared" si="30"/>
        <v>0</v>
      </c>
      <c r="CO21" s="112">
        <f t="shared" si="31"/>
        <v>0</v>
      </c>
      <c r="CP21" s="112">
        <f t="shared" si="31"/>
        <v>0</v>
      </c>
      <c r="CQ21" s="112">
        <f t="shared" si="32"/>
        <v>0</v>
      </c>
      <c r="CR21" s="112">
        <f t="shared" si="32"/>
        <v>0</v>
      </c>
      <c r="CS21" s="112">
        <f t="shared" si="32"/>
        <v>0</v>
      </c>
      <c r="CT21" s="112">
        <f t="shared" si="32"/>
        <v>0</v>
      </c>
      <c r="CU21" s="152"/>
      <c r="CV21" s="17" t="s">
        <v>47</v>
      </c>
      <c r="CW21" s="162">
        <v>10108</v>
      </c>
      <c r="CX21" s="166">
        <f t="shared" si="92"/>
        <v>4.4587954018121025E-2</v>
      </c>
      <c r="CY21" s="44">
        <f t="shared" si="93"/>
        <v>601.78578020097223</v>
      </c>
      <c r="CZ21" s="45">
        <f t="shared" si="94"/>
        <v>2.3145606930806624</v>
      </c>
      <c r="DA21" s="45">
        <f t="shared" si="95"/>
        <v>0.1564643028522528</v>
      </c>
      <c r="DB21" s="46">
        <f t="shared" si="96"/>
        <v>6.0178578020097227E-4</v>
      </c>
      <c r="DC21" s="45">
        <f t="shared" si="97"/>
        <v>4.281705826129917</v>
      </c>
      <c r="DD21" s="46">
        <f t="shared" si="98"/>
        <v>1.6468099331268912E-2</v>
      </c>
      <c r="DE21" s="45">
        <f t="shared" si="99"/>
        <v>2.398116334100874</v>
      </c>
      <c r="DF21" s="46">
        <f t="shared" si="100"/>
        <v>9.2235243619264388E-3</v>
      </c>
      <c r="DG21" s="46">
        <f t="shared" si="33"/>
        <v>1.6971284825944646E-2</v>
      </c>
      <c r="DH21" s="46">
        <f t="shared" si="101"/>
        <v>1.8053573406029165E-2</v>
      </c>
      <c r="DI21" s="46">
        <f t="shared" si="102"/>
        <v>6.0178578020097222E-3</v>
      </c>
      <c r="DJ21" s="46">
        <f t="shared" si="103"/>
        <v>1.5044644505024306E-2</v>
      </c>
      <c r="DK21" s="100">
        <f t="shared" si="104"/>
        <v>3.0089289010048611E-3</v>
      </c>
      <c r="DL21" s="100">
        <f t="shared" si="105"/>
        <v>1.2035715604019444E-2</v>
      </c>
      <c r="DM21" s="100">
        <f t="shared" si="106"/>
        <v>9.0267867030145825E-3</v>
      </c>
      <c r="DN21" s="100">
        <f t="shared" si="107"/>
        <v>1.5044644505024306E-2</v>
      </c>
      <c r="DO21" s="152"/>
      <c r="DP21" s="23" t="s">
        <v>47</v>
      </c>
      <c r="DQ21" s="162">
        <v>10108</v>
      </c>
      <c r="DR21" s="163">
        <f t="shared" si="108"/>
        <v>4.4587954018121025E-2</v>
      </c>
      <c r="DS21" s="111">
        <f t="shared" si="109"/>
        <v>186305.50448614455</v>
      </c>
      <c r="DT21" s="112">
        <f t="shared" si="110"/>
        <v>182.25538482340227</v>
      </c>
      <c r="DU21" s="165">
        <f t="shared" si="34"/>
        <v>1.5835967881322288</v>
      </c>
      <c r="DV21" s="164">
        <f t="shared" si="35"/>
        <v>2.1926724758753935E-3</v>
      </c>
      <c r="DW21" s="165">
        <f t="shared" si="36"/>
        <v>20.493605493475901</v>
      </c>
      <c r="DX21" s="165">
        <f t="shared" si="37"/>
        <v>2.8375761452505092E-2</v>
      </c>
      <c r="DY21" s="165">
        <f t="shared" si="38"/>
        <v>55.891651345843364</v>
      </c>
      <c r="DZ21" s="165">
        <f t="shared" si="39"/>
        <v>7.7388440325013894E-2</v>
      </c>
      <c r="EA21" s="165">
        <f t="shared" si="40"/>
        <v>0.39554091721673768</v>
      </c>
      <c r="EB21" s="165">
        <f t="shared" si="41"/>
        <v>2.3288188060768071</v>
      </c>
      <c r="EC21" s="165">
        <f t="shared" si="111"/>
        <v>46.874464928713969</v>
      </c>
      <c r="ED21" s="165">
        <f t="shared" si="42"/>
        <v>46.576376121536136</v>
      </c>
      <c r="EE21" s="165">
        <f t="shared" si="112"/>
        <v>40.474870849614902</v>
      </c>
      <c r="EF21" s="165">
        <f t="shared" si="43"/>
        <v>40.055683464521074</v>
      </c>
      <c r="EG21" s="165">
        <f t="shared" si="113"/>
        <v>0.41732433004896374</v>
      </c>
      <c r="EH21" s="165">
        <f t="shared" si="114"/>
        <v>1.1178330269168673</v>
      </c>
      <c r="EI21" s="17" t="s">
        <v>47</v>
      </c>
      <c r="EJ21" s="61">
        <f t="shared" si="115"/>
        <v>4.736398353774625</v>
      </c>
      <c r="EK21" s="61">
        <f t="shared" si="115"/>
        <v>1.4318832343730763E-2</v>
      </c>
      <c r="EL21" s="61">
        <f t="shared" si="115"/>
        <v>97.472626249600793</v>
      </c>
      <c r="EM21" s="61">
        <f t="shared" si="115"/>
        <v>0.32444891820683158</v>
      </c>
      <c r="EN21" s="61">
        <f t="shared" si="115"/>
        <v>106.21798145598108</v>
      </c>
      <c r="EO21" s="61">
        <f t="shared" si="44"/>
        <v>0.27095124844092816</v>
      </c>
      <c r="EP21" s="61">
        <f t="shared" si="44"/>
        <v>0.75169648415001988</v>
      </c>
      <c r="EQ21" s="61">
        <f t="shared" si="44"/>
        <v>50.078167023634975</v>
      </c>
      <c r="ER21" s="61">
        <f t="shared" si="116"/>
        <v>49.798183886428639</v>
      </c>
      <c r="ES21" s="61">
        <f t="shared" si="117"/>
        <v>47.761303451905171</v>
      </c>
      <c r="ET21" s="61">
        <f t="shared" si="118"/>
        <v>42.515181047525779</v>
      </c>
      <c r="EU21" s="61">
        <f t="shared" si="119"/>
        <v>40.392503254629503</v>
      </c>
      <c r="EV21" s="61">
        <f t="shared" si="120"/>
        <v>2.1208147378514144</v>
      </c>
      <c r="EW21" s="61">
        <f t="shared" si="120"/>
        <v>3.6373277595567677</v>
      </c>
    </row>
    <row r="22" spans="1:153" ht="18" customHeight="1">
      <c r="A22" s="23" t="s">
        <v>48</v>
      </c>
      <c r="B22" s="162">
        <v>9688</v>
      </c>
      <c r="C22" s="163">
        <f t="shared" si="45"/>
        <v>3.568074425730796E-2</v>
      </c>
      <c r="D22" s="111">
        <f t="shared" si="46"/>
        <v>0</v>
      </c>
      <c r="E22" s="111">
        <f t="shared" si="0"/>
        <v>0</v>
      </c>
      <c r="F22" s="112">
        <f t="shared" si="1"/>
        <v>0</v>
      </c>
      <c r="G22" s="164">
        <f t="shared" si="2"/>
        <v>0</v>
      </c>
      <c r="H22" s="112">
        <f t="shared" si="47"/>
        <v>0</v>
      </c>
      <c r="I22" s="165">
        <f t="shared" si="3"/>
        <v>0</v>
      </c>
      <c r="J22" s="112">
        <f t="shared" si="4"/>
        <v>0</v>
      </c>
      <c r="K22" s="165">
        <f t="shared" si="5"/>
        <v>0</v>
      </c>
      <c r="L22" s="165">
        <f t="shared" si="6"/>
        <v>0</v>
      </c>
      <c r="M22" s="112">
        <f t="shared" si="48"/>
        <v>0</v>
      </c>
      <c r="N22" s="112">
        <f t="shared" si="49"/>
        <v>0</v>
      </c>
      <c r="O22" s="112">
        <f t="shared" si="50"/>
        <v>0</v>
      </c>
      <c r="P22" s="112">
        <f t="shared" si="51"/>
        <v>0</v>
      </c>
      <c r="Q22" s="112">
        <f t="shared" si="52"/>
        <v>0</v>
      </c>
      <c r="R22" s="112">
        <f t="shared" si="53"/>
        <v>0</v>
      </c>
      <c r="S22" s="152"/>
      <c r="T22" s="17" t="s">
        <v>48</v>
      </c>
      <c r="U22" s="162">
        <v>9688</v>
      </c>
      <c r="V22" s="166">
        <f t="shared" si="54"/>
        <v>4.2735268948115995E-2</v>
      </c>
      <c r="W22" s="48">
        <f t="shared" si="55"/>
        <v>2134.1779636344386</v>
      </c>
      <c r="X22" s="48">
        <f t="shared" si="7"/>
        <v>192.07601672709947</v>
      </c>
      <c r="Y22" s="45">
        <f t="shared" si="56"/>
        <v>0.21341779636344388</v>
      </c>
      <c r="Z22" s="46">
        <f t="shared" si="57"/>
        <v>8.2083767832093798E-4</v>
      </c>
      <c r="AA22" s="45">
        <f t="shared" si="8"/>
        <v>21.341779636344384</v>
      </c>
      <c r="AB22" s="46">
        <f t="shared" si="58"/>
        <v>8.2083767832093785E-2</v>
      </c>
      <c r="AC22" s="45">
        <f t="shared" si="9"/>
        <v>5.335444909086096</v>
      </c>
      <c r="AD22" s="46">
        <f t="shared" si="59"/>
        <v>2.0520941958023446E-2</v>
      </c>
      <c r="AE22" s="45">
        <f t="shared" si="10"/>
        <v>3.7758533202763143E-2</v>
      </c>
      <c r="AF22" s="45">
        <f t="shared" si="11"/>
        <v>45.457990625413544</v>
      </c>
      <c r="AG22" s="45">
        <f t="shared" si="12"/>
        <v>2.4543046581796042</v>
      </c>
      <c r="AH22" s="45">
        <f t="shared" si="60"/>
        <v>1.0670889818172193</v>
      </c>
      <c r="AI22" s="45">
        <f t="shared" si="13"/>
        <v>1.65398792181669</v>
      </c>
      <c r="AJ22" s="45">
        <f t="shared" si="61"/>
        <v>0.26677224545430483</v>
      </c>
      <c r="AK22" s="97">
        <f t="shared" si="62"/>
        <v>1.3872156763623853</v>
      </c>
      <c r="AL22" s="97">
        <f t="shared" si="63"/>
        <v>0.85367118545377552</v>
      </c>
      <c r="AM22" s="152"/>
      <c r="AN22" s="17" t="s">
        <v>48</v>
      </c>
      <c r="AO22" s="162">
        <v>9688</v>
      </c>
      <c r="AP22" s="166">
        <f t="shared" si="64"/>
        <v>4.2735268948115995E-2</v>
      </c>
      <c r="AQ22" s="48">
        <f t="shared" si="65"/>
        <v>0</v>
      </c>
      <c r="AR22" s="45">
        <f t="shared" si="66"/>
        <v>0</v>
      </c>
      <c r="AS22" s="45">
        <f t="shared" si="67"/>
        <v>0</v>
      </c>
      <c r="AT22" s="49">
        <f t="shared" si="68"/>
        <v>0</v>
      </c>
      <c r="AU22" s="45">
        <f t="shared" si="69"/>
        <v>0</v>
      </c>
      <c r="AV22" s="46">
        <f t="shared" si="70"/>
        <v>0</v>
      </c>
      <c r="AW22" s="45">
        <f t="shared" si="14"/>
        <v>0</v>
      </c>
      <c r="AX22" s="46">
        <f t="shared" si="71"/>
        <v>0</v>
      </c>
      <c r="AY22" s="46">
        <f t="shared" si="15"/>
        <v>0</v>
      </c>
      <c r="AZ22" s="45">
        <f t="shared" si="72"/>
        <v>0</v>
      </c>
      <c r="BA22" s="45">
        <f t="shared" si="73"/>
        <v>0</v>
      </c>
      <c r="BB22" s="45">
        <f t="shared" si="74"/>
        <v>0</v>
      </c>
      <c r="BC22" s="45">
        <f t="shared" si="75"/>
        <v>0</v>
      </c>
      <c r="BD22" s="45">
        <f t="shared" si="76"/>
        <v>0</v>
      </c>
      <c r="BE22" s="45">
        <f t="shared" si="77"/>
        <v>0</v>
      </c>
      <c r="BF22" s="45">
        <f t="shared" si="78"/>
        <v>0</v>
      </c>
      <c r="BG22" s="152"/>
      <c r="BH22" s="17" t="s">
        <v>48</v>
      </c>
      <c r="BI22" s="162">
        <v>9688</v>
      </c>
      <c r="BJ22" s="166">
        <f t="shared" si="79"/>
        <v>4.2735268948115995E-2</v>
      </c>
      <c r="BK22" s="48">
        <f t="shared" si="80"/>
        <v>966.69742476775264</v>
      </c>
      <c r="BL22" s="45">
        <f t="shared" si="81"/>
        <v>2.6268951759993278</v>
      </c>
      <c r="BM22" s="45">
        <f t="shared" si="16"/>
        <v>2.6584179181113194</v>
      </c>
      <c r="BN22" s="46">
        <f t="shared" si="82"/>
        <v>1.0224684300428152E-2</v>
      </c>
      <c r="BO22" s="45">
        <f t="shared" si="17"/>
        <v>48.334871238387635</v>
      </c>
      <c r="BP22" s="46">
        <f t="shared" si="83"/>
        <v>0.18590335091687551</v>
      </c>
      <c r="BQ22" s="45">
        <f t="shared" si="84"/>
        <v>40.601291840245615</v>
      </c>
      <c r="BR22" s="46">
        <f t="shared" si="85"/>
        <v>0.15615881477017543</v>
      </c>
      <c r="BS22" s="46">
        <f t="shared" si="86"/>
        <v>0.28733221917712282</v>
      </c>
      <c r="BT22" s="45">
        <f t="shared" si="18"/>
        <v>0.29000922743032576</v>
      </c>
      <c r="BU22" s="45">
        <f t="shared" si="19"/>
        <v>0.3335106115448746</v>
      </c>
      <c r="BV22" s="45">
        <f t="shared" si="87"/>
        <v>6.2835332609903927E-2</v>
      </c>
      <c r="BW22" s="45">
        <f t="shared" si="20"/>
        <v>0.29000922743032576</v>
      </c>
      <c r="BX22" s="45">
        <f t="shared" si="88"/>
        <v>5.3168358362226394E-2</v>
      </c>
      <c r="BY22" s="45">
        <f t="shared" si="89"/>
        <v>0.23684086906809937</v>
      </c>
      <c r="BZ22" s="45">
        <f t="shared" si="90"/>
        <v>1.5467158796284044</v>
      </c>
      <c r="CA22" s="152"/>
      <c r="CB22" s="23" t="s">
        <v>48</v>
      </c>
      <c r="CC22" s="162">
        <v>9688</v>
      </c>
      <c r="CD22" s="163">
        <f t="shared" si="21"/>
        <v>2.4818688821086662E-2</v>
      </c>
      <c r="CE22" s="111">
        <f t="shared" si="91"/>
        <v>0</v>
      </c>
      <c r="CF22" s="112">
        <f t="shared" si="22"/>
        <v>0</v>
      </c>
      <c r="CG22" s="165">
        <f t="shared" si="23"/>
        <v>0</v>
      </c>
      <c r="CH22" s="164">
        <f t="shared" si="24"/>
        <v>0</v>
      </c>
      <c r="CI22" s="112">
        <f t="shared" si="25"/>
        <v>0</v>
      </c>
      <c r="CJ22" s="165">
        <f t="shared" si="26"/>
        <v>0</v>
      </c>
      <c r="CK22" s="112">
        <f t="shared" si="27"/>
        <v>0</v>
      </c>
      <c r="CL22" s="165">
        <f t="shared" si="28"/>
        <v>0</v>
      </c>
      <c r="CM22" s="165">
        <f t="shared" si="29"/>
        <v>0</v>
      </c>
      <c r="CN22" s="112">
        <f t="shared" si="30"/>
        <v>0</v>
      </c>
      <c r="CO22" s="112">
        <f t="shared" si="31"/>
        <v>0</v>
      </c>
      <c r="CP22" s="112">
        <f t="shared" si="31"/>
        <v>0</v>
      </c>
      <c r="CQ22" s="112">
        <f t="shared" si="32"/>
        <v>0</v>
      </c>
      <c r="CR22" s="112">
        <f t="shared" si="32"/>
        <v>0</v>
      </c>
      <c r="CS22" s="112">
        <f t="shared" si="32"/>
        <v>0</v>
      </c>
      <c r="CT22" s="112">
        <f t="shared" si="32"/>
        <v>0</v>
      </c>
      <c r="CU22" s="152"/>
      <c r="CV22" s="17" t="s">
        <v>48</v>
      </c>
      <c r="CW22" s="162">
        <v>9688</v>
      </c>
      <c r="CX22" s="166">
        <f t="shared" si="92"/>
        <v>4.2735268948115995E-2</v>
      </c>
      <c r="CY22" s="44">
        <f t="shared" si="93"/>
        <v>576.78083088514234</v>
      </c>
      <c r="CZ22" s="45">
        <f t="shared" si="94"/>
        <v>2.2183878110967012</v>
      </c>
      <c r="DA22" s="45">
        <f t="shared" si="95"/>
        <v>0.14996301603013701</v>
      </c>
      <c r="DB22" s="46">
        <f t="shared" si="96"/>
        <v>5.7678083088514231E-4</v>
      </c>
      <c r="DC22" s="45">
        <f t="shared" si="97"/>
        <v>4.1037956117477883</v>
      </c>
      <c r="DD22" s="46">
        <f t="shared" si="98"/>
        <v>1.578382927595303E-2</v>
      </c>
      <c r="DE22" s="45">
        <f t="shared" si="99"/>
        <v>2.298471611077292</v>
      </c>
      <c r="DF22" s="46">
        <f t="shared" si="100"/>
        <v>8.8402754272203544E-3</v>
      </c>
      <c r="DG22" s="46">
        <f t="shared" si="33"/>
        <v>1.6266106786085453E-2</v>
      </c>
      <c r="DH22" s="46">
        <f t="shared" si="101"/>
        <v>1.7303424926554272E-2</v>
      </c>
      <c r="DI22" s="46">
        <f t="shared" si="102"/>
        <v>5.7678083088514229E-3</v>
      </c>
      <c r="DJ22" s="46">
        <f t="shared" si="103"/>
        <v>1.4419520772128559E-2</v>
      </c>
      <c r="DK22" s="100">
        <f t="shared" si="104"/>
        <v>2.8839041544257114E-3</v>
      </c>
      <c r="DL22" s="100">
        <f t="shared" si="105"/>
        <v>1.1535616617702846E-2</v>
      </c>
      <c r="DM22" s="100">
        <f t="shared" si="106"/>
        <v>8.651712463277136E-3</v>
      </c>
      <c r="DN22" s="100">
        <f t="shared" si="107"/>
        <v>1.4419520772128559E-2</v>
      </c>
      <c r="DO22" s="152"/>
      <c r="DP22" s="23" t="s">
        <v>48</v>
      </c>
      <c r="DQ22" s="162">
        <v>9688</v>
      </c>
      <c r="DR22" s="163">
        <f t="shared" si="108"/>
        <v>4.2735268948115995E-2</v>
      </c>
      <c r="DS22" s="111">
        <f t="shared" si="109"/>
        <v>178564.27853796681</v>
      </c>
      <c r="DT22" s="112">
        <f t="shared" si="110"/>
        <v>174.68244639583708</v>
      </c>
      <c r="DU22" s="165">
        <f t="shared" si="34"/>
        <v>1.517796367572718</v>
      </c>
      <c r="DV22" s="164">
        <f t="shared" si="35"/>
        <v>2.1015642012545323E-3</v>
      </c>
      <c r="DW22" s="165">
        <f t="shared" si="36"/>
        <v>19.64207063917635</v>
      </c>
      <c r="DX22" s="165">
        <f t="shared" si="37"/>
        <v>2.7196713192705713E-2</v>
      </c>
      <c r="DY22" s="165">
        <f t="shared" si="38"/>
        <v>53.569283561390037</v>
      </c>
      <c r="DZ22" s="165">
        <f t="shared" si="39"/>
        <v>7.4172854161924651E-2</v>
      </c>
      <c r="EA22" s="165">
        <f t="shared" si="40"/>
        <v>0.37910569904983721</v>
      </c>
      <c r="EB22" s="165">
        <f t="shared" si="41"/>
        <v>2.2320534817245852</v>
      </c>
      <c r="EC22" s="165">
        <f t="shared" si="111"/>
        <v>44.926772480152444</v>
      </c>
      <c r="ED22" s="165">
        <f t="shared" si="42"/>
        <v>44.6410696344917</v>
      </c>
      <c r="EE22" s="165">
        <f t="shared" si="112"/>
        <v>38.793089512373292</v>
      </c>
      <c r="EF22" s="165">
        <f t="shared" si="43"/>
        <v>38.391319885662867</v>
      </c>
      <c r="EG22" s="165">
        <f t="shared" si="113"/>
        <v>0.39998398392504558</v>
      </c>
      <c r="EH22" s="165">
        <f t="shared" si="114"/>
        <v>1.0713856712278009</v>
      </c>
      <c r="EI22" s="17" t="s">
        <v>48</v>
      </c>
      <c r="EJ22" s="61">
        <f t="shared" si="115"/>
        <v>4.5395950980776183</v>
      </c>
      <c r="EK22" s="61">
        <f t="shared" si="115"/>
        <v>1.3723867010888765E-2</v>
      </c>
      <c r="EL22" s="61">
        <f t="shared" si="115"/>
        <v>93.422517125656157</v>
      </c>
      <c r="EM22" s="61">
        <f t="shared" si="115"/>
        <v>0.31096766121762803</v>
      </c>
      <c r="EN22" s="61">
        <f t="shared" si="115"/>
        <v>101.80449192179904</v>
      </c>
      <c r="EO22" s="61">
        <f t="shared" si="44"/>
        <v>0.25969288631734389</v>
      </c>
      <c r="EP22" s="61">
        <f t="shared" si="44"/>
        <v>0.72046255821580862</v>
      </c>
      <c r="EQ22" s="61">
        <f t="shared" si="44"/>
        <v>47.997356759495005</v>
      </c>
      <c r="ER22" s="61">
        <f t="shared" si="116"/>
        <v>47.729007270649049</v>
      </c>
      <c r="ES22" s="61">
        <f t="shared" si="117"/>
        <v>45.776761757227675</v>
      </c>
      <c r="ET22" s="61">
        <f t="shared" si="118"/>
        <v>40.74862227823801</v>
      </c>
      <c r="EU22" s="61">
        <f t="shared" si="119"/>
        <v>38.714144393633823</v>
      </c>
      <c r="EV22" s="61">
        <f t="shared" si="120"/>
        <v>2.0326922418188076</v>
      </c>
      <c r="EW22" s="61">
        <f t="shared" si="120"/>
        <v>3.4861922570821093</v>
      </c>
    </row>
    <row r="23" spans="1:153" ht="18" customHeight="1">
      <c r="A23" s="23" t="s">
        <v>49</v>
      </c>
      <c r="B23" s="162">
        <v>31279</v>
      </c>
      <c r="C23" s="163">
        <f t="shared" si="45"/>
        <v>0.11520004124941532</v>
      </c>
      <c r="D23" s="111">
        <f t="shared" si="46"/>
        <v>0</v>
      </c>
      <c r="E23" s="111">
        <f t="shared" si="0"/>
        <v>0</v>
      </c>
      <c r="F23" s="112">
        <f t="shared" si="1"/>
        <v>0</v>
      </c>
      <c r="G23" s="164">
        <f t="shared" si="2"/>
        <v>0</v>
      </c>
      <c r="H23" s="112">
        <f t="shared" si="47"/>
        <v>0</v>
      </c>
      <c r="I23" s="165">
        <f t="shared" si="3"/>
        <v>0</v>
      </c>
      <c r="J23" s="112">
        <f t="shared" si="4"/>
        <v>0</v>
      </c>
      <c r="K23" s="165">
        <f t="shared" si="5"/>
        <v>0</v>
      </c>
      <c r="L23" s="165">
        <f t="shared" si="6"/>
        <v>0</v>
      </c>
      <c r="M23" s="112">
        <f t="shared" si="48"/>
        <v>0</v>
      </c>
      <c r="N23" s="112">
        <f t="shared" si="49"/>
        <v>0</v>
      </c>
      <c r="O23" s="112">
        <f t="shared" si="50"/>
        <v>0</v>
      </c>
      <c r="P23" s="112">
        <f t="shared" si="51"/>
        <v>0</v>
      </c>
      <c r="Q23" s="112">
        <f t="shared" si="52"/>
        <v>0</v>
      </c>
      <c r="R23" s="112">
        <f t="shared" si="53"/>
        <v>0</v>
      </c>
      <c r="S23" s="152"/>
      <c r="T23" s="17" t="s">
        <v>49</v>
      </c>
      <c r="U23" s="162">
        <v>31279</v>
      </c>
      <c r="V23" s="166">
        <f t="shared" si="54"/>
        <v>0.13797651501116023</v>
      </c>
      <c r="W23" s="48">
        <f t="shared" si="55"/>
        <v>6890.4781713998364</v>
      </c>
      <c r="X23" s="48">
        <f t="shared" si="7"/>
        <v>620.1430354259852</v>
      </c>
      <c r="Y23" s="45">
        <f t="shared" si="56"/>
        <v>0.68904781713998364</v>
      </c>
      <c r="Z23" s="46">
        <f t="shared" si="57"/>
        <v>2.6501839120768602E-3</v>
      </c>
      <c r="AA23" s="45">
        <f t="shared" si="8"/>
        <v>68.904781713998361</v>
      </c>
      <c r="AB23" s="46">
        <f t="shared" si="58"/>
        <v>0.265018391207686</v>
      </c>
      <c r="AC23" s="45">
        <f t="shared" si="9"/>
        <v>17.22619542849959</v>
      </c>
      <c r="AD23" s="46">
        <f t="shared" si="59"/>
        <v>6.62545978019215E-2</v>
      </c>
      <c r="AE23" s="45">
        <f t="shared" si="10"/>
        <v>0.12190845995553556</v>
      </c>
      <c r="AF23" s="45">
        <f t="shared" si="11"/>
        <v>146.76718505081652</v>
      </c>
      <c r="AG23" s="45">
        <f t="shared" si="12"/>
        <v>7.9240498971098114</v>
      </c>
      <c r="AH23" s="45">
        <f t="shared" si="60"/>
        <v>3.4452390856999182</v>
      </c>
      <c r="AI23" s="45">
        <f t="shared" si="13"/>
        <v>5.3401205828348726</v>
      </c>
      <c r="AJ23" s="45">
        <f t="shared" si="61"/>
        <v>0.86130977142497955</v>
      </c>
      <c r="AK23" s="97">
        <f t="shared" si="62"/>
        <v>4.4788108114098941</v>
      </c>
      <c r="AL23" s="97">
        <f t="shared" si="63"/>
        <v>2.7561912685599346</v>
      </c>
      <c r="AM23" s="152"/>
      <c r="AN23" s="17" t="s">
        <v>49</v>
      </c>
      <c r="AO23" s="162">
        <v>31279</v>
      </c>
      <c r="AP23" s="166">
        <f t="shared" si="64"/>
        <v>0.13797651501116023</v>
      </c>
      <c r="AQ23" s="48">
        <f t="shared" si="65"/>
        <v>0</v>
      </c>
      <c r="AR23" s="45">
        <f t="shared" si="66"/>
        <v>0</v>
      </c>
      <c r="AS23" s="45">
        <f t="shared" si="67"/>
        <v>0</v>
      </c>
      <c r="AT23" s="49">
        <f t="shared" si="68"/>
        <v>0</v>
      </c>
      <c r="AU23" s="45">
        <f t="shared" si="69"/>
        <v>0</v>
      </c>
      <c r="AV23" s="46">
        <f t="shared" si="70"/>
        <v>0</v>
      </c>
      <c r="AW23" s="45">
        <f t="shared" si="14"/>
        <v>0</v>
      </c>
      <c r="AX23" s="46">
        <f t="shared" si="71"/>
        <v>0</v>
      </c>
      <c r="AY23" s="46">
        <f t="shared" si="15"/>
        <v>0</v>
      </c>
      <c r="AZ23" s="45">
        <f t="shared" si="72"/>
        <v>0</v>
      </c>
      <c r="BA23" s="45">
        <f t="shared" si="73"/>
        <v>0</v>
      </c>
      <c r="BB23" s="45">
        <f t="shared" si="74"/>
        <v>0</v>
      </c>
      <c r="BC23" s="45">
        <f t="shared" si="75"/>
        <v>0</v>
      </c>
      <c r="BD23" s="45">
        <f t="shared" si="76"/>
        <v>0</v>
      </c>
      <c r="BE23" s="45">
        <f t="shared" si="77"/>
        <v>0</v>
      </c>
      <c r="BF23" s="45">
        <f t="shared" si="78"/>
        <v>0</v>
      </c>
      <c r="BG23" s="152"/>
      <c r="BH23" s="17" t="s">
        <v>49</v>
      </c>
      <c r="BI23" s="162">
        <v>31279</v>
      </c>
      <c r="BJ23" s="166">
        <f t="shared" si="79"/>
        <v>0.13797651501116023</v>
      </c>
      <c r="BK23" s="48">
        <f t="shared" si="80"/>
        <v>3121.1115554614512</v>
      </c>
      <c r="BL23" s="45">
        <f t="shared" si="81"/>
        <v>8.4812814007104649</v>
      </c>
      <c r="BM23" s="45">
        <f t="shared" si="16"/>
        <v>8.5830567775189905</v>
      </c>
      <c r="BN23" s="46">
        <f t="shared" si="82"/>
        <v>3.3011756836611506E-2</v>
      </c>
      <c r="BO23" s="45">
        <f t="shared" si="17"/>
        <v>156.05557777307254</v>
      </c>
      <c r="BP23" s="46">
        <f t="shared" si="83"/>
        <v>0.60021376066566368</v>
      </c>
      <c r="BQ23" s="45">
        <f t="shared" si="84"/>
        <v>131.08668532938094</v>
      </c>
      <c r="BR23" s="46">
        <f t="shared" si="85"/>
        <v>0.50417955895915745</v>
      </c>
      <c r="BS23" s="46">
        <f t="shared" si="86"/>
        <v>0.92769038848484986</v>
      </c>
      <c r="BT23" s="45">
        <f t="shared" si="18"/>
        <v>0.93633346663843531</v>
      </c>
      <c r="BU23" s="45">
        <f t="shared" si="19"/>
        <v>1.0767834866342005</v>
      </c>
      <c r="BV23" s="45">
        <f t="shared" si="87"/>
        <v>0.20287225110499435</v>
      </c>
      <c r="BW23" s="45">
        <f t="shared" si="20"/>
        <v>0.93633346663843531</v>
      </c>
      <c r="BX23" s="45">
        <f t="shared" si="88"/>
        <v>0.17166113555037982</v>
      </c>
      <c r="BY23" s="45">
        <f t="shared" si="89"/>
        <v>0.76467233108805555</v>
      </c>
      <c r="BZ23" s="45">
        <f t="shared" si="90"/>
        <v>4.9937784887383225</v>
      </c>
      <c r="CA23" s="152"/>
      <c r="CB23" s="23" t="s">
        <v>49</v>
      </c>
      <c r="CC23" s="162">
        <v>31279</v>
      </c>
      <c r="CD23" s="163">
        <f t="shared" si="21"/>
        <v>8.0130446700533625E-2</v>
      </c>
      <c r="CE23" s="111">
        <f t="shared" si="91"/>
        <v>0</v>
      </c>
      <c r="CF23" s="112">
        <f t="shared" si="22"/>
        <v>0</v>
      </c>
      <c r="CG23" s="165">
        <f t="shared" si="23"/>
        <v>0</v>
      </c>
      <c r="CH23" s="164">
        <f t="shared" si="24"/>
        <v>0</v>
      </c>
      <c r="CI23" s="112">
        <f t="shared" si="25"/>
        <v>0</v>
      </c>
      <c r="CJ23" s="165">
        <f t="shared" si="26"/>
        <v>0</v>
      </c>
      <c r="CK23" s="112">
        <f t="shared" si="27"/>
        <v>0</v>
      </c>
      <c r="CL23" s="165">
        <f t="shared" si="28"/>
        <v>0</v>
      </c>
      <c r="CM23" s="165">
        <f t="shared" si="29"/>
        <v>0</v>
      </c>
      <c r="CN23" s="112">
        <f t="shared" si="30"/>
        <v>0</v>
      </c>
      <c r="CO23" s="112">
        <f t="shared" si="31"/>
        <v>0</v>
      </c>
      <c r="CP23" s="112">
        <f t="shared" si="31"/>
        <v>0</v>
      </c>
      <c r="CQ23" s="112">
        <f t="shared" si="32"/>
        <v>0</v>
      </c>
      <c r="CR23" s="112">
        <f t="shared" si="32"/>
        <v>0</v>
      </c>
      <c r="CS23" s="112">
        <f t="shared" si="32"/>
        <v>0</v>
      </c>
      <c r="CT23" s="112">
        <f t="shared" si="32"/>
        <v>0</v>
      </c>
      <c r="CU23" s="152"/>
      <c r="CV23" s="17" t="s">
        <v>49</v>
      </c>
      <c r="CW23" s="162">
        <v>31279</v>
      </c>
      <c r="CX23" s="166">
        <f t="shared" si="92"/>
        <v>0.13797651501116023</v>
      </c>
      <c r="CY23" s="44">
        <f t="shared" si="93"/>
        <v>1862.2138324996254</v>
      </c>
      <c r="CZ23" s="45">
        <f t="shared" si="94"/>
        <v>7.1623608942293284</v>
      </c>
      <c r="DA23" s="45">
        <f t="shared" si="95"/>
        <v>0.4841755964499026</v>
      </c>
      <c r="DB23" s="46">
        <f t="shared" si="96"/>
        <v>1.8622138324996254E-3</v>
      </c>
      <c r="DC23" s="45">
        <f t="shared" si="97"/>
        <v>13.249651418234835</v>
      </c>
      <c r="DD23" s="46">
        <f t="shared" si="98"/>
        <v>5.0960197762441671E-2</v>
      </c>
      <c r="DE23" s="45">
        <f t="shared" si="99"/>
        <v>7.4209221225110067</v>
      </c>
      <c r="DF23" s="46">
        <f t="shared" si="100"/>
        <v>2.8542008163503871E-2</v>
      </c>
      <c r="DG23" s="46">
        <f t="shared" si="33"/>
        <v>5.2517295020847128E-2</v>
      </c>
      <c r="DH23" s="46">
        <f t="shared" si="101"/>
        <v>5.586641497498876E-2</v>
      </c>
      <c r="DI23" s="46">
        <f t="shared" si="102"/>
        <v>1.8622138324996252E-2</v>
      </c>
      <c r="DJ23" s="46">
        <f t="shared" si="103"/>
        <v>4.6555345812490635E-2</v>
      </c>
      <c r="DK23" s="100">
        <f t="shared" si="104"/>
        <v>9.311069162498126E-3</v>
      </c>
      <c r="DL23" s="100">
        <f t="shared" si="105"/>
        <v>3.7244276649992504E-2</v>
      </c>
      <c r="DM23" s="100">
        <f t="shared" si="106"/>
        <v>2.793320748749438E-2</v>
      </c>
      <c r="DN23" s="100">
        <f t="shared" si="107"/>
        <v>4.6555345812490635E-2</v>
      </c>
      <c r="DO23" s="152"/>
      <c r="DP23" s="23" t="s">
        <v>49</v>
      </c>
      <c r="DQ23" s="162">
        <v>31279</v>
      </c>
      <c r="DR23" s="163">
        <f t="shared" si="108"/>
        <v>0.13797651501116023</v>
      </c>
      <c r="DS23" s="111">
        <f t="shared" si="109"/>
        <v>576518.58674536168</v>
      </c>
      <c r="DT23" s="112">
        <f t="shared" si="110"/>
        <v>563.98557399002766</v>
      </c>
      <c r="DU23" s="165">
        <f t="shared" si="34"/>
        <v>4.9004079873355746</v>
      </c>
      <c r="DV23" s="164">
        <f t="shared" si="35"/>
        <v>6.7851802901569488E-3</v>
      </c>
      <c r="DW23" s="165">
        <f t="shared" si="36"/>
        <v>63.417044541989789</v>
      </c>
      <c r="DX23" s="165">
        <f t="shared" si="37"/>
        <v>8.7808215519678157E-2</v>
      </c>
      <c r="DY23" s="165">
        <f t="shared" si="38"/>
        <v>172.9555760236085</v>
      </c>
      <c r="DZ23" s="165">
        <f t="shared" si="39"/>
        <v>0.23947695141730407</v>
      </c>
      <c r="EA23" s="165">
        <f t="shared" si="40"/>
        <v>1.2239933072439986</v>
      </c>
      <c r="EB23" s="165">
        <f t="shared" si="41"/>
        <v>7.2064823343170215</v>
      </c>
      <c r="EC23" s="165">
        <f t="shared" si="111"/>
        <v>145.05207642513298</v>
      </c>
      <c r="ED23" s="165">
        <f t="shared" si="42"/>
        <v>144.12964668634041</v>
      </c>
      <c r="EE23" s="165">
        <f t="shared" si="112"/>
        <v>125.24866297042982</v>
      </c>
      <c r="EF23" s="165">
        <f t="shared" si="43"/>
        <v>123.95149615025277</v>
      </c>
      <c r="EG23" s="165">
        <f t="shared" si="113"/>
        <v>1.29140163430961</v>
      </c>
      <c r="EH23" s="165">
        <f t="shared" si="114"/>
        <v>3.4591115204721699</v>
      </c>
      <c r="EI23" s="17" t="s">
        <v>49</v>
      </c>
      <c r="EJ23" s="61">
        <f t="shared" si="115"/>
        <v>14.656688178444451</v>
      </c>
      <c r="EK23" s="61">
        <f t="shared" si="115"/>
        <v>4.4309334871344939E-2</v>
      </c>
      <c r="EL23" s="61">
        <f t="shared" si="115"/>
        <v>301.6270554472955</v>
      </c>
      <c r="EM23" s="61">
        <f t="shared" si="115"/>
        <v>1.0040005651554695</v>
      </c>
      <c r="EN23" s="61">
        <f t="shared" si="115"/>
        <v>328.68937890400002</v>
      </c>
      <c r="EO23" s="61">
        <f t="shared" si="44"/>
        <v>0.83845311634188679</v>
      </c>
      <c r="EP23" s="61">
        <f t="shared" si="44"/>
        <v>2.3261094507052311</v>
      </c>
      <c r="EQ23" s="61">
        <f t="shared" si="44"/>
        <v>154.96586726674698</v>
      </c>
      <c r="ER23" s="61">
        <f t="shared" si="116"/>
        <v>154.09946515468948</v>
      </c>
      <c r="ES23" s="61">
        <f t="shared" si="117"/>
        <v>147.79638016147032</v>
      </c>
      <c r="ET23" s="61">
        <f t="shared" si="118"/>
        <v>131.56236129655312</v>
      </c>
      <c r="EU23" s="61">
        <f t="shared" si="119"/>
        <v>124.99377812639062</v>
      </c>
      <c r="EV23" s="61">
        <f t="shared" si="120"/>
        <v>6.5628179842950543</v>
      </c>
      <c r="EW23" s="61">
        <f t="shared" si="120"/>
        <v>11.255636623582918</v>
      </c>
    </row>
    <row r="24" spans="1:153" s="19" customFormat="1" ht="15.75" customHeight="1">
      <c r="A24" s="19" t="s">
        <v>330</v>
      </c>
      <c r="B24" s="162" t="s">
        <v>328</v>
      </c>
      <c r="C24" s="162" t="s">
        <v>328</v>
      </c>
      <c r="D24" s="111" t="e">
        <f t="shared" si="46"/>
        <v>#VALUE!</v>
      </c>
      <c r="E24" s="19" t="s">
        <v>330</v>
      </c>
      <c r="F24" s="19" t="s">
        <v>330</v>
      </c>
      <c r="G24" s="19" t="s">
        <v>330</v>
      </c>
      <c r="H24" s="19" t="s">
        <v>330</v>
      </c>
      <c r="I24" s="19" t="s">
        <v>330</v>
      </c>
      <c r="J24" s="19" t="s">
        <v>330</v>
      </c>
      <c r="K24" s="19" t="s">
        <v>330</v>
      </c>
      <c r="L24" s="19" t="s">
        <v>330</v>
      </c>
      <c r="M24" s="19" t="s">
        <v>330</v>
      </c>
      <c r="N24" s="19" t="s">
        <v>330</v>
      </c>
      <c r="O24" s="19" t="s">
        <v>330</v>
      </c>
      <c r="P24" s="19" t="s">
        <v>330</v>
      </c>
      <c r="Q24" s="19" t="s">
        <v>330</v>
      </c>
      <c r="R24" s="19" t="s">
        <v>330</v>
      </c>
      <c r="S24" s="158"/>
      <c r="T24" s="162" t="s">
        <v>328</v>
      </c>
      <c r="U24" s="162" t="s">
        <v>328</v>
      </c>
      <c r="V24" s="162" t="s">
        <v>328</v>
      </c>
      <c r="W24" s="162" t="s">
        <v>328</v>
      </c>
      <c r="X24" s="162" t="s">
        <v>328</v>
      </c>
      <c r="Y24" s="162" t="s">
        <v>328</v>
      </c>
      <c r="Z24" s="162" t="s">
        <v>328</v>
      </c>
      <c r="AA24" s="97" t="s">
        <v>328</v>
      </c>
      <c r="AB24" s="162" t="s">
        <v>328</v>
      </c>
      <c r="AC24" s="97" t="s">
        <v>328</v>
      </c>
      <c r="AD24" s="162" t="s">
        <v>328</v>
      </c>
      <c r="AE24" s="162" t="s">
        <v>328</v>
      </c>
      <c r="AF24" s="97" t="s">
        <v>328</v>
      </c>
      <c r="AG24" s="162" t="s">
        <v>328</v>
      </c>
      <c r="AH24" s="162" t="s">
        <v>328</v>
      </c>
      <c r="AI24" s="162" t="s">
        <v>328</v>
      </c>
      <c r="AJ24" s="162" t="s">
        <v>328</v>
      </c>
      <c r="AK24" s="162" t="s">
        <v>328</v>
      </c>
      <c r="AL24" s="162" t="s">
        <v>328</v>
      </c>
      <c r="AM24" s="158"/>
      <c r="AN24" s="162" t="s">
        <v>329</v>
      </c>
      <c r="AO24" s="162" t="s">
        <v>328</v>
      </c>
      <c r="AP24" s="162" t="s">
        <v>328</v>
      </c>
      <c r="AQ24" s="48" t="e">
        <f t="shared" si="65"/>
        <v>#VALUE!</v>
      </c>
      <c r="AR24" s="162" t="s">
        <v>329</v>
      </c>
      <c r="AS24" s="162" t="s">
        <v>329</v>
      </c>
      <c r="AT24" s="97" t="s">
        <v>329</v>
      </c>
      <c r="AU24" s="97" t="s">
        <v>329</v>
      </c>
      <c r="AV24" s="162" t="s">
        <v>329</v>
      </c>
      <c r="AW24" s="97" t="s">
        <v>329</v>
      </c>
      <c r="AX24" s="100" t="s">
        <v>329</v>
      </c>
      <c r="AY24" s="100" t="s">
        <v>329</v>
      </c>
      <c r="AZ24" s="97" t="s">
        <v>329</v>
      </c>
      <c r="BA24" s="100" t="s">
        <v>329</v>
      </c>
      <c r="BB24" s="97" t="s">
        <v>329</v>
      </c>
      <c r="BC24" s="100" t="s">
        <v>329</v>
      </c>
      <c r="BD24" s="97" t="s">
        <v>329</v>
      </c>
      <c r="BE24" s="162" t="s">
        <v>329</v>
      </c>
      <c r="BF24" s="162" t="s">
        <v>329</v>
      </c>
      <c r="BG24" s="158"/>
      <c r="BH24" s="5" t="s">
        <v>330</v>
      </c>
      <c r="BI24" s="5" t="s">
        <v>330</v>
      </c>
      <c r="BJ24" s="5" t="s">
        <v>330</v>
      </c>
      <c r="BK24" s="5" t="s">
        <v>330</v>
      </c>
      <c r="BL24" s="5" t="s">
        <v>330</v>
      </c>
      <c r="BM24" s="86" t="s">
        <v>330</v>
      </c>
      <c r="BN24" s="198" t="s">
        <v>330</v>
      </c>
      <c r="BO24" s="86" t="s">
        <v>330</v>
      </c>
      <c r="BP24" s="86" t="s">
        <v>330</v>
      </c>
      <c r="BQ24" s="86" t="s">
        <v>330</v>
      </c>
      <c r="BR24" s="86" t="s">
        <v>330</v>
      </c>
      <c r="BS24" s="86" t="s">
        <v>330</v>
      </c>
      <c r="BT24" s="86" t="s">
        <v>330</v>
      </c>
      <c r="BU24" s="86" t="s">
        <v>330</v>
      </c>
      <c r="BV24" s="86" t="s">
        <v>330</v>
      </c>
      <c r="BW24" s="86" t="s">
        <v>330</v>
      </c>
      <c r="BX24" s="86" t="s">
        <v>330</v>
      </c>
      <c r="BY24" s="86" t="s">
        <v>330</v>
      </c>
      <c r="BZ24" s="86" t="s">
        <v>330</v>
      </c>
      <c r="CA24" s="158"/>
      <c r="CB24" s="162" t="s">
        <v>330</v>
      </c>
      <c r="CC24" s="162" t="s">
        <v>330</v>
      </c>
      <c r="CD24" s="162" t="s">
        <v>330</v>
      </c>
      <c r="CE24" s="162" t="s">
        <v>330</v>
      </c>
      <c r="CF24" s="162" t="s">
        <v>330</v>
      </c>
      <c r="CG24" s="162" t="s">
        <v>330</v>
      </c>
      <c r="CH24" s="162" t="s">
        <v>330</v>
      </c>
      <c r="CI24" s="162" t="s">
        <v>330</v>
      </c>
      <c r="CJ24" s="162" t="s">
        <v>330</v>
      </c>
      <c r="CK24" s="162" t="s">
        <v>330</v>
      </c>
      <c r="CL24" s="162" t="s">
        <v>330</v>
      </c>
      <c r="CM24" s="162" t="s">
        <v>330</v>
      </c>
      <c r="CN24" s="162" t="s">
        <v>330</v>
      </c>
      <c r="CO24" s="162" t="s">
        <v>330</v>
      </c>
      <c r="CP24" s="162" t="s">
        <v>330</v>
      </c>
      <c r="CQ24" s="162" t="s">
        <v>330</v>
      </c>
      <c r="CR24" s="162" t="s">
        <v>330</v>
      </c>
      <c r="CS24" s="162" t="s">
        <v>330</v>
      </c>
      <c r="CT24" s="162" t="s">
        <v>330</v>
      </c>
      <c r="CU24" s="158"/>
      <c r="CV24" s="5" t="s">
        <v>330</v>
      </c>
      <c r="CW24" s="5" t="s">
        <v>330</v>
      </c>
      <c r="CX24" s="5" t="s">
        <v>330</v>
      </c>
      <c r="CY24" s="199" t="s">
        <v>330</v>
      </c>
      <c r="CZ24" s="5" t="s">
        <v>330</v>
      </c>
      <c r="DA24" s="86" t="s">
        <v>330</v>
      </c>
      <c r="DB24" s="86" t="s">
        <v>330</v>
      </c>
      <c r="DC24" s="5" t="s">
        <v>330</v>
      </c>
      <c r="DD24" s="5" t="s">
        <v>330</v>
      </c>
      <c r="DE24" s="86" t="s">
        <v>330</v>
      </c>
      <c r="DF24" s="5" t="s">
        <v>330</v>
      </c>
      <c r="DG24" s="5" t="s">
        <v>330</v>
      </c>
      <c r="DH24" s="5" t="s">
        <v>330</v>
      </c>
      <c r="DI24" s="5" t="s">
        <v>330</v>
      </c>
      <c r="DJ24" s="5" t="s">
        <v>330</v>
      </c>
      <c r="DK24" s="5" t="s">
        <v>330</v>
      </c>
      <c r="DL24" s="5" t="s">
        <v>330</v>
      </c>
      <c r="DM24" s="5" t="s">
        <v>330</v>
      </c>
      <c r="DN24" s="5" t="s">
        <v>330</v>
      </c>
      <c r="DO24" s="158"/>
      <c r="DP24" s="19" t="s">
        <v>330</v>
      </c>
      <c r="DQ24" s="5" t="s">
        <v>330</v>
      </c>
      <c r="DR24" s="5" t="s">
        <v>330</v>
      </c>
      <c r="DS24" s="5" t="s">
        <v>330</v>
      </c>
      <c r="DT24" s="200" t="s">
        <v>330</v>
      </c>
      <c r="DU24" s="201" t="s">
        <v>330</v>
      </c>
      <c r="DV24" s="202" t="s">
        <v>330</v>
      </c>
      <c r="DW24" s="201" t="s">
        <v>330</v>
      </c>
      <c r="DX24" s="19" t="s">
        <v>330</v>
      </c>
      <c r="DY24" s="201" t="s">
        <v>330</v>
      </c>
      <c r="DZ24" s="19" t="s">
        <v>330</v>
      </c>
      <c r="EA24" s="19" t="s">
        <v>330</v>
      </c>
      <c r="EB24" s="201" t="s">
        <v>330</v>
      </c>
      <c r="EC24" s="201" t="s">
        <v>330</v>
      </c>
      <c r="ED24" s="201" t="s">
        <v>330</v>
      </c>
      <c r="EE24" s="201" t="s">
        <v>330</v>
      </c>
      <c r="EF24" s="201" t="s">
        <v>330</v>
      </c>
      <c r="EG24" s="201" t="s">
        <v>330</v>
      </c>
      <c r="EH24" s="201" t="s">
        <v>330</v>
      </c>
      <c r="EI24" s="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</row>
    <row r="25" spans="1:153" ht="12.75" customHeight="1">
      <c r="A25" s="23" t="s">
        <v>50</v>
      </c>
      <c r="B25" s="108">
        <f>SUM(B10:B23)</f>
        <v>226698</v>
      </c>
      <c r="C25" s="163">
        <f t="shared" si="45"/>
        <v>0.83492499604079273</v>
      </c>
      <c r="D25" s="111">
        <f t="shared" si="46"/>
        <v>0</v>
      </c>
      <c r="E25" s="111">
        <f>SUM(D25*0.09)</f>
        <v>0</v>
      </c>
      <c r="F25" s="112">
        <f>SUM(D25*0.05)/2000</f>
        <v>0</v>
      </c>
      <c r="G25" s="164">
        <f>SUM(F25*0.09)/65</f>
        <v>0</v>
      </c>
      <c r="H25" s="112">
        <f t="shared" si="47"/>
        <v>0</v>
      </c>
      <c r="I25" s="165">
        <f>SUM(H25*0.09)/65</f>
        <v>0</v>
      </c>
      <c r="J25" s="112">
        <f>SUM(D25*5)/2000</f>
        <v>0</v>
      </c>
      <c r="K25" s="165">
        <f>SUM(J25*0.09)/65</f>
        <v>0</v>
      </c>
      <c r="L25" s="165">
        <f>SUM(J25*0.46)/65</f>
        <v>0</v>
      </c>
      <c r="M25" s="112">
        <f t="shared" si="48"/>
        <v>0</v>
      </c>
      <c r="N25" s="112">
        <f t="shared" si="49"/>
        <v>0</v>
      </c>
      <c r="O25" s="112">
        <f t="shared" si="50"/>
        <v>0</v>
      </c>
      <c r="P25" s="112">
        <f t="shared" si="51"/>
        <v>0</v>
      </c>
      <c r="Q25" s="112">
        <f t="shared" si="52"/>
        <v>0</v>
      </c>
      <c r="R25" s="112">
        <f t="shared" si="53"/>
        <v>0</v>
      </c>
      <c r="S25" s="152"/>
      <c r="T25" s="17" t="s">
        <v>50</v>
      </c>
      <c r="U25" s="108">
        <f>SUM(U10:U23)</f>
        <v>226698</v>
      </c>
      <c r="V25" s="166">
        <f t="shared" si="54"/>
        <v>1</v>
      </c>
      <c r="W25" s="48">
        <f t="shared" si="55"/>
        <v>49939.5</v>
      </c>
      <c r="X25" s="48">
        <f>SUM(W25*0.09)</f>
        <v>4494.5549999999994</v>
      </c>
      <c r="Y25" s="45">
        <f t="shared" si="56"/>
        <v>4.9939500000000008</v>
      </c>
      <c r="Z25" s="46">
        <f t="shared" si="57"/>
        <v>1.9207500000000002E-2</v>
      </c>
      <c r="AA25" s="45">
        <f>SUM(W25*20)/2000</f>
        <v>499.39499999999998</v>
      </c>
      <c r="AB25" s="46">
        <f t="shared" si="58"/>
        <v>1.92075</v>
      </c>
      <c r="AC25" s="45">
        <f>SUM(W25*5)/2000</f>
        <v>124.84875</v>
      </c>
      <c r="AD25" s="46">
        <f t="shared" si="59"/>
        <v>0.48018749999999999</v>
      </c>
      <c r="AE25" s="45">
        <f>SUM(AC25*0.46)/65</f>
        <v>0.88354500000000002</v>
      </c>
      <c r="AF25" s="45">
        <f>SUM(W25*42.6)/2000</f>
        <v>1063.71135</v>
      </c>
      <c r="AG25" s="45">
        <f>SUM(W25*2.3)/2000</f>
        <v>57.430424999999993</v>
      </c>
      <c r="AH25" s="45">
        <f t="shared" si="60"/>
        <v>24.969750000000001</v>
      </c>
      <c r="AI25" s="45">
        <f>SUM(W25*1.55)/2000</f>
        <v>38.703112500000003</v>
      </c>
      <c r="AJ25" s="45">
        <f t="shared" si="61"/>
        <v>6.2424375000000003</v>
      </c>
      <c r="AK25" s="97">
        <f t="shared" si="62"/>
        <v>32.460675000000002</v>
      </c>
      <c r="AL25" s="97">
        <f t="shared" si="63"/>
        <v>19.975800000000003</v>
      </c>
      <c r="AM25" s="152"/>
      <c r="AN25" s="17" t="s">
        <v>50</v>
      </c>
      <c r="AO25" s="108">
        <v>226698</v>
      </c>
      <c r="AP25" s="166">
        <f t="shared" si="64"/>
        <v>1</v>
      </c>
      <c r="AQ25" s="48">
        <f t="shared" si="65"/>
        <v>0</v>
      </c>
      <c r="AR25" s="45">
        <f t="shared" si="66"/>
        <v>0</v>
      </c>
      <c r="AS25" s="45">
        <f t="shared" si="67"/>
        <v>0</v>
      </c>
      <c r="AT25" s="49">
        <f t="shared" si="68"/>
        <v>0</v>
      </c>
      <c r="AU25" s="45">
        <f t="shared" si="69"/>
        <v>0</v>
      </c>
      <c r="AV25" s="46">
        <f t="shared" si="70"/>
        <v>0</v>
      </c>
      <c r="AW25" s="45">
        <f>SUM(AQ25*5)/2000</f>
        <v>0</v>
      </c>
      <c r="AX25" s="46">
        <f t="shared" si="71"/>
        <v>0</v>
      </c>
      <c r="AY25" s="46">
        <f>SUM(AW25*0.46)/90</f>
        <v>0</v>
      </c>
      <c r="AZ25" s="45">
        <f t="shared" si="72"/>
        <v>0</v>
      </c>
      <c r="BA25" s="45">
        <f t="shared" si="73"/>
        <v>0</v>
      </c>
      <c r="BB25" s="45">
        <f t="shared" si="74"/>
        <v>0</v>
      </c>
      <c r="BC25" s="45">
        <f t="shared" si="75"/>
        <v>0</v>
      </c>
      <c r="BD25" s="45">
        <f t="shared" si="76"/>
        <v>0</v>
      </c>
      <c r="BE25" s="45">
        <f t="shared" si="77"/>
        <v>0</v>
      </c>
      <c r="BF25" s="45">
        <f t="shared" si="78"/>
        <v>0</v>
      </c>
      <c r="BG25" s="152"/>
      <c r="BH25" s="17" t="s">
        <v>50</v>
      </c>
      <c r="BI25" s="108">
        <f>SUM(BI10:BI23)</f>
        <v>226698</v>
      </c>
      <c r="BJ25" s="166">
        <f t="shared" si="79"/>
        <v>1</v>
      </c>
      <c r="BK25" s="48">
        <f t="shared" si="80"/>
        <v>22620.6</v>
      </c>
      <c r="BL25" s="45">
        <f t="shared" si="81"/>
        <v>61.469021739130433</v>
      </c>
      <c r="BM25" s="45">
        <f>SUM(BK25*5.5)/2000</f>
        <v>62.206649999999996</v>
      </c>
      <c r="BN25" s="46">
        <f t="shared" si="82"/>
        <v>0.23925634615384614</v>
      </c>
      <c r="BO25" s="45">
        <f>SUM(BK25*100)/2000</f>
        <v>1131.03</v>
      </c>
      <c r="BP25" s="46">
        <f t="shared" si="83"/>
        <v>4.3501153846153846</v>
      </c>
      <c r="BQ25" s="46">
        <f>SUM(BK25*84)/2000</f>
        <v>950.0652</v>
      </c>
      <c r="BR25" s="46">
        <f t="shared" si="85"/>
        <v>3.6540969230769229</v>
      </c>
      <c r="BS25" s="46">
        <f t="shared" si="86"/>
        <v>6.7235383384615384</v>
      </c>
      <c r="BT25" s="45">
        <f>SUM(BK25*0.6)/2000</f>
        <v>6.786179999999999</v>
      </c>
      <c r="BU25" s="45">
        <f>SUM(BK25*0.69)/2000</f>
        <v>7.8041069999999992</v>
      </c>
      <c r="BV25" s="45">
        <f t="shared" si="87"/>
        <v>1.4703389999999998</v>
      </c>
      <c r="BW25" s="45">
        <f>SUM(BK25*0.6)/2000</f>
        <v>6.786179999999999</v>
      </c>
      <c r="BX25" s="45">
        <f t="shared" si="88"/>
        <v>1.2441329999999999</v>
      </c>
      <c r="BY25" s="45">
        <f t="shared" si="89"/>
        <v>5.5420469999999993</v>
      </c>
      <c r="BZ25" s="45">
        <f t="shared" si="90"/>
        <v>36.192959999999999</v>
      </c>
      <c r="CA25" s="152"/>
      <c r="CB25" s="23" t="s">
        <v>50</v>
      </c>
      <c r="CC25" s="108">
        <f>SUM(CC10:CC23)</f>
        <v>226698</v>
      </c>
      <c r="CD25" s="163">
        <f>SUM(CC25/390351)</f>
        <v>0.58075424425709166</v>
      </c>
      <c r="CE25" s="111">
        <f t="shared" si="91"/>
        <v>0</v>
      </c>
      <c r="CF25" s="112">
        <f>SUM(CE25*0.09)</f>
        <v>0</v>
      </c>
      <c r="CG25" s="165">
        <f>SUM(CE25*0.34)/2000</f>
        <v>0</v>
      </c>
      <c r="CH25" s="164">
        <f>SUM(CG25*0.09)/65</f>
        <v>0</v>
      </c>
      <c r="CI25" s="112">
        <f>SUM(CE25*20)/2000</f>
        <v>0</v>
      </c>
      <c r="CJ25" s="165">
        <f>SUM(CI25*0.09)/65</f>
        <v>0</v>
      </c>
      <c r="CK25" s="112">
        <f>SUM(CE25*5)/2000</f>
        <v>0</v>
      </c>
      <c r="CL25" s="165">
        <f>SUM(CK25*0.09)/65</f>
        <v>0</v>
      </c>
      <c r="CM25" s="165">
        <f>SUM(CK25*0.46)/65</f>
        <v>0</v>
      </c>
      <c r="CN25" s="112">
        <f>SUM(CE25*144)/2000</f>
        <v>0</v>
      </c>
      <c r="CO25" s="112">
        <f>SUM(CE25*1.08)/2000</f>
        <v>0</v>
      </c>
      <c r="CP25" s="112">
        <f>SUM(CF25*1.08)/2000</f>
        <v>0</v>
      </c>
      <c r="CQ25" s="112">
        <f>SUM(CE25*0.83)/2000</f>
        <v>0</v>
      </c>
      <c r="CR25" s="112">
        <f>SUM(CF25*0.83)/2000</f>
        <v>0</v>
      </c>
      <c r="CS25" s="112">
        <f>SUM(CG25*0.83)/2000</f>
        <v>0</v>
      </c>
      <c r="CT25" s="112">
        <f>SUM(CH25*0.83)/2000</f>
        <v>0</v>
      </c>
      <c r="CU25" s="152"/>
      <c r="CV25" s="17" t="s">
        <v>50</v>
      </c>
      <c r="CW25" s="108">
        <f>SUM(CW10:CW23)</f>
        <v>226698</v>
      </c>
      <c r="CX25" s="166">
        <f t="shared" si="92"/>
        <v>1</v>
      </c>
      <c r="CY25" s="44">
        <f t="shared" si="93"/>
        <v>13496.6</v>
      </c>
      <c r="CZ25" s="45">
        <f t="shared" si="94"/>
        <v>51.910000000000004</v>
      </c>
      <c r="DA25" s="45">
        <f t="shared" si="95"/>
        <v>3.5091160000000006</v>
      </c>
      <c r="DB25" s="46">
        <f t="shared" si="96"/>
        <v>1.3496600000000003E-2</v>
      </c>
      <c r="DC25" s="45">
        <f t="shared" si="97"/>
        <v>96.028309000000007</v>
      </c>
      <c r="DD25" s="46">
        <f t="shared" si="98"/>
        <v>0.36933965000000002</v>
      </c>
      <c r="DE25" s="46">
        <f t="shared" si="99"/>
        <v>53.783951000000002</v>
      </c>
      <c r="DF25" s="46">
        <f t="shared" si="100"/>
        <v>0.20686135</v>
      </c>
      <c r="DG25" s="46">
        <f>SUM(DE25*0.46)/65</f>
        <v>0.38062488400000005</v>
      </c>
      <c r="DH25" s="46">
        <f t="shared" si="101"/>
        <v>0.40489799999999998</v>
      </c>
      <c r="DI25" s="46">
        <f t="shared" si="102"/>
        <v>0.134966</v>
      </c>
      <c r="DJ25" s="46">
        <f t="shared" si="103"/>
        <v>0.33741500000000002</v>
      </c>
      <c r="DK25" s="100">
        <f t="shared" si="104"/>
        <v>6.7483000000000001E-2</v>
      </c>
      <c r="DL25" s="100">
        <f t="shared" si="105"/>
        <v>0.26993200000000001</v>
      </c>
      <c r="DM25" s="100">
        <f t="shared" si="106"/>
        <v>0.20244899999999999</v>
      </c>
      <c r="DN25" s="100">
        <f t="shared" si="107"/>
        <v>0.33741500000000002</v>
      </c>
      <c r="DO25" s="152"/>
      <c r="DP25" s="23" t="s">
        <v>50</v>
      </c>
      <c r="DQ25" s="108">
        <f>SUM(DQ10:DQ23)</f>
        <v>226698</v>
      </c>
      <c r="DR25" s="163">
        <f t="shared" si="108"/>
        <v>1</v>
      </c>
      <c r="DS25" s="111">
        <f t="shared" si="109"/>
        <v>4178382</v>
      </c>
      <c r="DT25" s="112">
        <f t="shared" si="110"/>
        <v>4087.5476086956523</v>
      </c>
      <c r="DU25" s="165">
        <f>SUM(DS25*0.017)/2000</f>
        <v>35.516247</v>
      </c>
      <c r="DV25" s="164">
        <f>SUM(DU25*0.09)/65</f>
        <v>4.9176341999999998E-2</v>
      </c>
      <c r="DW25" s="165">
        <f>SUM(DS25*0.22)/2000</f>
        <v>459.62202000000002</v>
      </c>
      <c r="DX25" s="165">
        <f>SUM(DW25*0.09)/65</f>
        <v>0.63639972</v>
      </c>
      <c r="DY25" s="164">
        <f>SUM(DS25*0.6)/2000</f>
        <v>1253.5146</v>
      </c>
      <c r="DZ25" s="165">
        <f>SUM(DY25*0.09)/65</f>
        <v>1.7356355999999999</v>
      </c>
      <c r="EA25" s="165">
        <f>SUM(DY25*0.46)/65</f>
        <v>8.8710263999999999</v>
      </c>
      <c r="EB25" s="165">
        <f>SUM(DS25*0.025)/2000</f>
        <v>52.229775000000004</v>
      </c>
      <c r="EC25" s="165">
        <f t="shared" si="111"/>
        <v>1051.2809112</v>
      </c>
      <c r="ED25" s="165">
        <f>SUM(DS25*0.5)/2000</f>
        <v>1044.5954999999999</v>
      </c>
      <c r="EE25" s="165">
        <f t="shared" si="112"/>
        <v>907.7534895</v>
      </c>
      <c r="EF25" s="165">
        <f>SUM(DS25*0.43)/2000</f>
        <v>898.35212999999999</v>
      </c>
      <c r="EG25" s="165">
        <f t="shared" si="113"/>
        <v>9.3595756800000007</v>
      </c>
      <c r="EH25" s="165">
        <f t="shared" si="114"/>
        <v>25.070292000000002</v>
      </c>
      <c r="EI25" s="2" t="s">
        <v>50</v>
      </c>
      <c r="EJ25" s="61">
        <f>SUM(F25,Y25,AS25,BM25,CG25,DA25,DU25)</f>
        <v>106.22596300000001</v>
      </c>
      <c r="EK25" s="61">
        <f t="shared" si="115"/>
        <v>0.32113678815384616</v>
      </c>
      <c r="EL25" s="61">
        <f>SUM(H25,AA25,AU25,BO25,CI25,DC25,DW25)</f>
        <v>2186.0753290000002</v>
      </c>
      <c r="EM25" s="61">
        <f>SUM(I25,AB25,AV25,BP25,CJ25,DD25,DX25)</f>
        <v>7.2766047546153843</v>
      </c>
      <c r="EN25" s="61">
        <f>SUM(J25,AC25,AW25,BQ25,CK25,DE25,DY25)</f>
        <v>2382.212501</v>
      </c>
      <c r="EO25" s="61">
        <f t="shared" si="44"/>
        <v>6.0767813730769227</v>
      </c>
      <c r="EP25" s="61">
        <f t="shared" si="44"/>
        <v>16.85873462246154</v>
      </c>
      <c r="EQ25" s="61">
        <f>SUM(M25,AF25,AZ25,BT25,CN25,DH25,EB25)</f>
        <v>1123.1322030000001</v>
      </c>
      <c r="ER25" s="61">
        <f>SUM(N25,AG25,BB25,BU25,CO25,DJ25,EC25)</f>
        <v>1116.8528581999999</v>
      </c>
      <c r="ES25" s="61">
        <f t="shared" si="117"/>
        <v>1071.1705549999999</v>
      </c>
      <c r="ET25" s="61">
        <f t="shared" si="118"/>
        <v>953.51271399999996</v>
      </c>
      <c r="EU25" s="61">
        <f t="shared" si="119"/>
        <v>905.9061835</v>
      </c>
      <c r="EV25" s="61">
        <f>SUM(Q25,AK25,BE25,BY25,CS25,DM25,EG25)</f>
        <v>47.564746679999999</v>
      </c>
      <c r="EW25" s="61">
        <f>SUM(R25,AL25,BF25,BZ25,CT25,DN25,EH25)</f>
        <v>81.576467000000008</v>
      </c>
    </row>
    <row r="26" spans="1:153" ht="10.9" customHeight="1">
      <c r="D26" s="165"/>
      <c r="E26" s="165"/>
      <c r="F26" s="165"/>
      <c r="J26" s="165"/>
      <c r="S26" s="152"/>
      <c r="W26" s="45"/>
      <c r="X26" s="45"/>
      <c r="Y26" s="45"/>
      <c r="Z26" s="1"/>
      <c r="AB26" s="1"/>
      <c r="AC26" s="45"/>
      <c r="AD26" s="1"/>
      <c r="AG26" s="5"/>
      <c r="AH26" s="5"/>
      <c r="AI26" s="1"/>
      <c r="AJ26" s="1"/>
      <c r="AL26" s="1"/>
      <c r="AM26" s="152"/>
      <c r="AQ26" s="45"/>
      <c r="AR26" s="45"/>
      <c r="AS26" s="69"/>
      <c r="AV26" s="203"/>
      <c r="AW26" s="45"/>
      <c r="BG26" s="152"/>
      <c r="BK26" s="45"/>
      <c r="BL26" s="45"/>
      <c r="BM26" s="45"/>
      <c r="BO26" s="47"/>
      <c r="BQ26" s="45"/>
      <c r="BR26" s="84"/>
      <c r="BT26" s="47"/>
      <c r="CA26" s="152"/>
      <c r="CE26" s="165"/>
      <c r="CF26" s="165"/>
      <c r="CG26" s="187"/>
      <c r="CK26" s="165"/>
      <c r="CR26" s="165"/>
      <c r="CS26" s="165"/>
      <c r="CT26" s="165"/>
      <c r="CU26" s="152"/>
      <c r="CY26" s="45"/>
      <c r="CZ26" s="45"/>
      <c r="DA26" s="45"/>
      <c r="DB26" s="1"/>
      <c r="DD26" s="1"/>
      <c r="DE26" s="45"/>
      <c r="DF26" s="1"/>
      <c r="DI26" s="45"/>
      <c r="DJ26" s="45"/>
      <c r="DO26" s="152"/>
      <c r="DS26" s="182"/>
      <c r="DT26" s="182"/>
      <c r="DU26" s="112"/>
      <c r="DV26" s="181"/>
      <c r="DY26" s="165"/>
      <c r="EB26" s="165"/>
      <c r="EC26" s="112"/>
      <c r="ED26" s="165"/>
      <c r="EE26" s="165"/>
      <c r="EJ26" s="60"/>
      <c r="EK26" s="61"/>
      <c r="EL26" s="60"/>
      <c r="EN26" s="94"/>
    </row>
    <row r="27" spans="1:153" ht="10.9" customHeight="1">
      <c r="D27" s="183"/>
      <c r="E27" s="183" t="s">
        <v>67</v>
      </c>
      <c r="F27" s="204">
        <f>SUM(F25-F28)</f>
        <v>0</v>
      </c>
      <c r="G27" s="204">
        <f t="shared" ref="G27:P27" si="121">SUM(G25-G28)</f>
        <v>0</v>
      </c>
      <c r="H27" s="204">
        <f t="shared" si="121"/>
        <v>0</v>
      </c>
      <c r="I27" s="204">
        <f t="shared" si="121"/>
        <v>0</v>
      </c>
      <c r="J27" s="204">
        <f t="shared" si="121"/>
        <v>0</v>
      </c>
      <c r="K27" s="204">
        <f t="shared" si="121"/>
        <v>0</v>
      </c>
      <c r="L27" s="204">
        <f t="shared" si="121"/>
        <v>0</v>
      </c>
      <c r="M27" s="204">
        <f t="shared" si="121"/>
        <v>0</v>
      </c>
      <c r="N27" s="204">
        <f t="shared" si="121"/>
        <v>0</v>
      </c>
      <c r="O27" s="204">
        <f t="shared" si="121"/>
        <v>0</v>
      </c>
      <c r="P27" s="204">
        <f t="shared" si="121"/>
        <v>0</v>
      </c>
      <c r="Q27" s="204">
        <f>SUM(Q25-Q28)</f>
        <v>0</v>
      </c>
      <c r="R27" s="204">
        <f>SUM(R25-R28)</f>
        <v>0</v>
      </c>
      <c r="S27" s="152"/>
      <c r="W27" s="96"/>
      <c r="X27" s="96" t="s">
        <v>67</v>
      </c>
      <c r="Y27" s="184">
        <f>SUM(Y25-Y28)</f>
        <v>4.2792382963237445</v>
      </c>
      <c r="Z27" s="185">
        <f t="shared" ref="Z27:AJ27" si="122">SUM(Z25-Z28)</f>
        <v>1.6458608832014401E-2</v>
      </c>
      <c r="AA27" s="184">
        <f t="shared" si="122"/>
        <v>427.92382963237435</v>
      </c>
      <c r="AB27" s="184">
        <f t="shared" si="122"/>
        <v>1.6458608832014399</v>
      </c>
      <c r="AC27" s="184">
        <f t="shared" si="122"/>
        <v>106.98095740809359</v>
      </c>
      <c r="AD27" s="185">
        <f t="shared" si="122"/>
        <v>0.41146522080035997</v>
      </c>
      <c r="AE27" s="184">
        <f t="shared" si="122"/>
        <v>0.75709600627266227</v>
      </c>
      <c r="AF27" s="184">
        <f t="shared" si="122"/>
        <v>911.47775711695738</v>
      </c>
      <c r="AG27" s="184">
        <f>SUM(AG25-AG28)</f>
        <v>49.211240407723039</v>
      </c>
      <c r="AH27" s="184">
        <f t="shared" si="122"/>
        <v>21.396191481618718</v>
      </c>
      <c r="AI27" s="184">
        <f>SUM(AI25-AI28)</f>
        <v>33.164096796509014</v>
      </c>
      <c r="AJ27" s="184">
        <f t="shared" si="122"/>
        <v>5.3490478704046795</v>
      </c>
      <c r="AK27" s="184">
        <f>SUM(AK25-AK28)</f>
        <v>27.815048926104335</v>
      </c>
      <c r="AL27" s="184">
        <f>SUM(AL25-AL28)</f>
        <v>17.116953185294978</v>
      </c>
      <c r="AM27" s="152"/>
      <c r="AN27" s="1" t="s">
        <v>67</v>
      </c>
      <c r="AQ27" s="96"/>
      <c r="AR27" s="96"/>
      <c r="AS27" s="101">
        <f>SUM(AS25-AS28)</f>
        <v>0</v>
      </c>
      <c r="AT27" s="101">
        <f t="shared" ref="AT27:BF27" si="123">SUM(AT25-AT28)</f>
        <v>0</v>
      </c>
      <c r="AU27" s="101">
        <f t="shared" si="123"/>
        <v>0</v>
      </c>
      <c r="AV27" s="101">
        <f t="shared" si="123"/>
        <v>0</v>
      </c>
      <c r="AW27" s="101">
        <f t="shared" si="123"/>
        <v>0</v>
      </c>
      <c r="AX27" s="101">
        <f t="shared" si="123"/>
        <v>0</v>
      </c>
      <c r="AY27" s="101">
        <f t="shared" si="123"/>
        <v>0</v>
      </c>
      <c r="AZ27" s="101">
        <f t="shared" si="123"/>
        <v>0</v>
      </c>
      <c r="BA27" s="101">
        <f t="shared" si="123"/>
        <v>0</v>
      </c>
      <c r="BB27" s="101">
        <f t="shared" si="123"/>
        <v>0</v>
      </c>
      <c r="BC27" s="101">
        <f t="shared" si="123"/>
        <v>0</v>
      </c>
      <c r="BD27" s="101">
        <f t="shared" si="123"/>
        <v>0</v>
      </c>
      <c r="BE27" s="101">
        <f t="shared" si="123"/>
        <v>0</v>
      </c>
      <c r="BF27" s="101">
        <f t="shared" si="123"/>
        <v>0</v>
      </c>
      <c r="BG27" s="152"/>
      <c r="BK27" s="96"/>
      <c r="BL27" s="96" t="s">
        <v>67</v>
      </c>
      <c r="BM27" s="45">
        <f>SUM(BM25-BM28)</f>
        <v>53.303913528571044</v>
      </c>
      <c r="BN27" s="45">
        <f t="shared" ref="BN27:BZ27" si="124">SUM(BN25-BN28)</f>
        <v>0.20501505203296558</v>
      </c>
      <c r="BO27" s="45">
        <f t="shared" si="124"/>
        <v>969.16206415583724</v>
      </c>
      <c r="BP27" s="45">
        <f t="shared" si="124"/>
        <v>3.7275464005993744</v>
      </c>
      <c r="BQ27" s="45">
        <f t="shared" si="124"/>
        <v>814.09613389090327</v>
      </c>
      <c r="BR27" s="45">
        <f t="shared" si="124"/>
        <v>3.1311389765034741</v>
      </c>
      <c r="BS27" s="45">
        <f t="shared" si="124"/>
        <v>5.7612957167663925</v>
      </c>
      <c r="BT27" s="45">
        <f t="shared" si="124"/>
        <v>5.8149723849350226</v>
      </c>
      <c r="BU27" s="45">
        <f>SUM(BU25-BU28)</f>
        <v>6.6872182426752769</v>
      </c>
      <c r="BV27" s="45">
        <f t="shared" si="124"/>
        <v>1.2599106834025884</v>
      </c>
      <c r="BW27" s="45">
        <f>SUM(BW25-BW28)</f>
        <v>5.8149723849350226</v>
      </c>
      <c r="BX27" s="45">
        <f t="shared" si="124"/>
        <v>1.0660782705714209</v>
      </c>
      <c r="BY27" s="45">
        <f>SUM(BY25-BY28)</f>
        <v>4.7488941143636021</v>
      </c>
      <c r="BZ27" s="45">
        <f t="shared" si="124"/>
        <v>31.013186052986793</v>
      </c>
      <c r="CA27" s="152"/>
      <c r="CE27" s="183"/>
      <c r="CF27" s="183" t="s">
        <v>67</v>
      </c>
      <c r="CG27" s="204">
        <f>SUM(CG25-CG28)</f>
        <v>0</v>
      </c>
      <c r="CH27" s="204">
        <f t="shared" ref="CH27:CQ27" si="125">SUM(CH25-CH28)</f>
        <v>0</v>
      </c>
      <c r="CI27" s="204">
        <f t="shared" si="125"/>
        <v>0</v>
      </c>
      <c r="CJ27" s="204">
        <f t="shared" si="125"/>
        <v>0</v>
      </c>
      <c r="CK27" s="204">
        <f t="shared" si="125"/>
        <v>0</v>
      </c>
      <c r="CL27" s="204">
        <f t="shared" si="125"/>
        <v>0</v>
      </c>
      <c r="CM27" s="204">
        <f t="shared" si="125"/>
        <v>0</v>
      </c>
      <c r="CN27" s="204">
        <f t="shared" si="125"/>
        <v>0</v>
      </c>
      <c r="CO27" s="204">
        <f t="shared" si="125"/>
        <v>0</v>
      </c>
      <c r="CP27" s="204">
        <f>SUM(CP25-CP28)</f>
        <v>0</v>
      </c>
      <c r="CQ27" s="204">
        <f t="shared" si="125"/>
        <v>0</v>
      </c>
      <c r="CR27" s="204">
        <f>SUM(CR25-CR28)</f>
        <v>0</v>
      </c>
      <c r="CS27" s="204">
        <f>SUM(CS25-CS28)</f>
        <v>0</v>
      </c>
      <c r="CT27" s="204">
        <f>SUM(CT25-CT28)</f>
        <v>0</v>
      </c>
      <c r="CU27" s="152"/>
      <c r="CY27" s="96"/>
      <c r="CZ27" s="96" t="s">
        <v>67</v>
      </c>
      <c r="DA27" s="184">
        <f>SUM(DA25-DA28)</f>
        <v>3.0069070722458959</v>
      </c>
      <c r="DB27" s="185">
        <f t="shared" ref="DB27:DK27" si="126">SUM(DB25-DB28)</f>
        <v>1.1565027200945755E-2</v>
      </c>
      <c r="DC27" s="184">
        <f t="shared" si="126"/>
        <v>82.285168534729024</v>
      </c>
      <c r="DD27" s="185">
        <f t="shared" si="126"/>
        <v>0.31648141744126546</v>
      </c>
      <c r="DE27" s="184">
        <f t="shared" si="126"/>
        <v>46.086633395768821</v>
      </c>
      <c r="DF27" s="184">
        <f t="shared" si="126"/>
        <v>0.17725628229141854</v>
      </c>
      <c r="DG27" s="184">
        <f t="shared" si="126"/>
        <v>0.32615155941621016</v>
      </c>
      <c r="DH27" s="184">
        <f t="shared" si="126"/>
        <v>0.34695081602837252</v>
      </c>
      <c r="DI27" s="184">
        <f t="shared" si="126"/>
        <v>0.11565027200945752</v>
      </c>
      <c r="DJ27" s="184">
        <f>SUM(DJ25-DJ28)</f>
        <v>0.28912568002364381</v>
      </c>
      <c r="DK27" s="205">
        <f t="shared" si="126"/>
        <v>5.7825136004728758E-2</v>
      </c>
      <c r="DL27" s="205">
        <f>SUM(DL25-DL28)</f>
        <v>0.23130054401891503</v>
      </c>
      <c r="DM27" s="205">
        <f>SUM(DM25-DM28)</f>
        <v>0.17347540801418626</v>
      </c>
      <c r="DN27" s="205">
        <f>SUM(DN25-DN28)</f>
        <v>0.28912568002364381</v>
      </c>
      <c r="DO27" s="152"/>
      <c r="DS27" s="183"/>
      <c r="DT27" s="183" t="s">
        <v>67</v>
      </c>
      <c r="DU27" s="187">
        <f>SUM(DU25-DU28)</f>
        <v>30.433321179445784</v>
      </c>
      <c r="DV27" s="164">
        <f t="shared" ref="DV27:EH27" si="127">SUM(DV25-DV28)</f>
        <v>4.2138444710001853E-2</v>
      </c>
      <c r="DW27" s="187">
        <f t="shared" si="127"/>
        <v>393.84297996929837</v>
      </c>
      <c r="DX27" s="187">
        <f t="shared" si="127"/>
        <v>0.5453210491882593</v>
      </c>
      <c r="DY27" s="187">
        <f t="shared" si="127"/>
        <v>1074.1172180980864</v>
      </c>
      <c r="DZ27" s="187">
        <f t="shared" si="127"/>
        <v>1.4872392250588888</v>
      </c>
      <c r="EA27" s="187">
        <f t="shared" si="127"/>
        <v>7.6014449280787657</v>
      </c>
      <c r="EB27" s="187">
        <f t="shared" si="127"/>
        <v>44.754884087420272</v>
      </c>
      <c r="EC27" s="112">
        <f t="shared" si="127"/>
        <v>900.82630691159522</v>
      </c>
      <c r="ED27" s="187">
        <f t="shared" si="127"/>
        <v>895.09768174840531</v>
      </c>
      <c r="EE27" s="187">
        <f t="shared" si="127"/>
        <v>777.83988543936425</v>
      </c>
      <c r="EF27" s="187">
        <f t="shared" si="127"/>
        <v>769.78400630362864</v>
      </c>
      <c r="EG27" s="187">
        <f t="shared" si="127"/>
        <v>8.0200752284657124</v>
      </c>
      <c r="EH27" s="187">
        <f t="shared" si="127"/>
        <v>21.482344361961729</v>
      </c>
      <c r="EI27" s="13" t="s">
        <v>332</v>
      </c>
      <c r="EJ27" s="99">
        <f>SUM(EJ25-EJ28)</f>
        <v>91.023380076586477</v>
      </c>
      <c r="EK27" s="52">
        <f t="shared" ref="EK27:EW27" si="128">SUM(EK25-EK28)</f>
        <v>0.27517713277592759</v>
      </c>
      <c r="EL27" s="99">
        <f t="shared" si="128"/>
        <v>1873.2140422922394</v>
      </c>
      <c r="EM27" s="52">
        <f t="shared" si="128"/>
        <v>6.2352097504303385</v>
      </c>
      <c r="EN27" s="99">
        <f t="shared" si="128"/>
        <v>2041.2809427928521</v>
      </c>
      <c r="EO27" s="52">
        <f t="shared" si="128"/>
        <v>5.2070997046541416</v>
      </c>
      <c r="EP27" s="52">
        <f t="shared" si="128"/>
        <v>14.445988210534033</v>
      </c>
      <c r="EQ27" s="52">
        <f t="shared" si="128"/>
        <v>962.39456440534104</v>
      </c>
      <c r="ER27" s="52">
        <f t="shared" si="128"/>
        <v>957.01389124201705</v>
      </c>
      <c r="ES27" s="52">
        <f t="shared" si="128"/>
        <v>917.86943418543603</v>
      </c>
      <c r="ET27" s="52">
        <f t="shared" si="128"/>
        <v>817.05025516482715</v>
      </c>
      <c r="EU27" s="52">
        <f t="shared" si="128"/>
        <v>776.25695758060942</v>
      </c>
      <c r="EV27" s="52">
        <f t="shared" si="128"/>
        <v>40.757493676947831</v>
      </c>
      <c r="EW27" s="52">
        <f t="shared" si="128"/>
        <v>69.901609280267152</v>
      </c>
    </row>
    <row r="28" spans="1:153" ht="10.9" customHeight="1">
      <c r="D28" s="183"/>
      <c r="E28" s="183" t="s">
        <v>52</v>
      </c>
      <c r="F28" s="191">
        <f>SUM(F11,F15,F16,F17)</f>
        <v>0</v>
      </c>
      <c r="G28" s="191">
        <f t="shared" ref="G28:P28" si="129">SUM(G11,G15,G16,G17)</f>
        <v>0</v>
      </c>
      <c r="H28" s="191">
        <f t="shared" si="129"/>
        <v>0</v>
      </c>
      <c r="I28" s="191">
        <f t="shared" si="129"/>
        <v>0</v>
      </c>
      <c r="J28" s="191">
        <f t="shared" si="129"/>
        <v>0</v>
      </c>
      <c r="K28" s="191">
        <f t="shared" si="129"/>
        <v>0</v>
      </c>
      <c r="L28" s="191">
        <f t="shared" si="129"/>
        <v>0</v>
      </c>
      <c r="M28" s="191">
        <f t="shared" si="129"/>
        <v>0</v>
      </c>
      <c r="N28" s="191">
        <f t="shared" si="129"/>
        <v>0</v>
      </c>
      <c r="O28" s="191">
        <f t="shared" si="129"/>
        <v>0</v>
      </c>
      <c r="P28" s="191">
        <f t="shared" si="129"/>
        <v>0</v>
      </c>
      <c r="Q28" s="191">
        <f>SUM(Q11,Q15,Q16,Q17)</f>
        <v>0</v>
      </c>
      <c r="R28" s="191">
        <f>SUM(R11,R15,R16,R17)</f>
        <v>0</v>
      </c>
      <c r="S28" s="152"/>
      <c r="W28" s="96"/>
      <c r="X28" s="96" t="s">
        <v>52</v>
      </c>
      <c r="Y28" s="101">
        <f>SUM(Y11,Y15,Y16,Y17)</f>
        <v>0.71471170367625658</v>
      </c>
      <c r="Z28" s="101">
        <f t="shared" ref="Z28:AJ28" si="130">SUM(Z11,Z15,Z16,Z17)</f>
        <v>2.7488911679856023E-3</v>
      </c>
      <c r="AA28" s="101">
        <f t="shared" si="130"/>
        <v>71.47117036762566</v>
      </c>
      <c r="AB28" s="101">
        <f t="shared" si="130"/>
        <v>0.27488911679856021</v>
      </c>
      <c r="AC28" s="101">
        <f t="shared" si="130"/>
        <v>17.867792591906415</v>
      </c>
      <c r="AD28" s="101">
        <f t="shared" si="130"/>
        <v>6.8722279199640052E-2</v>
      </c>
      <c r="AE28" s="101">
        <f t="shared" si="130"/>
        <v>0.12644899372733773</v>
      </c>
      <c r="AF28" s="101">
        <f t="shared" si="130"/>
        <v>152.23359288304266</v>
      </c>
      <c r="AG28" s="101">
        <f>SUM(AG11,AG15,AG16,AG17)</f>
        <v>8.2191845922769495</v>
      </c>
      <c r="AH28" s="101">
        <f t="shared" si="130"/>
        <v>3.5735585183812826</v>
      </c>
      <c r="AI28" s="101">
        <f>SUM(AI11,AI15,AI16,AI17)</f>
        <v>5.539015703490989</v>
      </c>
      <c r="AJ28" s="101">
        <f t="shared" si="130"/>
        <v>0.89338962959532064</v>
      </c>
      <c r="AK28" s="101">
        <f>SUM(AK11,AK15,AK16,AK17)</f>
        <v>4.6456260738956674</v>
      </c>
      <c r="AL28" s="101">
        <f>SUM(AL11,AL15,AL16,AL17)</f>
        <v>2.8588468147050263</v>
      </c>
      <c r="AM28" s="152"/>
      <c r="AN28" s="1" t="s">
        <v>52</v>
      </c>
      <c r="AQ28" s="96"/>
      <c r="AR28" s="96"/>
      <c r="AS28" s="101">
        <f>SUM(AS11,AS15,AS16,AS17)</f>
        <v>0</v>
      </c>
      <c r="AT28" s="101">
        <f t="shared" ref="AT28:BF28" si="131">SUM(AT11,AT15,AT16,AT17)</f>
        <v>0</v>
      </c>
      <c r="AU28" s="101">
        <f t="shared" si="131"/>
        <v>0</v>
      </c>
      <c r="AV28" s="101">
        <f t="shared" si="131"/>
        <v>0</v>
      </c>
      <c r="AW28" s="101">
        <f t="shared" si="131"/>
        <v>0</v>
      </c>
      <c r="AX28" s="101">
        <f t="shared" si="131"/>
        <v>0</v>
      </c>
      <c r="AY28" s="101">
        <f t="shared" si="131"/>
        <v>0</v>
      </c>
      <c r="AZ28" s="101">
        <f t="shared" si="131"/>
        <v>0</v>
      </c>
      <c r="BA28" s="101">
        <f t="shared" si="131"/>
        <v>0</v>
      </c>
      <c r="BB28" s="101">
        <f t="shared" si="131"/>
        <v>0</v>
      </c>
      <c r="BC28" s="101">
        <f t="shared" si="131"/>
        <v>0</v>
      </c>
      <c r="BD28" s="101">
        <f t="shared" si="131"/>
        <v>0</v>
      </c>
      <c r="BE28" s="101">
        <f t="shared" si="131"/>
        <v>0</v>
      </c>
      <c r="BF28" s="101">
        <f t="shared" si="131"/>
        <v>0</v>
      </c>
      <c r="BG28" s="152"/>
      <c r="BK28" s="96"/>
      <c r="BL28" s="96" t="s">
        <v>52</v>
      </c>
      <c r="BM28" s="97">
        <f>SUM(BM11,BM15,BM16,BM17)</f>
        <v>8.9027364714289483</v>
      </c>
      <c r="BN28" s="97">
        <f t="shared" ref="BN28:BZ28" si="132">SUM(BN11,BN15,BN16,BN17)</f>
        <v>3.4241294120880568E-2</v>
      </c>
      <c r="BO28" s="97">
        <f t="shared" si="132"/>
        <v>161.8679358441627</v>
      </c>
      <c r="BP28" s="97">
        <f t="shared" si="132"/>
        <v>0.62256898401601046</v>
      </c>
      <c r="BQ28" s="97">
        <f t="shared" si="132"/>
        <v>135.96906610909667</v>
      </c>
      <c r="BR28" s="97">
        <f t="shared" si="132"/>
        <v>0.52295794657344874</v>
      </c>
      <c r="BS28" s="97">
        <f t="shared" si="132"/>
        <v>0.96224262169514574</v>
      </c>
      <c r="BT28" s="97">
        <f t="shared" si="132"/>
        <v>0.97120761506497622</v>
      </c>
      <c r="BU28" s="97">
        <f>SUM(BU11,BU15,BU16,BU17)</f>
        <v>1.1168887573247226</v>
      </c>
      <c r="BV28" s="97">
        <f t="shared" si="132"/>
        <v>0.21042831659741151</v>
      </c>
      <c r="BW28" s="97">
        <f>SUM(BW11,BW15,BW16,BW17)</f>
        <v>0.97120761506497622</v>
      </c>
      <c r="BX28" s="97">
        <f t="shared" si="132"/>
        <v>0.17805472942857895</v>
      </c>
      <c r="BY28" s="97">
        <f>SUM(BY11,BY15,BY16,BY17)</f>
        <v>0.79315288563639719</v>
      </c>
      <c r="BZ28" s="97">
        <f t="shared" si="132"/>
        <v>5.1797739470132074</v>
      </c>
      <c r="CA28" s="152"/>
      <c r="CE28" s="183"/>
      <c r="CF28" s="183" t="s">
        <v>52</v>
      </c>
      <c r="CG28" s="191">
        <f>SUM(CG11,CG15,CG16,CG17)</f>
        <v>0</v>
      </c>
      <c r="CH28" s="191">
        <f t="shared" ref="CH28:CQ28" si="133">SUM(CH11,CH15,CH16,CH17)</f>
        <v>0</v>
      </c>
      <c r="CI28" s="191">
        <f t="shared" si="133"/>
        <v>0</v>
      </c>
      <c r="CJ28" s="191">
        <f t="shared" si="133"/>
        <v>0</v>
      </c>
      <c r="CK28" s="191">
        <f t="shared" si="133"/>
        <v>0</v>
      </c>
      <c r="CL28" s="191">
        <f t="shared" si="133"/>
        <v>0</v>
      </c>
      <c r="CM28" s="191">
        <f t="shared" si="133"/>
        <v>0</v>
      </c>
      <c r="CN28" s="191">
        <f t="shared" si="133"/>
        <v>0</v>
      </c>
      <c r="CO28" s="191">
        <f t="shared" si="133"/>
        <v>0</v>
      </c>
      <c r="CP28" s="191">
        <f>SUM(CP11,CP15,CP16,CP17)</f>
        <v>0</v>
      </c>
      <c r="CQ28" s="191">
        <f t="shared" si="133"/>
        <v>0</v>
      </c>
      <c r="CR28" s="191">
        <f>SUM(CR11,CR15,CR16,CR17)</f>
        <v>0</v>
      </c>
      <c r="CS28" s="191">
        <f>SUM(CS11,CS15,CS16,CS17)</f>
        <v>0</v>
      </c>
      <c r="CT28" s="191">
        <f>SUM(CT11,CT15,CT16,CT17)</f>
        <v>0</v>
      </c>
      <c r="CU28" s="152"/>
      <c r="CY28" s="96"/>
      <c r="CZ28" s="96" t="s">
        <v>52</v>
      </c>
      <c r="DA28" s="101">
        <f>SUM(DA11,DA15,DA16,DA17)</f>
        <v>0.50220892775410464</v>
      </c>
      <c r="DB28" s="101">
        <f t="shared" ref="DB28:DK28" si="134">SUM(DB11,DB15,DB16,DB17)</f>
        <v>1.9315727990542484E-3</v>
      </c>
      <c r="DC28" s="101">
        <f t="shared" si="134"/>
        <v>13.743140465270978</v>
      </c>
      <c r="DD28" s="101">
        <f t="shared" si="134"/>
        <v>5.2858232558734536E-2</v>
      </c>
      <c r="DE28" s="101">
        <f t="shared" si="134"/>
        <v>7.6973176042311797</v>
      </c>
      <c r="DF28" s="101">
        <f t="shared" si="134"/>
        <v>2.960506770858146E-2</v>
      </c>
      <c r="DG28" s="101">
        <f t="shared" si="134"/>
        <v>5.4473324583789881E-2</v>
      </c>
      <c r="DH28" s="101">
        <f t="shared" si="134"/>
        <v>5.7947183971627438E-2</v>
      </c>
      <c r="DI28" s="101">
        <f t="shared" si="134"/>
        <v>1.9315727990542483E-2</v>
      </c>
      <c r="DJ28" s="101">
        <f>SUM(DJ11,DJ15,DJ16,DJ17)</f>
        <v>4.8289319976356208E-2</v>
      </c>
      <c r="DK28" s="101">
        <f t="shared" si="134"/>
        <v>9.6578639952712413E-3</v>
      </c>
      <c r="DL28" s="101">
        <f>SUM(DL11,DL15,DL16,DL17)</f>
        <v>3.8631455981084965E-2</v>
      </c>
      <c r="DM28" s="101">
        <f>SUM(DM11,DM15,DM16,DM17)</f>
        <v>2.8973591985813719E-2</v>
      </c>
      <c r="DN28" s="101">
        <f>SUM(DN11,DN15,DN16,DN17)</f>
        <v>4.8289319976356208E-2</v>
      </c>
      <c r="DO28" s="152"/>
      <c r="DS28" s="183"/>
      <c r="DT28" s="183" t="s">
        <v>52</v>
      </c>
      <c r="DU28" s="191">
        <f>SUM(DU11,DU15,DU16,DU17)</f>
        <v>5.0829258205542178</v>
      </c>
      <c r="DV28" s="191">
        <f t="shared" ref="DV28:EH28" si="135">SUM(DV11,DV15,DV16,DV17)</f>
        <v>7.0378972899981474E-3</v>
      </c>
      <c r="DW28" s="191">
        <f t="shared" si="135"/>
        <v>65.779040030701637</v>
      </c>
      <c r="DX28" s="191">
        <f t="shared" si="135"/>
        <v>9.1078670811740703E-2</v>
      </c>
      <c r="DY28" s="191">
        <f t="shared" si="135"/>
        <v>179.39738190191355</v>
      </c>
      <c r="DZ28" s="191">
        <f t="shared" si="135"/>
        <v>0.24839637494111108</v>
      </c>
      <c r="EA28" s="191">
        <f t="shared" si="135"/>
        <v>1.2695814719212344</v>
      </c>
      <c r="EB28" s="191">
        <f t="shared" si="135"/>
        <v>7.4748909125797312</v>
      </c>
      <c r="EC28" s="113">
        <f t="shared" si="135"/>
        <v>150.45460428840479</v>
      </c>
      <c r="ED28" s="191">
        <f t="shared" si="135"/>
        <v>149.49781825159462</v>
      </c>
      <c r="EE28" s="191">
        <f t="shared" si="135"/>
        <v>129.91360406063572</v>
      </c>
      <c r="EF28" s="191">
        <f t="shared" si="135"/>
        <v>128.56812369637137</v>
      </c>
      <c r="EG28" s="191">
        <f t="shared" si="135"/>
        <v>1.3395004515342879</v>
      </c>
      <c r="EH28" s="191">
        <f t="shared" si="135"/>
        <v>3.5879476380382709</v>
      </c>
      <c r="EI28" s="13" t="s">
        <v>333</v>
      </c>
      <c r="EJ28" s="99">
        <f>SUM(EJ11,EJ15,EJ16,EJ17)</f>
        <v>15.202582923413528</v>
      </c>
      <c r="EK28" s="52">
        <f t="shared" ref="EK28:EW28" si="136">SUM(EK11,EK15,EK16,EK17)</f>
        <v>4.5959655377918567E-2</v>
      </c>
      <c r="EL28" s="99">
        <f t="shared" si="136"/>
        <v>312.861286707761</v>
      </c>
      <c r="EM28" s="52">
        <f t="shared" si="136"/>
        <v>1.0413950041850457</v>
      </c>
      <c r="EN28" s="99">
        <f t="shared" si="136"/>
        <v>340.93155820714782</v>
      </c>
      <c r="EO28" s="52">
        <f t="shared" si="136"/>
        <v>0.86968166842278127</v>
      </c>
      <c r="EP28" s="52">
        <f t="shared" si="136"/>
        <v>2.4127464119275079</v>
      </c>
      <c r="EQ28" s="52">
        <f t="shared" si="136"/>
        <v>160.73763859465902</v>
      </c>
      <c r="ER28" s="52">
        <f t="shared" si="136"/>
        <v>159.83896695798285</v>
      </c>
      <c r="ES28" s="52">
        <f t="shared" si="136"/>
        <v>153.30112081456386</v>
      </c>
      <c r="ET28" s="52">
        <f t="shared" si="136"/>
        <v>136.46245883517275</v>
      </c>
      <c r="EU28" s="52">
        <f t="shared" si="136"/>
        <v>129.64922591939055</v>
      </c>
      <c r="EV28" s="52">
        <f t="shared" si="136"/>
        <v>6.8072530030521667</v>
      </c>
      <c r="EW28" s="52">
        <f t="shared" si="136"/>
        <v>11.674857719732859</v>
      </c>
    </row>
    <row r="29" spans="1:153" ht="10.9" customHeight="1">
      <c r="F29" s="105"/>
      <c r="H29" s="105"/>
      <c r="I29" s="106"/>
      <c r="J29" s="105"/>
      <c r="K29" s="105"/>
      <c r="L29" s="105"/>
      <c r="M29" s="105"/>
      <c r="N29" s="105"/>
      <c r="O29" s="105"/>
      <c r="Y29" s="107"/>
      <c r="AA29" s="21"/>
      <c r="AB29" s="194"/>
      <c r="AC29" s="21"/>
      <c r="AD29" s="107"/>
      <c r="AE29" s="21"/>
      <c r="AF29" s="21"/>
      <c r="AG29" s="107"/>
      <c r="AH29" s="107"/>
      <c r="AS29" s="107"/>
      <c r="AU29" s="107"/>
      <c r="AV29" s="194"/>
      <c r="AW29" s="21"/>
      <c r="AX29" s="21"/>
      <c r="AY29" s="21"/>
      <c r="AZ29" s="107"/>
      <c r="BA29" s="107"/>
      <c r="BB29" s="107"/>
      <c r="BM29" s="100"/>
      <c r="BN29" s="84"/>
      <c r="BO29" s="100"/>
      <c r="BP29" s="100"/>
      <c r="BQ29" s="100"/>
      <c r="BR29" s="100"/>
      <c r="BS29" s="100"/>
      <c r="BT29" s="100"/>
      <c r="BU29" s="100"/>
      <c r="BV29" s="100"/>
      <c r="BW29" s="84"/>
      <c r="BX29" s="84"/>
      <c r="BY29" s="84"/>
      <c r="CG29" s="105"/>
      <c r="CI29" s="105"/>
      <c r="CJ29" s="106"/>
      <c r="CK29" s="105"/>
      <c r="CL29" s="105"/>
      <c r="CM29" s="105"/>
      <c r="CN29" s="105"/>
      <c r="CO29" s="105"/>
      <c r="CP29" s="105"/>
      <c r="DA29" s="21"/>
      <c r="DC29" s="21"/>
      <c r="DD29" s="194"/>
      <c r="DE29" s="107"/>
      <c r="DF29" s="107"/>
      <c r="DG29" s="21"/>
      <c r="DH29" s="21"/>
      <c r="DI29" s="21"/>
      <c r="DJ29" s="107"/>
      <c r="DU29" s="105"/>
      <c r="DW29" s="105"/>
      <c r="DX29" s="106"/>
      <c r="DY29" s="105"/>
      <c r="DZ29" s="105"/>
      <c r="EA29" s="105"/>
      <c r="EB29" s="105"/>
      <c r="EC29" s="105"/>
      <c r="ED29" s="105"/>
      <c r="EE29" s="105"/>
    </row>
    <row r="30" spans="1:153" ht="10.9" customHeight="1">
      <c r="D30" s="23"/>
      <c r="E30" s="23"/>
      <c r="F30" s="105"/>
      <c r="G30" s="23"/>
      <c r="H30" s="105"/>
      <c r="I30" s="106"/>
      <c r="J30" s="105"/>
      <c r="K30" s="105"/>
      <c r="L30" s="105"/>
      <c r="M30" s="105"/>
      <c r="N30" s="105"/>
      <c r="O30" s="105"/>
      <c r="W30" s="17"/>
      <c r="X30" s="17"/>
      <c r="Y30" s="107"/>
      <c r="Z30" s="2"/>
      <c r="AA30" s="21"/>
      <c r="AB30" s="194"/>
      <c r="AC30" s="21"/>
      <c r="AD30" s="107"/>
      <c r="AE30" s="21"/>
      <c r="AF30" s="21"/>
      <c r="AG30" s="107"/>
      <c r="AH30" s="107"/>
      <c r="AQ30" s="17"/>
      <c r="AR30" s="17"/>
      <c r="AS30" s="107"/>
      <c r="AT30" s="2"/>
      <c r="AU30" s="107"/>
      <c r="AV30" s="194"/>
      <c r="AW30" s="21"/>
      <c r="AX30" s="21"/>
      <c r="AY30" s="21"/>
      <c r="AZ30" s="107"/>
      <c r="BA30" s="107"/>
      <c r="BB30" s="107"/>
      <c r="BK30" s="17"/>
      <c r="BL30" s="17"/>
      <c r="BM30" s="21"/>
      <c r="BN30" s="17"/>
      <c r="BO30" s="21"/>
      <c r="BP30" s="97"/>
      <c r="BQ30" s="21"/>
      <c r="BR30" s="21"/>
      <c r="BS30" s="21"/>
      <c r="BT30" s="21"/>
      <c r="BU30" s="21"/>
      <c r="BV30" s="21"/>
      <c r="CE30" s="23"/>
      <c r="CF30" s="23"/>
      <c r="CG30" s="105"/>
      <c r="CH30" s="23"/>
      <c r="CI30" s="105"/>
      <c r="CJ30" s="106"/>
      <c r="CK30" s="105"/>
      <c r="CL30" s="105"/>
      <c r="CM30" s="105"/>
      <c r="CN30" s="105"/>
      <c r="CO30" s="105"/>
      <c r="CP30" s="105"/>
      <c r="CY30" s="17"/>
      <c r="CZ30" s="17"/>
      <c r="DA30" s="21"/>
      <c r="DB30" s="2"/>
      <c r="DC30" s="21"/>
      <c r="DD30" s="194"/>
      <c r="DE30" s="107"/>
      <c r="DF30" s="107"/>
      <c r="DG30" s="21"/>
      <c r="DH30" s="21"/>
      <c r="DI30" s="21"/>
      <c r="DJ30" s="107"/>
      <c r="DP30" s="20" t="s">
        <v>438</v>
      </c>
      <c r="DS30" s="23"/>
      <c r="DT30" s="23"/>
      <c r="DU30" s="105"/>
      <c r="DV30" s="23"/>
      <c r="DW30" s="105"/>
      <c r="DX30" s="106"/>
      <c r="DY30" s="105"/>
      <c r="DZ30" s="105"/>
      <c r="EA30" s="105"/>
      <c r="EB30" s="105"/>
      <c r="EC30" s="105"/>
      <c r="ED30" s="105"/>
      <c r="EE30" s="105"/>
    </row>
    <row r="31" spans="1:153" ht="10.9" customHeight="1">
      <c r="D31" s="23"/>
      <c r="E31" s="23"/>
      <c r="F31" s="105"/>
      <c r="G31" s="23"/>
      <c r="H31" s="110"/>
      <c r="I31" s="110"/>
      <c r="J31" s="111"/>
      <c r="K31" s="111"/>
      <c r="L31" s="111"/>
      <c r="M31" s="112"/>
      <c r="N31" s="113"/>
      <c r="O31" s="113"/>
      <c r="W31" s="17"/>
      <c r="X31" s="17"/>
      <c r="Y31" s="107"/>
      <c r="Z31" s="2"/>
      <c r="AA31" s="108"/>
      <c r="AB31" s="172"/>
      <c r="AC31" s="48"/>
      <c r="AD31" s="197"/>
      <c r="AE31" s="48"/>
      <c r="AF31" s="44"/>
      <c r="AG31" s="114"/>
      <c r="AH31" s="114"/>
      <c r="AK31" s="1"/>
      <c r="AQ31" s="17"/>
      <c r="AR31" s="17"/>
      <c r="AS31" s="107"/>
      <c r="AT31" s="2"/>
      <c r="AU31" s="172"/>
      <c r="AV31" s="172"/>
      <c r="AW31" s="48"/>
      <c r="AX31" s="48"/>
      <c r="AY31" s="48"/>
      <c r="AZ31" s="72"/>
      <c r="BA31" s="114"/>
      <c r="BB31" s="114"/>
      <c r="BH31" s="1" t="s">
        <v>56</v>
      </c>
      <c r="BK31" s="17"/>
      <c r="BL31" s="17"/>
      <c r="BM31" s="21"/>
      <c r="BN31" s="17"/>
      <c r="BO31" s="108"/>
      <c r="BP31" s="108"/>
      <c r="BQ31" s="48"/>
      <c r="BR31" s="48"/>
      <c r="BS31" s="48"/>
      <c r="BT31" s="44"/>
      <c r="BU31" s="109"/>
      <c r="BV31" s="109"/>
      <c r="BZ31" s="1"/>
      <c r="CE31" s="23"/>
      <c r="CF31" s="23"/>
      <c r="CG31" s="105"/>
      <c r="CH31" s="23"/>
      <c r="CI31" s="110"/>
      <c r="CJ31" s="110"/>
      <c r="CK31" s="111"/>
      <c r="CL31" s="111"/>
      <c r="CM31" s="111"/>
      <c r="CN31" s="112"/>
      <c r="CO31" s="113"/>
      <c r="CP31" s="113"/>
      <c r="CY31" s="17"/>
      <c r="CZ31" s="17"/>
      <c r="DA31" s="21"/>
      <c r="DB31" s="2"/>
      <c r="DC31" s="108"/>
      <c r="DD31" s="172"/>
      <c r="DE31" s="197"/>
      <c r="DF31" s="197"/>
      <c r="DG31" s="48"/>
      <c r="DH31" s="44"/>
      <c r="DI31" s="109"/>
      <c r="DJ31" s="114"/>
      <c r="DP31" s="20" t="s">
        <v>439</v>
      </c>
      <c r="DS31" s="23"/>
      <c r="DT31" s="23"/>
      <c r="DU31" s="105"/>
      <c r="DV31" s="23"/>
      <c r="DW31" s="110"/>
      <c r="DX31" s="110"/>
      <c r="DY31" s="111"/>
      <c r="DZ31" s="111"/>
      <c r="EA31" s="111"/>
      <c r="EB31" s="112"/>
      <c r="EC31" s="112"/>
      <c r="ED31" s="113"/>
      <c r="EE31" s="113"/>
    </row>
    <row r="32" spans="1:153" ht="10.9" customHeight="1">
      <c r="F32" s="105"/>
      <c r="G32" s="23"/>
      <c r="H32" s="110"/>
      <c r="I32" s="110"/>
      <c r="J32" s="111"/>
      <c r="K32" s="111"/>
      <c r="L32" s="111"/>
      <c r="M32" s="112"/>
      <c r="N32" s="113"/>
      <c r="O32" s="113"/>
      <c r="Y32" s="107"/>
      <c r="Z32" s="2"/>
      <c r="AA32" s="108"/>
      <c r="AB32" s="172"/>
      <c r="AC32" s="48"/>
      <c r="AD32" s="197"/>
      <c r="AE32" s="48"/>
      <c r="AF32" s="44"/>
      <c r="AG32" s="114"/>
      <c r="AH32" s="114"/>
      <c r="AK32" s="1"/>
      <c r="AS32" s="107"/>
      <c r="AT32" s="2"/>
      <c r="AU32" s="172"/>
      <c r="AV32" s="172"/>
      <c r="AW32" s="48"/>
      <c r="AX32" s="48"/>
      <c r="AY32" s="48"/>
      <c r="AZ32" s="72"/>
      <c r="BA32" s="114"/>
      <c r="BB32" s="114"/>
      <c r="BH32" s="1" t="s">
        <v>57</v>
      </c>
      <c r="BM32" s="21"/>
      <c r="BN32" s="17"/>
      <c r="BO32" s="108"/>
      <c r="BP32" s="108"/>
      <c r="BQ32" s="48"/>
      <c r="BR32" s="48"/>
      <c r="BS32" s="48"/>
      <c r="BT32" s="44"/>
      <c r="BU32" s="109"/>
      <c r="BV32" s="109"/>
      <c r="BZ32" s="1"/>
      <c r="CG32" s="105"/>
      <c r="CH32" s="23"/>
      <c r="CI32" s="110"/>
      <c r="CJ32" s="110"/>
      <c r="CK32" s="111"/>
      <c r="CL32" s="111"/>
      <c r="CM32" s="111"/>
      <c r="CN32" s="112"/>
      <c r="CO32" s="113"/>
      <c r="CP32" s="113"/>
      <c r="DA32" s="21"/>
      <c r="DB32" s="2"/>
      <c r="DC32" s="108"/>
      <c r="DD32" s="172"/>
      <c r="DE32" s="197"/>
      <c r="DF32" s="197"/>
      <c r="DG32" s="48"/>
      <c r="DH32" s="44"/>
      <c r="DI32" s="109"/>
      <c r="DJ32" s="114"/>
      <c r="DP32" s="20" t="s">
        <v>440</v>
      </c>
      <c r="DU32" s="105"/>
      <c r="DV32" s="23"/>
      <c r="DW32" s="110"/>
      <c r="DX32" s="110"/>
      <c r="DY32" s="111"/>
      <c r="DZ32" s="111"/>
      <c r="EA32" s="111"/>
      <c r="EB32" s="112"/>
      <c r="EC32" s="112"/>
      <c r="ED32" s="113"/>
      <c r="EE32" s="113"/>
    </row>
    <row r="33" spans="2:146" ht="10.9" customHeight="1">
      <c r="D33" s="23"/>
      <c r="E33" s="23"/>
      <c r="F33" s="105"/>
      <c r="G33" s="23"/>
      <c r="H33" s="110"/>
      <c r="I33" s="110"/>
      <c r="J33" s="111"/>
      <c r="K33" s="111"/>
      <c r="L33" s="111"/>
      <c r="M33" s="112"/>
      <c r="N33" s="113"/>
      <c r="O33" s="113"/>
      <c r="W33" s="17"/>
      <c r="X33" s="17"/>
      <c r="Y33" s="107"/>
      <c r="Z33" s="2"/>
      <c r="AA33" s="108"/>
      <c r="AB33" s="172"/>
      <c r="AC33" s="48"/>
      <c r="AD33" s="197"/>
      <c r="AE33" s="48"/>
      <c r="AF33" s="44"/>
      <c r="AG33" s="114"/>
      <c r="AH33" s="114"/>
      <c r="AQ33" s="17"/>
      <c r="AR33" s="17"/>
      <c r="AS33" s="107"/>
      <c r="AT33" s="2"/>
      <c r="AU33" s="172"/>
      <c r="AV33" s="172"/>
      <c r="AW33" s="48"/>
      <c r="AX33" s="48"/>
      <c r="AY33" s="48"/>
      <c r="AZ33" s="72"/>
      <c r="BA33" s="114"/>
      <c r="BB33" s="114"/>
      <c r="BK33" s="17"/>
      <c r="BL33" s="17"/>
      <c r="BM33" s="21"/>
      <c r="BN33" s="17"/>
      <c r="BO33" s="108"/>
      <c r="BP33" s="108"/>
      <c r="BQ33" s="48"/>
      <c r="BR33" s="48"/>
      <c r="BS33" s="48"/>
      <c r="BT33" s="44"/>
      <c r="BU33" s="109"/>
      <c r="BV33" s="109"/>
      <c r="CE33" s="23"/>
      <c r="CF33" s="23"/>
      <c r="CG33" s="105"/>
      <c r="CH33" s="23"/>
      <c r="CI33" s="110"/>
      <c r="CJ33" s="110"/>
      <c r="CK33" s="19" t="s">
        <v>441</v>
      </c>
      <c r="CL33" s="111"/>
      <c r="CM33" s="111"/>
      <c r="CN33" s="112"/>
      <c r="CO33" s="113"/>
      <c r="CP33" s="113"/>
      <c r="CY33" s="17"/>
      <c r="CZ33" s="17"/>
      <c r="DA33" s="21"/>
      <c r="DB33" s="2"/>
      <c r="DC33" s="108"/>
      <c r="DD33" s="172"/>
      <c r="DE33" s="197"/>
      <c r="DF33" s="197"/>
      <c r="DG33" s="48"/>
      <c r="DH33" s="44"/>
      <c r="DI33" s="109"/>
      <c r="DJ33" s="114"/>
      <c r="DS33" s="23"/>
      <c r="DT33" s="23"/>
      <c r="DU33" s="105"/>
      <c r="DV33" s="23"/>
      <c r="DW33" s="110"/>
      <c r="DX33" s="110"/>
      <c r="DY33" s="111"/>
      <c r="DZ33" s="111"/>
      <c r="EA33" s="111"/>
      <c r="EB33" s="112"/>
      <c r="EC33" s="112"/>
      <c r="ED33" s="113"/>
      <c r="EE33" s="113"/>
    </row>
    <row r="34" spans="2:146" ht="10.9" customHeight="1">
      <c r="D34" s="23"/>
      <c r="E34" s="23"/>
      <c r="F34" s="105"/>
      <c r="G34" s="23"/>
      <c r="H34" s="110"/>
      <c r="I34" s="110"/>
      <c r="J34" s="19" t="s">
        <v>442</v>
      </c>
      <c r="K34" s="111"/>
      <c r="L34" s="111"/>
      <c r="M34" s="112"/>
      <c r="N34" s="113"/>
      <c r="O34" s="113"/>
      <c r="W34" s="17"/>
      <c r="X34" s="17"/>
      <c r="Y34" s="107"/>
      <c r="Z34" s="2"/>
      <c r="AA34" s="108"/>
      <c r="AB34" s="172"/>
      <c r="AC34" s="5" t="s">
        <v>443</v>
      </c>
      <c r="AD34" s="197"/>
      <c r="AE34" s="48"/>
      <c r="AF34" s="44"/>
      <c r="AG34" s="114"/>
      <c r="AH34" s="114"/>
      <c r="AQ34" s="17"/>
      <c r="AR34" s="17"/>
      <c r="AS34" s="107"/>
      <c r="AT34" s="2"/>
      <c r="AU34" s="172"/>
      <c r="AV34" s="172"/>
      <c r="AW34" s="5" t="s">
        <v>444</v>
      </c>
      <c r="AX34" s="48"/>
      <c r="AY34" s="48"/>
      <c r="AZ34" s="72"/>
      <c r="BA34" s="114"/>
      <c r="BB34" s="114"/>
      <c r="BK34" s="17"/>
      <c r="BL34" s="17"/>
      <c r="BM34" s="21"/>
      <c r="BN34" s="17"/>
      <c r="BP34" s="108"/>
      <c r="BQ34" s="5" t="s">
        <v>445</v>
      </c>
      <c r="BR34" s="48"/>
      <c r="BS34" s="48"/>
      <c r="BT34" s="44"/>
      <c r="BU34" s="109"/>
      <c r="BV34" s="109"/>
      <c r="CE34" s="23"/>
      <c r="CF34" s="23"/>
      <c r="CH34" s="23"/>
      <c r="CI34" s="110"/>
      <c r="CJ34" s="110"/>
      <c r="CK34" s="111"/>
      <c r="CL34" s="111"/>
      <c r="CM34" s="111"/>
      <c r="CN34" s="112"/>
      <c r="CO34" s="113"/>
      <c r="CP34" s="113"/>
      <c r="CY34" s="17"/>
      <c r="CZ34" s="17"/>
      <c r="DA34" s="21"/>
      <c r="DB34" s="2"/>
      <c r="DC34" s="108"/>
      <c r="DD34" s="172"/>
      <c r="DE34" s="5" t="s">
        <v>446</v>
      </c>
      <c r="DF34" s="197"/>
      <c r="DG34" s="48"/>
      <c r="DH34" s="44"/>
      <c r="DI34" s="109"/>
      <c r="DJ34" s="114"/>
      <c r="DS34" s="23"/>
      <c r="DT34" s="23"/>
      <c r="DU34" s="105"/>
      <c r="DV34" s="23"/>
      <c r="DW34" s="110"/>
      <c r="DX34" s="110"/>
      <c r="DY34" s="111"/>
      <c r="DZ34" s="156" t="s">
        <v>447</v>
      </c>
      <c r="EA34" s="111"/>
      <c r="EB34" s="112"/>
      <c r="EC34" s="112"/>
      <c r="ED34" s="113"/>
      <c r="EE34" s="113"/>
      <c r="EP34" s="5" t="s">
        <v>448</v>
      </c>
    </row>
    <row r="35" spans="2:146" ht="10.9" customHeight="1">
      <c r="F35" s="105"/>
      <c r="G35" s="23"/>
      <c r="H35" s="110"/>
      <c r="I35" s="110"/>
      <c r="K35" s="111"/>
      <c r="L35" s="111"/>
      <c r="M35" s="112"/>
      <c r="N35" s="113"/>
      <c r="O35" s="113"/>
      <c r="Y35" s="107"/>
      <c r="Z35" s="2"/>
      <c r="AA35" s="108"/>
      <c r="AB35" s="172"/>
      <c r="AC35" s="48"/>
      <c r="AD35" s="197"/>
      <c r="AE35" s="48"/>
      <c r="AF35" s="44"/>
      <c r="AG35" s="114"/>
      <c r="AH35" s="114"/>
      <c r="AS35" s="107"/>
      <c r="AT35" s="2"/>
      <c r="AU35" s="172"/>
      <c r="AV35" s="172"/>
      <c r="AW35" s="48"/>
      <c r="AX35" s="48"/>
      <c r="AY35" s="48"/>
      <c r="AZ35" s="72"/>
      <c r="BA35" s="114"/>
      <c r="BB35" s="114"/>
      <c r="BM35" s="21"/>
      <c r="BN35" s="17"/>
      <c r="BO35" s="108"/>
      <c r="BP35" s="108"/>
      <c r="BQ35" s="48"/>
      <c r="BR35" s="48"/>
      <c r="BS35" s="48"/>
      <c r="BT35" s="44"/>
      <c r="BU35" s="109"/>
      <c r="BV35" s="109"/>
      <c r="CG35" s="105"/>
      <c r="CH35" s="23"/>
      <c r="CI35" s="110"/>
      <c r="CJ35" s="110"/>
      <c r="CL35" s="111"/>
      <c r="CM35" s="111"/>
      <c r="CN35" s="112"/>
      <c r="CO35" s="113"/>
      <c r="CP35" s="113"/>
      <c r="DA35" s="21"/>
      <c r="DB35" s="2"/>
      <c r="DC35" s="108"/>
      <c r="DD35" s="172"/>
      <c r="DE35" s="197"/>
      <c r="DF35" s="197"/>
      <c r="DG35" s="48"/>
      <c r="DH35" s="44"/>
      <c r="DI35" s="109"/>
      <c r="DJ35" s="114"/>
      <c r="DU35" s="105"/>
      <c r="DV35" s="23"/>
      <c r="DW35" s="110"/>
      <c r="DX35" s="110"/>
      <c r="DY35" s="111"/>
      <c r="DZ35" s="111"/>
      <c r="EA35" s="111"/>
      <c r="EB35" s="112"/>
      <c r="EC35" s="112"/>
      <c r="ED35" s="113"/>
      <c r="EE35" s="113"/>
    </row>
    <row r="36" spans="2:146" ht="10.9" customHeight="1">
      <c r="C36" s="23"/>
      <c r="D36" s="23"/>
      <c r="E36" s="23"/>
      <c r="F36" s="105"/>
      <c r="G36" s="23"/>
      <c r="H36" s="110"/>
      <c r="I36" s="110"/>
      <c r="J36" s="111"/>
      <c r="K36" s="111"/>
      <c r="L36" s="111"/>
      <c r="M36" s="112"/>
      <c r="N36" s="113"/>
      <c r="O36" s="113"/>
      <c r="V36" s="17"/>
      <c r="W36" s="17"/>
      <c r="X36" s="17"/>
      <c r="Y36" s="107"/>
      <c r="Z36" s="2"/>
      <c r="AA36" s="108"/>
      <c r="AB36" s="172"/>
      <c r="AC36" s="48"/>
      <c r="AD36" s="197"/>
      <c r="AE36" s="48"/>
      <c r="AF36" s="44"/>
      <c r="AG36" s="114"/>
      <c r="AH36" s="114"/>
      <c r="AP36" s="17"/>
      <c r="AQ36" s="17"/>
      <c r="AR36" s="17"/>
      <c r="AS36" s="107"/>
      <c r="AT36" s="2"/>
      <c r="AU36" s="172"/>
      <c r="AV36" s="172"/>
      <c r="AW36" s="48"/>
      <c r="AX36" s="48"/>
      <c r="AY36" s="48"/>
      <c r="AZ36" s="72"/>
      <c r="BA36" s="114"/>
      <c r="BB36" s="114"/>
      <c r="BJ36" s="17"/>
      <c r="BK36" s="17"/>
      <c r="BL36" s="17"/>
      <c r="BM36" s="21"/>
      <c r="BN36" s="17"/>
      <c r="BO36" s="108"/>
      <c r="BP36" s="108"/>
      <c r="BR36" s="48"/>
      <c r="BS36" s="48"/>
      <c r="BT36" s="44"/>
      <c r="BU36" s="109"/>
      <c r="BV36" s="109"/>
      <c r="CD36" s="23"/>
      <c r="CE36" s="23"/>
      <c r="CF36" s="23"/>
      <c r="CG36" s="105"/>
      <c r="CH36" s="23"/>
      <c r="CI36" s="110"/>
      <c r="CJ36" s="110"/>
      <c r="CK36" s="111"/>
      <c r="CL36" s="111"/>
      <c r="CM36" s="111"/>
      <c r="CN36" s="112"/>
      <c r="CO36" s="113"/>
      <c r="CP36" s="113"/>
      <c r="CX36" s="17"/>
      <c r="CY36" s="17"/>
      <c r="CZ36" s="17"/>
      <c r="DA36" s="21"/>
      <c r="DB36" s="2"/>
      <c r="DC36" s="108"/>
      <c r="DD36" s="172"/>
      <c r="DE36" s="197"/>
      <c r="DF36" s="197"/>
      <c r="DG36" s="48"/>
      <c r="DH36" s="44"/>
      <c r="DI36" s="109"/>
      <c r="DJ36" s="114"/>
      <c r="DR36" s="23"/>
      <c r="DS36" s="23"/>
      <c r="DT36" s="23"/>
      <c r="DU36" s="105"/>
      <c r="DV36" s="23"/>
      <c r="DW36" s="110"/>
      <c r="DZ36" s="111"/>
      <c r="EA36" s="111"/>
      <c r="EB36" s="112"/>
      <c r="EC36" s="112"/>
      <c r="ED36" s="113"/>
      <c r="EE36" s="113"/>
    </row>
    <row r="37" spans="2:146" ht="10.9" customHeight="1">
      <c r="C37" s="23"/>
      <c r="D37" s="23"/>
      <c r="E37" s="23"/>
      <c r="F37" s="105"/>
      <c r="G37" s="23"/>
      <c r="H37" s="110"/>
      <c r="I37" s="110"/>
      <c r="K37" s="111"/>
      <c r="L37" s="111"/>
      <c r="M37" s="112"/>
      <c r="N37" s="113"/>
      <c r="O37" s="113"/>
      <c r="V37" s="17"/>
      <c r="W37" s="17"/>
      <c r="X37" s="17"/>
      <c r="Y37" s="107"/>
      <c r="Z37" s="2"/>
      <c r="AA37" s="108"/>
      <c r="AB37" s="172"/>
      <c r="AC37" s="48"/>
      <c r="AD37" s="197"/>
      <c r="AE37" s="48"/>
      <c r="AF37" s="44"/>
      <c r="AG37" s="114"/>
      <c r="AH37" s="114"/>
      <c r="AP37" s="17"/>
      <c r="AQ37" s="17"/>
      <c r="AR37" s="17"/>
      <c r="AS37" s="107"/>
      <c r="AT37" s="2"/>
      <c r="AU37" s="172"/>
      <c r="AV37" s="172"/>
      <c r="AX37" s="48"/>
      <c r="AY37" s="48"/>
      <c r="AZ37" s="72"/>
      <c r="BA37" s="114"/>
      <c r="BB37" s="114"/>
      <c r="BJ37" s="17"/>
      <c r="BK37" s="17"/>
      <c r="BL37" s="17"/>
      <c r="BM37" s="21"/>
      <c r="BN37" s="17"/>
      <c r="BO37" s="108"/>
      <c r="BP37" s="108"/>
      <c r="BQ37" s="48"/>
      <c r="BR37" s="48"/>
      <c r="BS37" s="48"/>
      <c r="BT37" s="44"/>
      <c r="BU37" s="109"/>
      <c r="BV37" s="109"/>
      <c r="CD37" s="23"/>
      <c r="CE37" s="23"/>
      <c r="CF37" s="23"/>
      <c r="CG37" s="105"/>
      <c r="CH37" s="23"/>
      <c r="CI37" s="110"/>
      <c r="CJ37" s="110"/>
      <c r="CK37" s="111"/>
      <c r="CL37" s="111"/>
      <c r="CM37" s="111"/>
      <c r="CN37" s="112"/>
      <c r="CO37" s="113"/>
      <c r="CP37" s="113"/>
      <c r="CX37" s="17"/>
      <c r="CY37" s="17"/>
      <c r="CZ37" s="17"/>
      <c r="DA37" s="21"/>
      <c r="DB37" s="2"/>
      <c r="DC37" s="108"/>
      <c r="DD37" s="172"/>
      <c r="DE37" s="197"/>
      <c r="DF37" s="197"/>
      <c r="DG37" s="48"/>
      <c r="DH37" s="44"/>
      <c r="DI37" s="109"/>
      <c r="DJ37" s="114"/>
      <c r="DR37" s="23"/>
      <c r="DS37" s="23"/>
      <c r="DT37" s="23"/>
      <c r="DU37" s="105"/>
      <c r="DV37" s="23"/>
      <c r="DW37" s="110"/>
      <c r="DX37" s="110"/>
      <c r="DY37" s="111"/>
      <c r="DZ37" s="111"/>
      <c r="EA37" s="111"/>
      <c r="EB37" s="112"/>
      <c r="EC37" s="112"/>
      <c r="ED37" s="113"/>
      <c r="EE37" s="113"/>
    </row>
    <row r="38" spans="2:146" ht="10.9" customHeight="1">
      <c r="C38" s="23"/>
      <c r="D38" s="23"/>
      <c r="E38" s="23"/>
      <c r="F38" s="105"/>
      <c r="G38" s="23"/>
      <c r="H38" s="110"/>
      <c r="I38" s="110"/>
      <c r="J38" s="111"/>
      <c r="K38" s="111"/>
      <c r="L38" s="111"/>
      <c r="M38" s="112"/>
      <c r="N38" s="113"/>
      <c r="O38" s="113"/>
      <c r="V38" s="17"/>
      <c r="W38" s="17"/>
      <c r="X38" s="17"/>
      <c r="Y38" s="107"/>
      <c r="Z38" s="2"/>
      <c r="AA38" s="108"/>
      <c r="AB38" s="172"/>
      <c r="AC38" s="48"/>
      <c r="AD38" s="197"/>
      <c r="AE38" s="48"/>
      <c r="AF38" s="44"/>
      <c r="AG38" s="114"/>
      <c r="AH38" s="114"/>
      <c r="AP38" s="17"/>
      <c r="AQ38" s="17"/>
      <c r="AR38" s="17"/>
      <c r="AS38" s="107"/>
      <c r="AT38" s="2"/>
      <c r="AU38" s="172"/>
      <c r="AV38" s="172"/>
      <c r="AW38" s="48"/>
      <c r="AX38" s="48"/>
      <c r="AY38" s="48"/>
      <c r="AZ38" s="72"/>
      <c r="BA38" s="114"/>
      <c r="BB38" s="114"/>
      <c r="BJ38" s="17"/>
      <c r="BK38" s="17"/>
      <c r="BL38" s="17"/>
      <c r="BM38" s="21"/>
      <c r="BN38" s="17"/>
      <c r="BO38" s="108"/>
      <c r="BP38" s="108"/>
      <c r="BR38" s="48"/>
      <c r="BS38" s="48"/>
      <c r="BT38" s="44"/>
      <c r="BU38" s="109"/>
      <c r="BV38" s="109"/>
      <c r="CD38" s="23"/>
      <c r="CE38" s="23"/>
      <c r="CF38" s="23"/>
      <c r="CG38" s="105"/>
      <c r="CH38" s="23"/>
      <c r="CI38" s="110"/>
      <c r="CJ38" s="110"/>
      <c r="CK38" s="111"/>
      <c r="CL38" s="111"/>
      <c r="CM38" s="111"/>
      <c r="CN38" s="112"/>
      <c r="CO38" s="113"/>
      <c r="CP38" s="113"/>
      <c r="CX38" s="17"/>
      <c r="CY38" s="17"/>
      <c r="CZ38" s="17"/>
      <c r="DA38" s="21"/>
      <c r="DB38" s="2"/>
      <c r="DC38" s="108"/>
      <c r="DD38" s="172"/>
      <c r="DF38" s="197"/>
      <c r="DG38" s="48"/>
      <c r="DH38" s="44"/>
      <c r="DI38" s="109"/>
      <c r="DJ38" s="114"/>
      <c r="DR38" s="23"/>
      <c r="DS38" s="23"/>
      <c r="DT38" s="23"/>
      <c r="DU38" s="105"/>
      <c r="DV38" s="23"/>
      <c r="DW38" s="110"/>
      <c r="DX38" s="110"/>
      <c r="DY38" s="111"/>
      <c r="DZ38" s="111"/>
      <c r="EA38" s="111"/>
      <c r="EB38" s="112"/>
      <c r="EC38" s="112"/>
      <c r="ED38" s="113"/>
      <c r="EE38" s="113"/>
    </row>
    <row r="39" spans="2:146" ht="10.9" customHeight="1">
      <c r="D39" s="23"/>
      <c r="E39" s="23"/>
      <c r="F39" s="105"/>
      <c r="G39" s="23"/>
      <c r="H39" s="110"/>
      <c r="I39" s="110"/>
      <c r="J39" s="111"/>
      <c r="K39" s="111"/>
      <c r="L39" s="111"/>
      <c r="M39" s="112"/>
      <c r="N39" s="113"/>
      <c r="O39" s="113"/>
      <c r="W39" s="17"/>
      <c r="X39" s="17"/>
      <c r="Y39" s="107"/>
      <c r="Z39" s="2"/>
      <c r="AA39" s="108"/>
      <c r="AB39" s="172"/>
      <c r="AC39" s="48"/>
      <c r="AD39" s="197"/>
      <c r="AE39" s="48"/>
      <c r="AF39" s="44"/>
      <c r="AG39" s="114"/>
      <c r="AH39" s="114"/>
      <c r="AQ39" s="17"/>
      <c r="AR39" s="17"/>
      <c r="AS39" s="107"/>
      <c r="AT39" s="2"/>
      <c r="AU39" s="172"/>
      <c r="AV39" s="172"/>
      <c r="AW39" s="48"/>
      <c r="AX39" s="48"/>
      <c r="AY39" s="48"/>
      <c r="AZ39" s="72"/>
      <c r="BA39" s="114"/>
      <c r="BB39" s="114"/>
      <c r="BK39" s="17"/>
      <c r="BL39" s="17"/>
      <c r="BM39" s="21"/>
      <c r="BN39" s="17"/>
      <c r="BO39" s="108"/>
      <c r="BP39" s="108"/>
      <c r="BQ39" s="48"/>
      <c r="BR39" s="48"/>
      <c r="BS39" s="48"/>
      <c r="BT39" s="44"/>
      <c r="BU39" s="109"/>
      <c r="BV39" s="109"/>
      <c r="CE39" s="23"/>
      <c r="CF39" s="23"/>
      <c r="CG39" s="105"/>
      <c r="CH39" s="23"/>
      <c r="CI39" s="110"/>
      <c r="CJ39" s="110"/>
      <c r="CK39" s="111"/>
      <c r="CL39" s="111"/>
      <c r="CM39" s="111"/>
      <c r="CN39" s="112"/>
      <c r="CO39" s="113"/>
      <c r="CP39" s="113"/>
      <c r="CY39" s="17"/>
      <c r="CZ39" s="17"/>
      <c r="DA39" s="21"/>
      <c r="DB39" s="2"/>
      <c r="DC39" s="108"/>
      <c r="DD39" s="172"/>
      <c r="DE39" s="197"/>
      <c r="DF39" s="197"/>
      <c r="DG39" s="48"/>
      <c r="DH39" s="44"/>
      <c r="DI39" s="109"/>
      <c r="DJ39" s="114"/>
      <c r="DS39" s="23"/>
      <c r="DT39" s="23"/>
      <c r="DU39" s="105"/>
      <c r="DV39" s="23"/>
      <c r="DW39" s="110"/>
      <c r="DX39" s="110"/>
      <c r="DY39" s="111"/>
      <c r="DZ39" s="111"/>
      <c r="EA39" s="111"/>
      <c r="EB39" s="112"/>
      <c r="EC39" s="112"/>
      <c r="ED39" s="113"/>
      <c r="EE39" s="113"/>
    </row>
    <row r="40" spans="2:146" ht="10.9" customHeight="1">
      <c r="D40" s="23"/>
      <c r="E40" s="23"/>
      <c r="K40" s="111"/>
      <c r="L40" s="111"/>
      <c r="M40" s="112"/>
      <c r="N40" s="113"/>
      <c r="O40" s="113"/>
      <c r="W40" s="17"/>
      <c r="X40" s="17"/>
      <c r="AD40" s="197"/>
      <c r="AE40" s="48"/>
      <c r="AF40" s="44"/>
      <c r="AG40" s="114"/>
      <c r="AH40" s="114"/>
      <c r="AQ40" s="17"/>
      <c r="AR40" s="17"/>
      <c r="AX40" s="48"/>
      <c r="AY40" s="48"/>
      <c r="AZ40" s="72"/>
      <c r="BA40" s="114"/>
      <c r="BB40" s="114"/>
      <c r="BK40" s="17"/>
      <c r="BL40" s="17"/>
      <c r="BR40" s="48"/>
      <c r="BS40" s="48"/>
      <c r="BT40" s="44"/>
      <c r="BU40" s="109"/>
      <c r="BV40" s="109"/>
      <c r="CE40" s="23"/>
      <c r="CF40" s="23"/>
      <c r="CL40" s="111"/>
      <c r="CM40" s="111"/>
      <c r="CN40" s="112"/>
      <c r="CO40" s="113"/>
      <c r="CP40" s="113"/>
      <c r="CY40" s="17"/>
      <c r="CZ40" s="17"/>
      <c r="DF40" s="197"/>
      <c r="DG40" s="48"/>
      <c r="DH40" s="44"/>
      <c r="DI40" s="109"/>
      <c r="DJ40" s="114"/>
      <c r="DS40" s="23"/>
      <c r="DT40" s="23"/>
      <c r="DZ40" s="111"/>
      <c r="EA40" s="111"/>
      <c r="EB40" s="112"/>
      <c r="EC40" s="112"/>
      <c r="ED40" s="113"/>
      <c r="EE40" s="113"/>
    </row>
    <row r="41" spans="2:146" ht="10.9" customHeight="1">
      <c r="D41" s="23"/>
      <c r="E41" s="23"/>
      <c r="F41" s="105"/>
      <c r="G41" s="23"/>
      <c r="H41" s="110"/>
      <c r="I41" s="110"/>
      <c r="J41" s="111"/>
      <c r="K41" s="111"/>
      <c r="L41" s="111"/>
      <c r="M41" s="112"/>
      <c r="N41" s="113"/>
      <c r="O41" s="113"/>
      <c r="W41" s="17"/>
      <c r="X41" s="17"/>
      <c r="Y41" s="107"/>
      <c r="Z41" s="2"/>
      <c r="AA41" s="108"/>
      <c r="AB41" s="172"/>
      <c r="AC41" s="48"/>
      <c r="AD41" s="197"/>
      <c r="AE41" s="48"/>
      <c r="AF41" s="44"/>
      <c r="AG41" s="114"/>
      <c r="AH41" s="114"/>
      <c r="AQ41" s="17"/>
      <c r="AR41" s="17"/>
      <c r="AS41" s="107"/>
      <c r="AT41" s="2"/>
      <c r="AU41" s="172"/>
      <c r="AV41" s="172"/>
      <c r="AW41" s="48"/>
      <c r="AX41" s="48"/>
      <c r="AY41" s="48"/>
      <c r="AZ41" s="72"/>
      <c r="BA41" s="114"/>
      <c r="BB41" s="114"/>
      <c r="BK41" s="17"/>
      <c r="BL41" s="17"/>
      <c r="BM41" s="21"/>
      <c r="BN41" s="17"/>
      <c r="BO41" s="108"/>
      <c r="BP41" s="108"/>
      <c r="BQ41" s="48"/>
      <c r="BR41" s="48"/>
      <c r="BS41" s="48"/>
      <c r="BT41" s="44"/>
      <c r="BU41" s="109"/>
      <c r="BV41" s="109"/>
      <c r="CE41" s="23"/>
      <c r="CF41" s="23"/>
      <c r="CG41" s="105"/>
      <c r="CH41" s="23"/>
      <c r="CI41" s="110"/>
      <c r="CJ41" s="110"/>
      <c r="CK41" s="111"/>
      <c r="CL41" s="111"/>
      <c r="CM41" s="111"/>
      <c r="CN41" s="112"/>
      <c r="CO41" s="113"/>
      <c r="CP41" s="113"/>
      <c r="CY41" s="17"/>
      <c r="CZ41" s="17"/>
      <c r="DA41" s="21"/>
      <c r="DB41" s="2"/>
      <c r="DC41" s="108"/>
      <c r="DD41" s="172"/>
      <c r="DE41" s="197"/>
      <c r="DF41" s="197"/>
      <c r="DG41" s="48"/>
      <c r="DH41" s="44"/>
      <c r="DI41" s="109"/>
      <c r="DJ41" s="114"/>
      <c r="DS41" s="23"/>
      <c r="DT41" s="23"/>
      <c r="DU41" s="105"/>
      <c r="DV41" s="23"/>
      <c r="DW41" s="110"/>
      <c r="DX41" s="110"/>
      <c r="DY41" s="111"/>
      <c r="DZ41" s="111"/>
      <c r="EA41" s="111"/>
      <c r="EB41" s="112"/>
      <c r="EC41" s="112"/>
      <c r="ED41" s="113"/>
      <c r="EE41" s="113"/>
    </row>
    <row r="42" spans="2:146" ht="10.9" customHeight="1">
      <c r="D42" s="23"/>
      <c r="E42" s="23"/>
      <c r="F42" s="105"/>
      <c r="G42" s="23"/>
      <c r="H42" s="110"/>
      <c r="I42" s="110"/>
      <c r="J42" s="111"/>
      <c r="K42" s="111"/>
      <c r="L42" s="111"/>
      <c r="M42" s="112"/>
      <c r="N42" s="113"/>
      <c r="O42" s="113"/>
      <c r="W42" s="17"/>
      <c r="X42" s="17"/>
      <c r="Y42" s="107"/>
      <c r="Z42" s="2"/>
      <c r="AA42" s="108"/>
      <c r="AB42" s="172"/>
      <c r="AC42" s="48"/>
      <c r="AD42" s="197"/>
      <c r="AE42" s="48"/>
      <c r="AF42" s="44"/>
      <c r="AG42" s="114"/>
      <c r="AH42" s="114"/>
      <c r="AQ42" s="17"/>
      <c r="AR42" s="17"/>
      <c r="AS42" s="107"/>
      <c r="AT42" s="2"/>
      <c r="AU42" s="172"/>
      <c r="AV42" s="172"/>
      <c r="AW42" s="48"/>
      <c r="AX42" s="48"/>
      <c r="AY42" s="48"/>
      <c r="AZ42" s="72"/>
      <c r="BA42" s="114"/>
      <c r="BB42" s="114"/>
      <c r="BK42" s="17"/>
      <c r="BL42" s="17"/>
      <c r="BM42" s="21"/>
      <c r="BN42" s="17"/>
      <c r="BO42" s="108"/>
      <c r="BP42" s="108"/>
      <c r="BQ42" s="48"/>
      <c r="BR42" s="48"/>
      <c r="BS42" s="48"/>
      <c r="BT42" s="44"/>
      <c r="BU42" s="109"/>
      <c r="BV42" s="109"/>
      <c r="CE42" s="23"/>
      <c r="CF42" s="23"/>
      <c r="CG42" s="105"/>
      <c r="CH42" s="23"/>
      <c r="CI42" s="110"/>
      <c r="CJ42" s="110"/>
      <c r="CK42" s="111"/>
      <c r="CL42" s="111"/>
      <c r="CM42" s="111"/>
      <c r="CN42" s="112"/>
      <c r="CO42" s="113"/>
      <c r="CP42" s="113"/>
      <c r="CY42" s="17"/>
      <c r="CZ42" s="17"/>
      <c r="DA42" s="21"/>
      <c r="DB42" s="2"/>
      <c r="DC42" s="108"/>
      <c r="DD42" s="172"/>
      <c r="DE42" s="197"/>
      <c r="DF42" s="197"/>
      <c r="DG42" s="48"/>
      <c r="DH42" s="44"/>
      <c r="DI42" s="109"/>
      <c r="DJ42" s="114"/>
      <c r="DS42" s="23"/>
      <c r="DT42" s="23"/>
      <c r="DU42" s="105"/>
      <c r="DV42" s="23"/>
      <c r="DW42" s="110"/>
      <c r="DX42" s="110"/>
      <c r="DY42" s="111"/>
      <c r="DZ42" s="111"/>
      <c r="EA42" s="111"/>
      <c r="EB42" s="112"/>
      <c r="EC42" s="112"/>
      <c r="ED42" s="113"/>
      <c r="EE42" s="113"/>
    </row>
    <row r="43" spans="2:146" ht="10.9" customHeight="1">
      <c r="D43" s="23"/>
      <c r="E43" s="23"/>
      <c r="F43" s="105"/>
      <c r="G43" s="23"/>
      <c r="H43" s="110"/>
      <c r="I43" s="110"/>
      <c r="J43" s="111"/>
      <c r="K43" s="111"/>
      <c r="L43" s="111"/>
      <c r="M43" s="112"/>
      <c r="N43" s="113"/>
      <c r="O43" s="113"/>
      <c r="W43" s="17"/>
      <c r="X43" s="17"/>
      <c r="Y43" s="107"/>
      <c r="Z43" s="2"/>
      <c r="AA43" s="108"/>
      <c r="AB43" s="172"/>
      <c r="AC43" s="48"/>
      <c r="AD43" s="197"/>
      <c r="AE43" s="48"/>
      <c r="AF43" s="44"/>
      <c r="AG43" s="114"/>
      <c r="AH43" s="114"/>
      <c r="AQ43" s="17"/>
      <c r="AR43" s="17"/>
      <c r="AS43" s="107"/>
      <c r="AT43" s="2"/>
      <c r="AU43" s="172"/>
      <c r="AV43" s="172"/>
      <c r="AW43" s="48"/>
      <c r="AX43" s="48"/>
      <c r="AY43" s="48"/>
      <c r="AZ43" s="72"/>
      <c r="BA43" s="114"/>
      <c r="BB43" s="114"/>
      <c r="BK43" s="17"/>
      <c r="BL43" s="17"/>
      <c r="BM43" s="21"/>
      <c r="BN43" s="17"/>
      <c r="BO43" s="108"/>
      <c r="BP43" s="108"/>
      <c r="BQ43" s="48"/>
      <c r="BR43" s="48"/>
      <c r="BS43" s="48"/>
      <c r="BT43" s="44"/>
      <c r="BU43" s="109"/>
      <c r="BV43" s="109"/>
      <c r="CE43" s="23"/>
      <c r="CF43" s="23"/>
      <c r="CG43" s="105"/>
      <c r="CH43" s="23"/>
      <c r="CI43" s="110"/>
      <c r="CJ43" s="110"/>
      <c r="CK43" s="111"/>
      <c r="CL43" s="111"/>
      <c r="CM43" s="111"/>
      <c r="CN43" s="112"/>
      <c r="CO43" s="113"/>
      <c r="CP43" s="113"/>
      <c r="CY43" s="17"/>
      <c r="CZ43" s="17"/>
      <c r="DA43" s="21"/>
      <c r="DB43" s="2"/>
      <c r="DC43" s="108"/>
      <c r="DD43" s="172"/>
      <c r="DE43" s="197"/>
      <c r="DF43" s="197"/>
      <c r="DG43" s="48"/>
      <c r="DH43" s="44"/>
      <c r="DI43" s="109"/>
      <c r="DJ43" s="114"/>
      <c r="DS43" s="23"/>
      <c r="DT43" s="23"/>
      <c r="DU43" s="105"/>
      <c r="DV43" s="23"/>
      <c r="DW43" s="110"/>
      <c r="DX43" s="110"/>
      <c r="DY43" s="111"/>
      <c r="DZ43" s="111"/>
      <c r="EA43" s="111"/>
      <c r="EB43" s="112"/>
      <c r="EC43" s="112"/>
      <c r="ED43" s="113"/>
      <c r="EE43" s="113"/>
    </row>
    <row r="44" spans="2:146" ht="10.9" customHeight="1">
      <c r="B44" s="23"/>
      <c r="C44" s="23"/>
      <c r="D44" s="23"/>
      <c r="E44" s="23"/>
      <c r="F44" s="105"/>
      <c r="G44" s="23"/>
      <c r="H44" s="110"/>
      <c r="I44" s="110"/>
      <c r="J44" s="111"/>
      <c r="K44" s="111"/>
      <c r="L44" s="111"/>
      <c r="M44" s="112"/>
      <c r="N44" s="113"/>
      <c r="O44" s="113"/>
      <c r="U44" s="17"/>
      <c r="V44" s="17"/>
      <c r="W44" s="17"/>
      <c r="X44" s="17"/>
      <c r="Y44" s="107"/>
      <c r="Z44" s="2"/>
      <c r="AA44" s="108"/>
      <c r="AB44" s="172"/>
      <c r="AC44" s="48"/>
      <c r="AD44" s="197"/>
      <c r="AE44" s="48"/>
      <c r="AF44" s="44"/>
      <c r="AG44" s="114"/>
      <c r="AH44" s="114"/>
      <c r="AO44" s="17"/>
      <c r="AP44" s="17"/>
      <c r="AQ44" s="17"/>
      <c r="AR44" s="17"/>
      <c r="AS44" s="107"/>
      <c r="AT44" s="2"/>
      <c r="AU44" s="172"/>
      <c r="AV44" s="172"/>
      <c r="AW44" s="48"/>
      <c r="AX44" s="48"/>
      <c r="AY44" s="48"/>
      <c r="AZ44" s="72"/>
      <c r="BA44" s="114"/>
      <c r="BB44" s="114"/>
      <c r="BI44" s="17"/>
      <c r="BJ44" s="17"/>
      <c r="BK44" s="17"/>
      <c r="BL44" s="17"/>
      <c r="BM44" s="21"/>
      <c r="BN44" s="17"/>
      <c r="BO44" s="108"/>
      <c r="BP44" s="108"/>
      <c r="BQ44" s="48"/>
      <c r="BR44" s="48"/>
      <c r="BS44" s="48"/>
      <c r="BT44" s="44"/>
      <c r="BU44" s="109"/>
      <c r="BV44" s="109"/>
      <c r="CC44" s="23"/>
      <c r="CD44" s="23"/>
      <c r="CE44" s="23"/>
      <c r="CF44" s="23"/>
      <c r="CG44" s="105"/>
      <c r="CH44" s="23"/>
      <c r="CI44" s="110"/>
      <c r="CJ44" s="110"/>
      <c r="CK44" s="111"/>
      <c r="CL44" s="111"/>
      <c r="CM44" s="111"/>
      <c r="CN44" s="112"/>
      <c r="CO44" s="113"/>
      <c r="CP44" s="113"/>
      <c r="CW44" s="17"/>
      <c r="CX44" s="17"/>
      <c r="CY44" s="17"/>
      <c r="CZ44" s="17"/>
      <c r="DA44" s="21"/>
      <c r="DB44" s="2"/>
      <c r="DC44" s="108"/>
      <c r="DD44" s="172"/>
      <c r="DE44" s="197"/>
      <c r="DF44" s="197"/>
      <c r="DG44" s="48"/>
      <c r="DH44" s="44"/>
      <c r="DI44" s="109"/>
      <c r="DJ44" s="114"/>
      <c r="DQ44" s="23"/>
      <c r="DR44" s="23"/>
      <c r="DS44" s="23"/>
      <c r="DT44" s="23"/>
      <c r="DU44" s="105"/>
      <c r="DV44" s="23"/>
      <c r="DW44" s="110"/>
      <c r="DX44" s="110"/>
      <c r="DY44" s="111"/>
      <c r="DZ44" s="111"/>
      <c r="EA44" s="111"/>
      <c r="EB44" s="112"/>
      <c r="EC44" s="112"/>
      <c r="ED44" s="113"/>
      <c r="EE44" s="113"/>
    </row>
    <row r="45" spans="2:146" ht="10.9" customHeight="1">
      <c r="B45" s="23"/>
      <c r="J45" s="112"/>
      <c r="K45" s="165"/>
      <c r="U45" s="17"/>
      <c r="AC45" s="44"/>
      <c r="AD45" s="69"/>
      <c r="AO45" s="17"/>
      <c r="AW45" s="44"/>
      <c r="AX45" s="45"/>
      <c r="BI45" s="17"/>
      <c r="BQ45" s="44"/>
      <c r="BR45" s="45"/>
      <c r="CC45" s="23"/>
      <c r="CK45" s="112"/>
      <c r="CL45" s="165"/>
      <c r="CW45" s="17"/>
      <c r="DE45" s="72"/>
      <c r="DF45" s="69"/>
      <c r="DQ45" s="23"/>
      <c r="DY45" s="112"/>
      <c r="DZ45" s="165"/>
    </row>
    <row r="46" spans="2:146" ht="10.9" customHeight="1">
      <c r="K46" s="165"/>
      <c r="AD46" s="69"/>
      <c r="AX46" s="45"/>
      <c r="BR46" s="45"/>
      <c r="CL46" s="165"/>
      <c r="DF46" s="69"/>
      <c r="DZ46" s="165"/>
    </row>
    <row r="47" spans="2:146" ht="10.9" customHeight="1">
      <c r="B47" s="23"/>
      <c r="J47" s="112"/>
      <c r="K47" s="165"/>
      <c r="U47" s="17"/>
      <c r="AC47" s="44"/>
      <c r="AD47" s="69"/>
      <c r="AO47" s="17"/>
      <c r="AW47" s="44"/>
      <c r="AX47" s="45"/>
      <c r="BI47" s="17"/>
      <c r="BQ47" s="44"/>
      <c r="BR47" s="45"/>
      <c r="CC47" s="23"/>
      <c r="CK47" s="112"/>
      <c r="CL47" s="165"/>
      <c r="CW47" s="17"/>
      <c r="DE47" s="72"/>
      <c r="DF47" s="69"/>
      <c r="DQ47" s="23"/>
      <c r="DY47" s="112"/>
      <c r="DZ47" s="16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516"/>
  <sheetViews>
    <sheetView workbookViewId="0">
      <selection sqref="A1:IV65536"/>
    </sheetView>
  </sheetViews>
  <sheetFormatPr defaultColWidth="9.125" defaultRowHeight="12.75"/>
  <cols>
    <col min="1" max="1" width="5.5" style="57" customWidth="1"/>
    <col min="2" max="2" width="3.375" style="57" customWidth="1"/>
    <col min="3" max="3" width="5.875" style="57" customWidth="1"/>
    <col min="4" max="4" width="7.125" style="57" customWidth="1"/>
    <col min="5" max="5" width="5.625" style="57" customWidth="1"/>
    <col min="6" max="6" width="10.125" style="57" customWidth="1"/>
    <col min="7" max="7" width="19.625" style="57" customWidth="1"/>
    <col min="8" max="8" width="7.625" style="57" customWidth="1"/>
    <col min="9" max="9" width="9.125" style="57"/>
    <col min="10" max="10" width="3.875" style="57" customWidth="1"/>
    <col min="11" max="11" width="5.125" style="57" customWidth="1"/>
    <col min="12" max="12" width="7.625" style="57" customWidth="1"/>
    <col min="13" max="13" width="6.625" style="57" customWidth="1"/>
    <col min="14" max="14" width="6.375" style="57" customWidth="1"/>
    <col min="15" max="15" width="5.875" style="57" customWidth="1"/>
    <col min="16" max="16" width="5.625" style="57" customWidth="1"/>
    <col min="17" max="16384" width="9.125" style="57"/>
  </cols>
  <sheetData>
    <row r="1" spans="1:16" ht="16.5" customHeight="1">
      <c r="D1" s="16" t="s">
        <v>449</v>
      </c>
    </row>
    <row r="2" spans="1:16" ht="10.5" customHeight="1">
      <c r="A2" s="57" t="s">
        <v>450</v>
      </c>
      <c r="E2" s="16"/>
    </row>
    <row r="3" spans="1:16" s="207" customFormat="1" ht="57" customHeight="1">
      <c r="A3" s="206" t="s">
        <v>451</v>
      </c>
      <c r="B3" s="206" t="s">
        <v>452</v>
      </c>
      <c r="C3" s="206" t="s">
        <v>453</v>
      </c>
      <c r="D3" s="206" t="s">
        <v>454</v>
      </c>
      <c r="E3" s="206" t="s">
        <v>455</v>
      </c>
      <c r="F3" s="206" t="s">
        <v>456</v>
      </c>
      <c r="G3" s="206" t="s">
        <v>457</v>
      </c>
      <c r="H3" s="206" t="s">
        <v>458</v>
      </c>
      <c r="I3" s="206" t="s">
        <v>459</v>
      </c>
      <c r="J3" s="206" t="s">
        <v>460</v>
      </c>
      <c r="K3" s="206" t="s">
        <v>461</v>
      </c>
      <c r="L3" s="206" t="s">
        <v>462</v>
      </c>
      <c r="M3" s="206" t="s">
        <v>463</v>
      </c>
      <c r="N3" s="206" t="s">
        <v>464</v>
      </c>
      <c r="O3" s="206" t="s">
        <v>465</v>
      </c>
      <c r="P3" s="206" t="s">
        <v>466</v>
      </c>
    </row>
    <row r="4" spans="1:16" ht="25.5">
      <c r="A4" s="119" t="s">
        <v>467</v>
      </c>
      <c r="B4" s="119" t="s">
        <v>468</v>
      </c>
      <c r="C4" s="119" t="s">
        <v>469</v>
      </c>
      <c r="D4" s="208">
        <v>221049</v>
      </c>
      <c r="E4" s="119" t="s">
        <v>470</v>
      </c>
      <c r="F4" s="119" t="s">
        <v>471</v>
      </c>
      <c r="G4" s="119" t="s">
        <v>472</v>
      </c>
      <c r="H4" s="119" t="s">
        <v>133</v>
      </c>
      <c r="I4" s="208">
        <v>4.2446623715343204E-2</v>
      </c>
      <c r="J4" s="119" t="s">
        <v>473</v>
      </c>
      <c r="K4" s="119" t="s">
        <v>470</v>
      </c>
      <c r="L4" s="209">
        <v>9382.7837256529001</v>
      </c>
      <c r="M4" s="52">
        <f t="shared" ref="M4:M14" si="0">SUM(L4/2000)</f>
        <v>4.6913918628264497</v>
      </c>
      <c r="N4" s="52"/>
      <c r="O4" s="59">
        <f t="shared" ref="O4:O14" si="1">SUM(M4/365)</f>
        <v>1.2853128391305342E-2</v>
      </c>
    </row>
    <row r="5" spans="1:16" ht="25.5">
      <c r="A5" s="119" t="s">
        <v>467</v>
      </c>
      <c r="B5" s="119" t="s">
        <v>468</v>
      </c>
      <c r="C5" s="119" t="s">
        <v>469</v>
      </c>
      <c r="D5" s="208">
        <v>221049</v>
      </c>
      <c r="E5" s="119" t="s">
        <v>470</v>
      </c>
      <c r="F5" s="119" t="s">
        <v>474</v>
      </c>
      <c r="G5" s="119" t="s">
        <v>475</v>
      </c>
      <c r="H5" s="119" t="s">
        <v>133</v>
      </c>
      <c r="I5" s="208">
        <v>0.13500217649909624</v>
      </c>
      <c r="J5" s="119" t="s">
        <v>473</v>
      </c>
      <c r="K5" s="119" t="s">
        <v>470</v>
      </c>
      <c r="L5" s="209">
        <v>29842.096112948726</v>
      </c>
      <c r="M5" s="52">
        <f t="shared" si="0"/>
        <v>14.921048056474364</v>
      </c>
      <c r="N5" s="52"/>
      <c r="O5" s="59">
        <f t="shared" si="1"/>
        <v>4.0879583716368122E-2</v>
      </c>
    </row>
    <row r="6" spans="1:16" ht="25.5">
      <c r="A6" s="119" t="s">
        <v>467</v>
      </c>
      <c r="B6" s="119" t="s">
        <v>468</v>
      </c>
      <c r="C6" s="119" t="s">
        <v>469</v>
      </c>
      <c r="D6" s="208">
        <v>221049</v>
      </c>
      <c r="E6" s="119" t="s">
        <v>470</v>
      </c>
      <c r="F6" s="119" t="s">
        <v>476</v>
      </c>
      <c r="G6" s="119" t="s">
        <v>477</v>
      </c>
      <c r="H6" s="119" t="s">
        <v>133</v>
      </c>
      <c r="I6" s="208">
        <v>0</v>
      </c>
      <c r="J6" s="119" t="s">
        <v>473</v>
      </c>
      <c r="K6" s="119" t="s">
        <v>470</v>
      </c>
      <c r="L6" s="209">
        <v>0</v>
      </c>
      <c r="M6" s="52">
        <f t="shared" si="0"/>
        <v>0</v>
      </c>
      <c r="N6" s="52"/>
      <c r="O6" s="59">
        <f t="shared" si="1"/>
        <v>0</v>
      </c>
    </row>
    <row r="7" spans="1:16" ht="25.5">
      <c r="A7" s="119" t="s">
        <v>467</v>
      </c>
      <c r="B7" s="119" t="s">
        <v>468</v>
      </c>
      <c r="C7" s="119" t="s">
        <v>469</v>
      </c>
      <c r="D7" s="208">
        <v>221049</v>
      </c>
      <c r="E7" s="119" t="s">
        <v>470</v>
      </c>
      <c r="F7" s="119" t="s">
        <v>478</v>
      </c>
      <c r="G7" s="119" t="s">
        <v>479</v>
      </c>
      <c r="H7" s="119" t="s">
        <v>133</v>
      </c>
      <c r="I7" s="208">
        <v>1.2687330196485585E-2</v>
      </c>
      <c r="J7" s="119" t="s">
        <v>473</v>
      </c>
      <c r="K7" s="119" t="s">
        <v>470</v>
      </c>
      <c r="L7" s="209">
        <v>2804.5216526029421</v>
      </c>
      <c r="M7" s="52">
        <f t="shared" si="0"/>
        <v>1.4022608263014711</v>
      </c>
      <c r="N7" s="52"/>
      <c r="O7" s="59">
        <f t="shared" si="1"/>
        <v>3.8418104830177289E-3</v>
      </c>
    </row>
    <row r="8" spans="1:16" ht="25.5">
      <c r="A8" s="119" t="s">
        <v>467</v>
      </c>
      <c r="B8" s="119" t="s">
        <v>468</v>
      </c>
      <c r="C8" s="119" t="s">
        <v>469</v>
      </c>
      <c r="D8" s="208">
        <v>221049</v>
      </c>
      <c r="E8" s="119" t="s">
        <v>470</v>
      </c>
      <c r="F8" s="119" t="s">
        <v>480</v>
      </c>
      <c r="G8" s="119" t="s">
        <v>481</v>
      </c>
      <c r="H8" s="119" t="s">
        <v>133</v>
      </c>
      <c r="I8" s="208">
        <v>0</v>
      </c>
      <c r="J8" s="119" t="s">
        <v>473</v>
      </c>
      <c r="K8" s="119" t="s">
        <v>470</v>
      </c>
      <c r="L8" s="209">
        <v>0</v>
      </c>
      <c r="M8" s="52">
        <f t="shared" si="0"/>
        <v>0</v>
      </c>
      <c r="N8" s="52"/>
      <c r="O8" s="59">
        <f t="shared" si="1"/>
        <v>0</v>
      </c>
    </row>
    <row r="9" spans="1:16">
      <c r="A9" s="119"/>
      <c r="B9" s="119"/>
      <c r="C9" s="119"/>
      <c r="D9" s="208"/>
      <c r="E9" s="119"/>
      <c r="F9" s="119"/>
      <c r="G9" s="119"/>
      <c r="H9" s="119"/>
      <c r="I9" s="208"/>
      <c r="J9" s="119"/>
      <c r="K9" s="119"/>
      <c r="L9" s="209"/>
      <c r="M9" s="52"/>
      <c r="N9" s="59">
        <f>SUM(M4:M8)</f>
        <v>21.014700745602283</v>
      </c>
      <c r="O9" s="59"/>
      <c r="P9" s="59">
        <f>SUM(O4:O8)</f>
        <v>5.7574522590691193E-2</v>
      </c>
    </row>
    <row r="10" spans="1:16">
      <c r="A10" s="119" t="s">
        <v>482</v>
      </c>
      <c r="B10" s="119" t="s">
        <v>468</v>
      </c>
      <c r="C10" s="119" t="s">
        <v>483</v>
      </c>
      <c r="D10" s="208">
        <v>129395</v>
      </c>
      <c r="E10" s="119" t="s">
        <v>470</v>
      </c>
      <c r="F10" s="119" t="s">
        <v>471</v>
      </c>
      <c r="G10" s="119" t="s">
        <v>472</v>
      </c>
      <c r="H10" s="119" t="s">
        <v>133</v>
      </c>
      <c r="I10" s="208">
        <v>4.2446623715343204E-2</v>
      </c>
      <c r="J10" s="119" t="s">
        <v>473</v>
      </c>
      <c r="K10" s="119" t="s">
        <v>470</v>
      </c>
      <c r="L10" s="209">
        <v>5492.3808756468343</v>
      </c>
      <c r="M10" s="52">
        <f t="shared" si="0"/>
        <v>2.746190437823417</v>
      </c>
      <c r="N10" s="52"/>
      <c r="O10" s="59">
        <f t="shared" si="1"/>
        <v>7.523809418694293E-3</v>
      </c>
    </row>
    <row r="11" spans="1:16">
      <c r="A11" s="119" t="s">
        <v>482</v>
      </c>
      <c r="B11" s="119" t="s">
        <v>468</v>
      </c>
      <c r="C11" s="119" t="s">
        <v>483</v>
      </c>
      <c r="D11" s="208">
        <v>129395</v>
      </c>
      <c r="E11" s="119" t="s">
        <v>470</v>
      </c>
      <c r="F11" s="119" t="s">
        <v>474</v>
      </c>
      <c r="G11" s="119" t="s">
        <v>475</v>
      </c>
      <c r="H11" s="119" t="s">
        <v>133</v>
      </c>
      <c r="I11" s="208">
        <v>0.13500217649909624</v>
      </c>
      <c r="J11" s="119" t="s">
        <v>473</v>
      </c>
      <c r="K11" s="119" t="s">
        <v>470</v>
      </c>
      <c r="L11" s="209">
        <v>17468.606628100559</v>
      </c>
      <c r="M11" s="52">
        <f t="shared" si="0"/>
        <v>8.7343033140502797</v>
      </c>
      <c r="N11" s="52"/>
      <c r="O11" s="59">
        <f t="shared" si="1"/>
        <v>2.3929598120685697E-2</v>
      </c>
    </row>
    <row r="12" spans="1:16">
      <c r="A12" s="119" t="s">
        <v>482</v>
      </c>
      <c r="B12" s="119" t="s">
        <v>468</v>
      </c>
      <c r="C12" s="119" t="s">
        <v>483</v>
      </c>
      <c r="D12" s="208">
        <v>129395</v>
      </c>
      <c r="E12" s="119" t="s">
        <v>470</v>
      </c>
      <c r="F12" s="119" t="s">
        <v>476</v>
      </c>
      <c r="G12" s="119" t="s">
        <v>477</v>
      </c>
      <c r="H12" s="119" t="s">
        <v>133</v>
      </c>
      <c r="I12" s="208">
        <v>0</v>
      </c>
      <c r="J12" s="119" t="s">
        <v>473</v>
      </c>
      <c r="K12" s="119" t="s">
        <v>470</v>
      </c>
      <c r="L12" s="209">
        <v>0</v>
      </c>
      <c r="M12" s="52">
        <f t="shared" si="0"/>
        <v>0</v>
      </c>
      <c r="N12" s="52"/>
      <c r="O12" s="59">
        <f t="shared" si="1"/>
        <v>0</v>
      </c>
    </row>
    <row r="13" spans="1:16">
      <c r="A13" s="119" t="s">
        <v>482</v>
      </c>
      <c r="B13" s="119" t="s">
        <v>468</v>
      </c>
      <c r="C13" s="119" t="s">
        <v>483</v>
      </c>
      <c r="D13" s="208">
        <v>129395</v>
      </c>
      <c r="E13" s="119" t="s">
        <v>470</v>
      </c>
      <c r="F13" s="119" t="s">
        <v>478</v>
      </c>
      <c r="G13" s="119" t="s">
        <v>479</v>
      </c>
      <c r="H13" s="119" t="s">
        <v>133</v>
      </c>
      <c r="I13" s="208">
        <v>1.2687330196485585E-2</v>
      </c>
      <c r="J13" s="119" t="s">
        <v>473</v>
      </c>
      <c r="K13" s="119" t="s">
        <v>470</v>
      </c>
      <c r="L13" s="209">
        <v>1641.6770907742523</v>
      </c>
      <c r="M13" s="52">
        <f t="shared" si="0"/>
        <v>0.82083854538712619</v>
      </c>
      <c r="N13" s="52"/>
      <c r="O13" s="59">
        <f t="shared" si="1"/>
        <v>2.2488727270880168E-3</v>
      </c>
    </row>
    <row r="14" spans="1:16">
      <c r="A14" s="119" t="s">
        <v>482</v>
      </c>
      <c r="B14" s="119" t="s">
        <v>468</v>
      </c>
      <c r="C14" s="119" t="s">
        <v>483</v>
      </c>
      <c r="D14" s="208">
        <v>129395</v>
      </c>
      <c r="E14" s="119" t="s">
        <v>470</v>
      </c>
      <c r="F14" s="119" t="s">
        <v>480</v>
      </c>
      <c r="G14" s="119" t="s">
        <v>481</v>
      </c>
      <c r="H14" s="119" t="s">
        <v>133</v>
      </c>
      <c r="I14" s="208">
        <v>0</v>
      </c>
      <c r="J14" s="119" t="s">
        <v>473</v>
      </c>
      <c r="K14" s="119" t="s">
        <v>470</v>
      </c>
      <c r="L14" s="209">
        <v>0</v>
      </c>
      <c r="M14" s="52">
        <f t="shared" si="0"/>
        <v>0</v>
      </c>
      <c r="N14" s="52"/>
      <c r="O14" s="59">
        <f t="shared" si="1"/>
        <v>0</v>
      </c>
    </row>
    <row r="15" spans="1:16">
      <c r="A15" s="119"/>
      <c r="B15" s="119"/>
      <c r="C15" s="119"/>
      <c r="D15" s="208"/>
      <c r="E15" s="119"/>
      <c r="F15" s="119"/>
      <c r="G15" s="119"/>
      <c r="H15" s="119"/>
      <c r="I15" s="208"/>
      <c r="J15" s="119"/>
      <c r="K15" s="119"/>
      <c r="L15" s="209"/>
      <c r="M15" s="52"/>
      <c r="N15" s="59">
        <f>SUM(M10:M14)</f>
        <v>12.301332297260823</v>
      </c>
      <c r="O15" s="59"/>
      <c r="P15" s="59">
        <f>SUM(O10:O14)</f>
        <v>3.3702280266468002E-2</v>
      </c>
    </row>
    <row r="16" spans="1:16">
      <c r="A16" s="119" t="s">
        <v>484</v>
      </c>
      <c r="B16" s="119" t="s">
        <v>468</v>
      </c>
      <c r="C16" s="119" t="s">
        <v>485</v>
      </c>
      <c r="D16" s="208">
        <v>545823</v>
      </c>
      <c r="E16" s="119" t="s">
        <v>470</v>
      </c>
      <c r="F16" s="119" t="s">
        <v>471</v>
      </c>
      <c r="G16" s="119" t="s">
        <v>472</v>
      </c>
      <c r="H16" s="119" t="s">
        <v>133</v>
      </c>
      <c r="I16" s="208">
        <v>4.2446623715343204E-2</v>
      </c>
      <c r="J16" s="119" t="s">
        <v>473</v>
      </c>
      <c r="K16" s="119" t="s">
        <v>470</v>
      </c>
      <c r="L16" s="209">
        <v>23168.343496179772</v>
      </c>
      <c r="M16" s="52">
        <f>SUM(L16/2000)</f>
        <v>11.584171748089886</v>
      </c>
      <c r="N16" s="52"/>
      <c r="O16" s="59">
        <f>SUM(M16/365)</f>
        <v>3.1737456844081878E-2</v>
      </c>
    </row>
    <row r="17" spans="1:16">
      <c r="A17" s="119" t="s">
        <v>484</v>
      </c>
      <c r="B17" s="119" t="s">
        <v>468</v>
      </c>
      <c r="C17" s="119" t="s">
        <v>485</v>
      </c>
      <c r="D17" s="208">
        <v>545823</v>
      </c>
      <c r="E17" s="119" t="s">
        <v>470</v>
      </c>
      <c r="F17" s="119" t="s">
        <v>474</v>
      </c>
      <c r="G17" s="119" t="s">
        <v>475</v>
      </c>
      <c r="H17" s="119" t="s">
        <v>133</v>
      </c>
      <c r="I17" s="208">
        <v>0.13500217649909624</v>
      </c>
      <c r="J17" s="119" t="s">
        <v>473</v>
      </c>
      <c r="K17" s="119" t="s">
        <v>470</v>
      </c>
      <c r="L17" s="209">
        <v>73687.292983266205</v>
      </c>
      <c r="M17" s="52">
        <f>SUM(L17/2000)</f>
        <v>36.843646491633102</v>
      </c>
      <c r="N17" s="52"/>
      <c r="O17" s="59">
        <f>SUM(M17/365)</f>
        <v>0.10094149723735096</v>
      </c>
    </row>
    <row r="18" spans="1:16">
      <c r="A18" s="119" t="s">
        <v>484</v>
      </c>
      <c r="B18" s="119" t="s">
        <v>468</v>
      </c>
      <c r="C18" s="119" t="s">
        <v>485</v>
      </c>
      <c r="D18" s="208">
        <v>545823</v>
      </c>
      <c r="E18" s="119" t="s">
        <v>470</v>
      </c>
      <c r="F18" s="119" t="s">
        <v>476</v>
      </c>
      <c r="G18" s="119" t="s">
        <v>477</v>
      </c>
      <c r="H18" s="119" t="s">
        <v>133</v>
      </c>
      <c r="I18" s="208">
        <v>0</v>
      </c>
      <c r="J18" s="119" t="s">
        <v>473</v>
      </c>
      <c r="K18" s="119" t="s">
        <v>470</v>
      </c>
      <c r="L18" s="209">
        <v>0</v>
      </c>
      <c r="M18" s="52">
        <f>SUM(L18/2000)</f>
        <v>0</v>
      </c>
      <c r="N18" s="52"/>
      <c r="O18" s="59">
        <f>SUM(M18/365)</f>
        <v>0</v>
      </c>
    </row>
    <row r="19" spans="1:16">
      <c r="A19" s="119" t="s">
        <v>484</v>
      </c>
      <c r="B19" s="119" t="s">
        <v>468</v>
      </c>
      <c r="C19" s="119" t="s">
        <v>485</v>
      </c>
      <c r="D19" s="208">
        <v>545823</v>
      </c>
      <c r="E19" s="119" t="s">
        <v>470</v>
      </c>
      <c r="F19" s="119" t="s">
        <v>478</v>
      </c>
      <c r="G19" s="119" t="s">
        <v>479</v>
      </c>
      <c r="H19" s="119" t="s">
        <v>133</v>
      </c>
      <c r="I19" s="208">
        <v>1.2687330196485585E-2</v>
      </c>
      <c r="J19" s="119" t="s">
        <v>473</v>
      </c>
      <c r="K19" s="119" t="s">
        <v>470</v>
      </c>
      <c r="L19" s="209">
        <v>6925.0366298363515</v>
      </c>
      <c r="M19" s="52">
        <f>SUM(L19/2000)</f>
        <v>3.4625183149181757</v>
      </c>
      <c r="N19" s="52"/>
      <c r="O19" s="59">
        <f>SUM(M19/365)</f>
        <v>9.4863515477210288E-3</v>
      </c>
    </row>
    <row r="20" spans="1:16">
      <c r="A20" s="119" t="s">
        <v>484</v>
      </c>
      <c r="B20" s="119" t="s">
        <v>468</v>
      </c>
      <c r="C20" s="119" t="s">
        <v>485</v>
      </c>
      <c r="D20" s="208">
        <v>545823</v>
      </c>
      <c r="E20" s="119" t="s">
        <v>470</v>
      </c>
      <c r="F20" s="119" t="s">
        <v>480</v>
      </c>
      <c r="G20" s="119" t="s">
        <v>481</v>
      </c>
      <c r="H20" s="119" t="s">
        <v>133</v>
      </c>
      <c r="I20" s="208">
        <v>0</v>
      </c>
      <c r="J20" s="119" t="s">
        <v>473</v>
      </c>
      <c r="K20" s="119" t="s">
        <v>470</v>
      </c>
      <c r="L20" s="209">
        <v>0</v>
      </c>
      <c r="M20" s="52">
        <f>SUM(L20/2000)</f>
        <v>0</v>
      </c>
      <c r="N20" s="52"/>
      <c r="O20" s="59">
        <f>SUM(M20/365)</f>
        <v>0</v>
      </c>
    </row>
    <row r="21" spans="1:16">
      <c r="A21" s="119"/>
      <c r="B21" s="119"/>
      <c r="C21" s="119"/>
      <c r="D21" s="208"/>
      <c r="E21" s="119"/>
      <c r="F21" s="119"/>
      <c r="G21" s="119"/>
      <c r="H21" s="119"/>
      <c r="I21" s="208"/>
      <c r="J21" s="119"/>
      <c r="K21" s="119"/>
      <c r="L21" s="209"/>
      <c r="M21" s="52"/>
      <c r="N21" s="59">
        <f>SUM(M16:M20)</f>
        <v>51.890336554641166</v>
      </c>
      <c r="O21" s="59"/>
      <c r="P21" s="59">
        <f>SUM(O16:O20)</f>
        <v>0.14216530562915389</v>
      </c>
    </row>
    <row r="22" spans="1:16">
      <c r="A22" s="119" t="s">
        <v>486</v>
      </c>
      <c r="B22" s="119" t="s">
        <v>468</v>
      </c>
      <c r="C22" s="119" t="s">
        <v>487</v>
      </c>
      <c r="D22" s="208">
        <v>15527</v>
      </c>
      <c r="E22" s="119" t="s">
        <v>470</v>
      </c>
      <c r="F22" s="119" t="s">
        <v>471</v>
      </c>
      <c r="G22" s="119" t="s">
        <v>472</v>
      </c>
      <c r="H22" s="119" t="s">
        <v>133</v>
      </c>
      <c r="I22" s="208">
        <v>4.2446623715343204E-2</v>
      </c>
      <c r="J22" s="119" t="s">
        <v>473</v>
      </c>
      <c r="K22" s="119" t="s">
        <v>470</v>
      </c>
      <c r="L22" s="209">
        <v>659.06872642813391</v>
      </c>
      <c r="M22" s="52">
        <f>SUM(L22/2000)</f>
        <v>0.32953436321406698</v>
      </c>
      <c r="N22" s="52"/>
      <c r="O22" s="59">
        <f>SUM(M22/365)</f>
        <v>9.0283387181936162E-4</v>
      </c>
    </row>
    <row r="23" spans="1:16">
      <c r="A23" s="119" t="s">
        <v>486</v>
      </c>
      <c r="B23" s="119" t="s">
        <v>468</v>
      </c>
      <c r="C23" s="119" t="s">
        <v>487</v>
      </c>
      <c r="D23" s="208">
        <v>15527</v>
      </c>
      <c r="E23" s="119" t="s">
        <v>470</v>
      </c>
      <c r="F23" s="119" t="s">
        <v>474</v>
      </c>
      <c r="G23" s="119" t="s">
        <v>475</v>
      </c>
      <c r="H23" s="119" t="s">
        <v>133</v>
      </c>
      <c r="I23" s="208">
        <v>0.13500217649909624</v>
      </c>
      <c r="J23" s="119" t="s">
        <v>473</v>
      </c>
      <c r="K23" s="119" t="s">
        <v>470</v>
      </c>
      <c r="L23" s="209">
        <v>2096.1787945014671</v>
      </c>
      <c r="M23" s="52">
        <f>SUM(L23/2000)</f>
        <v>1.0480893972507335</v>
      </c>
      <c r="N23" s="52"/>
      <c r="O23" s="59">
        <f>SUM(M23/365)</f>
        <v>2.8714778006869411E-3</v>
      </c>
    </row>
    <row r="24" spans="1:16">
      <c r="A24" s="119" t="s">
        <v>486</v>
      </c>
      <c r="B24" s="119" t="s">
        <v>468</v>
      </c>
      <c r="C24" s="119" t="s">
        <v>487</v>
      </c>
      <c r="D24" s="208">
        <v>15527</v>
      </c>
      <c r="E24" s="119" t="s">
        <v>470</v>
      </c>
      <c r="F24" s="119" t="s">
        <v>476</v>
      </c>
      <c r="G24" s="119" t="s">
        <v>477</v>
      </c>
      <c r="H24" s="119" t="s">
        <v>133</v>
      </c>
      <c r="I24" s="208">
        <v>0</v>
      </c>
      <c r="J24" s="119" t="s">
        <v>473</v>
      </c>
      <c r="K24" s="119" t="s">
        <v>470</v>
      </c>
      <c r="L24" s="209">
        <v>0</v>
      </c>
      <c r="M24" s="52">
        <f>SUM(L24/2000)</f>
        <v>0</v>
      </c>
      <c r="N24" s="52"/>
      <c r="O24" s="59">
        <f>SUM(M24/365)</f>
        <v>0</v>
      </c>
    </row>
    <row r="25" spans="1:16">
      <c r="A25" s="119" t="s">
        <v>486</v>
      </c>
      <c r="B25" s="119" t="s">
        <v>468</v>
      </c>
      <c r="C25" s="119" t="s">
        <v>487</v>
      </c>
      <c r="D25" s="208">
        <v>15527</v>
      </c>
      <c r="E25" s="119" t="s">
        <v>470</v>
      </c>
      <c r="F25" s="119" t="s">
        <v>478</v>
      </c>
      <c r="G25" s="119" t="s">
        <v>479</v>
      </c>
      <c r="H25" s="119" t="s">
        <v>133</v>
      </c>
      <c r="I25" s="208">
        <v>1.2687330196485585E-2</v>
      </c>
      <c r="J25" s="119" t="s">
        <v>473</v>
      </c>
      <c r="K25" s="119" t="s">
        <v>470</v>
      </c>
      <c r="L25" s="209">
        <v>196.99617596083166</v>
      </c>
      <c r="M25" s="52">
        <f>SUM(L25/2000)</f>
        <v>9.849808798041583E-2</v>
      </c>
      <c r="N25" s="52"/>
      <c r="O25" s="59">
        <f>SUM(M25/365)</f>
        <v>2.698577752888105E-4</v>
      </c>
    </row>
    <row r="26" spans="1:16">
      <c r="A26" s="119" t="s">
        <v>486</v>
      </c>
      <c r="B26" s="119" t="s">
        <v>468</v>
      </c>
      <c r="C26" s="119" t="s">
        <v>487</v>
      </c>
      <c r="D26" s="208">
        <v>15527</v>
      </c>
      <c r="E26" s="119" t="s">
        <v>470</v>
      </c>
      <c r="F26" s="119" t="s">
        <v>480</v>
      </c>
      <c r="G26" s="119" t="s">
        <v>481</v>
      </c>
      <c r="H26" s="119" t="s">
        <v>133</v>
      </c>
      <c r="I26" s="208">
        <v>0</v>
      </c>
      <c r="J26" s="119" t="s">
        <v>473</v>
      </c>
      <c r="K26" s="119" t="s">
        <v>470</v>
      </c>
      <c r="L26" s="209">
        <v>0</v>
      </c>
      <c r="M26" s="52">
        <f>SUM(L26/2000)</f>
        <v>0</v>
      </c>
      <c r="N26" s="52"/>
      <c r="O26" s="59">
        <f>SUM(M26/365)</f>
        <v>0</v>
      </c>
    </row>
    <row r="27" spans="1:16">
      <c r="A27" s="119"/>
      <c r="B27" s="119"/>
      <c r="C27" s="119"/>
      <c r="D27" s="208"/>
      <c r="E27" s="119"/>
      <c r="F27" s="119"/>
      <c r="G27" s="119"/>
      <c r="H27" s="119"/>
      <c r="I27" s="208"/>
      <c r="J27" s="119"/>
      <c r="K27" s="119"/>
      <c r="L27" s="209"/>
      <c r="M27" s="52"/>
      <c r="N27" s="59">
        <f>SUM(M22:M26)</f>
        <v>1.4761218484452163</v>
      </c>
      <c r="O27" s="59"/>
      <c r="P27" s="59">
        <f>SUM(O22:O26)</f>
        <v>4.0441694477951129E-3</v>
      </c>
    </row>
    <row r="28" spans="1:16">
      <c r="A28" s="119" t="s">
        <v>488</v>
      </c>
      <c r="B28" s="119" t="s">
        <v>468</v>
      </c>
      <c r="C28" s="119" t="s">
        <v>489</v>
      </c>
      <c r="D28" s="208">
        <v>736457</v>
      </c>
      <c r="E28" s="119" t="s">
        <v>470</v>
      </c>
      <c r="F28" s="119" t="s">
        <v>471</v>
      </c>
      <c r="G28" s="119" t="s">
        <v>472</v>
      </c>
      <c r="H28" s="119" t="s">
        <v>133</v>
      </c>
      <c r="I28" s="208">
        <v>4.2446623715343204E-2</v>
      </c>
      <c r="J28" s="119" t="s">
        <v>473</v>
      </c>
      <c r="K28" s="119" t="s">
        <v>470</v>
      </c>
      <c r="L28" s="209">
        <v>31260.113161530509</v>
      </c>
      <c r="M28" s="52">
        <f>SUM(L28/2000)</f>
        <v>15.630056580765254</v>
      </c>
      <c r="N28" s="52"/>
      <c r="O28" s="59">
        <f>SUM(M28/365)</f>
        <v>4.2822072824014394E-2</v>
      </c>
    </row>
    <row r="29" spans="1:16">
      <c r="A29" s="119" t="s">
        <v>488</v>
      </c>
      <c r="B29" s="119" t="s">
        <v>468</v>
      </c>
      <c r="C29" s="119" t="s">
        <v>489</v>
      </c>
      <c r="D29" s="208">
        <v>736457</v>
      </c>
      <c r="E29" s="119" t="s">
        <v>470</v>
      </c>
      <c r="F29" s="119" t="s">
        <v>474</v>
      </c>
      <c r="G29" s="119" t="s">
        <v>475</v>
      </c>
      <c r="H29" s="119" t="s">
        <v>133</v>
      </c>
      <c r="I29" s="208">
        <v>0.13500217649909624</v>
      </c>
      <c r="J29" s="119" t="s">
        <v>473</v>
      </c>
      <c r="K29" s="119" t="s">
        <v>470</v>
      </c>
      <c r="L29" s="209">
        <v>99423.297897994911</v>
      </c>
      <c r="M29" s="52">
        <f>SUM(L29/2000)</f>
        <v>49.711648948997457</v>
      </c>
      <c r="N29" s="52"/>
      <c r="O29" s="59">
        <f>SUM(M29/365)</f>
        <v>0.13619629849040399</v>
      </c>
    </row>
    <row r="30" spans="1:16">
      <c r="A30" s="119" t="s">
        <v>488</v>
      </c>
      <c r="B30" s="119" t="s">
        <v>468</v>
      </c>
      <c r="C30" s="119" t="s">
        <v>489</v>
      </c>
      <c r="D30" s="208">
        <v>736457</v>
      </c>
      <c r="E30" s="119" t="s">
        <v>470</v>
      </c>
      <c r="F30" s="119" t="s">
        <v>476</v>
      </c>
      <c r="G30" s="119" t="s">
        <v>477</v>
      </c>
      <c r="H30" s="119" t="s">
        <v>133</v>
      </c>
      <c r="I30" s="208">
        <v>0</v>
      </c>
      <c r="J30" s="119" t="s">
        <v>473</v>
      </c>
      <c r="K30" s="119" t="s">
        <v>470</v>
      </c>
      <c r="L30" s="209">
        <v>0</v>
      </c>
      <c r="M30" s="52">
        <f>SUM(L30/2000)</f>
        <v>0</v>
      </c>
      <c r="N30" s="52"/>
      <c r="O30" s="59">
        <f>SUM(M30/365)</f>
        <v>0</v>
      </c>
    </row>
    <row r="31" spans="1:16">
      <c r="A31" s="119" t="s">
        <v>488</v>
      </c>
      <c r="B31" s="119" t="s">
        <v>468</v>
      </c>
      <c r="C31" s="119" t="s">
        <v>489</v>
      </c>
      <c r="D31" s="208">
        <v>736457</v>
      </c>
      <c r="E31" s="119" t="s">
        <v>470</v>
      </c>
      <c r="F31" s="119" t="s">
        <v>478</v>
      </c>
      <c r="G31" s="119" t="s">
        <v>479</v>
      </c>
      <c r="H31" s="119" t="s">
        <v>133</v>
      </c>
      <c r="I31" s="208">
        <v>1.2687330196485585E-2</v>
      </c>
      <c r="J31" s="119" t="s">
        <v>473</v>
      </c>
      <c r="K31" s="119" t="s">
        <v>470</v>
      </c>
      <c r="L31" s="209">
        <v>9343.6731345131848</v>
      </c>
      <c r="M31" s="52">
        <f>SUM(L31/2000)</f>
        <v>4.6718365672565927</v>
      </c>
      <c r="N31" s="52"/>
      <c r="O31" s="59">
        <f>SUM(M31/365)</f>
        <v>1.2799552239059158E-2</v>
      </c>
    </row>
    <row r="32" spans="1:16">
      <c r="A32" s="119" t="s">
        <v>488</v>
      </c>
      <c r="B32" s="119" t="s">
        <v>468</v>
      </c>
      <c r="C32" s="119" t="s">
        <v>489</v>
      </c>
      <c r="D32" s="208">
        <v>736457</v>
      </c>
      <c r="E32" s="119" t="s">
        <v>470</v>
      </c>
      <c r="F32" s="119" t="s">
        <v>480</v>
      </c>
      <c r="G32" s="119" t="s">
        <v>481</v>
      </c>
      <c r="H32" s="119" t="s">
        <v>133</v>
      </c>
      <c r="I32" s="208">
        <v>0</v>
      </c>
      <c r="J32" s="119" t="s">
        <v>473</v>
      </c>
      <c r="K32" s="119" t="s">
        <v>470</v>
      </c>
      <c r="L32" s="209">
        <v>0</v>
      </c>
      <c r="M32" s="52">
        <f>SUM(L32/2000)</f>
        <v>0</v>
      </c>
      <c r="N32" s="52"/>
      <c r="O32" s="59">
        <f>SUM(M32/365)</f>
        <v>0</v>
      </c>
    </row>
    <row r="33" spans="1:16">
      <c r="A33" s="119"/>
      <c r="B33" s="119"/>
      <c r="C33" s="119"/>
      <c r="D33" s="208"/>
      <c r="E33" s="119"/>
      <c r="F33" s="119"/>
      <c r="G33" s="119"/>
      <c r="H33" s="119"/>
      <c r="I33" s="208"/>
      <c r="J33" s="119"/>
      <c r="K33" s="119"/>
      <c r="L33" s="209"/>
      <c r="M33" s="52"/>
      <c r="N33" s="59">
        <f>SUM(M28:M32)</f>
        <v>70.013542097019297</v>
      </c>
      <c r="O33" s="59"/>
      <c r="P33" s="59">
        <f>SUM(O28:O32)</f>
        <v>0.19181792355347754</v>
      </c>
    </row>
    <row r="34" spans="1:16">
      <c r="A34" s="119" t="s">
        <v>490</v>
      </c>
      <c r="B34" s="119" t="s">
        <v>468</v>
      </c>
      <c r="C34" s="119" t="s">
        <v>491</v>
      </c>
      <c r="D34" s="208">
        <v>71735</v>
      </c>
      <c r="E34" s="119" t="s">
        <v>470</v>
      </c>
      <c r="F34" s="119" t="s">
        <v>471</v>
      </c>
      <c r="G34" s="119" t="s">
        <v>472</v>
      </c>
      <c r="H34" s="119" t="s">
        <v>133</v>
      </c>
      <c r="I34" s="208">
        <v>4.2446623715343204E-2</v>
      </c>
      <c r="J34" s="119" t="s">
        <v>473</v>
      </c>
      <c r="K34" s="119" t="s">
        <v>470</v>
      </c>
      <c r="L34" s="209">
        <v>3044.9085522201449</v>
      </c>
      <c r="M34" s="52">
        <f>SUM(L34/2000)</f>
        <v>1.5224542761100723</v>
      </c>
      <c r="N34" s="52"/>
      <c r="O34" s="59">
        <f>SUM(M34/365)</f>
        <v>4.1711076057810203E-3</v>
      </c>
    </row>
    <row r="35" spans="1:16">
      <c r="A35" s="119" t="s">
        <v>490</v>
      </c>
      <c r="B35" s="119" t="s">
        <v>468</v>
      </c>
      <c r="C35" s="119" t="s">
        <v>491</v>
      </c>
      <c r="D35" s="208">
        <v>71735</v>
      </c>
      <c r="E35" s="119" t="s">
        <v>470</v>
      </c>
      <c r="F35" s="119" t="s">
        <v>474</v>
      </c>
      <c r="G35" s="119" t="s">
        <v>475</v>
      </c>
      <c r="H35" s="119" t="s">
        <v>133</v>
      </c>
      <c r="I35" s="208">
        <v>0.13500217649909624</v>
      </c>
      <c r="J35" s="119" t="s">
        <v>473</v>
      </c>
      <c r="K35" s="119" t="s">
        <v>470</v>
      </c>
      <c r="L35" s="209">
        <v>9684.3811311626687</v>
      </c>
      <c r="M35" s="52">
        <f>SUM(L35/2000)</f>
        <v>4.8421905655813342</v>
      </c>
      <c r="N35" s="52"/>
      <c r="O35" s="59">
        <f>SUM(M35/365)</f>
        <v>1.3266275522140642E-2</v>
      </c>
    </row>
    <row r="36" spans="1:16">
      <c r="A36" s="119" t="s">
        <v>490</v>
      </c>
      <c r="B36" s="119" t="s">
        <v>468</v>
      </c>
      <c r="C36" s="119" t="s">
        <v>491</v>
      </c>
      <c r="D36" s="208">
        <v>71735</v>
      </c>
      <c r="E36" s="119" t="s">
        <v>470</v>
      </c>
      <c r="F36" s="119" t="s">
        <v>476</v>
      </c>
      <c r="G36" s="119" t="s">
        <v>477</v>
      </c>
      <c r="H36" s="119" t="s">
        <v>133</v>
      </c>
      <c r="I36" s="208">
        <v>0</v>
      </c>
      <c r="J36" s="119" t="s">
        <v>473</v>
      </c>
      <c r="K36" s="119" t="s">
        <v>470</v>
      </c>
      <c r="L36" s="209">
        <v>0</v>
      </c>
      <c r="M36" s="52">
        <f>SUM(L36/2000)</f>
        <v>0</v>
      </c>
      <c r="N36" s="52"/>
      <c r="O36" s="59">
        <f>SUM(M36/365)</f>
        <v>0</v>
      </c>
    </row>
    <row r="37" spans="1:16">
      <c r="A37" s="119" t="s">
        <v>490</v>
      </c>
      <c r="B37" s="119" t="s">
        <v>468</v>
      </c>
      <c r="C37" s="119" t="s">
        <v>491</v>
      </c>
      <c r="D37" s="208">
        <v>71735</v>
      </c>
      <c r="E37" s="119" t="s">
        <v>470</v>
      </c>
      <c r="F37" s="119" t="s">
        <v>478</v>
      </c>
      <c r="G37" s="119" t="s">
        <v>479</v>
      </c>
      <c r="H37" s="119" t="s">
        <v>133</v>
      </c>
      <c r="I37" s="208">
        <v>1.2687330196485585E-2</v>
      </c>
      <c r="J37" s="119" t="s">
        <v>473</v>
      </c>
      <c r="K37" s="119" t="s">
        <v>470</v>
      </c>
      <c r="L37" s="209">
        <v>910.12563164489347</v>
      </c>
      <c r="M37" s="52">
        <f>SUM(L37/2000)</f>
        <v>0.45506281582244673</v>
      </c>
      <c r="N37" s="52"/>
      <c r="O37" s="59">
        <f>SUM(M37/365)</f>
        <v>1.2467474406094431E-3</v>
      </c>
    </row>
    <row r="38" spans="1:16">
      <c r="A38" s="119" t="s">
        <v>490</v>
      </c>
      <c r="B38" s="119" t="s">
        <v>468</v>
      </c>
      <c r="C38" s="119" t="s">
        <v>491</v>
      </c>
      <c r="D38" s="208">
        <v>71735</v>
      </c>
      <c r="E38" s="119" t="s">
        <v>470</v>
      </c>
      <c r="F38" s="119" t="s">
        <v>480</v>
      </c>
      <c r="G38" s="119" t="s">
        <v>481</v>
      </c>
      <c r="H38" s="119" t="s">
        <v>133</v>
      </c>
      <c r="I38" s="208">
        <v>0</v>
      </c>
      <c r="J38" s="119" t="s">
        <v>473</v>
      </c>
      <c r="K38" s="119" t="s">
        <v>470</v>
      </c>
      <c r="L38" s="209">
        <v>0</v>
      </c>
      <c r="M38" s="52">
        <f>SUM(L38/2000)</f>
        <v>0</v>
      </c>
      <c r="N38" s="52"/>
      <c r="O38" s="59">
        <f>SUM(M38/365)</f>
        <v>0</v>
      </c>
    </row>
    <row r="39" spans="1:16">
      <c r="A39" s="119"/>
      <c r="B39" s="119"/>
      <c r="C39" s="119"/>
      <c r="D39" s="208"/>
      <c r="E39" s="119"/>
      <c r="F39" s="119"/>
      <c r="G39" s="119"/>
      <c r="H39" s="119"/>
      <c r="I39" s="208"/>
      <c r="J39" s="119"/>
      <c r="K39" s="119"/>
      <c r="L39" s="209"/>
      <c r="M39" s="52"/>
      <c r="N39" s="59">
        <f>SUM(M34:M38)</f>
        <v>6.8197076575138533</v>
      </c>
      <c r="O39" s="59"/>
      <c r="P39" s="59">
        <f>SUM(O34:O38)</f>
        <v>1.8684130568531108E-2</v>
      </c>
    </row>
    <row r="40" spans="1:16">
      <c r="A40" s="119" t="s">
        <v>492</v>
      </c>
      <c r="B40" s="119" t="s">
        <v>468</v>
      </c>
      <c r="C40" s="119" t="s">
        <v>493</v>
      </c>
      <c r="D40" s="208">
        <v>460840</v>
      </c>
      <c r="E40" s="119" t="s">
        <v>470</v>
      </c>
      <c r="F40" s="119" t="s">
        <v>471</v>
      </c>
      <c r="G40" s="119" t="s">
        <v>472</v>
      </c>
      <c r="H40" s="119" t="s">
        <v>133</v>
      </c>
      <c r="I40" s="208">
        <v>4.2446623715343204E-2</v>
      </c>
      <c r="J40" s="119" t="s">
        <v>473</v>
      </c>
      <c r="K40" s="119" t="s">
        <v>470</v>
      </c>
      <c r="L40" s="209">
        <v>19561.102072978763</v>
      </c>
      <c r="M40" s="52">
        <f>SUM(L40/2000)</f>
        <v>9.7805510364893813</v>
      </c>
      <c r="N40" s="52"/>
      <c r="O40" s="59">
        <f>SUM(M40/365)</f>
        <v>2.6796030236957209E-2</v>
      </c>
    </row>
    <row r="41" spans="1:16">
      <c r="A41" s="119" t="s">
        <v>492</v>
      </c>
      <c r="B41" s="119" t="s">
        <v>468</v>
      </c>
      <c r="C41" s="119" t="s">
        <v>493</v>
      </c>
      <c r="D41" s="208">
        <v>460840</v>
      </c>
      <c r="E41" s="119" t="s">
        <v>470</v>
      </c>
      <c r="F41" s="119" t="s">
        <v>474</v>
      </c>
      <c r="G41" s="119" t="s">
        <v>475</v>
      </c>
      <c r="H41" s="119" t="s">
        <v>133</v>
      </c>
      <c r="I41" s="208">
        <v>0.13500217649909624</v>
      </c>
      <c r="J41" s="119" t="s">
        <v>473</v>
      </c>
      <c r="K41" s="119" t="s">
        <v>470</v>
      </c>
      <c r="L41" s="209">
        <v>62214.403017843513</v>
      </c>
      <c r="M41" s="52">
        <f>SUM(L41/2000)</f>
        <v>31.107201508921758</v>
      </c>
      <c r="N41" s="52"/>
      <c r="O41" s="59">
        <f>SUM(M41/365)</f>
        <v>8.5225209613484273E-2</v>
      </c>
    </row>
    <row r="42" spans="1:16">
      <c r="A42" s="119" t="s">
        <v>492</v>
      </c>
      <c r="B42" s="119" t="s">
        <v>468</v>
      </c>
      <c r="C42" s="119" t="s">
        <v>493</v>
      </c>
      <c r="D42" s="208">
        <v>460840</v>
      </c>
      <c r="E42" s="119" t="s">
        <v>470</v>
      </c>
      <c r="F42" s="119" t="s">
        <v>476</v>
      </c>
      <c r="G42" s="119" t="s">
        <v>477</v>
      </c>
      <c r="H42" s="119" t="s">
        <v>133</v>
      </c>
      <c r="I42" s="208">
        <v>0</v>
      </c>
      <c r="J42" s="119" t="s">
        <v>473</v>
      </c>
      <c r="K42" s="119" t="s">
        <v>470</v>
      </c>
      <c r="L42" s="209">
        <v>0</v>
      </c>
      <c r="M42" s="52">
        <f>SUM(L42/2000)</f>
        <v>0</v>
      </c>
      <c r="N42" s="52"/>
      <c r="O42" s="59">
        <f>SUM(M42/365)</f>
        <v>0</v>
      </c>
    </row>
    <row r="43" spans="1:16">
      <c r="A43" s="119" t="s">
        <v>492</v>
      </c>
      <c r="B43" s="119" t="s">
        <v>468</v>
      </c>
      <c r="C43" s="119" t="s">
        <v>493</v>
      </c>
      <c r="D43" s="208">
        <v>460840</v>
      </c>
      <c r="E43" s="119" t="s">
        <v>470</v>
      </c>
      <c r="F43" s="119" t="s">
        <v>478</v>
      </c>
      <c r="G43" s="119" t="s">
        <v>479</v>
      </c>
      <c r="H43" s="119" t="s">
        <v>133</v>
      </c>
      <c r="I43" s="208">
        <v>1.2687330196485585E-2</v>
      </c>
      <c r="J43" s="119" t="s">
        <v>473</v>
      </c>
      <c r="K43" s="119" t="s">
        <v>470</v>
      </c>
      <c r="L43" s="209">
        <v>5846.8292477484165</v>
      </c>
      <c r="M43" s="52">
        <f>SUM(L43/2000)</f>
        <v>2.923414623874208</v>
      </c>
      <c r="N43" s="52"/>
      <c r="O43" s="59">
        <f>SUM(M43/365)</f>
        <v>8.0093551339019391E-3</v>
      </c>
    </row>
    <row r="44" spans="1:16">
      <c r="A44" s="119" t="s">
        <v>492</v>
      </c>
      <c r="B44" s="119" t="s">
        <v>468</v>
      </c>
      <c r="C44" s="119" t="s">
        <v>493</v>
      </c>
      <c r="D44" s="208">
        <v>460840</v>
      </c>
      <c r="E44" s="119" t="s">
        <v>470</v>
      </c>
      <c r="F44" s="119" t="s">
        <v>480</v>
      </c>
      <c r="G44" s="119" t="s">
        <v>481</v>
      </c>
      <c r="H44" s="119" t="s">
        <v>133</v>
      </c>
      <c r="I44" s="208">
        <v>0</v>
      </c>
      <c r="J44" s="119" t="s">
        <v>473</v>
      </c>
      <c r="K44" s="119" t="s">
        <v>470</v>
      </c>
      <c r="L44" s="209">
        <v>0</v>
      </c>
      <c r="M44" s="52">
        <f>SUM(L44/2000)</f>
        <v>0</v>
      </c>
      <c r="N44" s="52"/>
      <c r="O44" s="59">
        <f>SUM(M44/365)</f>
        <v>0</v>
      </c>
    </row>
    <row r="45" spans="1:16">
      <c r="A45" s="119"/>
      <c r="B45" s="119"/>
      <c r="C45" s="119"/>
      <c r="D45" s="208"/>
      <c r="E45" s="119"/>
      <c r="F45" s="119"/>
      <c r="G45" s="119"/>
      <c r="H45" s="119"/>
      <c r="I45" s="208"/>
      <c r="J45" s="119"/>
      <c r="K45" s="119"/>
      <c r="L45" s="209"/>
      <c r="M45" s="52"/>
      <c r="N45" s="59">
        <f>SUM(M40:M44)</f>
        <v>43.811167169285348</v>
      </c>
      <c r="O45" s="59"/>
      <c r="P45" s="59">
        <f>SUM(O40:O44)</f>
        <v>0.12003059498434343</v>
      </c>
    </row>
    <row r="46" spans="1:16" ht="25.5">
      <c r="A46" s="119" t="s">
        <v>494</v>
      </c>
      <c r="B46" s="119" t="s">
        <v>468</v>
      </c>
      <c r="C46" s="119" t="s">
        <v>495</v>
      </c>
      <c r="D46" s="208">
        <v>154983</v>
      </c>
      <c r="E46" s="119" t="s">
        <v>470</v>
      </c>
      <c r="F46" s="119" t="s">
        <v>471</v>
      </c>
      <c r="G46" s="119" t="s">
        <v>472</v>
      </c>
      <c r="H46" s="119" t="s">
        <v>133</v>
      </c>
      <c r="I46" s="208">
        <v>4.2446623715343204E-2</v>
      </c>
      <c r="J46" s="119" t="s">
        <v>473</v>
      </c>
      <c r="K46" s="119" t="s">
        <v>470</v>
      </c>
      <c r="L46" s="209">
        <v>6578.5050832750358</v>
      </c>
      <c r="M46" s="52">
        <f>SUM(L46/2000)</f>
        <v>3.2892525416375178</v>
      </c>
      <c r="N46" s="52"/>
      <c r="O46" s="59">
        <f>SUM(M46/365)</f>
        <v>9.0116507990068984E-3</v>
      </c>
    </row>
    <row r="47" spans="1:16" ht="25.5">
      <c r="A47" s="119" t="s">
        <v>494</v>
      </c>
      <c r="B47" s="119" t="s">
        <v>468</v>
      </c>
      <c r="C47" s="119" t="s">
        <v>495</v>
      </c>
      <c r="D47" s="208">
        <v>154983</v>
      </c>
      <c r="E47" s="119" t="s">
        <v>470</v>
      </c>
      <c r="F47" s="119" t="s">
        <v>474</v>
      </c>
      <c r="G47" s="119" t="s">
        <v>475</v>
      </c>
      <c r="H47" s="119" t="s">
        <v>133</v>
      </c>
      <c r="I47" s="208">
        <v>0.13500217649909624</v>
      </c>
      <c r="J47" s="119" t="s">
        <v>473</v>
      </c>
      <c r="K47" s="119" t="s">
        <v>470</v>
      </c>
      <c r="L47" s="209">
        <v>20923.042320359433</v>
      </c>
      <c r="M47" s="52">
        <f>SUM(L47/2000)</f>
        <v>10.461521160179716</v>
      </c>
      <c r="N47" s="52"/>
      <c r="O47" s="59">
        <f>SUM(M47/365)</f>
        <v>2.866170180871155E-2</v>
      </c>
    </row>
    <row r="48" spans="1:16" ht="25.5">
      <c r="A48" s="119" t="s">
        <v>494</v>
      </c>
      <c r="B48" s="119" t="s">
        <v>468</v>
      </c>
      <c r="C48" s="119" t="s">
        <v>495</v>
      </c>
      <c r="D48" s="208">
        <v>154983</v>
      </c>
      <c r="E48" s="119" t="s">
        <v>470</v>
      </c>
      <c r="F48" s="119" t="s">
        <v>476</v>
      </c>
      <c r="G48" s="119" t="s">
        <v>477</v>
      </c>
      <c r="H48" s="119" t="s">
        <v>133</v>
      </c>
      <c r="I48" s="208">
        <v>0</v>
      </c>
      <c r="J48" s="119" t="s">
        <v>473</v>
      </c>
      <c r="K48" s="119" t="s">
        <v>470</v>
      </c>
      <c r="L48" s="209">
        <v>0</v>
      </c>
      <c r="M48" s="52">
        <f>SUM(L48/2000)</f>
        <v>0</v>
      </c>
      <c r="N48" s="52"/>
      <c r="O48" s="59">
        <f>SUM(M48/365)</f>
        <v>0</v>
      </c>
    </row>
    <row r="49" spans="1:16" ht="25.5">
      <c r="A49" s="119" t="s">
        <v>494</v>
      </c>
      <c r="B49" s="119" t="s">
        <v>468</v>
      </c>
      <c r="C49" s="119" t="s">
        <v>495</v>
      </c>
      <c r="D49" s="208">
        <v>154983</v>
      </c>
      <c r="E49" s="119" t="s">
        <v>470</v>
      </c>
      <c r="F49" s="119" t="s">
        <v>478</v>
      </c>
      <c r="G49" s="119" t="s">
        <v>479</v>
      </c>
      <c r="H49" s="119" t="s">
        <v>133</v>
      </c>
      <c r="I49" s="208">
        <v>1.2687330196485585E-2</v>
      </c>
      <c r="J49" s="119" t="s">
        <v>473</v>
      </c>
      <c r="K49" s="119" t="s">
        <v>470</v>
      </c>
      <c r="L49" s="209">
        <v>1966.3204958419253</v>
      </c>
      <c r="M49" s="52">
        <f>SUM(L49/2000)</f>
        <v>0.98316024792096268</v>
      </c>
      <c r="N49" s="52"/>
      <c r="O49" s="59">
        <f>SUM(M49/365)</f>
        <v>2.6935897203314045E-3</v>
      </c>
    </row>
    <row r="50" spans="1:16" ht="25.5">
      <c r="A50" s="119" t="s">
        <v>494</v>
      </c>
      <c r="B50" s="119" t="s">
        <v>468</v>
      </c>
      <c r="C50" s="119" t="s">
        <v>495</v>
      </c>
      <c r="D50" s="208">
        <v>154983</v>
      </c>
      <c r="E50" s="119" t="s">
        <v>470</v>
      </c>
      <c r="F50" s="119" t="s">
        <v>480</v>
      </c>
      <c r="G50" s="119" t="s">
        <v>481</v>
      </c>
      <c r="H50" s="119" t="s">
        <v>133</v>
      </c>
      <c r="I50" s="208">
        <v>0</v>
      </c>
      <c r="J50" s="119" t="s">
        <v>473</v>
      </c>
      <c r="K50" s="119" t="s">
        <v>470</v>
      </c>
      <c r="L50" s="209">
        <v>0</v>
      </c>
      <c r="M50" s="52">
        <f>SUM(L50/2000)</f>
        <v>0</v>
      </c>
      <c r="N50" s="52"/>
      <c r="O50" s="59">
        <f>SUM(M50/365)</f>
        <v>0</v>
      </c>
    </row>
    <row r="51" spans="1:16">
      <c r="A51" s="119"/>
      <c r="B51" s="119"/>
      <c r="C51" s="119"/>
      <c r="D51" s="208"/>
      <c r="E51" s="119"/>
      <c r="F51" s="119"/>
      <c r="G51" s="119"/>
      <c r="H51" s="119"/>
      <c r="I51" s="208"/>
      <c r="J51" s="119"/>
      <c r="K51" s="119"/>
      <c r="L51" s="209"/>
      <c r="M51" s="52"/>
      <c r="N51" s="59">
        <f>SUM(M46:M50)</f>
        <v>14.733933949738198</v>
      </c>
      <c r="O51" s="59"/>
      <c r="P51" s="59">
        <f>SUM(O46:O50)</f>
        <v>4.0366942328049854E-2</v>
      </c>
    </row>
    <row r="52" spans="1:16" ht="25.5">
      <c r="A52" s="119" t="s">
        <v>496</v>
      </c>
      <c r="B52" s="119" t="s">
        <v>468</v>
      </c>
      <c r="C52" s="119" t="s">
        <v>497</v>
      </c>
      <c r="D52" s="208">
        <v>1482478</v>
      </c>
      <c r="E52" s="119" t="s">
        <v>470</v>
      </c>
      <c r="F52" s="119" t="s">
        <v>471</v>
      </c>
      <c r="G52" s="119" t="s">
        <v>472</v>
      </c>
      <c r="H52" s="119" t="s">
        <v>133</v>
      </c>
      <c r="I52" s="208">
        <v>4.2446623715343204E-2</v>
      </c>
      <c r="J52" s="119" t="s">
        <v>473</v>
      </c>
      <c r="K52" s="119" t="s">
        <v>470</v>
      </c>
      <c r="L52" s="209">
        <v>62926.185832274561</v>
      </c>
      <c r="M52" s="52">
        <f>SUM(L52/2000)</f>
        <v>31.463092916137281</v>
      </c>
      <c r="N52" s="52"/>
      <c r="O52" s="59">
        <f>SUM(M52/365)</f>
        <v>8.6200254564759674E-2</v>
      </c>
    </row>
    <row r="53" spans="1:16" ht="25.5">
      <c r="A53" s="119" t="s">
        <v>496</v>
      </c>
      <c r="B53" s="119" t="s">
        <v>468</v>
      </c>
      <c r="C53" s="119" t="s">
        <v>497</v>
      </c>
      <c r="D53" s="208">
        <v>1482478</v>
      </c>
      <c r="E53" s="119" t="s">
        <v>470</v>
      </c>
      <c r="F53" s="119" t="s">
        <v>474</v>
      </c>
      <c r="G53" s="119" t="s">
        <v>475</v>
      </c>
      <c r="H53" s="119" t="s">
        <v>133</v>
      </c>
      <c r="I53" s="208">
        <v>0.13500217649909624</v>
      </c>
      <c r="J53" s="119" t="s">
        <v>473</v>
      </c>
      <c r="K53" s="119" t="s">
        <v>470</v>
      </c>
      <c r="L53" s="209">
        <v>200137.75661202718</v>
      </c>
      <c r="M53" s="52">
        <f>SUM(L53/2000)</f>
        <v>100.06887830601359</v>
      </c>
      <c r="N53" s="52"/>
      <c r="O53" s="59">
        <f>SUM(M53/365)</f>
        <v>0.27416131042743447</v>
      </c>
    </row>
    <row r="54" spans="1:16" ht="25.5">
      <c r="A54" s="119" t="s">
        <v>496</v>
      </c>
      <c r="B54" s="119" t="s">
        <v>468</v>
      </c>
      <c r="C54" s="119" t="s">
        <v>497</v>
      </c>
      <c r="D54" s="208">
        <v>1482478</v>
      </c>
      <c r="E54" s="119" t="s">
        <v>470</v>
      </c>
      <c r="F54" s="119" t="s">
        <v>476</v>
      </c>
      <c r="G54" s="119" t="s">
        <v>477</v>
      </c>
      <c r="H54" s="119" t="s">
        <v>133</v>
      </c>
      <c r="I54" s="208">
        <v>0</v>
      </c>
      <c r="J54" s="119" t="s">
        <v>473</v>
      </c>
      <c r="K54" s="119" t="s">
        <v>470</v>
      </c>
      <c r="L54" s="209">
        <v>0</v>
      </c>
      <c r="M54" s="52">
        <f>SUM(L54/2000)</f>
        <v>0</v>
      </c>
      <c r="N54" s="52"/>
      <c r="O54" s="59">
        <f>SUM(M54/365)</f>
        <v>0</v>
      </c>
    </row>
    <row r="55" spans="1:16" ht="25.5">
      <c r="A55" s="119" t="s">
        <v>496</v>
      </c>
      <c r="B55" s="119" t="s">
        <v>468</v>
      </c>
      <c r="C55" s="119" t="s">
        <v>497</v>
      </c>
      <c r="D55" s="208">
        <v>1482478</v>
      </c>
      <c r="E55" s="119" t="s">
        <v>470</v>
      </c>
      <c r="F55" s="119" t="s">
        <v>478</v>
      </c>
      <c r="G55" s="119" t="s">
        <v>479</v>
      </c>
      <c r="H55" s="119" t="s">
        <v>133</v>
      </c>
      <c r="I55" s="208">
        <v>1.2687330196485585E-2</v>
      </c>
      <c r="J55" s="119" t="s">
        <v>473</v>
      </c>
      <c r="K55" s="119" t="s">
        <v>470</v>
      </c>
      <c r="L55" s="209">
        <v>18808.687895025556</v>
      </c>
      <c r="M55" s="52">
        <f>SUM(L55/2000)</f>
        <v>9.4043439475127784</v>
      </c>
      <c r="N55" s="52"/>
      <c r="O55" s="59">
        <f>SUM(M55/365)</f>
        <v>2.5765325883596653E-2</v>
      </c>
    </row>
    <row r="56" spans="1:16" ht="25.5">
      <c r="A56" s="119" t="s">
        <v>496</v>
      </c>
      <c r="B56" s="119" t="s">
        <v>468</v>
      </c>
      <c r="C56" s="119" t="s">
        <v>497</v>
      </c>
      <c r="D56" s="208">
        <v>1482478</v>
      </c>
      <c r="E56" s="119" t="s">
        <v>470</v>
      </c>
      <c r="F56" s="119" t="s">
        <v>480</v>
      </c>
      <c r="G56" s="119" t="s">
        <v>481</v>
      </c>
      <c r="H56" s="119" t="s">
        <v>133</v>
      </c>
      <c r="I56" s="208">
        <v>0</v>
      </c>
      <c r="J56" s="119" t="s">
        <v>473</v>
      </c>
      <c r="K56" s="119" t="s">
        <v>470</v>
      </c>
      <c r="L56" s="209">
        <v>0</v>
      </c>
      <c r="M56" s="52">
        <f>SUM(L56/2000)</f>
        <v>0</v>
      </c>
      <c r="N56" s="52"/>
      <c r="O56" s="59">
        <f>SUM(M56/365)</f>
        <v>0</v>
      </c>
    </row>
    <row r="57" spans="1:16">
      <c r="A57" s="119"/>
      <c r="B57" s="119"/>
      <c r="C57" s="119"/>
      <c r="D57" s="208"/>
      <c r="E57" s="119"/>
      <c r="F57" s="119"/>
      <c r="G57" s="119"/>
      <c r="H57" s="119"/>
      <c r="I57" s="208"/>
      <c r="J57" s="119"/>
      <c r="K57" s="119"/>
      <c r="L57" s="209"/>
      <c r="M57" s="52"/>
      <c r="N57" s="59">
        <f>SUM(M52:M56)</f>
        <v>140.93631516966366</v>
      </c>
      <c r="O57" s="59"/>
      <c r="P57" s="59">
        <f>SUM(O52:O56)</f>
        <v>0.38612689087579077</v>
      </c>
    </row>
    <row r="58" spans="1:16" ht="25.5">
      <c r="A58" s="119" t="s">
        <v>498</v>
      </c>
      <c r="B58" s="119" t="s">
        <v>468</v>
      </c>
      <c r="C58" s="119" t="s">
        <v>499</v>
      </c>
      <c r="D58" s="208">
        <v>11215</v>
      </c>
      <c r="E58" s="119" t="s">
        <v>470</v>
      </c>
      <c r="F58" s="119" t="s">
        <v>471</v>
      </c>
      <c r="G58" s="119" t="s">
        <v>472</v>
      </c>
      <c r="H58" s="119" t="s">
        <v>133</v>
      </c>
      <c r="I58" s="208">
        <v>4.2446623715343204E-2</v>
      </c>
      <c r="J58" s="119" t="s">
        <v>473</v>
      </c>
      <c r="K58" s="119" t="s">
        <v>470</v>
      </c>
      <c r="L58" s="209">
        <v>476.03888496757401</v>
      </c>
      <c r="M58" s="52">
        <f>SUM(L58/2000)</f>
        <v>0.23801944248378701</v>
      </c>
      <c r="N58" s="52"/>
      <c r="O58" s="59">
        <f>SUM(M58/365)</f>
        <v>6.5210806159941642E-4</v>
      </c>
    </row>
    <row r="59" spans="1:16" ht="25.5">
      <c r="A59" s="119" t="s">
        <v>498</v>
      </c>
      <c r="B59" s="119" t="s">
        <v>468</v>
      </c>
      <c r="C59" s="119" t="s">
        <v>499</v>
      </c>
      <c r="D59" s="208">
        <v>11215</v>
      </c>
      <c r="E59" s="119" t="s">
        <v>470</v>
      </c>
      <c r="F59" s="119" t="s">
        <v>474</v>
      </c>
      <c r="G59" s="119" t="s">
        <v>475</v>
      </c>
      <c r="H59" s="119" t="s">
        <v>133</v>
      </c>
      <c r="I59" s="208">
        <v>0.13500217649909624</v>
      </c>
      <c r="J59" s="119" t="s">
        <v>473</v>
      </c>
      <c r="K59" s="119" t="s">
        <v>470</v>
      </c>
      <c r="L59" s="209">
        <v>1514.0494094373644</v>
      </c>
      <c r="M59" s="52">
        <f>SUM(L59/2000)</f>
        <v>0.75702470471868222</v>
      </c>
      <c r="N59" s="52"/>
      <c r="O59" s="59">
        <f>SUM(M59/365)</f>
        <v>2.0740402869004991E-3</v>
      </c>
    </row>
    <row r="60" spans="1:16" ht="25.5">
      <c r="A60" s="119" t="s">
        <v>498</v>
      </c>
      <c r="B60" s="119" t="s">
        <v>468</v>
      </c>
      <c r="C60" s="119" t="s">
        <v>499</v>
      </c>
      <c r="D60" s="208">
        <v>11215</v>
      </c>
      <c r="E60" s="119" t="s">
        <v>470</v>
      </c>
      <c r="F60" s="119" t="s">
        <v>476</v>
      </c>
      <c r="G60" s="119" t="s">
        <v>477</v>
      </c>
      <c r="H60" s="119" t="s">
        <v>133</v>
      </c>
      <c r="I60" s="208">
        <v>0</v>
      </c>
      <c r="J60" s="119" t="s">
        <v>473</v>
      </c>
      <c r="K60" s="119" t="s">
        <v>470</v>
      </c>
      <c r="L60" s="209">
        <v>0</v>
      </c>
      <c r="M60" s="52">
        <f>SUM(L60/2000)</f>
        <v>0</v>
      </c>
      <c r="N60" s="52"/>
      <c r="O60" s="59">
        <f>SUM(M60/365)</f>
        <v>0</v>
      </c>
    </row>
    <row r="61" spans="1:16" ht="25.5">
      <c r="A61" s="119" t="s">
        <v>498</v>
      </c>
      <c r="B61" s="119" t="s">
        <v>468</v>
      </c>
      <c r="C61" s="119" t="s">
        <v>499</v>
      </c>
      <c r="D61" s="208">
        <v>11215</v>
      </c>
      <c r="E61" s="119" t="s">
        <v>470</v>
      </c>
      <c r="F61" s="119" t="s">
        <v>478</v>
      </c>
      <c r="G61" s="119" t="s">
        <v>479</v>
      </c>
      <c r="H61" s="119" t="s">
        <v>133</v>
      </c>
      <c r="I61" s="208">
        <v>1.2687330196485585E-2</v>
      </c>
      <c r="J61" s="119" t="s">
        <v>473</v>
      </c>
      <c r="K61" s="119" t="s">
        <v>470</v>
      </c>
      <c r="L61" s="209">
        <v>142.28840815358583</v>
      </c>
      <c r="M61" s="52">
        <f>SUM(L61/2000)</f>
        <v>7.1144204076792922E-2</v>
      </c>
      <c r="N61" s="52"/>
      <c r="O61" s="59">
        <f>SUM(M61/365)</f>
        <v>1.9491562760765184E-4</v>
      </c>
    </row>
    <row r="62" spans="1:16" ht="25.5">
      <c r="A62" s="119" t="s">
        <v>498</v>
      </c>
      <c r="B62" s="119" t="s">
        <v>468</v>
      </c>
      <c r="C62" s="119" t="s">
        <v>499</v>
      </c>
      <c r="D62" s="208">
        <v>11215</v>
      </c>
      <c r="E62" s="119" t="s">
        <v>470</v>
      </c>
      <c r="F62" s="119" t="s">
        <v>480</v>
      </c>
      <c r="G62" s="119" t="s">
        <v>481</v>
      </c>
      <c r="H62" s="119" t="s">
        <v>133</v>
      </c>
      <c r="I62" s="208">
        <v>0</v>
      </c>
      <c r="J62" s="119" t="s">
        <v>473</v>
      </c>
      <c r="K62" s="119" t="s">
        <v>470</v>
      </c>
      <c r="L62" s="209">
        <v>0</v>
      </c>
      <c r="M62" s="52">
        <f>SUM(L62/2000)</f>
        <v>0</v>
      </c>
      <c r="N62" s="52"/>
      <c r="O62" s="59">
        <f>SUM(M62/365)</f>
        <v>0</v>
      </c>
    </row>
    <row r="63" spans="1:16">
      <c r="A63" s="119"/>
      <c r="B63" s="119"/>
      <c r="C63" s="119"/>
      <c r="D63" s="208"/>
      <c r="E63" s="119"/>
      <c r="F63" s="119"/>
      <c r="G63" s="119"/>
      <c r="H63" s="119"/>
      <c r="I63" s="208"/>
      <c r="J63" s="119"/>
      <c r="K63" s="119"/>
      <c r="L63" s="209"/>
      <c r="M63" s="52"/>
      <c r="N63" s="59">
        <f>SUM(M58:M62)</f>
        <v>1.0661883512792623</v>
      </c>
      <c r="O63" s="59"/>
      <c r="P63" s="59">
        <f>SUM(O58:O62)</f>
        <v>2.9210639761075674E-3</v>
      </c>
    </row>
    <row r="64" spans="1:16">
      <c r="A64" s="119" t="s">
        <v>500</v>
      </c>
      <c r="B64" s="119" t="s">
        <v>468</v>
      </c>
      <c r="C64" s="119" t="s">
        <v>501</v>
      </c>
      <c r="D64" s="208">
        <v>659909</v>
      </c>
      <c r="E64" s="119" t="s">
        <v>470</v>
      </c>
      <c r="F64" s="119" t="s">
        <v>471</v>
      </c>
      <c r="G64" s="119" t="s">
        <v>472</v>
      </c>
      <c r="H64" s="119" t="s">
        <v>133</v>
      </c>
      <c r="I64" s="208">
        <v>4.2446623715343204E-2</v>
      </c>
      <c r="J64" s="119" t="s">
        <v>473</v>
      </c>
      <c r="K64" s="119" t="s">
        <v>470</v>
      </c>
      <c r="L64" s="209">
        <v>28010.909009368417</v>
      </c>
      <c r="M64" s="52">
        <f>SUM(L64/2000)</f>
        <v>14.005454504684209</v>
      </c>
      <c r="N64" s="52"/>
      <c r="O64" s="59">
        <f>SUM(M64/365)</f>
        <v>3.8371108232011536E-2</v>
      </c>
    </row>
    <row r="65" spans="1:16">
      <c r="A65" s="119" t="s">
        <v>500</v>
      </c>
      <c r="B65" s="119" t="s">
        <v>468</v>
      </c>
      <c r="C65" s="119" t="s">
        <v>501</v>
      </c>
      <c r="D65" s="208">
        <v>659909</v>
      </c>
      <c r="E65" s="119" t="s">
        <v>470</v>
      </c>
      <c r="F65" s="119" t="s">
        <v>474</v>
      </c>
      <c r="G65" s="119" t="s">
        <v>475</v>
      </c>
      <c r="H65" s="119" t="s">
        <v>133</v>
      </c>
      <c r="I65" s="208">
        <v>0.13500217649909624</v>
      </c>
      <c r="J65" s="119" t="s">
        <v>473</v>
      </c>
      <c r="K65" s="119" t="s">
        <v>470</v>
      </c>
      <c r="L65" s="209">
        <v>89089.151291342103</v>
      </c>
      <c r="M65" s="52">
        <f>SUM(L65/2000)</f>
        <v>44.544575645671053</v>
      </c>
      <c r="N65" s="52"/>
      <c r="O65" s="59">
        <f>SUM(M65/365)</f>
        <v>0.1220399332758111</v>
      </c>
    </row>
    <row r="66" spans="1:16">
      <c r="A66" s="119" t="s">
        <v>500</v>
      </c>
      <c r="B66" s="119" t="s">
        <v>468</v>
      </c>
      <c r="C66" s="119" t="s">
        <v>501</v>
      </c>
      <c r="D66" s="208">
        <v>659909</v>
      </c>
      <c r="E66" s="119" t="s">
        <v>470</v>
      </c>
      <c r="F66" s="119" t="s">
        <v>476</v>
      </c>
      <c r="G66" s="119" t="s">
        <v>477</v>
      </c>
      <c r="H66" s="119" t="s">
        <v>133</v>
      </c>
      <c r="I66" s="208">
        <v>0</v>
      </c>
      <c r="J66" s="119" t="s">
        <v>473</v>
      </c>
      <c r="K66" s="119" t="s">
        <v>470</v>
      </c>
      <c r="L66" s="209">
        <v>0</v>
      </c>
      <c r="M66" s="52">
        <f>SUM(L66/2000)</f>
        <v>0</v>
      </c>
      <c r="N66" s="52"/>
      <c r="O66" s="59">
        <f>SUM(M66/365)</f>
        <v>0</v>
      </c>
    </row>
    <row r="67" spans="1:16">
      <c r="A67" s="119" t="s">
        <v>500</v>
      </c>
      <c r="B67" s="119" t="s">
        <v>468</v>
      </c>
      <c r="C67" s="119" t="s">
        <v>501</v>
      </c>
      <c r="D67" s="208">
        <v>659909</v>
      </c>
      <c r="E67" s="119" t="s">
        <v>470</v>
      </c>
      <c r="F67" s="119" t="s">
        <v>478</v>
      </c>
      <c r="G67" s="119" t="s">
        <v>479</v>
      </c>
      <c r="H67" s="119" t="s">
        <v>133</v>
      </c>
      <c r="I67" s="208">
        <v>1.2687330196485585E-2</v>
      </c>
      <c r="J67" s="119" t="s">
        <v>473</v>
      </c>
      <c r="K67" s="119" t="s">
        <v>470</v>
      </c>
      <c r="L67" s="209">
        <v>8372.4833826326067</v>
      </c>
      <c r="M67" s="52">
        <f>SUM(L67/2000)</f>
        <v>4.1862416913163036</v>
      </c>
      <c r="N67" s="52"/>
      <c r="O67" s="59">
        <f>SUM(M67/365)</f>
        <v>1.1469155318674805E-2</v>
      </c>
    </row>
    <row r="68" spans="1:16">
      <c r="A68" s="119" t="s">
        <v>500</v>
      </c>
      <c r="B68" s="119" t="s">
        <v>468</v>
      </c>
      <c r="C68" s="119" t="s">
        <v>501</v>
      </c>
      <c r="D68" s="208">
        <v>659909</v>
      </c>
      <c r="E68" s="119" t="s">
        <v>470</v>
      </c>
      <c r="F68" s="119" t="s">
        <v>480</v>
      </c>
      <c r="G68" s="119" t="s">
        <v>481</v>
      </c>
      <c r="H68" s="119" t="s">
        <v>133</v>
      </c>
      <c r="I68" s="208">
        <v>0</v>
      </c>
      <c r="J68" s="119" t="s">
        <v>473</v>
      </c>
      <c r="K68" s="119" t="s">
        <v>470</v>
      </c>
      <c r="L68" s="209">
        <v>0</v>
      </c>
      <c r="M68" s="52">
        <f>SUM(L68/2000)</f>
        <v>0</v>
      </c>
      <c r="N68" s="52"/>
      <c r="O68" s="59">
        <f>SUM(M68/365)</f>
        <v>0</v>
      </c>
    </row>
    <row r="69" spans="1:16">
      <c r="A69" s="119"/>
      <c r="B69" s="119"/>
      <c r="C69" s="119"/>
      <c r="D69" s="208"/>
      <c r="E69" s="119"/>
      <c r="F69" s="119"/>
      <c r="G69" s="119"/>
      <c r="H69" s="119"/>
      <c r="I69" s="208"/>
      <c r="J69" s="119"/>
      <c r="K69" s="119"/>
      <c r="L69" s="209"/>
      <c r="M69" s="52"/>
      <c r="N69" s="59">
        <f>SUM(M64:M68)</f>
        <v>62.736271841671567</v>
      </c>
      <c r="O69" s="59"/>
      <c r="P69" s="59">
        <f>SUM(O64:O68)</f>
        <v>0.17188019682649747</v>
      </c>
    </row>
    <row r="70" spans="1:16">
      <c r="A70" s="119" t="s">
        <v>502</v>
      </c>
      <c r="B70" s="119" t="s">
        <v>468</v>
      </c>
      <c r="C70" s="119" t="s">
        <v>503</v>
      </c>
      <c r="D70" s="208">
        <v>492066</v>
      </c>
      <c r="E70" s="119" t="s">
        <v>470</v>
      </c>
      <c r="F70" s="119" t="s">
        <v>471</v>
      </c>
      <c r="G70" s="119" t="s">
        <v>472</v>
      </c>
      <c r="H70" s="119" t="s">
        <v>133</v>
      </c>
      <c r="I70" s="208">
        <v>4.2446623715343204E-2</v>
      </c>
      <c r="J70" s="119" t="s">
        <v>473</v>
      </c>
      <c r="K70" s="119" t="s">
        <v>470</v>
      </c>
      <c r="L70" s="209">
        <v>20886.54034511407</v>
      </c>
      <c r="M70" s="52">
        <f>SUM(L70/2000)</f>
        <v>10.443270172557035</v>
      </c>
      <c r="N70" s="52"/>
      <c r="O70" s="59">
        <f>SUM(M70/365)</f>
        <v>2.8611699102895988E-2</v>
      </c>
    </row>
    <row r="71" spans="1:16">
      <c r="A71" s="119" t="s">
        <v>502</v>
      </c>
      <c r="B71" s="119" t="s">
        <v>468</v>
      </c>
      <c r="C71" s="119" t="s">
        <v>503</v>
      </c>
      <c r="D71" s="208">
        <v>492066</v>
      </c>
      <c r="E71" s="119" t="s">
        <v>470</v>
      </c>
      <c r="F71" s="119" t="s">
        <v>474</v>
      </c>
      <c r="G71" s="119" t="s">
        <v>475</v>
      </c>
      <c r="H71" s="119" t="s">
        <v>133</v>
      </c>
      <c r="I71" s="208">
        <v>0.13500217649909624</v>
      </c>
      <c r="J71" s="119" t="s">
        <v>473</v>
      </c>
      <c r="K71" s="119" t="s">
        <v>470</v>
      </c>
      <c r="L71" s="209">
        <v>66429.980981204295</v>
      </c>
      <c r="M71" s="52">
        <f>SUM(L71/2000)</f>
        <v>33.214990490602148</v>
      </c>
      <c r="N71" s="52"/>
      <c r="O71" s="59">
        <f>SUM(M71/365)</f>
        <v>9.0999973946855203E-2</v>
      </c>
    </row>
    <row r="72" spans="1:16">
      <c r="A72" s="119" t="s">
        <v>502</v>
      </c>
      <c r="B72" s="119" t="s">
        <v>468</v>
      </c>
      <c r="C72" s="119" t="s">
        <v>503</v>
      </c>
      <c r="D72" s="208">
        <v>492066</v>
      </c>
      <c r="E72" s="119" t="s">
        <v>470</v>
      </c>
      <c r="F72" s="119" t="s">
        <v>476</v>
      </c>
      <c r="G72" s="119" t="s">
        <v>477</v>
      </c>
      <c r="H72" s="119" t="s">
        <v>133</v>
      </c>
      <c r="I72" s="208">
        <v>0</v>
      </c>
      <c r="J72" s="119" t="s">
        <v>473</v>
      </c>
      <c r="K72" s="119" t="s">
        <v>470</v>
      </c>
      <c r="L72" s="209">
        <v>0</v>
      </c>
      <c r="M72" s="52">
        <f>SUM(L72/2000)</f>
        <v>0</v>
      </c>
      <c r="N72" s="52"/>
      <c r="O72" s="59">
        <f>SUM(M72/365)</f>
        <v>0</v>
      </c>
    </row>
    <row r="73" spans="1:16">
      <c r="A73" s="119" t="s">
        <v>502</v>
      </c>
      <c r="B73" s="119" t="s">
        <v>468</v>
      </c>
      <c r="C73" s="119" t="s">
        <v>503</v>
      </c>
      <c r="D73" s="208">
        <v>492066</v>
      </c>
      <c r="E73" s="119" t="s">
        <v>470</v>
      </c>
      <c r="F73" s="119" t="s">
        <v>478</v>
      </c>
      <c r="G73" s="119" t="s">
        <v>479</v>
      </c>
      <c r="H73" s="119" t="s">
        <v>133</v>
      </c>
      <c r="I73" s="208">
        <v>1.2687330196485585E-2</v>
      </c>
      <c r="J73" s="119" t="s">
        <v>473</v>
      </c>
      <c r="K73" s="119" t="s">
        <v>470</v>
      </c>
      <c r="L73" s="209">
        <v>6243.0038204638759</v>
      </c>
      <c r="M73" s="52">
        <f>SUM(L73/2000)</f>
        <v>3.1215019102319381</v>
      </c>
      <c r="N73" s="52"/>
      <c r="O73" s="59">
        <f>SUM(M73/365)</f>
        <v>8.5520600280327066E-3</v>
      </c>
    </row>
    <row r="74" spans="1:16">
      <c r="A74" s="119" t="s">
        <v>502</v>
      </c>
      <c r="B74" s="119" t="s">
        <v>468</v>
      </c>
      <c r="C74" s="119" t="s">
        <v>503</v>
      </c>
      <c r="D74" s="208">
        <v>492066</v>
      </c>
      <c r="E74" s="119" t="s">
        <v>470</v>
      </c>
      <c r="F74" s="119" t="s">
        <v>480</v>
      </c>
      <c r="G74" s="119" t="s">
        <v>481</v>
      </c>
      <c r="H74" s="119" t="s">
        <v>133</v>
      </c>
      <c r="I74" s="208">
        <v>0</v>
      </c>
      <c r="J74" s="119" t="s">
        <v>473</v>
      </c>
      <c r="K74" s="119" t="s">
        <v>470</v>
      </c>
      <c r="L74" s="209">
        <v>0</v>
      </c>
      <c r="M74" s="52">
        <f>SUM(L74/2000)</f>
        <v>0</v>
      </c>
      <c r="N74" s="52"/>
      <c r="O74" s="59">
        <f>SUM(M74/365)</f>
        <v>0</v>
      </c>
    </row>
    <row r="75" spans="1:16">
      <c r="A75" s="119"/>
      <c r="B75" s="119"/>
      <c r="C75" s="119"/>
      <c r="D75" s="208"/>
      <c r="E75" s="119"/>
      <c r="F75" s="119"/>
      <c r="G75" s="119"/>
      <c r="H75" s="119"/>
      <c r="I75" s="208"/>
      <c r="J75" s="119"/>
      <c r="K75" s="119"/>
      <c r="L75" s="209"/>
      <c r="M75" s="52"/>
      <c r="N75" s="59">
        <f>SUM(M70:M74)</f>
        <v>46.779762573391125</v>
      </c>
      <c r="O75" s="59"/>
      <c r="P75" s="59">
        <f>SUM(O70:O74)</f>
        <v>0.12816373307778389</v>
      </c>
    </row>
    <row r="76" spans="1:16">
      <c r="A76" s="119" t="s">
        <v>504</v>
      </c>
      <c r="B76" s="119" t="s">
        <v>468</v>
      </c>
      <c r="C76" s="119" t="s">
        <v>505</v>
      </c>
      <c r="D76" s="208">
        <v>732684</v>
      </c>
      <c r="E76" s="119" t="s">
        <v>470</v>
      </c>
      <c r="F76" s="119" t="s">
        <v>471</v>
      </c>
      <c r="G76" s="119" t="s">
        <v>472</v>
      </c>
      <c r="H76" s="119" t="s">
        <v>133</v>
      </c>
      <c r="I76" s="208">
        <v>4.2446623715343204E-2</v>
      </c>
      <c r="J76" s="119" t="s">
        <v>473</v>
      </c>
      <c r="K76" s="119" t="s">
        <v>470</v>
      </c>
      <c r="L76" s="209">
        <v>31099.962050252521</v>
      </c>
      <c r="M76" s="52">
        <f>SUM(L76/2000)</f>
        <v>15.549981025126261</v>
      </c>
      <c r="N76" s="52"/>
      <c r="O76" s="59">
        <f>SUM(M76/365)</f>
        <v>4.2602687740071948E-2</v>
      </c>
    </row>
    <row r="77" spans="1:16">
      <c r="A77" s="119" t="s">
        <v>504</v>
      </c>
      <c r="B77" s="119" t="s">
        <v>468</v>
      </c>
      <c r="C77" s="119" t="s">
        <v>505</v>
      </c>
      <c r="D77" s="208">
        <v>732684</v>
      </c>
      <c r="E77" s="119" t="s">
        <v>470</v>
      </c>
      <c r="F77" s="119" t="s">
        <v>474</v>
      </c>
      <c r="G77" s="119" t="s">
        <v>475</v>
      </c>
      <c r="H77" s="119" t="s">
        <v>133</v>
      </c>
      <c r="I77" s="208">
        <v>0.13500217649909624</v>
      </c>
      <c r="J77" s="119" t="s">
        <v>473</v>
      </c>
      <c r="K77" s="119" t="s">
        <v>470</v>
      </c>
      <c r="L77" s="209">
        <v>98913.934686063832</v>
      </c>
      <c r="M77" s="52">
        <f>SUM(L77/2000)</f>
        <v>49.456967343031913</v>
      </c>
      <c r="N77" s="52"/>
      <c r="O77" s="59">
        <f>SUM(M77/365)</f>
        <v>0.13549854066584086</v>
      </c>
    </row>
    <row r="78" spans="1:16">
      <c r="A78" s="119" t="s">
        <v>504</v>
      </c>
      <c r="B78" s="119" t="s">
        <v>468</v>
      </c>
      <c r="C78" s="119" t="s">
        <v>505</v>
      </c>
      <c r="D78" s="208">
        <v>732684</v>
      </c>
      <c r="E78" s="119" t="s">
        <v>470</v>
      </c>
      <c r="F78" s="119" t="s">
        <v>476</v>
      </c>
      <c r="G78" s="119" t="s">
        <v>477</v>
      </c>
      <c r="H78" s="119" t="s">
        <v>133</v>
      </c>
      <c r="I78" s="208">
        <v>0</v>
      </c>
      <c r="J78" s="119" t="s">
        <v>473</v>
      </c>
      <c r="K78" s="119" t="s">
        <v>470</v>
      </c>
      <c r="L78" s="209">
        <v>0</v>
      </c>
      <c r="M78" s="52">
        <f>SUM(L78/2000)</f>
        <v>0</v>
      </c>
      <c r="N78" s="52"/>
      <c r="O78" s="59">
        <f>SUM(M78/365)</f>
        <v>0</v>
      </c>
    </row>
    <row r="79" spans="1:16">
      <c r="A79" s="119" t="s">
        <v>504</v>
      </c>
      <c r="B79" s="119" t="s">
        <v>468</v>
      </c>
      <c r="C79" s="119" t="s">
        <v>505</v>
      </c>
      <c r="D79" s="208">
        <v>732684</v>
      </c>
      <c r="E79" s="119" t="s">
        <v>470</v>
      </c>
      <c r="F79" s="119" t="s">
        <v>478</v>
      </c>
      <c r="G79" s="119" t="s">
        <v>479</v>
      </c>
      <c r="H79" s="119" t="s">
        <v>133</v>
      </c>
      <c r="I79" s="208">
        <v>1.2687330196485585E-2</v>
      </c>
      <c r="J79" s="119" t="s">
        <v>473</v>
      </c>
      <c r="K79" s="119" t="s">
        <v>470</v>
      </c>
      <c r="L79" s="209">
        <v>9295.803837681844</v>
      </c>
      <c r="M79" s="52">
        <f>SUM(L79/2000)</f>
        <v>4.6479019188409216</v>
      </c>
      <c r="N79" s="52"/>
      <c r="O79" s="59">
        <f>SUM(M79/365)</f>
        <v>1.2733977859838142E-2</v>
      </c>
    </row>
    <row r="80" spans="1:16">
      <c r="A80" s="119" t="s">
        <v>504</v>
      </c>
      <c r="B80" s="119" t="s">
        <v>468</v>
      </c>
      <c r="C80" s="119" t="s">
        <v>505</v>
      </c>
      <c r="D80" s="208">
        <v>732684</v>
      </c>
      <c r="E80" s="119" t="s">
        <v>470</v>
      </c>
      <c r="F80" s="119" t="s">
        <v>480</v>
      </c>
      <c r="G80" s="119" t="s">
        <v>481</v>
      </c>
      <c r="H80" s="119" t="s">
        <v>133</v>
      </c>
      <c r="I80" s="208">
        <v>0</v>
      </c>
      <c r="J80" s="119" t="s">
        <v>473</v>
      </c>
      <c r="K80" s="119" t="s">
        <v>470</v>
      </c>
      <c r="L80" s="209">
        <v>0</v>
      </c>
      <c r="M80" s="52">
        <f>SUM(L80/2000)</f>
        <v>0</v>
      </c>
      <c r="N80" s="52"/>
      <c r="O80" s="59">
        <f>SUM(M80/365)</f>
        <v>0</v>
      </c>
    </row>
    <row r="81" spans="1:16">
      <c r="A81" s="119"/>
      <c r="B81" s="119"/>
      <c r="C81" s="119"/>
      <c r="D81" s="208"/>
      <c r="E81" s="119"/>
      <c r="F81" s="119"/>
      <c r="G81" s="119"/>
      <c r="H81" s="119"/>
      <c r="I81" s="208"/>
      <c r="J81" s="119"/>
      <c r="K81" s="119"/>
      <c r="L81" s="209"/>
      <c r="M81" s="52"/>
      <c r="N81" s="59">
        <f>SUM(M76:M80)</f>
        <v>69.654850286999093</v>
      </c>
      <c r="O81" s="59"/>
      <c r="P81" s="59">
        <f>SUM(O76:O80)</f>
        <v>0.19083520626575096</v>
      </c>
    </row>
    <row r="82" spans="1:16" ht="25.5">
      <c r="A82" s="119" t="s">
        <v>506</v>
      </c>
      <c r="B82" s="119" t="s">
        <v>468</v>
      </c>
      <c r="C82" s="119" t="s">
        <v>507</v>
      </c>
      <c r="D82" s="208">
        <v>783806</v>
      </c>
      <c r="E82" s="119" t="s">
        <v>470</v>
      </c>
      <c r="F82" s="119" t="s">
        <v>471</v>
      </c>
      <c r="G82" s="119" t="s">
        <v>472</v>
      </c>
      <c r="H82" s="119" t="s">
        <v>133</v>
      </c>
      <c r="I82" s="208">
        <v>4.2446623715343204E-2</v>
      </c>
      <c r="J82" s="119" t="s">
        <v>473</v>
      </c>
      <c r="K82" s="119" t="s">
        <v>470</v>
      </c>
      <c r="L82" s="209">
        <v>33269.918347828294</v>
      </c>
      <c r="M82" s="52">
        <f>SUM(L82/2000)</f>
        <v>16.634959173914147</v>
      </c>
      <c r="N82" s="52"/>
      <c r="O82" s="59">
        <f>SUM(M82/365)</f>
        <v>4.557523061346342E-2</v>
      </c>
    </row>
    <row r="83" spans="1:16" ht="25.5">
      <c r="A83" s="119" t="s">
        <v>506</v>
      </c>
      <c r="B83" s="119" t="s">
        <v>468</v>
      </c>
      <c r="C83" s="119" t="s">
        <v>507</v>
      </c>
      <c r="D83" s="208">
        <v>783806</v>
      </c>
      <c r="E83" s="119" t="s">
        <v>470</v>
      </c>
      <c r="F83" s="119" t="s">
        <v>474</v>
      </c>
      <c r="G83" s="119" t="s">
        <v>475</v>
      </c>
      <c r="H83" s="119" t="s">
        <v>133</v>
      </c>
      <c r="I83" s="208">
        <v>0.13500217649909624</v>
      </c>
      <c r="J83" s="119" t="s">
        <v>473</v>
      </c>
      <c r="K83" s="119" t="s">
        <v>470</v>
      </c>
      <c r="L83" s="209">
        <v>105815.51595305062</v>
      </c>
      <c r="M83" s="52">
        <f>SUM(L83/2000)</f>
        <v>52.907757976525311</v>
      </c>
      <c r="N83" s="52"/>
      <c r="O83" s="59">
        <f>SUM(M83/365)</f>
        <v>0.14495276157952139</v>
      </c>
    </row>
    <row r="84" spans="1:16" ht="25.5">
      <c r="A84" s="119" t="s">
        <v>506</v>
      </c>
      <c r="B84" s="119" t="s">
        <v>468</v>
      </c>
      <c r="C84" s="119" t="s">
        <v>507</v>
      </c>
      <c r="D84" s="208">
        <v>783806</v>
      </c>
      <c r="E84" s="119" t="s">
        <v>470</v>
      </c>
      <c r="F84" s="119" t="s">
        <v>476</v>
      </c>
      <c r="G84" s="119" t="s">
        <v>477</v>
      </c>
      <c r="H84" s="119" t="s">
        <v>133</v>
      </c>
      <c r="I84" s="208">
        <v>0</v>
      </c>
      <c r="J84" s="119" t="s">
        <v>473</v>
      </c>
      <c r="K84" s="119" t="s">
        <v>470</v>
      </c>
      <c r="L84" s="209">
        <v>0</v>
      </c>
      <c r="M84" s="52">
        <f>SUM(L84/2000)</f>
        <v>0</v>
      </c>
      <c r="N84" s="52"/>
      <c r="O84" s="59">
        <f>SUM(M84/365)</f>
        <v>0</v>
      </c>
    </row>
    <row r="85" spans="1:16" ht="25.5">
      <c r="A85" s="119" t="s">
        <v>506</v>
      </c>
      <c r="B85" s="119" t="s">
        <v>468</v>
      </c>
      <c r="C85" s="119" t="s">
        <v>507</v>
      </c>
      <c r="D85" s="208">
        <v>783806</v>
      </c>
      <c r="E85" s="119" t="s">
        <v>470</v>
      </c>
      <c r="F85" s="119" t="s">
        <v>478</v>
      </c>
      <c r="G85" s="119" t="s">
        <v>479</v>
      </c>
      <c r="H85" s="119" t="s">
        <v>133</v>
      </c>
      <c r="I85" s="208">
        <v>1.2687330196485585E-2</v>
      </c>
      <c r="J85" s="119" t="s">
        <v>473</v>
      </c>
      <c r="K85" s="119" t="s">
        <v>470</v>
      </c>
      <c r="L85" s="209">
        <v>9944.4055319865802</v>
      </c>
      <c r="M85" s="52">
        <f>SUM(L85/2000)</f>
        <v>4.9722027659932904</v>
      </c>
      <c r="N85" s="52"/>
      <c r="O85" s="59">
        <f>SUM(M85/365)</f>
        <v>1.3622473331488466E-2</v>
      </c>
    </row>
    <row r="86" spans="1:16" ht="25.5">
      <c r="A86" s="119" t="s">
        <v>506</v>
      </c>
      <c r="B86" s="119" t="s">
        <v>468</v>
      </c>
      <c r="C86" s="119" t="s">
        <v>507</v>
      </c>
      <c r="D86" s="208">
        <v>783806</v>
      </c>
      <c r="E86" s="119" t="s">
        <v>470</v>
      </c>
      <c r="F86" s="119" t="s">
        <v>480</v>
      </c>
      <c r="G86" s="119" t="s">
        <v>481</v>
      </c>
      <c r="H86" s="119" t="s">
        <v>133</v>
      </c>
      <c r="I86" s="208">
        <v>0</v>
      </c>
      <c r="J86" s="119" t="s">
        <v>473</v>
      </c>
      <c r="K86" s="119" t="s">
        <v>470</v>
      </c>
      <c r="L86" s="209">
        <v>0</v>
      </c>
      <c r="M86" s="52">
        <f>SUM(L86/2000)</f>
        <v>0</v>
      </c>
      <c r="N86" s="52"/>
      <c r="O86" s="59">
        <f>SUM(M86/365)</f>
        <v>0</v>
      </c>
    </row>
    <row r="87" spans="1:16">
      <c r="A87" s="119"/>
      <c r="B87" s="119"/>
      <c r="C87" s="119"/>
      <c r="D87" s="208"/>
      <c r="E87" s="119"/>
      <c r="F87" s="119"/>
      <c r="G87" s="119"/>
      <c r="H87" s="119"/>
      <c r="I87" s="208"/>
      <c r="J87" s="119"/>
      <c r="K87" s="119"/>
      <c r="L87" s="209"/>
      <c r="M87" s="52"/>
      <c r="N87" s="59">
        <f>SUM(M82:M86)</f>
        <v>74.514919916432746</v>
      </c>
      <c r="O87" s="59"/>
      <c r="P87" s="59">
        <f>SUM(O82:O86)</f>
        <v>0.20415046552447327</v>
      </c>
    </row>
    <row r="88" spans="1:16" ht="14.25" customHeight="1">
      <c r="A88" s="119"/>
      <c r="B88" s="119"/>
      <c r="C88" s="119"/>
      <c r="D88" s="208"/>
      <c r="E88" s="119"/>
      <c r="F88" s="119"/>
      <c r="G88" s="119"/>
      <c r="H88" s="119"/>
      <c r="I88" s="208"/>
      <c r="J88" s="119"/>
      <c r="K88" s="119"/>
      <c r="L88" s="210">
        <f>SUM(L4:L86)</f>
        <v>1235498.3009178874</v>
      </c>
      <c r="M88" s="129">
        <f>SUM(M4:M86)</f>
        <v>617.74915045894363</v>
      </c>
      <c r="N88" s="129">
        <f>SUM(N4:N87)</f>
        <v>617.74915045894363</v>
      </c>
      <c r="O88" s="211">
        <f>SUM(O4:O86)</f>
        <v>1.6924634259149138</v>
      </c>
      <c r="P88" s="211">
        <f>SUM(P4:P87)</f>
        <v>1.6924634259149141</v>
      </c>
    </row>
    <row r="89" spans="1:16" ht="19.5" customHeight="1">
      <c r="A89" s="119" t="s">
        <v>467</v>
      </c>
      <c r="B89" s="119" t="s">
        <v>468</v>
      </c>
      <c r="C89" s="119" t="s">
        <v>469</v>
      </c>
      <c r="D89" s="208">
        <v>221049</v>
      </c>
      <c r="E89" s="119" t="s">
        <v>470</v>
      </c>
      <c r="F89" s="119" t="s">
        <v>474</v>
      </c>
      <c r="G89" s="119" t="s">
        <v>475</v>
      </c>
      <c r="H89" s="119" t="s">
        <v>84</v>
      </c>
      <c r="I89" s="208">
        <v>0</v>
      </c>
      <c r="J89" s="119" t="s">
        <v>473</v>
      </c>
      <c r="K89" s="119" t="s">
        <v>470</v>
      </c>
      <c r="L89" s="209">
        <v>0</v>
      </c>
      <c r="M89" s="52">
        <f t="shared" ref="M89:M102" si="2">SUM(L89/2000)</f>
        <v>0</v>
      </c>
      <c r="N89" s="52"/>
      <c r="O89" s="59">
        <f t="shared" ref="O89:O102" si="3">SUM(M89/365)</f>
        <v>0</v>
      </c>
    </row>
    <row r="90" spans="1:16">
      <c r="A90" s="119" t="s">
        <v>482</v>
      </c>
      <c r="B90" s="119" t="s">
        <v>468</v>
      </c>
      <c r="C90" s="119" t="s">
        <v>483</v>
      </c>
      <c r="D90" s="208">
        <v>129395</v>
      </c>
      <c r="E90" s="119" t="s">
        <v>470</v>
      </c>
      <c r="F90" s="119" t="s">
        <v>474</v>
      </c>
      <c r="G90" s="119" t="s">
        <v>475</v>
      </c>
      <c r="H90" s="119" t="s">
        <v>84</v>
      </c>
      <c r="I90" s="208">
        <v>0</v>
      </c>
      <c r="J90" s="119" t="s">
        <v>473</v>
      </c>
      <c r="K90" s="119" t="s">
        <v>470</v>
      </c>
      <c r="L90" s="209">
        <v>0</v>
      </c>
      <c r="M90" s="52">
        <f t="shared" si="2"/>
        <v>0</v>
      </c>
      <c r="N90" s="52"/>
      <c r="O90" s="59">
        <f t="shared" si="3"/>
        <v>0</v>
      </c>
    </row>
    <row r="91" spans="1:16">
      <c r="A91" s="119" t="s">
        <v>484</v>
      </c>
      <c r="B91" s="119" t="s">
        <v>468</v>
      </c>
      <c r="C91" s="119" t="s">
        <v>485</v>
      </c>
      <c r="D91" s="208">
        <v>545823</v>
      </c>
      <c r="E91" s="119" t="s">
        <v>470</v>
      </c>
      <c r="F91" s="119" t="s">
        <v>474</v>
      </c>
      <c r="G91" s="119" t="s">
        <v>475</v>
      </c>
      <c r="H91" s="119" t="s">
        <v>84</v>
      </c>
      <c r="I91" s="208">
        <v>0</v>
      </c>
      <c r="J91" s="119" t="s">
        <v>473</v>
      </c>
      <c r="K91" s="119" t="s">
        <v>470</v>
      </c>
      <c r="L91" s="209">
        <v>0</v>
      </c>
      <c r="M91" s="52">
        <f t="shared" si="2"/>
        <v>0</v>
      </c>
      <c r="N91" s="52"/>
      <c r="O91" s="59">
        <f t="shared" si="3"/>
        <v>0</v>
      </c>
    </row>
    <row r="92" spans="1:16">
      <c r="A92" s="119" t="s">
        <v>486</v>
      </c>
      <c r="B92" s="119" t="s">
        <v>468</v>
      </c>
      <c r="C92" s="119" t="s">
        <v>487</v>
      </c>
      <c r="D92" s="208">
        <v>15527</v>
      </c>
      <c r="E92" s="119" t="s">
        <v>470</v>
      </c>
      <c r="F92" s="119" t="s">
        <v>474</v>
      </c>
      <c r="G92" s="119" t="s">
        <v>475</v>
      </c>
      <c r="H92" s="119" t="s">
        <v>84</v>
      </c>
      <c r="I92" s="208">
        <v>0</v>
      </c>
      <c r="J92" s="119" t="s">
        <v>473</v>
      </c>
      <c r="K92" s="119" t="s">
        <v>470</v>
      </c>
      <c r="L92" s="209">
        <v>0</v>
      </c>
      <c r="M92" s="52">
        <f t="shared" si="2"/>
        <v>0</v>
      </c>
      <c r="N92" s="52"/>
      <c r="O92" s="59">
        <f t="shared" si="3"/>
        <v>0</v>
      </c>
    </row>
    <row r="93" spans="1:16">
      <c r="A93" s="119" t="s">
        <v>488</v>
      </c>
      <c r="B93" s="119" t="s">
        <v>468</v>
      </c>
      <c r="C93" s="119" t="s">
        <v>489</v>
      </c>
      <c r="D93" s="208">
        <v>736457</v>
      </c>
      <c r="E93" s="119" t="s">
        <v>470</v>
      </c>
      <c r="F93" s="119" t="s">
        <v>474</v>
      </c>
      <c r="G93" s="119" t="s">
        <v>475</v>
      </c>
      <c r="H93" s="119" t="s">
        <v>84</v>
      </c>
      <c r="I93" s="208">
        <v>0</v>
      </c>
      <c r="J93" s="119" t="s">
        <v>473</v>
      </c>
      <c r="K93" s="119" t="s">
        <v>470</v>
      </c>
      <c r="L93" s="209">
        <v>0</v>
      </c>
      <c r="M93" s="52">
        <f t="shared" si="2"/>
        <v>0</v>
      </c>
      <c r="N93" s="52"/>
      <c r="O93" s="59">
        <f t="shared" si="3"/>
        <v>0</v>
      </c>
    </row>
    <row r="94" spans="1:16">
      <c r="A94" s="119" t="s">
        <v>490</v>
      </c>
      <c r="B94" s="119" t="s">
        <v>468</v>
      </c>
      <c r="C94" s="119" t="s">
        <v>491</v>
      </c>
      <c r="D94" s="208">
        <v>71735</v>
      </c>
      <c r="E94" s="119" t="s">
        <v>470</v>
      </c>
      <c r="F94" s="119" t="s">
        <v>474</v>
      </c>
      <c r="G94" s="119" t="s">
        <v>475</v>
      </c>
      <c r="H94" s="119" t="s">
        <v>84</v>
      </c>
      <c r="I94" s="208">
        <v>0</v>
      </c>
      <c r="J94" s="119" t="s">
        <v>473</v>
      </c>
      <c r="K94" s="119" t="s">
        <v>470</v>
      </c>
      <c r="L94" s="209">
        <v>0</v>
      </c>
      <c r="M94" s="52">
        <f t="shared" si="2"/>
        <v>0</v>
      </c>
      <c r="N94" s="52"/>
      <c r="O94" s="59">
        <f t="shared" si="3"/>
        <v>0</v>
      </c>
    </row>
    <row r="95" spans="1:16">
      <c r="A95" s="119" t="s">
        <v>492</v>
      </c>
      <c r="B95" s="119" t="s">
        <v>468</v>
      </c>
      <c r="C95" s="119" t="s">
        <v>493</v>
      </c>
      <c r="D95" s="208">
        <v>460840</v>
      </c>
      <c r="E95" s="119" t="s">
        <v>470</v>
      </c>
      <c r="F95" s="119" t="s">
        <v>474</v>
      </c>
      <c r="G95" s="119" t="s">
        <v>475</v>
      </c>
      <c r="H95" s="119" t="s">
        <v>84</v>
      </c>
      <c r="I95" s="208">
        <v>0</v>
      </c>
      <c r="J95" s="119" t="s">
        <v>473</v>
      </c>
      <c r="K95" s="119" t="s">
        <v>470</v>
      </c>
      <c r="L95" s="209">
        <v>0</v>
      </c>
      <c r="M95" s="52">
        <f t="shared" si="2"/>
        <v>0</v>
      </c>
      <c r="N95" s="52"/>
      <c r="O95" s="59">
        <f t="shared" si="3"/>
        <v>0</v>
      </c>
    </row>
    <row r="96" spans="1:16" ht="25.5">
      <c r="A96" s="119" t="s">
        <v>494</v>
      </c>
      <c r="B96" s="119" t="s">
        <v>468</v>
      </c>
      <c r="C96" s="119" t="s">
        <v>495</v>
      </c>
      <c r="D96" s="208">
        <v>154983</v>
      </c>
      <c r="E96" s="119" t="s">
        <v>470</v>
      </c>
      <c r="F96" s="119" t="s">
        <v>474</v>
      </c>
      <c r="G96" s="119" t="s">
        <v>475</v>
      </c>
      <c r="H96" s="119" t="s">
        <v>84</v>
      </c>
      <c r="I96" s="208">
        <v>0</v>
      </c>
      <c r="J96" s="119" t="s">
        <v>473</v>
      </c>
      <c r="K96" s="119" t="s">
        <v>470</v>
      </c>
      <c r="L96" s="209">
        <v>0</v>
      </c>
      <c r="M96" s="52">
        <f t="shared" si="2"/>
        <v>0</v>
      </c>
      <c r="N96" s="52"/>
      <c r="O96" s="59">
        <f t="shared" si="3"/>
        <v>0</v>
      </c>
    </row>
    <row r="97" spans="1:16" ht="25.5">
      <c r="A97" s="119" t="s">
        <v>496</v>
      </c>
      <c r="B97" s="119" t="s">
        <v>468</v>
      </c>
      <c r="C97" s="119" t="s">
        <v>497</v>
      </c>
      <c r="D97" s="208">
        <v>1482478</v>
      </c>
      <c r="E97" s="119" t="s">
        <v>470</v>
      </c>
      <c r="F97" s="119" t="s">
        <v>474</v>
      </c>
      <c r="G97" s="119" t="s">
        <v>475</v>
      </c>
      <c r="H97" s="119" t="s">
        <v>84</v>
      </c>
      <c r="I97" s="208">
        <v>0</v>
      </c>
      <c r="J97" s="119" t="s">
        <v>473</v>
      </c>
      <c r="K97" s="119" t="s">
        <v>470</v>
      </c>
      <c r="L97" s="209">
        <v>0</v>
      </c>
      <c r="M97" s="52">
        <f t="shared" si="2"/>
        <v>0</v>
      </c>
      <c r="N97" s="52"/>
      <c r="O97" s="59">
        <f t="shared" si="3"/>
        <v>0</v>
      </c>
    </row>
    <row r="98" spans="1:16" ht="25.5">
      <c r="A98" s="119" t="s">
        <v>498</v>
      </c>
      <c r="B98" s="119" t="s">
        <v>468</v>
      </c>
      <c r="C98" s="119" t="s">
        <v>499</v>
      </c>
      <c r="D98" s="208">
        <v>11215</v>
      </c>
      <c r="E98" s="119" t="s">
        <v>470</v>
      </c>
      <c r="F98" s="119" t="s">
        <v>474</v>
      </c>
      <c r="G98" s="119" t="s">
        <v>475</v>
      </c>
      <c r="H98" s="119" t="s">
        <v>84</v>
      </c>
      <c r="I98" s="208">
        <v>0</v>
      </c>
      <c r="J98" s="119" t="s">
        <v>473</v>
      </c>
      <c r="K98" s="119" t="s">
        <v>470</v>
      </c>
      <c r="L98" s="209">
        <v>0</v>
      </c>
      <c r="M98" s="52">
        <f t="shared" si="2"/>
        <v>0</v>
      </c>
      <c r="N98" s="52"/>
      <c r="O98" s="59">
        <f t="shared" si="3"/>
        <v>0</v>
      </c>
    </row>
    <row r="99" spans="1:16">
      <c r="A99" s="119" t="s">
        <v>500</v>
      </c>
      <c r="B99" s="119" t="s">
        <v>468</v>
      </c>
      <c r="C99" s="119" t="s">
        <v>501</v>
      </c>
      <c r="D99" s="208">
        <v>659909</v>
      </c>
      <c r="E99" s="119" t="s">
        <v>470</v>
      </c>
      <c r="F99" s="119" t="s">
        <v>474</v>
      </c>
      <c r="G99" s="119" t="s">
        <v>475</v>
      </c>
      <c r="H99" s="119" t="s">
        <v>84</v>
      </c>
      <c r="I99" s="208">
        <v>0</v>
      </c>
      <c r="J99" s="119" t="s">
        <v>473</v>
      </c>
      <c r="K99" s="119" t="s">
        <v>470</v>
      </c>
      <c r="L99" s="209">
        <v>0</v>
      </c>
      <c r="M99" s="52">
        <f t="shared" si="2"/>
        <v>0</v>
      </c>
      <c r="N99" s="52"/>
      <c r="O99" s="59">
        <f t="shared" si="3"/>
        <v>0</v>
      </c>
    </row>
    <row r="100" spans="1:16">
      <c r="A100" s="119" t="s">
        <v>502</v>
      </c>
      <c r="B100" s="119" t="s">
        <v>468</v>
      </c>
      <c r="C100" s="119" t="s">
        <v>503</v>
      </c>
      <c r="D100" s="208">
        <v>492066</v>
      </c>
      <c r="E100" s="119" t="s">
        <v>470</v>
      </c>
      <c r="F100" s="119" t="s">
        <v>474</v>
      </c>
      <c r="G100" s="119" t="s">
        <v>475</v>
      </c>
      <c r="H100" s="119" t="s">
        <v>84</v>
      </c>
      <c r="I100" s="208">
        <v>0</v>
      </c>
      <c r="J100" s="119" t="s">
        <v>473</v>
      </c>
      <c r="K100" s="119" t="s">
        <v>470</v>
      </c>
      <c r="L100" s="209">
        <v>0</v>
      </c>
      <c r="M100" s="52">
        <f t="shared" si="2"/>
        <v>0</v>
      </c>
      <c r="N100" s="52"/>
      <c r="O100" s="59">
        <f t="shared" si="3"/>
        <v>0</v>
      </c>
    </row>
    <row r="101" spans="1:16">
      <c r="A101" s="119" t="s">
        <v>504</v>
      </c>
      <c r="B101" s="119" t="s">
        <v>468</v>
      </c>
      <c r="C101" s="119" t="s">
        <v>505</v>
      </c>
      <c r="D101" s="208">
        <v>732684</v>
      </c>
      <c r="E101" s="119" t="s">
        <v>470</v>
      </c>
      <c r="F101" s="119" t="s">
        <v>474</v>
      </c>
      <c r="G101" s="119" t="s">
        <v>475</v>
      </c>
      <c r="H101" s="119" t="s">
        <v>84</v>
      </c>
      <c r="I101" s="208">
        <v>0</v>
      </c>
      <c r="J101" s="119" t="s">
        <v>473</v>
      </c>
      <c r="K101" s="119" t="s">
        <v>470</v>
      </c>
      <c r="L101" s="209">
        <v>0</v>
      </c>
      <c r="M101" s="52">
        <f t="shared" si="2"/>
        <v>0</v>
      </c>
      <c r="N101" s="52"/>
      <c r="O101" s="59">
        <f t="shared" si="3"/>
        <v>0</v>
      </c>
    </row>
    <row r="102" spans="1:16" ht="25.5">
      <c r="A102" s="119" t="s">
        <v>506</v>
      </c>
      <c r="B102" s="119" t="s">
        <v>468</v>
      </c>
      <c r="C102" s="119" t="s">
        <v>507</v>
      </c>
      <c r="D102" s="208">
        <v>783806</v>
      </c>
      <c r="E102" s="119" t="s">
        <v>470</v>
      </c>
      <c r="F102" s="119" t="s">
        <v>474</v>
      </c>
      <c r="G102" s="119" t="s">
        <v>475</v>
      </c>
      <c r="H102" s="119" t="s">
        <v>84</v>
      </c>
      <c r="I102" s="208">
        <v>0</v>
      </c>
      <c r="J102" s="119" t="s">
        <v>473</v>
      </c>
      <c r="K102" s="119" t="s">
        <v>470</v>
      </c>
      <c r="L102" s="209">
        <v>0</v>
      </c>
      <c r="M102" s="52">
        <f t="shared" si="2"/>
        <v>0</v>
      </c>
      <c r="N102" s="52"/>
      <c r="O102" s="59">
        <f t="shared" si="3"/>
        <v>0</v>
      </c>
    </row>
    <row r="103" spans="1:16">
      <c r="A103" s="119"/>
      <c r="B103" s="119"/>
      <c r="C103" s="119"/>
      <c r="D103" s="208"/>
      <c r="E103" s="119"/>
      <c r="F103" s="119"/>
      <c r="G103" s="119"/>
      <c r="H103" s="119"/>
      <c r="I103" s="208"/>
      <c r="J103" s="119"/>
      <c r="K103" s="119"/>
      <c r="L103" s="209"/>
      <c r="M103" s="52"/>
      <c r="N103" s="52"/>
      <c r="O103" s="59"/>
    </row>
    <row r="104" spans="1:16" ht="25.5">
      <c r="A104" s="119" t="s">
        <v>467</v>
      </c>
      <c r="B104" s="119" t="s">
        <v>468</v>
      </c>
      <c r="C104" s="119" t="s">
        <v>469</v>
      </c>
      <c r="D104" s="208">
        <v>221049</v>
      </c>
      <c r="E104" s="119" t="s">
        <v>470</v>
      </c>
      <c r="F104" s="119" t="s">
        <v>471</v>
      </c>
      <c r="G104" s="119" t="s">
        <v>472</v>
      </c>
      <c r="H104" s="119" t="s">
        <v>80</v>
      </c>
      <c r="I104" s="208">
        <v>1.6478777590388585E-4</v>
      </c>
      <c r="J104" s="119" t="s">
        <v>473</v>
      </c>
      <c r="K104" s="119" t="s">
        <v>470</v>
      </c>
      <c r="L104" s="209">
        <v>36.426173075778067</v>
      </c>
      <c r="M104" s="52">
        <f>SUM(L104/2000)</f>
        <v>1.8213086537889032E-2</v>
      </c>
      <c r="N104" s="52"/>
      <c r="O104" s="59">
        <f>SUM(M104/365)</f>
        <v>4.989886722709324E-5</v>
      </c>
    </row>
    <row r="105" spans="1:16" ht="25.5">
      <c r="A105" s="119" t="s">
        <v>467</v>
      </c>
      <c r="B105" s="119" t="s">
        <v>468</v>
      </c>
      <c r="C105" s="119" t="s">
        <v>469</v>
      </c>
      <c r="D105" s="208">
        <v>221049</v>
      </c>
      <c r="E105" s="119" t="s">
        <v>470</v>
      </c>
      <c r="F105" s="119" t="s">
        <v>474</v>
      </c>
      <c r="G105" s="119" t="s">
        <v>475</v>
      </c>
      <c r="H105" s="119" t="s">
        <v>80</v>
      </c>
      <c r="I105" s="208">
        <v>1.047834242036725E-3</v>
      </c>
      <c r="J105" s="119" t="s">
        <v>473</v>
      </c>
      <c r="K105" s="119" t="s">
        <v>470</v>
      </c>
      <c r="L105" s="209">
        <v>231.62271136797602</v>
      </c>
      <c r="M105" s="52">
        <f>SUM(L105/2000)</f>
        <v>0.11581135568398801</v>
      </c>
      <c r="N105" s="52"/>
      <c r="O105" s="59">
        <f>SUM(M105/365)</f>
        <v>3.172913854355836E-4</v>
      </c>
    </row>
    <row r="106" spans="1:16" ht="25.5">
      <c r="A106" s="119" t="s">
        <v>467</v>
      </c>
      <c r="B106" s="119" t="s">
        <v>468</v>
      </c>
      <c r="C106" s="119" t="s">
        <v>469</v>
      </c>
      <c r="D106" s="208">
        <v>221049</v>
      </c>
      <c r="E106" s="119" t="s">
        <v>470</v>
      </c>
      <c r="F106" s="119" t="s">
        <v>478</v>
      </c>
      <c r="G106" s="119" t="s">
        <v>479</v>
      </c>
      <c r="H106" s="119" t="s">
        <v>80</v>
      </c>
      <c r="I106" s="208">
        <v>2.7269961404794888E-4</v>
      </c>
      <c r="J106" s="119" t="s">
        <v>473</v>
      </c>
      <c r="K106" s="119" t="s">
        <v>470</v>
      </c>
      <c r="L106" s="209">
        <v>60.279976985685053</v>
      </c>
      <c r="M106" s="52">
        <f>SUM(L106/2000)</f>
        <v>3.0139988492842527E-2</v>
      </c>
      <c r="N106" s="52"/>
      <c r="O106" s="59">
        <f>SUM(M106/365)</f>
        <v>8.2575310939294591E-5</v>
      </c>
    </row>
    <row r="107" spans="1:16" ht="25.5">
      <c r="A107" s="119" t="s">
        <v>467</v>
      </c>
      <c r="B107" s="119" t="s">
        <v>468</v>
      </c>
      <c r="C107" s="119" t="s">
        <v>469</v>
      </c>
      <c r="D107" s="208">
        <v>221049</v>
      </c>
      <c r="E107" s="119" t="s">
        <v>470</v>
      </c>
      <c r="F107" s="119" t="s">
        <v>480</v>
      </c>
      <c r="G107" s="119" t="s">
        <v>481</v>
      </c>
      <c r="H107" s="119" t="s">
        <v>80</v>
      </c>
      <c r="I107" s="208">
        <v>1.9812412234218701E-5</v>
      </c>
      <c r="J107" s="119" t="s">
        <v>473</v>
      </c>
      <c r="K107" s="119" t="s">
        <v>470</v>
      </c>
      <c r="L107" s="209">
        <v>4.3795139119618094</v>
      </c>
      <c r="M107" s="52">
        <f>SUM(L107/2000)</f>
        <v>2.1897569559809048E-3</v>
      </c>
      <c r="N107" s="52"/>
      <c r="O107" s="59">
        <f>SUM(M107/365)</f>
        <v>5.9993341259750818E-6</v>
      </c>
    </row>
    <row r="108" spans="1:16">
      <c r="A108" s="119"/>
      <c r="B108" s="119"/>
      <c r="C108" s="119"/>
      <c r="D108" s="208"/>
      <c r="E108" s="119"/>
      <c r="F108" s="119"/>
      <c r="G108" s="119"/>
      <c r="H108" s="119"/>
      <c r="I108" s="208"/>
      <c r="J108" s="119"/>
      <c r="K108" s="119"/>
      <c r="L108" s="209"/>
      <c r="M108" s="52"/>
      <c r="N108" s="59">
        <f>SUM(M104:M107)</f>
        <v>0.16635418767070045</v>
      </c>
      <c r="O108" s="59"/>
      <c r="P108" s="59">
        <f>SUM(O104:O107)</f>
        <v>4.557648977279465E-4</v>
      </c>
    </row>
    <row r="109" spans="1:16">
      <c r="A109" s="119" t="s">
        <v>482</v>
      </c>
      <c r="B109" s="119" t="s">
        <v>468</v>
      </c>
      <c r="C109" s="119" t="s">
        <v>483</v>
      </c>
      <c r="D109" s="208">
        <v>129395</v>
      </c>
      <c r="E109" s="119" t="s">
        <v>470</v>
      </c>
      <c r="F109" s="119" t="s">
        <v>471</v>
      </c>
      <c r="G109" s="119" t="s">
        <v>472</v>
      </c>
      <c r="H109" s="119" t="s">
        <v>80</v>
      </c>
      <c r="I109" s="208">
        <v>1.6478777590388585E-4</v>
      </c>
      <c r="J109" s="119" t="s">
        <v>473</v>
      </c>
      <c r="K109" s="119" t="s">
        <v>470</v>
      </c>
      <c r="L109" s="209">
        <v>21.322714263083309</v>
      </c>
      <c r="M109" s="52">
        <f>SUM(L109/2000)</f>
        <v>1.0661357131541654E-2</v>
      </c>
      <c r="N109" s="52"/>
      <c r="O109" s="59">
        <f>SUM(M109/365)</f>
        <v>2.9209197620662067E-5</v>
      </c>
    </row>
    <row r="110" spans="1:16">
      <c r="A110" s="119" t="s">
        <v>482</v>
      </c>
      <c r="B110" s="119" t="s">
        <v>468</v>
      </c>
      <c r="C110" s="119" t="s">
        <v>483</v>
      </c>
      <c r="D110" s="208">
        <v>129395</v>
      </c>
      <c r="E110" s="119" t="s">
        <v>470</v>
      </c>
      <c r="F110" s="119" t="s">
        <v>474</v>
      </c>
      <c r="G110" s="119" t="s">
        <v>475</v>
      </c>
      <c r="H110" s="119" t="s">
        <v>80</v>
      </c>
      <c r="I110" s="208">
        <v>1.047834242036725E-3</v>
      </c>
      <c r="J110" s="119" t="s">
        <v>473</v>
      </c>
      <c r="K110" s="119" t="s">
        <v>470</v>
      </c>
      <c r="L110" s="209">
        <v>135.58451174834204</v>
      </c>
      <c r="M110" s="52">
        <f>SUM(L110/2000)</f>
        <v>6.7792255874171023E-2</v>
      </c>
      <c r="N110" s="52"/>
      <c r="O110" s="59">
        <f>SUM(M110/365)</f>
        <v>1.8573220787444116E-4</v>
      </c>
    </row>
    <row r="111" spans="1:16">
      <c r="A111" s="119" t="s">
        <v>482</v>
      </c>
      <c r="B111" s="119" t="s">
        <v>468</v>
      </c>
      <c r="C111" s="119" t="s">
        <v>483</v>
      </c>
      <c r="D111" s="208">
        <v>129395</v>
      </c>
      <c r="E111" s="119" t="s">
        <v>470</v>
      </c>
      <c r="F111" s="119" t="s">
        <v>478</v>
      </c>
      <c r="G111" s="119" t="s">
        <v>479</v>
      </c>
      <c r="H111" s="119" t="s">
        <v>80</v>
      </c>
      <c r="I111" s="208">
        <v>2.7269961404794888E-4</v>
      </c>
      <c r="J111" s="119" t="s">
        <v>473</v>
      </c>
      <c r="K111" s="119" t="s">
        <v>470</v>
      </c>
      <c r="L111" s="209">
        <v>35.285966559734348</v>
      </c>
      <c r="M111" s="52">
        <f>SUM(L111/2000)</f>
        <v>1.7642983279867176E-2</v>
      </c>
      <c r="N111" s="52"/>
      <c r="O111" s="59">
        <f>SUM(M111/365)</f>
        <v>4.8336940492786785E-5</v>
      </c>
    </row>
    <row r="112" spans="1:16">
      <c r="A112" s="119" t="s">
        <v>482</v>
      </c>
      <c r="B112" s="119" t="s">
        <v>468</v>
      </c>
      <c r="C112" s="119" t="s">
        <v>483</v>
      </c>
      <c r="D112" s="208">
        <v>129395</v>
      </c>
      <c r="E112" s="119" t="s">
        <v>470</v>
      </c>
      <c r="F112" s="119" t="s">
        <v>480</v>
      </c>
      <c r="G112" s="119" t="s">
        <v>481</v>
      </c>
      <c r="H112" s="119" t="s">
        <v>80</v>
      </c>
      <c r="I112" s="208">
        <v>1.9812412234218701E-5</v>
      </c>
      <c r="J112" s="119" t="s">
        <v>473</v>
      </c>
      <c r="K112" s="119" t="s">
        <v>470</v>
      </c>
      <c r="L112" s="209">
        <v>2.5636270810467288</v>
      </c>
      <c r="M112" s="52">
        <f>SUM(L112/2000)</f>
        <v>1.2818135405233645E-3</v>
      </c>
      <c r="N112" s="52"/>
      <c r="O112" s="59">
        <f>SUM(M112/365)</f>
        <v>3.5118179192420946E-6</v>
      </c>
    </row>
    <row r="113" spans="1:16">
      <c r="A113" s="119"/>
      <c r="B113" s="119"/>
      <c r="C113" s="119"/>
      <c r="D113" s="208"/>
      <c r="E113" s="119"/>
      <c r="F113" s="119"/>
      <c r="G113" s="119"/>
      <c r="H113" s="119"/>
      <c r="I113" s="208"/>
      <c r="J113" s="119"/>
      <c r="K113" s="119"/>
      <c r="L113" s="209"/>
      <c r="M113" s="52"/>
      <c r="N113" s="59">
        <f>SUM(M109:M112)</f>
        <v>9.7378409826103213E-2</v>
      </c>
      <c r="O113" s="59"/>
      <c r="P113" s="59">
        <f>SUM(O109:O112)</f>
        <v>2.667901639071321E-4</v>
      </c>
    </row>
    <row r="114" spans="1:16">
      <c r="A114" s="119" t="s">
        <v>484</v>
      </c>
      <c r="B114" s="119" t="s">
        <v>468</v>
      </c>
      <c r="C114" s="119" t="s">
        <v>485</v>
      </c>
      <c r="D114" s="208">
        <v>545823</v>
      </c>
      <c r="E114" s="119" t="s">
        <v>470</v>
      </c>
      <c r="F114" s="119" t="s">
        <v>471</v>
      </c>
      <c r="G114" s="119" t="s">
        <v>472</v>
      </c>
      <c r="H114" s="119" t="s">
        <v>80</v>
      </c>
      <c r="I114" s="208">
        <v>1.6478777590388585E-4</v>
      </c>
      <c r="J114" s="119" t="s">
        <v>473</v>
      </c>
      <c r="K114" s="119" t="s">
        <v>470</v>
      </c>
      <c r="L114" s="209">
        <v>89.944958207186687</v>
      </c>
      <c r="M114" s="52">
        <f>SUM(L114/2000)</f>
        <v>4.4972479103593345E-2</v>
      </c>
      <c r="N114" s="52"/>
      <c r="O114" s="59">
        <f>SUM(M114/365)</f>
        <v>1.232122715166941E-4</v>
      </c>
    </row>
    <row r="115" spans="1:16">
      <c r="A115" s="119" t="s">
        <v>484</v>
      </c>
      <c r="B115" s="119" t="s">
        <v>468</v>
      </c>
      <c r="C115" s="119" t="s">
        <v>485</v>
      </c>
      <c r="D115" s="208">
        <v>545823</v>
      </c>
      <c r="E115" s="119" t="s">
        <v>470</v>
      </c>
      <c r="F115" s="119" t="s">
        <v>474</v>
      </c>
      <c r="G115" s="119" t="s">
        <v>475</v>
      </c>
      <c r="H115" s="119" t="s">
        <v>80</v>
      </c>
      <c r="I115" s="208">
        <v>1.047834242036725E-3</v>
      </c>
      <c r="J115" s="119" t="s">
        <v>473</v>
      </c>
      <c r="K115" s="119" t="s">
        <v>470</v>
      </c>
      <c r="L115" s="209">
        <v>571.93202949121132</v>
      </c>
      <c r="M115" s="52">
        <f>SUM(L115/2000)</f>
        <v>0.28596601474560568</v>
      </c>
      <c r="N115" s="52"/>
      <c r="O115" s="59">
        <f>SUM(M115/365)</f>
        <v>7.8346853354960462E-4</v>
      </c>
    </row>
    <row r="116" spans="1:16">
      <c r="A116" s="119" t="s">
        <v>484</v>
      </c>
      <c r="B116" s="119" t="s">
        <v>468</v>
      </c>
      <c r="C116" s="119" t="s">
        <v>485</v>
      </c>
      <c r="D116" s="208">
        <v>545823</v>
      </c>
      <c r="E116" s="119" t="s">
        <v>470</v>
      </c>
      <c r="F116" s="119" t="s">
        <v>478</v>
      </c>
      <c r="G116" s="119" t="s">
        <v>479</v>
      </c>
      <c r="H116" s="119" t="s">
        <v>80</v>
      </c>
      <c r="I116" s="208">
        <v>2.7269961404794888E-4</v>
      </c>
      <c r="J116" s="119" t="s">
        <v>473</v>
      </c>
      <c r="K116" s="119" t="s">
        <v>470</v>
      </c>
      <c r="L116" s="209">
        <v>148.8457214384936</v>
      </c>
      <c r="M116" s="52">
        <f>SUM(L116/2000)</f>
        <v>7.4422860719246794E-2</v>
      </c>
      <c r="N116" s="52"/>
      <c r="O116" s="59">
        <f>SUM(M116/365)</f>
        <v>2.0389824854588162E-4</v>
      </c>
    </row>
    <row r="117" spans="1:16">
      <c r="A117" s="119" t="s">
        <v>484</v>
      </c>
      <c r="B117" s="119" t="s">
        <v>468</v>
      </c>
      <c r="C117" s="119" t="s">
        <v>485</v>
      </c>
      <c r="D117" s="208">
        <v>545823</v>
      </c>
      <c r="E117" s="119" t="s">
        <v>470</v>
      </c>
      <c r="F117" s="119" t="s">
        <v>480</v>
      </c>
      <c r="G117" s="119" t="s">
        <v>481</v>
      </c>
      <c r="H117" s="119" t="s">
        <v>80</v>
      </c>
      <c r="I117" s="208">
        <v>1.9812412234218701E-5</v>
      </c>
      <c r="J117" s="119" t="s">
        <v>473</v>
      </c>
      <c r="K117" s="119" t="s">
        <v>470</v>
      </c>
      <c r="L117" s="209">
        <v>10.814070282917953</v>
      </c>
      <c r="M117" s="52">
        <f>SUM(L117/2000)</f>
        <v>5.4070351414589766E-3</v>
      </c>
      <c r="N117" s="52"/>
      <c r="O117" s="59">
        <f>SUM(M117/365)</f>
        <v>1.4813794908106785E-5</v>
      </c>
    </row>
    <row r="118" spans="1:16">
      <c r="A118" s="119"/>
      <c r="B118" s="119"/>
      <c r="C118" s="119"/>
      <c r="D118" s="208"/>
      <c r="E118" s="119"/>
      <c r="F118" s="119"/>
      <c r="G118" s="119"/>
      <c r="H118" s="119"/>
      <c r="I118" s="208"/>
      <c r="J118" s="119"/>
      <c r="K118" s="119"/>
      <c r="L118" s="209"/>
      <c r="M118" s="52"/>
      <c r="N118" s="59">
        <f>SUM(M114:M117)</f>
        <v>0.41076838970990481</v>
      </c>
      <c r="O118" s="59"/>
      <c r="P118" s="59">
        <f>SUM(O114:O117)</f>
        <v>1.1253928485202873E-3</v>
      </c>
    </row>
    <row r="119" spans="1:16">
      <c r="A119" s="119" t="s">
        <v>486</v>
      </c>
      <c r="B119" s="119" t="s">
        <v>468</v>
      </c>
      <c r="C119" s="119" t="s">
        <v>487</v>
      </c>
      <c r="D119" s="208">
        <v>15527</v>
      </c>
      <c r="E119" s="119" t="s">
        <v>470</v>
      </c>
      <c r="F119" s="119" t="s">
        <v>471</v>
      </c>
      <c r="G119" s="119" t="s">
        <v>472</v>
      </c>
      <c r="H119" s="119" t="s">
        <v>80</v>
      </c>
      <c r="I119" s="208">
        <v>1.6478777590388585E-4</v>
      </c>
      <c r="J119" s="119" t="s">
        <v>473</v>
      </c>
      <c r="K119" s="119" t="s">
        <v>470</v>
      </c>
      <c r="L119" s="209">
        <v>2.5586597964596356</v>
      </c>
      <c r="M119" s="52">
        <f>SUM(L119/2000)</f>
        <v>1.2793298982298178E-3</v>
      </c>
      <c r="N119" s="52"/>
      <c r="O119" s="59">
        <f>SUM(M119/365)</f>
        <v>3.50501341980772E-6</v>
      </c>
    </row>
    <row r="120" spans="1:16">
      <c r="A120" s="119" t="s">
        <v>486</v>
      </c>
      <c r="B120" s="119" t="s">
        <v>468</v>
      </c>
      <c r="C120" s="119" t="s">
        <v>487</v>
      </c>
      <c r="D120" s="208">
        <v>15527</v>
      </c>
      <c r="E120" s="119" t="s">
        <v>470</v>
      </c>
      <c r="F120" s="119" t="s">
        <v>474</v>
      </c>
      <c r="G120" s="119" t="s">
        <v>475</v>
      </c>
      <c r="H120" s="119" t="s">
        <v>80</v>
      </c>
      <c r="I120" s="208">
        <v>1.047834242036725E-3</v>
      </c>
      <c r="J120" s="119" t="s">
        <v>473</v>
      </c>
      <c r="K120" s="119" t="s">
        <v>470</v>
      </c>
      <c r="L120" s="209">
        <v>16.269722276104229</v>
      </c>
      <c r="M120" s="52">
        <f>SUM(L120/2000)</f>
        <v>8.1348611380521151E-3</v>
      </c>
      <c r="N120" s="52"/>
      <c r="O120" s="59">
        <f>SUM(M120/365)</f>
        <v>2.2287290789183875E-5</v>
      </c>
    </row>
    <row r="121" spans="1:16">
      <c r="A121" s="119" t="s">
        <v>486</v>
      </c>
      <c r="B121" s="119" t="s">
        <v>468</v>
      </c>
      <c r="C121" s="119" t="s">
        <v>487</v>
      </c>
      <c r="D121" s="208">
        <v>15527</v>
      </c>
      <c r="E121" s="119" t="s">
        <v>470</v>
      </c>
      <c r="F121" s="119" t="s">
        <v>478</v>
      </c>
      <c r="G121" s="119" t="s">
        <v>479</v>
      </c>
      <c r="H121" s="119" t="s">
        <v>80</v>
      </c>
      <c r="I121" s="208">
        <v>2.7269961404794888E-4</v>
      </c>
      <c r="J121" s="119" t="s">
        <v>473</v>
      </c>
      <c r="K121" s="119" t="s">
        <v>470</v>
      </c>
      <c r="L121" s="209">
        <v>4.2342069073225019</v>
      </c>
      <c r="M121" s="52">
        <f>SUM(L121/2000)</f>
        <v>2.1171034536612509E-3</v>
      </c>
      <c r="N121" s="52"/>
      <c r="O121" s="59">
        <f>SUM(M121/365)</f>
        <v>5.8002834346883583E-6</v>
      </c>
    </row>
    <row r="122" spans="1:16">
      <c r="A122" s="119" t="s">
        <v>486</v>
      </c>
      <c r="B122" s="119" t="s">
        <v>468</v>
      </c>
      <c r="C122" s="119" t="s">
        <v>487</v>
      </c>
      <c r="D122" s="208">
        <v>15527</v>
      </c>
      <c r="E122" s="119" t="s">
        <v>470</v>
      </c>
      <c r="F122" s="119" t="s">
        <v>480</v>
      </c>
      <c r="G122" s="119" t="s">
        <v>481</v>
      </c>
      <c r="H122" s="119" t="s">
        <v>80</v>
      </c>
      <c r="I122" s="208">
        <v>1.9812412234218701E-5</v>
      </c>
      <c r="J122" s="119" t="s">
        <v>473</v>
      </c>
      <c r="K122" s="119" t="s">
        <v>470</v>
      </c>
      <c r="L122" s="209">
        <v>0.30762732476071375</v>
      </c>
      <c r="M122" s="52">
        <f>SUM(L122/2000)</f>
        <v>1.5381366238035688E-4</v>
      </c>
      <c r="N122" s="52"/>
      <c r="O122" s="59">
        <f>SUM(M122/365)</f>
        <v>4.2140729419275854E-7</v>
      </c>
    </row>
    <row r="123" spans="1:16">
      <c r="A123" s="119"/>
      <c r="B123" s="119"/>
      <c r="C123" s="119"/>
      <c r="D123" s="208"/>
      <c r="E123" s="119"/>
      <c r="F123" s="119"/>
      <c r="G123" s="119"/>
      <c r="H123" s="119"/>
      <c r="I123" s="208"/>
      <c r="J123" s="119"/>
      <c r="K123" s="119"/>
      <c r="L123" s="209"/>
      <c r="M123" s="52"/>
      <c r="N123" s="59">
        <f>SUM(M119:M122)</f>
        <v>1.1685108152323541E-2</v>
      </c>
      <c r="O123" s="59"/>
      <c r="P123" s="59">
        <f>SUM(O119:O122)</f>
        <v>3.201399493787271E-5</v>
      </c>
    </row>
    <row r="124" spans="1:16">
      <c r="A124" s="119" t="s">
        <v>488</v>
      </c>
      <c r="B124" s="119" t="s">
        <v>468</v>
      </c>
      <c r="C124" s="119" t="s">
        <v>489</v>
      </c>
      <c r="D124" s="208">
        <v>736457</v>
      </c>
      <c r="E124" s="119" t="s">
        <v>470</v>
      </c>
      <c r="F124" s="119" t="s">
        <v>471</v>
      </c>
      <c r="G124" s="119" t="s">
        <v>472</v>
      </c>
      <c r="H124" s="119" t="s">
        <v>80</v>
      </c>
      <c r="I124" s="208">
        <v>1.6478777590388585E-4</v>
      </c>
      <c r="J124" s="119" t="s">
        <v>473</v>
      </c>
      <c r="K124" s="119" t="s">
        <v>470</v>
      </c>
      <c r="L124" s="209">
        <v>121.35911107884806</v>
      </c>
      <c r="M124" s="52">
        <f>SUM(L124/2000)</f>
        <v>6.0679555539424029E-2</v>
      </c>
      <c r="N124" s="52"/>
      <c r="O124" s="59">
        <f>SUM(M124/365)</f>
        <v>1.6624535764225761E-4</v>
      </c>
    </row>
    <row r="125" spans="1:16">
      <c r="A125" s="119" t="s">
        <v>488</v>
      </c>
      <c r="B125" s="119" t="s">
        <v>468</v>
      </c>
      <c r="C125" s="119" t="s">
        <v>489</v>
      </c>
      <c r="D125" s="208">
        <v>736457</v>
      </c>
      <c r="E125" s="119" t="s">
        <v>470</v>
      </c>
      <c r="F125" s="119" t="s">
        <v>474</v>
      </c>
      <c r="G125" s="119" t="s">
        <v>475</v>
      </c>
      <c r="H125" s="119" t="s">
        <v>80</v>
      </c>
      <c r="I125" s="208">
        <v>1.047834242036725E-3</v>
      </c>
      <c r="J125" s="119" t="s">
        <v>473</v>
      </c>
      <c r="K125" s="119" t="s">
        <v>470</v>
      </c>
      <c r="L125" s="209">
        <v>771.68486238764035</v>
      </c>
      <c r="M125" s="52">
        <f>SUM(L125/2000)</f>
        <v>0.38584243119382017</v>
      </c>
      <c r="N125" s="52"/>
      <c r="O125" s="59">
        <f>SUM(M125/365)</f>
        <v>1.0571025512159456E-3</v>
      </c>
    </row>
    <row r="126" spans="1:16">
      <c r="A126" s="119" t="s">
        <v>488</v>
      </c>
      <c r="B126" s="119" t="s">
        <v>468</v>
      </c>
      <c r="C126" s="119" t="s">
        <v>489</v>
      </c>
      <c r="D126" s="208">
        <v>736457</v>
      </c>
      <c r="E126" s="119" t="s">
        <v>470</v>
      </c>
      <c r="F126" s="119" t="s">
        <v>478</v>
      </c>
      <c r="G126" s="119" t="s">
        <v>479</v>
      </c>
      <c r="H126" s="119" t="s">
        <v>80</v>
      </c>
      <c r="I126" s="208">
        <v>2.7269961404794888E-4</v>
      </c>
      <c r="J126" s="119" t="s">
        <v>473</v>
      </c>
      <c r="K126" s="119" t="s">
        <v>470</v>
      </c>
      <c r="L126" s="209">
        <v>200.8315396629103</v>
      </c>
      <c r="M126" s="52">
        <f>SUM(L126/2000)</f>
        <v>0.10041576983145516</v>
      </c>
      <c r="N126" s="52"/>
      <c r="O126" s="59">
        <f>SUM(M126/365)</f>
        <v>2.7511169816837031E-4</v>
      </c>
    </row>
    <row r="127" spans="1:16">
      <c r="A127" s="119" t="s">
        <v>488</v>
      </c>
      <c r="B127" s="119" t="s">
        <v>468</v>
      </c>
      <c r="C127" s="119" t="s">
        <v>489</v>
      </c>
      <c r="D127" s="208">
        <v>736457</v>
      </c>
      <c r="E127" s="119" t="s">
        <v>470</v>
      </c>
      <c r="F127" s="119" t="s">
        <v>480</v>
      </c>
      <c r="G127" s="119" t="s">
        <v>481</v>
      </c>
      <c r="H127" s="119" t="s">
        <v>80</v>
      </c>
      <c r="I127" s="208">
        <v>1.9812412234218701E-5</v>
      </c>
      <c r="J127" s="119" t="s">
        <v>473</v>
      </c>
      <c r="K127" s="119" t="s">
        <v>470</v>
      </c>
      <c r="L127" s="209">
        <v>14.590989676776001</v>
      </c>
      <c r="M127" s="52">
        <f>SUM(L127/2000)</f>
        <v>7.2954948383880001E-3</v>
      </c>
      <c r="N127" s="52"/>
      <c r="O127" s="59">
        <f>SUM(M127/365)</f>
        <v>1.9987657091473972E-5</v>
      </c>
    </row>
    <row r="128" spans="1:16">
      <c r="A128" s="119"/>
      <c r="B128" s="119"/>
      <c r="C128" s="119"/>
      <c r="D128" s="208"/>
      <c r="E128" s="119"/>
      <c r="F128" s="119"/>
      <c r="G128" s="119"/>
      <c r="H128" s="119"/>
      <c r="I128" s="208"/>
      <c r="J128" s="119"/>
      <c r="K128" s="119"/>
      <c r="L128" s="209"/>
      <c r="M128" s="52"/>
      <c r="N128" s="59">
        <f>SUM(M124:M127)</f>
        <v>0.55423325140308732</v>
      </c>
      <c r="O128" s="59"/>
      <c r="P128" s="59">
        <f>SUM(O124:O127)</f>
        <v>1.5184472641180476E-3</v>
      </c>
    </row>
    <row r="129" spans="1:16">
      <c r="A129" s="119" t="s">
        <v>490</v>
      </c>
      <c r="B129" s="119" t="s">
        <v>468</v>
      </c>
      <c r="C129" s="119" t="s">
        <v>491</v>
      </c>
      <c r="D129" s="208">
        <v>71735</v>
      </c>
      <c r="E129" s="119" t="s">
        <v>470</v>
      </c>
      <c r="F129" s="119" t="s">
        <v>471</v>
      </c>
      <c r="G129" s="119" t="s">
        <v>472</v>
      </c>
      <c r="H129" s="119" t="s">
        <v>80</v>
      </c>
      <c r="I129" s="208">
        <v>1.6478777590388585E-4</v>
      </c>
      <c r="J129" s="119" t="s">
        <v>473</v>
      </c>
      <c r="K129" s="119" t="s">
        <v>470</v>
      </c>
      <c r="L129" s="209">
        <v>11.821051104465251</v>
      </c>
      <c r="M129" s="52">
        <f>SUM(L129/2000)</f>
        <v>5.9105255522326258E-3</v>
      </c>
      <c r="N129" s="52"/>
      <c r="O129" s="59">
        <f>SUM(M129/365)</f>
        <v>1.619322069104829E-5</v>
      </c>
    </row>
    <row r="130" spans="1:16">
      <c r="A130" s="119" t="s">
        <v>490</v>
      </c>
      <c r="B130" s="119" t="s">
        <v>468</v>
      </c>
      <c r="C130" s="119" t="s">
        <v>491</v>
      </c>
      <c r="D130" s="208">
        <v>71735</v>
      </c>
      <c r="E130" s="119" t="s">
        <v>470</v>
      </c>
      <c r="F130" s="119" t="s">
        <v>474</v>
      </c>
      <c r="G130" s="119" t="s">
        <v>475</v>
      </c>
      <c r="H130" s="119" t="s">
        <v>80</v>
      </c>
      <c r="I130" s="208">
        <v>1.047834242036725E-3</v>
      </c>
      <c r="J130" s="119" t="s">
        <v>473</v>
      </c>
      <c r="K130" s="119" t="s">
        <v>470</v>
      </c>
      <c r="L130" s="209">
        <v>75.166389352504467</v>
      </c>
      <c r="M130" s="52">
        <f>SUM(L130/2000)</f>
        <v>3.7583194676252235E-2</v>
      </c>
      <c r="N130" s="52"/>
      <c r="O130" s="59">
        <f>SUM(M130/365)</f>
        <v>1.0296765664726639E-4</v>
      </c>
    </row>
    <row r="131" spans="1:16">
      <c r="A131" s="119" t="s">
        <v>490</v>
      </c>
      <c r="B131" s="119" t="s">
        <v>468</v>
      </c>
      <c r="C131" s="119" t="s">
        <v>491</v>
      </c>
      <c r="D131" s="208">
        <v>71735</v>
      </c>
      <c r="E131" s="119" t="s">
        <v>470</v>
      </c>
      <c r="F131" s="119" t="s">
        <v>478</v>
      </c>
      <c r="G131" s="119" t="s">
        <v>479</v>
      </c>
      <c r="H131" s="119" t="s">
        <v>80</v>
      </c>
      <c r="I131" s="208">
        <v>2.7269961404794888E-4</v>
      </c>
      <c r="J131" s="119" t="s">
        <v>473</v>
      </c>
      <c r="K131" s="119" t="s">
        <v>470</v>
      </c>
      <c r="L131" s="209">
        <v>19.562106813729613</v>
      </c>
      <c r="M131" s="52">
        <f>SUM(L131/2000)</f>
        <v>9.7810534068648071E-3</v>
      </c>
      <c r="N131" s="52"/>
      <c r="O131" s="59">
        <f>SUM(M131/365)</f>
        <v>2.6797406594150158E-5</v>
      </c>
    </row>
    <row r="132" spans="1:16">
      <c r="A132" s="119" t="s">
        <v>490</v>
      </c>
      <c r="B132" s="119" t="s">
        <v>468</v>
      </c>
      <c r="C132" s="119" t="s">
        <v>491</v>
      </c>
      <c r="D132" s="208">
        <v>71735</v>
      </c>
      <c r="E132" s="119" t="s">
        <v>470</v>
      </c>
      <c r="F132" s="119" t="s">
        <v>480</v>
      </c>
      <c r="G132" s="119" t="s">
        <v>481</v>
      </c>
      <c r="H132" s="119" t="s">
        <v>80</v>
      </c>
      <c r="I132" s="208">
        <v>1.9812412234218701E-5</v>
      </c>
      <c r="J132" s="119" t="s">
        <v>473</v>
      </c>
      <c r="K132" s="119" t="s">
        <v>470</v>
      </c>
      <c r="L132" s="209">
        <v>1.4212433916216785</v>
      </c>
      <c r="M132" s="52">
        <f>SUM(L132/2000)</f>
        <v>7.1062169581083922E-4</v>
      </c>
      <c r="N132" s="52"/>
      <c r="O132" s="59">
        <f>SUM(M132/365)</f>
        <v>1.946908755646135E-6</v>
      </c>
    </row>
    <row r="133" spans="1:16">
      <c r="A133" s="119"/>
      <c r="B133" s="119"/>
      <c r="C133" s="119"/>
      <c r="D133" s="208"/>
      <c r="E133" s="119"/>
      <c r="F133" s="119"/>
      <c r="G133" s="119"/>
      <c r="H133" s="119"/>
      <c r="I133" s="208"/>
      <c r="J133" s="119"/>
      <c r="K133" s="119"/>
      <c r="L133" s="209"/>
      <c r="M133" s="52"/>
      <c r="N133" s="59">
        <f>SUM(M129:M132)</f>
        <v>5.3985395331160514E-2</v>
      </c>
      <c r="O133" s="59"/>
      <c r="P133" s="59">
        <f>SUM(O129:O132)</f>
        <v>1.4790519268811098E-4</v>
      </c>
    </row>
    <row r="134" spans="1:16">
      <c r="A134" s="119" t="s">
        <v>492</v>
      </c>
      <c r="B134" s="119" t="s">
        <v>468</v>
      </c>
      <c r="C134" s="119" t="s">
        <v>493</v>
      </c>
      <c r="D134" s="208">
        <v>460840</v>
      </c>
      <c r="E134" s="119" t="s">
        <v>470</v>
      </c>
      <c r="F134" s="119" t="s">
        <v>471</v>
      </c>
      <c r="G134" s="119" t="s">
        <v>472</v>
      </c>
      <c r="H134" s="119" t="s">
        <v>80</v>
      </c>
      <c r="I134" s="208">
        <v>1.6478777590388585E-4</v>
      </c>
      <c r="J134" s="119" t="s">
        <v>473</v>
      </c>
      <c r="K134" s="119" t="s">
        <v>470</v>
      </c>
      <c r="L134" s="209">
        <v>75.940798647546757</v>
      </c>
      <c r="M134" s="52">
        <f>SUM(L134/2000)</f>
        <v>3.7970399323773378E-2</v>
      </c>
      <c r="N134" s="52"/>
      <c r="O134" s="59">
        <f>SUM(M134/365)</f>
        <v>1.0402849129800926E-4</v>
      </c>
    </row>
    <row r="135" spans="1:16">
      <c r="A135" s="119" t="s">
        <v>492</v>
      </c>
      <c r="B135" s="119" t="s">
        <v>468</v>
      </c>
      <c r="C135" s="119" t="s">
        <v>493</v>
      </c>
      <c r="D135" s="208">
        <v>460840</v>
      </c>
      <c r="E135" s="119" t="s">
        <v>470</v>
      </c>
      <c r="F135" s="119" t="s">
        <v>474</v>
      </c>
      <c r="G135" s="119" t="s">
        <v>475</v>
      </c>
      <c r="H135" s="119" t="s">
        <v>80</v>
      </c>
      <c r="I135" s="208">
        <v>1.047834242036725E-3</v>
      </c>
      <c r="J135" s="119" t="s">
        <v>473</v>
      </c>
      <c r="K135" s="119" t="s">
        <v>470</v>
      </c>
      <c r="L135" s="209">
        <v>482.88393210020433</v>
      </c>
      <c r="M135" s="52">
        <f>SUM(L135/2000)</f>
        <v>0.24144196605010218</v>
      </c>
      <c r="N135" s="52"/>
      <c r="O135" s="59">
        <f>SUM(M135/365)</f>
        <v>6.6148483849343066E-4</v>
      </c>
    </row>
    <row r="136" spans="1:16">
      <c r="A136" s="119" t="s">
        <v>492</v>
      </c>
      <c r="B136" s="119" t="s">
        <v>468</v>
      </c>
      <c r="C136" s="119" t="s">
        <v>493</v>
      </c>
      <c r="D136" s="208">
        <v>460840</v>
      </c>
      <c r="E136" s="119" t="s">
        <v>470</v>
      </c>
      <c r="F136" s="119" t="s">
        <v>478</v>
      </c>
      <c r="G136" s="119" t="s">
        <v>479</v>
      </c>
      <c r="H136" s="119" t="s">
        <v>80</v>
      </c>
      <c r="I136" s="208">
        <v>2.7269961404794888E-4</v>
      </c>
      <c r="J136" s="119" t="s">
        <v>473</v>
      </c>
      <c r="K136" s="119" t="s">
        <v>470</v>
      </c>
      <c r="L136" s="209">
        <v>125.67089013785676</v>
      </c>
      <c r="M136" s="52">
        <f>SUM(L136/2000)</f>
        <v>6.2835445068928381E-2</v>
      </c>
      <c r="N136" s="52"/>
      <c r="O136" s="59">
        <f>SUM(M136/365)</f>
        <v>1.7215190429843393E-4</v>
      </c>
    </row>
    <row r="137" spans="1:16">
      <c r="A137" s="119" t="s">
        <v>492</v>
      </c>
      <c r="B137" s="119" t="s">
        <v>468</v>
      </c>
      <c r="C137" s="119" t="s">
        <v>493</v>
      </c>
      <c r="D137" s="208">
        <v>460840</v>
      </c>
      <c r="E137" s="119" t="s">
        <v>470</v>
      </c>
      <c r="F137" s="119" t="s">
        <v>480</v>
      </c>
      <c r="G137" s="119" t="s">
        <v>481</v>
      </c>
      <c r="H137" s="119" t="s">
        <v>80</v>
      </c>
      <c r="I137" s="208">
        <v>1.9812412234218701E-5</v>
      </c>
      <c r="J137" s="119" t="s">
        <v>473</v>
      </c>
      <c r="K137" s="119" t="s">
        <v>470</v>
      </c>
      <c r="L137" s="209">
        <v>9.1303520540173455</v>
      </c>
      <c r="M137" s="52">
        <f>SUM(L137/2000)</f>
        <v>4.5651760270086729E-3</v>
      </c>
      <c r="N137" s="52"/>
      <c r="O137" s="59">
        <f>SUM(M137/365)</f>
        <v>1.2507331580845679E-5</v>
      </c>
    </row>
    <row r="138" spans="1:16">
      <c r="A138" s="119"/>
      <c r="B138" s="119"/>
      <c r="C138" s="119"/>
      <c r="D138" s="208"/>
      <c r="E138" s="119"/>
      <c r="F138" s="119"/>
      <c r="G138" s="119"/>
      <c r="H138" s="119"/>
      <c r="I138" s="208"/>
      <c r="J138" s="119"/>
      <c r="K138" s="119"/>
      <c r="L138" s="209"/>
      <c r="M138" s="52"/>
      <c r="N138" s="59">
        <f>SUM(M134:M137)</f>
        <v>0.34681298646981262</v>
      </c>
      <c r="O138" s="59"/>
      <c r="P138" s="59">
        <f>SUM(O134:O137)</f>
        <v>9.5017256567071957E-4</v>
      </c>
    </row>
    <row r="139" spans="1:16" ht="25.5">
      <c r="A139" s="119" t="s">
        <v>494</v>
      </c>
      <c r="B139" s="119" t="s">
        <v>468</v>
      </c>
      <c r="C139" s="119" t="s">
        <v>495</v>
      </c>
      <c r="D139" s="208">
        <v>154983</v>
      </c>
      <c r="E139" s="119" t="s">
        <v>470</v>
      </c>
      <c r="F139" s="119" t="s">
        <v>471</v>
      </c>
      <c r="G139" s="119" t="s">
        <v>472</v>
      </c>
      <c r="H139" s="119" t="s">
        <v>80</v>
      </c>
      <c r="I139" s="208">
        <v>1.6478777590388585E-4</v>
      </c>
      <c r="J139" s="119" t="s">
        <v>473</v>
      </c>
      <c r="K139" s="119" t="s">
        <v>470</v>
      </c>
      <c r="L139" s="209">
        <v>25.53930387291194</v>
      </c>
      <c r="M139" s="52">
        <f>SUM(L139/2000)</f>
        <v>1.276965193645597E-2</v>
      </c>
      <c r="N139" s="52"/>
      <c r="O139" s="59">
        <f>SUM(M139/365)</f>
        <v>3.4985347771112246E-5</v>
      </c>
    </row>
    <row r="140" spans="1:16" ht="25.5">
      <c r="A140" s="119" t="s">
        <v>494</v>
      </c>
      <c r="B140" s="119" t="s">
        <v>468</v>
      </c>
      <c r="C140" s="119" t="s">
        <v>495</v>
      </c>
      <c r="D140" s="208">
        <v>154983</v>
      </c>
      <c r="E140" s="119" t="s">
        <v>470</v>
      </c>
      <c r="F140" s="119" t="s">
        <v>474</v>
      </c>
      <c r="G140" s="119" t="s">
        <v>475</v>
      </c>
      <c r="H140" s="119" t="s">
        <v>80</v>
      </c>
      <c r="I140" s="208">
        <v>1.047834242036725E-3</v>
      </c>
      <c r="J140" s="119" t="s">
        <v>473</v>
      </c>
      <c r="K140" s="119" t="s">
        <v>470</v>
      </c>
      <c r="L140" s="209">
        <v>162.39649433357775</v>
      </c>
      <c r="M140" s="52">
        <f>SUM(L140/2000)</f>
        <v>8.1198247166788876E-2</v>
      </c>
      <c r="N140" s="52"/>
      <c r="O140" s="59">
        <f>SUM(M140/365)</f>
        <v>2.2246095114188732E-4</v>
      </c>
    </row>
    <row r="141" spans="1:16" ht="25.5">
      <c r="A141" s="119" t="s">
        <v>494</v>
      </c>
      <c r="B141" s="119" t="s">
        <v>468</v>
      </c>
      <c r="C141" s="119" t="s">
        <v>495</v>
      </c>
      <c r="D141" s="208">
        <v>154983</v>
      </c>
      <c r="E141" s="119" t="s">
        <v>470</v>
      </c>
      <c r="F141" s="119" t="s">
        <v>478</v>
      </c>
      <c r="G141" s="119" t="s">
        <v>479</v>
      </c>
      <c r="H141" s="119" t="s">
        <v>80</v>
      </c>
      <c r="I141" s="208">
        <v>2.7269961404794888E-4</v>
      </c>
      <c r="J141" s="119" t="s">
        <v>473</v>
      </c>
      <c r="K141" s="119" t="s">
        <v>470</v>
      </c>
      <c r="L141" s="209">
        <v>42.26380428399326</v>
      </c>
      <c r="M141" s="52">
        <f>SUM(L141/2000)</f>
        <v>2.1131902141996631E-2</v>
      </c>
      <c r="N141" s="52"/>
      <c r="O141" s="59">
        <f>SUM(M141/365)</f>
        <v>5.7895622306840086E-5</v>
      </c>
    </row>
    <row r="142" spans="1:16" ht="25.5">
      <c r="A142" s="119" t="s">
        <v>494</v>
      </c>
      <c r="B142" s="119" t="s">
        <v>468</v>
      </c>
      <c r="C142" s="119" t="s">
        <v>495</v>
      </c>
      <c r="D142" s="208">
        <v>154983</v>
      </c>
      <c r="E142" s="119" t="s">
        <v>470</v>
      </c>
      <c r="F142" s="119" t="s">
        <v>480</v>
      </c>
      <c r="G142" s="119" t="s">
        <v>481</v>
      </c>
      <c r="H142" s="119" t="s">
        <v>80</v>
      </c>
      <c r="I142" s="208">
        <v>1.9812412234218701E-5</v>
      </c>
      <c r="J142" s="119" t="s">
        <v>473</v>
      </c>
      <c r="K142" s="119" t="s">
        <v>470</v>
      </c>
      <c r="L142" s="209">
        <v>3.0705870852959167</v>
      </c>
      <c r="M142" s="52">
        <f>SUM(L142/2000)</f>
        <v>1.5352935426479583E-3</v>
      </c>
      <c r="N142" s="52"/>
      <c r="O142" s="59">
        <f>SUM(M142/365)</f>
        <v>4.2062836784875574E-6</v>
      </c>
    </row>
    <row r="143" spans="1:16">
      <c r="A143" s="119"/>
      <c r="B143" s="119"/>
      <c r="C143" s="119"/>
      <c r="D143" s="208"/>
      <c r="E143" s="119"/>
      <c r="F143" s="119"/>
      <c r="G143" s="119"/>
      <c r="H143" s="119"/>
      <c r="I143" s="208"/>
      <c r="J143" s="119"/>
      <c r="K143" s="119"/>
      <c r="L143" s="209"/>
      <c r="M143" s="52"/>
      <c r="N143" s="59">
        <f>SUM(M139:M142)</f>
        <v>0.11663509478788944</v>
      </c>
      <c r="O143" s="59"/>
      <c r="P143" s="59">
        <f>SUM(O139:O142)</f>
        <v>3.1954820489832721E-4</v>
      </c>
    </row>
    <row r="144" spans="1:16" ht="25.5">
      <c r="A144" s="119" t="s">
        <v>496</v>
      </c>
      <c r="B144" s="119" t="s">
        <v>468</v>
      </c>
      <c r="C144" s="119" t="s">
        <v>497</v>
      </c>
      <c r="D144" s="208">
        <v>1482478</v>
      </c>
      <c r="E144" s="119" t="s">
        <v>470</v>
      </c>
      <c r="F144" s="119" t="s">
        <v>471</v>
      </c>
      <c r="G144" s="119" t="s">
        <v>472</v>
      </c>
      <c r="H144" s="119" t="s">
        <v>80</v>
      </c>
      <c r="I144" s="208">
        <v>1.6478777590388585E-4</v>
      </c>
      <c r="J144" s="119" t="s">
        <v>473</v>
      </c>
      <c r="K144" s="119" t="s">
        <v>470</v>
      </c>
      <c r="L144" s="209">
        <v>244.29425244644088</v>
      </c>
      <c r="M144" s="52">
        <f>SUM(L144/2000)</f>
        <v>0.12214712622322044</v>
      </c>
      <c r="N144" s="52"/>
      <c r="O144" s="59">
        <f>SUM(M144/365)</f>
        <v>3.3464966088553544E-4</v>
      </c>
    </row>
    <row r="145" spans="1:16" ht="25.5">
      <c r="A145" s="119" t="s">
        <v>496</v>
      </c>
      <c r="B145" s="119" t="s">
        <v>468</v>
      </c>
      <c r="C145" s="119" t="s">
        <v>497</v>
      </c>
      <c r="D145" s="208">
        <v>1482478</v>
      </c>
      <c r="E145" s="119" t="s">
        <v>470</v>
      </c>
      <c r="F145" s="119" t="s">
        <v>474</v>
      </c>
      <c r="G145" s="119" t="s">
        <v>475</v>
      </c>
      <c r="H145" s="119" t="s">
        <v>80</v>
      </c>
      <c r="I145" s="208">
        <v>1.047834242036725E-3</v>
      </c>
      <c r="J145" s="119" t="s">
        <v>473</v>
      </c>
      <c r="K145" s="119" t="s">
        <v>470</v>
      </c>
      <c r="L145" s="209">
        <v>1553.39121146612</v>
      </c>
      <c r="M145" s="52">
        <f>SUM(L145/2000)</f>
        <v>0.77669560573305996</v>
      </c>
      <c r="N145" s="52"/>
      <c r="O145" s="59">
        <f>SUM(M145/365)</f>
        <v>2.1279331663919452E-3</v>
      </c>
    </row>
    <row r="146" spans="1:16" ht="25.5">
      <c r="A146" s="119" t="s">
        <v>496</v>
      </c>
      <c r="B146" s="119" t="s">
        <v>468</v>
      </c>
      <c r="C146" s="119" t="s">
        <v>497</v>
      </c>
      <c r="D146" s="208">
        <v>1482478</v>
      </c>
      <c r="E146" s="119" t="s">
        <v>470</v>
      </c>
      <c r="F146" s="119" t="s">
        <v>478</v>
      </c>
      <c r="G146" s="119" t="s">
        <v>479</v>
      </c>
      <c r="H146" s="119" t="s">
        <v>80</v>
      </c>
      <c r="I146" s="208">
        <v>2.7269961404794888E-4</v>
      </c>
      <c r="J146" s="119" t="s">
        <v>473</v>
      </c>
      <c r="K146" s="119" t="s">
        <v>470</v>
      </c>
      <c r="L146" s="209">
        <v>404.27117843457518</v>
      </c>
      <c r="M146" s="52">
        <f>SUM(L146/2000)</f>
        <v>0.20213558921728758</v>
      </c>
      <c r="N146" s="52"/>
      <c r="O146" s="59">
        <f>SUM(M146/365)</f>
        <v>5.5379613484188382E-4</v>
      </c>
    </row>
    <row r="147" spans="1:16" ht="25.5">
      <c r="A147" s="119" t="s">
        <v>496</v>
      </c>
      <c r="B147" s="119" t="s">
        <v>468</v>
      </c>
      <c r="C147" s="119" t="s">
        <v>497</v>
      </c>
      <c r="D147" s="208">
        <v>1482478</v>
      </c>
      <c r="E147" s="119" t="s">
        <v>470</v>
      </c>
      <c r="F147" s="119" t="s">
        <v>480</v>
      </c>
      <c r="G147" s="119" t="s">
        <v>481</v>
      </c>
      <c r="H147" s="119" t="s">
        <v>80</v>
      </c>
      <c r="I147" s="208">
        <v>1.9812412234218701E-5</v>
      </c>
      <c r="J147" s="119" t="s">
        <v>473</v>
      </c>
      <c r="K147" s="119" t="s">
        <v>470</v>
      </c>
      <c r="L147" s="209">
        <v>29.371465264160072</v>
      </c>
      <c r="M147" s="52">
        <f>SUM(L147/2000)</f>
        <v>1.4685732632080036E-2</v>
      </c>
      <c r="N147" s="52"/>
      <c r="O147" s="59">
        <f>SUM(M147/365)</f>
        <v>4.0234883923506948E-5</v>
      </c>
    </row>
    <row r="148" spans="1:16">
      <c r="A148" s="119"/>
      <c r="B148" s="119"/>
      <c r="C148" s="119"/>
      <c r="D148" s="208"/>
      <c r="E148" s="119"/>
      <c r="F148" s="119"/>
      <c r="G148" s="119"/>
      <c r="H148" s="119"/>
      <c r="I148" s="208"/>
      <c r="J148" s="119"/>
      <c r="K148" s="119"/>
      <c r="L148" s="209"/>
      <c r="M148" s="52"/>
      <c r="N148" s="59">
        <f>SUM(M144:M147)</f>
        <v>1.1156640538056479</v>
      </c>
      <c r="O148" s="59"/>
      <c r="P148" s="59">
        <f>SUM(O144:O147)</f>
        <v>3.0566138460428713E-3</v>
      </c>
    </row>
    <row r="149" spans="1:16" ht="25.5">
      <c r="A149" s="119" t="s">
        <v>498</v>
      </c>
      <c r="B149" s="119" t="s">
        <v>468</v>
      </c>
      <c r="C149" s="119" t="s">
        <v>499</v>
      </c>
      <c r="D149" s="208">
        <v>11215</v>
      </c>
      <c r="E149" s="119" t="s">
        <v>470</v>
      </c>
      <c r="F149" s="119" t="s">
        <v>471</v>
      </c>
      <c r="G149" s="119" t="s">
        <v>472</v>
      </c>
      <c r="H149" s="119" t="s">
        <v>80</v>
      </c>
      <c r="I149" s="208">
        <v>1.6478777590388585E-4</v>
      </c>
      <c r="J149" s="119" t="s">
        <v>473</v>
      </c>
      <c r="K149" s="119" t="s">
        <v>470</v>
      </c>
      <c r="L149" s="209">
        <v>1.8480949067620798</v>
      </c>
      <c r="M149" s="52">
        <f>SUM(L149/2000)</f>
        <v>9.2404745338103985E-4</v>
      </c>
      <c r="N149" s="52"/>
      <c r="O149" s="59">
        <f>SUM(M149/365)</f>
        <v>2.5316368585781912E-6</v>
      </c>
    </row>
    <row r="150" spans="1:16" ht="25.5">
      <c r="A150" s="119" t="s">
        <v>498</v>
      </c>
      <c r="B150" s="119" t="s">
        <v>468</v>
      </c>
      <c r="C150" s="119" t="s">
        <v>499</v>
      </c>
      <c r="D150" s="208">
        <v>11215</v>
      </c>
      <c r="E150" s="119" t="s">
        <v>470</v>
      </c>
      <c r="F150" s="119" t="s">
        <v>474</v>
      </c>
      <c r="G150" s="119" t="s">
        <v>475</v>
      </c>
      <c r="H150" s="119" t="s">
        <v>80</v>
      </c>
      <c r="I150" s="208">
        <v>1.047834242036725E-3</v>
      </c>
      <c r="J150" s="119" t="s">
        <v>473</v>
      </c>
      <c r="K150" s="119" t="s">
        <v>470</v>
      </c>
      <c r="L150" s="209">
        <v>11.75146102444187</v>
      </c>
      <c r="M150" s="52">
        <f>SUM(L150/2000)</f>
        <v>5.875730512220935E-3</v>
      </c>
      <c r="N150" s="52"/>
      <c r="O150" s="59">
        <f>SUM(M150/365)</f>
        <v>1.6097891814303932E-5</v>
      </c>
    </row>
    <row r="151" spans="1:16" ht="25.5">
      <c r="A151" s="119" t="s">
        <v>498</v>
      </c>
      <c r="B151" s="119" t="s">
        <v>468</v>
      </c>
      <c r="C151" s="119" t="s">
        <v>499</v>
      </c>
      <c r="D151" s="208">
        <v>11215</v>
      </c>
      <c r="E151" s="119" t="s">
        <v>470</v>
      </c>
      <c r="F151" s="119" t="s">
        <v>478</v>
      </c>
      <c r="G151" s="119" t="s">
        <v>479</v>
      </c>
      <c r="H151" s="119" t="s">
        <v>80</v>
      </c>
      <c r="I151" s="208">
        <v>2.7269961404794888E-4</v>
      </c>
      <c r="J151" s="119" t="s">
        <v>473</v>
      </c>
      <c r="K151" s="119" t="s">
        <v>470</v>
      </c>
      <c r="L151" s="209">
        <v>3.0583261715477468</v>
      </c>
      <c r="M151" s="52">
        <f>SUM(L151/2000)</f>
        <v>1.5291630857738733E-3</v>
      </c>
      <c r="N151" s="52"/>
      <c r="O151" s="59">
        <f>SUM(M151/365)</f>
        <v>4.1894879062297901E-6</v>
      </c>
    </row>
    <row r="152" spans="1:16" ht="25.5">
      <c r="A152" s="119" t="s">
        <v>498</v>
      </c>
      <c r="B152" s="119" t="s">
        <v>468</v>
      </c>
      <c r="C152" s="119" t="s">
        <v>499</v>
      </c>
      <c r="D152" s="208">
        <v>11215</v>
      </c>
      <c r="E152" s="119" t="s">
        <v>470</v>
      </c>
      <c r="F152" s="119" t="s">
        <v>480</v>
      </c>
      <c r="G152" s="119" t="s">
        <v>481</v>
      </c>
      <c r="H152" s="119" t="s">
        <v>80</v>
      </c>
      <c r="I152" s="208">
        <v>1.9812412234218701E-5</v>
      </c>
      <c r="J152" s="119" t="s">
        <v>473</v>
      </c>
      <c r="K152" s="119" t="s">
        <v>470</v>
      </c>
      <c r="L152" s="209">
        <v>0.22219620320676273</v>
      </c>
      <c r="M152" s="52">
        <f>SUM(L152/2000)</f>
        <v>1.1109810160338136E-4</v>
      </c>
      <c r="N152" s="52"/>
      <c r="O152" s="59">
        <f>SUM(M152/365)</f>
        <v>3.043783605572092E-7</v>
      </c>
    </row>
    <row r="153" spans="1:16">
      <c r="A153" s="119"/>
      <c r="B153" s="119"/>
      <c r="C153" s="119"/>
      <c r="D153" s="208"/>
      <c r="E153" s="119"/>
      <c r="F153" s="119"/>
      <c r="G153" s="119"/>
      <c r="H153" s="119"/>
      <c r="I153" s="208"/>
      <c r="J153" s="119"/>
      <c r="K153" s="119"/>
      <c r="L153" s="209"/>
      <c r="M153" s="52"/>
      <c r="N153" s="59">
        <f>SUM(M149:M152)</f>
        <v>8.4400391529792281E-3</v>
      </c>
      <c r="O153" s="59"/>
      <c r="P153" s="59">
        <f>SUM(O149:O152)</f>
        <v>2.3123394939669125E-5</v>
      </c>
    </row>
    <row r="154" spans="1:16">
      <c r="A154" s="119" t="s">
        <v>500</v>
      </c>
      <c r="B154" s="119" t="s">
        <v>468</v>
      </c>
      <c r="C154" s="119" t="s">
        <v>501</v>
      </c>
      <c r="D154" s="208">
        <v>659909</v>
      </c>
      <c r="E154" s="119" t="s">
        <v>470</v>
      </c>
      <c r="F154" s="119" t="s">
        <v>471</v>
      </c>
      <c r="G154" s="119" t="s">
        <v>472</v>
      </c>
      <c r="H154" s="119" t="s">
        <v>80</v>
      </c>
      <c r="I154" s="208">
        <v>1.6478777590388585E-4</v>
      </c>
      <c r="J154" s="119" t="s">
        <v>473</v>
      </c>
      <c r="K154" s="119" t="s">
        <v>470</v>
      </c>
      <c r="L154" s="209">
        <v>108.74493640895741</v>
      </c>
      <c r="M154" s="52">
        <f>SUM(L154/2000)</f>
        <v>5.4372468204478705E-2</v>
      </c>
      <c r="N154" s="52"/>
      <c r="O154" s="59">
        <f>SUM(M154/365)</f>
        <v>1.4896566631364028E-4</v>
      </c>
    </row>
    <row r="155" spans="1:16">
      <c r="A155" s="119" t="s">
        <v>500</v>
      </c>
      <c r="B155" s="119" t="s">
        <v>468</v>
      </c>
      <c r="C155" s="119" t="s">
        <v>501</v>
      </c>
      <c r="D155" s="208">
        <v>659909</v>
      </c>
      <c r="E155" s="119" t="s">
        <v>470</v>
      </c>
      <c r="F155" s="119" t="s">
        <v>474</v>
      </c>
      <c r="G155" s="119" t="s">
        <v>475</v>
      </c>
      <c r="H155" s="119" t="s">
        <v>80</v>
      </c>
      <c r="I155" s="208">
        <v>1.047834242036725E-3</v>
      </c>
      <c r="J155" s="119" t="s">
        <v>473</v>
      </c>
      <c r="K155" s="119" t="s">
        <v>470</v>
      </c>
      <c r="L155" s="209">
        <v>691.47524682821313</v>
      </c>
      <c r="M155" s="52">
        <f>SUM(L155/2000)</f>
        <v>0.34573762341410658</v>
      </c>
      <c r="N155" s="52"/>
      <c r="O155" s="59">
        <f>SUM(M155/365)</f>
        <v>9.4722636551810018E-4</v>
      </c>
    </row>
    <row r="156" spans="1:16">
      <c r="A156" s="119" t="s">
        <v>500</v>
      </c>
      <c r="B156" s="119" t="s">
        <v>468</v>
      </c>
      <c r="C156" s="119" t="s">
        <v>501</v>
      </c>
      <c r="D156" s="208">
        <v>659909</v>
      </c>
      <c r="E156" s="119" t="s">
        <v>470</v>
      </c>
      <c r="F156" s="119" t="s">
        <v>478</v>
      </c>
      <c r="G156" s="119" t="s">
        <v>479</v>
      </c>
      <c r="H156" s="119" t="s">
        <v>80</v>
      </c>
      <c r="I156" s="208">
        <v>2.7269961404794888E-4</v>
      </c>
      <c r="J156" s="119" t="s">
        <v>473</v>
      </c>
      <c r="K156" s="119" t="s">
        <v>470</v>
      </c>
      <c r="L156" s="209">
        <v>179.95692960676789</v>
      </c>
      <c r="M156" s="52">
        <f>SUM(L156/2000)</f>
        <v>8.9978464803383937E-2</v>
      </c>
      <c r="N156" s="52"/>
      <c r="O156" s="59">
        <f>SUM(M156/365)</f>
        <v>2.4651634192707927E-4</v>
      </c>
    </row>
    <row r="157" spans="1:16">
      <c r="A157" s="119" t="s">
        <v>500</v>
      </c>
      <c r="B157" s="119" t="s">
        <v>468</v>
      </c>
      <c r="C157" s="119" t="s">
        <v>501</v>
      </c>
      <c r="D157" s="208">
        <v>659909</v>
      </c>
      <c r="E157" s="119" t="s">
        <v>470</v>
      </c>
      <c r="F157" s="119" t="s">
        <v>480</v>
      </c>
      <c r="G157" s="119" t="s">
        <v>481</v>
      </c>
      <c r="H157" s="119" t="s">
        <v>80</v>
      </c>
      <c r="I157" s="208">
        <v>1.9812412234218701E-5</v>
      </c>
      <c r="J157" s="119" t="s">
        <v>473</v>
      </c>
      <c r="K157" s="119" t="s">
        <v>470</v>
      </c>
      <c r="L157" s="209">
        <v>13.074389145071029</v>
      </c>
      <c r="M157" s="52">
        <f>SUM(L157/2000)</f>
        <v>6.5371945725355143E-3</v>
      </c>
      <c r="N157" s="52"/>
      <c r="O157" s="59">
        <f>SUM(M157/365)</f>
        <v>1.7910122116535657E-5</v>
      </c>
    </row>
    <row r="158" spans="1:16">
      <c r="A158" s="119"/>
      <c r="B158" s="119"/>
      <c r="C158" s="119"/>
      <c r="D158" s="208"/>
      <c r="E158" s="119"/>
      <c r="F158" s="119"/>
      <c r="G158" s="119"/>
      <c r="H158" s="119"/>
      <c r="I158" s="208"/>
      <c r="J158" s="119"/>
      <c r="K158" s="119"/>
      <c r="L158" s="209"/>
      <c r="M158" s="52"/>
      <c r="N158" s="59">
        <f>SUM(M154:M157)</f>
        <v>0.49662575099450473</v>
      </c>
      <c r="O158" s="59"/>
      <c r="P158" s="59">
        <f>SUM(O154:O157)</f>
        <v>1.3606184958753556E-3</v>
      </c>
    </row>
    <row r="159" spans="1:16">
      <c r="A159" s="119" t="s">
        <v>502</v>
      </c>
      <c r="B159" s="119" t="s">
        <v>468</v>
      </c>
      <c r="C159" s="119" t="s">
        <v>503</v>
      </c>
      <c r="D159" s="208">
        <v>492066</v>
      </c>
      <c r="E159" s="119" t="s">
        <v>470</v>
      </c>
      <c r="F159" s="119" t="s">
        <v>471</v>
      </c>
      <c r="G159" s="119" t="s">
        <v>472</v>
      </c>
      <c r="H159" s="119" t="s">
        <v>80</v>
      </c>
      <c r="I159" s="208">
        <v>1.6478777590388585E-4</v>
      </c>
      <c r="J159" s="119" t="s">
        <v>473</v>
      </c>
      <c r="K159" s="119" t="s">
        <v>470</v>
      </c>
      <c r="L159" s="209">
        <v>81.086461737921496</v>
      </c>
      <c r="M159" s="52">
        <f>SUM(L159/2000)</f>
        <v>4.054323086896075E-2</v>
      </c>
      <c r="N159" s="52"/>
      <c r="O159" s="59">
        <f>SUM(M159/365)</f>
        <v>1.1107734484646781E-4</v>
      </c>
    </row>
    <row r="160" spans="1:16">
      <c r="A160" s="119" t="s">
        <v>502</v>
      </c>
      <c r="B160" s="119" t="s">
        <v>468</v>
      </c>
      <c r="C160" s="119" t="s">
        <v>503</v>
      </c>
      <c r="D160" s="208">
        <v>492066</v>
      </c>
      <c r="E160" s="119" t="s">
        <v>470</v>
      </c>
      <c r="F160" s="119" t="s">
        <v>474</v>
      </c>
      <c r="G160" s="119" t="s">
        <v>475</v>
      </c>
      <c r="H160" s="119" t="s">
        <v>80</v>
      </c>
      <c r="I160" s="208">
        <v>1.047834242036725E-3</v>
      </c>
      <c r="J160" s="119" t="s">
        <v>473</v>
      </c>
      <c r="K160" s="119" t="s">
        <v>470</v>
      </c>
      <c r="L160" s="209">
        <v>515.60360414204308</v>
      </c>
      <c r="M160" s="52">
        <f>SUM(L160/2000)</f>
        <v>0.25780180207102155</v>
      </c>
      <c r="N160" s="52"/>
      <c r="O160" s="59">
        <f>SUM(M160/365)</f>
        <v>7.0630630704389462E-4</v>
      </c>
    </row>
    <row r="161" spans="1:16">
      <c r="A161" s="119" t="s">
        <v>502</v>
      </c>
      <c r="B161" s="119" t="s">
        <v>468</v>
      </c>
      <c r="C161" s="119" t="s">
        <v>503</v>
      </c>
      <c r="D161" s="208">
        <v>492066</v>
      </c>
      <c r="E161" s="119" t="s">
        <v>470</v>
      </c>
      <c r="F161" s="119" t="s">
        <v>478</v>
      </c>
      <c r="G161" s="119" t="s">
        <v>479</v>
      </c>
      <c r="H161" s="119" t="s">
        <v>80</v>
      </c>
      <c r="I161" s="208">
        <v>2.7269961404794888E-4</v>
      </c>
      <c r="J161" s="119" t="s">
        <v>473</v>
      </c>
      <c r="K161" s="119" t="s">
        <v>470</v>
      </c>
      <c r="L161" s="209">
        <v>134.18620828611802</v>
      </c>
      <c r="M161" s="52">
        <f>SUM(L161/2000)</f>
        <v>6.709310414305901E-2</v>
      </c>
      <c r="N161" s="52"/>
      <c r="O161" s="59">
        <f>SUM(M161/365)</f>
        <v>1.8381672367961371E-4</v>
      </c>
    </row>
    <row r="162" spans="1:16">
      <c r="A162" s="119" t="s">
        <v>502</v>
      </c>
      <c r="B162" s="119" t="s">
        <v>468</v>
      </c>
      <c r="C162" s="119" t="s">
        <v>503</v>
      </c>
      <c r="D162" s="208">
        <v>492066</v>
      </c>
      <c r="E162" s="119" t="s">
        <v>470</v>
      </c>
      <c r="F162" s="119" t="s">
        <v>480</v>
      </c>
      <c r="G162" s="119" t="s">
        <v>481</v>
      </c>
      <c r="H162" s="119" t="s">
        <v>80</v>
      </c>
      <c r="I162" s="208">
        <v>1.9812412234218701E-5</v>
      </c>
      <c r="J162" s="119" t="s">
        <v>473</v>
      </c>
      <c r="K162" s="119" t="s">
        <v>470</v>
      </c>
      <c r="L162" s="209">
        <v>9.7490144384430586</v>
      </c>
      <c r="M162" s="52">
        <f>SUM(L162/2000)</f>
        <v>4.8745072192215291E-3</v>
      </c>
      <c r="N162" s="52"/>
      <c r="O162" s="59">
        <f>SUM(M162/365)</f>
        <v>1.3354814299237067E-5</v>
      </c>
    </row>
    <row r="163" spans="1:16">
      <c r="A163" s="119"/>
      <c r="B163" s="119"/>
      <c r="C163" s="119"/>
      <c r="D163" s="208"/>
      <c r="E163" s="119"/>
      <c r="F163" s="119"/>
      <c r="G163" s="119"/>
      <c r="H163" s="119"/>
      <c r="I163" s="208"/>
      <c r="J163" s="119"/>
      <c r="K163" s="119"/>
      <c r="L163" s="209"/>
      <c r="M163" s="52"/>
      <c r="N163" s="59">
        <f>SUM(M159:M162)</f>
        <v>0.37031264430226279</v>
      </c>
      <c r="O163" s="59"/>
      <c r="P163" s="59">
        <f>SUM(O159:O162)</f>
        <v>1.0145551898692133E-3</v>
      </c>
    </row>
    <row r="164" spans="1:16">
      <c r="A164" s="119" t="s">
        <v>504</v>
      </c>
      <c r="B164" s="119" t="s">
        <v>468</v>
      </c>
      <c r="C164" s="119" t="s">
        <v>505</v>
      </c>
      <c r="D164" s="208">
        <v>732684</v>
      </c>
      <c r="E164" s="119" t="s">
        <v>470</v>
      </c>
      <c r="F164" s="119" t="s">
        <v>471</v>
      </c>
      <c r="G164" s="119" t="s">
        <v>472</v>
      </c>
      <c r="H164" s="119" t="s">
        <v>80</v>
      </c>
      <c r="I164" s="208">
        <v>1.6478777590388585E-4</v>
      </c>
      <c r="J164" s="119" t="s">
        <v>473</v>
      </c>
      <c r="K164" s="119" t="s">
        <v>470</v>
      </c>
      <c r="L164" s="209">
        <v>120.73736680036271</v>
      </c>
      <c r="M164" s="52">
        <f>SUM(L164/2000)</f>
        <v>6.0368683400181353E-2</v>
      </c>
      <c r="N164" s="52"/>
      <c r="O164" s="59">
        <f>SUM(M164/365)</f>
        <v>1.653936531511818E-4</v>
      </c>
    </row>
    <row r="165" spans="1:16">
      <c r="A165" s="119" t="s">
        <v>504</v>
      </c>
      <c r="B165" s="119" t="s">
        <v>468</v>
      </c>
      <c r="C165" s="119" t="s">
        <v>505</v>
      </c>
      <c r="D165" s="208">
        <v>732684</v>
      </c>
      <c r="E165" s="119" t="s">
        <v>470</v>
      </c>
      <c r="F165" s="119" t="s">
        <v>474</v>
      </c>
      <c r="G165" s="119" t="s">
        <v>475</v>
      </c>
      <c r="H165" s="119" t="s">
        <v>80</v>
      </c>
      <c r="I165" s="208">
        <v>1.047834242036725E-3</v>
      </c>
      <c r="J165" s="119" t="s">
        <v>473</v>
      </c>
      <c r="K165" s="119" t="s">
        <v>470</v>
      </c>
      <c r="L165" s="209">
        <v>767.73138379243574</v>
      </c>
      <c r="M165" s="52">
        <f>SUM(L165/2000)</f>
        <v>0.38386569189621789</v>
      </c>
      <c r="N165" s="52"/>
      <c r="O165" s="59">
        <f>SUM(M165/365)</f>
        <v>1.0516868271129257E-3</v>
      </c>
    </row>
    <row r="166" spans="1:16">
      <c r="A166" s="119" t="s">
        <v>504</v>
      </c>
      <c r="B166" s="119" t="s">
        <v>468</v>
      </c>
      <c r="C166" s="119" t="s">
        <v>505</v>
      </c>
      <c r="D166" s="208">
        <v>732684</v>
      </c>
      <c r="E166" s="119" t="s">
        <v>470</v>
      </c>
      <c r="F166" s="119" t="s">
        <v>478</v>
      </c>
      <c r="G166" s="119" t="s">
        <v>479</v>
      </c>
      <c r="H166" s="119" t="s">
        <v>80</v>
      </c>
      <c r="I166" s="208">
        <v>2.7269961404794888E-4</v>
      </c>
      <c r="J166" s="119" t="s">
        <v>473</v>
      </c>
      <c r="K166" s="119" t="s">
        <v>470</v>
      </c>
      <c r="L166" s="209">
        <v>199.80264401910739</v>
      </c>
      <c r="M166" s="52">
        <f>SUM(L166/2000)</f>
        <v>9.9901322009553692E-2</v>
      </c>
      <c r="N166" s="52"/>
      <c r="O166" s="59">
        <f>SUM(M166/365)</f>
        <v>2.7370225208096902E-4</v>
      </c>
    </row>
    <row r="167" spans="1:16">
      <c r="A167" s="119" t="s">
        <v>504</v>
      </c>
      <c r="B167" s="119" t="s">
        <v>468</v>
      </c>
      <c r="C167" s="119" t="s">
        <v>505</v>
      </c>
      <c r="D167" s="208">
        <v>732684</v>
      </c>
      <c r="E167" s="119" t="s">
        <v>470</v>
      </c>
      <c r="F167" s="119" t="s">
        <v>480</v>
      </c>
      <c r="G167" s="119" t="s">
        <v>481</v>
      </c>
      <c r="H167" s="119" t="s">
        <v>80</v>
      </c>
      <c r="I167" s="208">
        <v>1.9812412234218701E-5</v>
      </c>
      <c r="J167" s="119" t="s">
        <v>473</v>
      </c>
      <c r="K167" s="119" t="s">
        <v>470</v>
      </c>
      <c r="L167" s="209">
        <v>14.516237445416294</v>
      </c>
      <c r="M167" s="52">
        <f>SUM(L167/2000)</f>
        <v>7.2581187227081468E-3</v>
      </c>
      <c r="N167" s="52"/>
      <c r="O167" s="59">
        <f>SUM(M167/365)</f>
        <v>1.9885256774542869E-5</v>
      </c>
    </row>
    <row r="168" spans="1:16">
      <c r="A168" s="119"/>
      <c r="B168" s="119"/>
      <c r="C168" s="119"/>
      <c r="D168" s="208"/>
      <c r="E168" s="119"/>
      <c r="F168" s="119"/>
      <c r="G168" s="119"/>
      <c r="H168" s="119"/>
      <c r="I168" s="208"/>
      <c r="J168" s="119"/>
      <c r="K168" s="119"/>
      <c r="L168" s="209"/>
      <c r="M168" s="52"/>
      <c r="N168" s="59">
        <f>SUM(M164:M167)</f>
        <v>0.551393816028661</v>
      </c>
      <c r="O168" s="59"/>
      <c r="P168" s="59">
        <f>SUM(O164:O167)</f>
        <v>1.5106679891196194E-3</v>
      </c>
    </row>
    <row r="169" spans="1:16" ht="25.5">
      <c r="A169" s="119" t="s">
        <v>506</v>
      </c>
      <c r="B169" s="119" t="s">
        <v>468</v>
      </c>
      <c r="C169" s="119" t="s">
        <v>507</v>
      </c>
      <c r="D169" s="208">
        <v>783806</v>
      </c>
      <c r="E169" s="119" t="s">
        <v>470</v>
      </c>
      <c r="F169" s="119" t="s">
        <v>471</v>
      </c>
      <c r="G169" s="119" t="s">
        <v>472</v>
      </c>
      <c r="H169" s="119" t="s">
        <v>80</v>
      </c>
      <c r="I169" s="208">
        <v>1.6478777590388585E-4</v>
      </c>
      <c r="J169" s="119" t="s">
        <v>473</v>
      </c>
      <c r="K169" s="119" t="s">
        <v>470</v>
      </c>
      <c r="L169" s="209">
        <v>129.16164748012116</v>
      </c>
      <c r="M169" s="52">
        <f>SUM(L169/2000)</f>
        <v>6.4580823740060578E-2</v>
      </c>
      <c r="N169" s="52"/>
      <c r="O169" s="59">
        <f>SUM(M169/365)</f>
        <v>1.7693376367139884E-4</v>
      </c>
    </row>
    <row r="170" spans="1:16" ht="25.5">
      <c r="A170" s="119" t="s">
        <v>506</v>
      </c>
      <c r="B170" s="119" t="s">
        <v>468</v>
      </c>
      <c r="C170" s="119" t="s">
        <v>507</v>
      </c>
      <c r="D170" s="208">
        <v>783806</v>
      </c>
      <c r="E170" s="119" t="s">
        <v>470</v>
      </c>
      <c r="F170" s="119" t="s">
        <v>474</v>
      </c>
      <c r="G170" s="119" t="s">
        <v>475</v>
      </c>
      <c r="H170" s="119" t="s">
        <v>80</v>
      </c>
      <c r="I170" s="208">
        <v>1.047834242036725E-3</v>
      </c>
      <c r="J170" s="119" t="s">
        <v>473</v>
      </c>
      <c r="K170" s="119" t="s">
        <v>470</v>
      </c>
      <c r="L170" s="209">
        <v>821.2987659138372</v>
      </c>
      <c r="M170" s="52">
        <f>SUM(L170/2000)</f>
        <v>0.41064938295691861</v>
      </c>
      <c r="N170" s="52"/>
      <c r="O170" s="59">
        <f>SUM(M170/365)</f>
        <v>1.1250668026216949E-3</v>
      </c>
    </row>
    <row r="171" spans="1:16" ht="25.5">
      <c r="A171" s="119" t="s">
        <v>506</v>
      </c>
      <c r="B171" s="119" t="s">
        <v>468</v>
      </c>
      <c r="C171" s="119" t="s">
        <v>507</v>
      </c>
      <c r="D171" s="208">
        <v>783806</v>
      </c>
      <c r="E171" s="119" t="s">
        <v>470</v>
      </c>
      <c r="F171" s="119" t="s">
        <v>478</v>
      </c>
      <c r="G171" s="119" t="s">
        <v>479</v>
      </c>
      <c r="H171" s="119" t="s">
        <v>80</v>
      </c>
      <c r="I171" s="208">
        <v>2.7269961404794888E-4</v>
      </c>
      <c r="J171" s="119" t="s">
        <v>473</v>
      </c>
      <c r="K171" s="119" t="s">
        <v>470</v>
      </c>
      <c r="L171" s="209">
        <v>213.74359368846663</v>
      </c>
      <c r="M171" s="52">
        <f>SUM(L171/2000)</f>
        <v>0.10687179684423331</v>
      </c>
      <c r="N171" s="52"/>
      <c r="O171" s="59">
        <f>SUM(M171/365)</f>
        <v>2.927994434088584E-4</v>
      </c>
    </row>
    <row r="172" spans="1:16" ht="25.5">
      <c r="A172" s="119" t="s">
        <v>506</v>
      </c>
      <c r="B172" s="119" t="s">
        <v>468</v>
      </c>
      <c r="C172" s="119" t="s">
        <v>507</v>
      </c>
      <c r="D172" s="208">
        <v>783806</v>
      </c>
      <c r="E172" s="119" t="s">
        <v>470</v>
      </c>
      <c r="F172" s="119" t="s">
        <v>480</v>
      </c>
      <c r="G172" s="119" t="s">
        <v>481</v>
      </c>
      <c r="H172" s="119" t="s">
        <v>80</v>
      </c>
      <c r="I172" s="208">
        <v>1.9812412234218701E-5</v>
      </c>
      <c r="J172" s="119" t="s">
        <v>473</v>
      </c>
      <c r="K172" s="119" t="s">
        <v>470</v>
      </c>
      <c r="L172" s="209">
        <v>15.529087583654023</v>
      </c>
      <c r="M172" s="52">
        <f>SUM(L172/2000)</f>
        <v>7.7645437918270116E-3</v>
      </c>
      <c r="N172" s="52"/>
      <c r="O172" s="59">
        <f>SUM(M172/365)</f>
        <v>2.1272722717334277E-5</v>
      </c>
    </row>
    <row r="173" spans="1:16">
      <c r="A173" s="119"/>
      <c r="B173" s="119"/>
      <c r="C173" s="119"/>
      <c r="D173" s="208"/>
      <c r="E173" s="119"/>
      <c r="F173" s="119"/>
      <c r="G173" s="119"/>
      <c r="H173" s="119"/>
      <c r="I173" s="208"/>
      <c r="J173" s="119"/>
      <c r="K173" s="119"/>
      <c r="L173" s="209"/>
      <c r="M173" s="52"/>
      <c r="N173" s="59">
        <f>SUM(M169:M172)</f>
        <v>0.58986654733303956</v>
      </c>
      <c r="O173" s="59"/>
      <c r="P173" s="59">
        <f>SUM(O169:O172)</f>
        <v>1.6160727324192865E-3</v>
      </c>
    </row>
    <row r="174" spans="1:16" ht="22.5" customHeight="1">
      <c r="A174" s="119"/>
      <c r="B174" s="119"/>
      <c r="C174" s="119"/>
      <c r="D174" s="208"/>
      <c r="E174" s="119"/>
      <c r="F174" s="119"/>
      <c r="G174" s="119"/>
      <c r="H174" s="127" t="s">
        <v>80</v>
      </c>
      <c r="I174" s="208"/>
      <c r="J174" s="119"/>
      <c r="K174" s="119"/>
      <c r="L174" s="210">
        <f>SUM(L104:L172)</f>
        <v>9780.3113499361552</v>
      </c>
      <c r="M174" s="129">
        <f>SUM(M104:M172)</f>
        <v>4.8901556749680779</v>
      </c>
      <c r="N174" s="129">
        <f>SUM(N104:N173)</f>
        <v>4.8901556749680761</v>
      </c>
      <c r="O174" s="211">
        <f>SUM(O104:O172)</f>
        <v>1.3397686780734464E-2</v>
      </c>
      <c r="P174" s="211">
        <f>SUM(P104:P172)</f>
        <v>1.1781614048315172E-2</v>
      </c>
    </row>
    <row r="175" spans="1:16" ht="25.5">
      <c r="A175" s="119" t="s">
        <v>467</v>
      </c>
      <c r="B175" s="119" t="s">
        <v>468</v>
      </c>
      <c r="C175" s="119" t="s">
        <v>469</v>
      </c>
      <c r="D175" s="208">
        <v>221049</v>
      </c>
      <c r="E175" s="119" t="s">
        <v>470</v>
      </c>
      <c r="F175" s="119" t="s">
        <v>471</v>
      </c>
      <c r="G175" s="119" t="s">
        <v>472</v>
      </c>
      <c r="H175" s="119" t="s">
        <v>79</v>
      </c>
      <c r="I175" s="208">
        <v>4.9795905393605309E-2</v>
      </c>
      <c r="J175" s="119" t="s">
        <v>473</v>
      </c>
      <c r="K175" s="119" t="s">
        <v>470</v>
      </c>
      <c r="L175" s="209">
        <v>11007.33509135106</v>
      </c>
      <c r="M175" s="52">
        <f>SUM(L175/2000)</f>
        <v>5.5036675456755297</v>
      </c>
      <c r="N175" s="52"/>
      <c r="O175" s="59">
        <f>SUM(M175/365)</f>
        <v>1.5078541221028849E-2</v>
      </c>
    </row>
    <row r="176" spans="1:16" ht="25.5">
      <c r="A176" s="119" t="s">
        <v>467</v>
      </c>
      <c r="B176" s="119" t="s">
        <v>468</v>
      </c>
      <c r="C176" s="119" t="s">
        <v>469</v>
      </c>
      <c r="D176" s="208">
        <v>221049</v>
      </c>
      <c r="E176" s="119" t="s">
        <v>470</v>
      </c>
      <c r="F176" s="119" t="s">
        <v>474</v>
      </c>
      <c r="G176" s="119" t="s">
        <v>475</v>
      </c>
      <c r="H176" s="119" t="s">
        <v>79</v>
      </c>
      <c r="I176" s="208">
        <v>0.35276043206143676</v>
      </c>
      <c r="J176" s="119" t="s">
        <v>473</v>
      </c>
      <c r="K176" s="119" t="s">
        <v>470</v>
      </c>
      <c r="L176" s="209">
        <v>77977.340746748538</v>
      </c>
      <c r="M176" s="52">
        <f>SUM(L176/2000)</f>
        <v>38.988670373374269</v>
      </c>
      <c r="N176" s="52"/>
      <c r="O176" s="59">
        <f>SUM(M176/365)</f>
        <v>0.10681827499554594</v>
      </c>
    </row>
    <row r="177" spans="1:16" ht="25.5">
      <c r="A177" s="119" t="s">
        <v>467</v>
      </c>
      <c r="B177" s="119" t="s">
        <v>468</v>
      </c>
      <c r="C177" s="119" t="s">
        <v>469</v>
      </c>
      <c r="D177" s="208">
        <v>221049</v>
      </c>
      <c r="E177" s="119" t="s">
        <v>470</v>
      </c>
      <c r="F177" s="119" t="s">
        <v>476</v>
      </c>
      <c r="G177" s="119" t="s">
        <v>477</v>
      </c>
      <c r="H177" s="119" t="s">
        <v>79</v>
      </c>
      <c r="I177" s="208">
        <v>0</v>
      </c>
      <c r="J177" s="119" t="s">
        <v>473</v>
      </c>
      <c r="K177" s="119" t="s">
        <v>470</v>
      </c>
      <c r="L177" s="209">
        <v>0</v>
      </c>
      <c r="M177" s="52">
        <f>SUM(L177/2000)</f>
        <v>0</v>
      </c>
      <c r="N177" s="52"/>
      <c r="O177" s="59">
        <f>SUM(M177/365)</f>
        <v>0</v>
      </c>
    </row>
    <row r="178" spans="1:16" ht="25.5">
      <c r="A178" s="119" t="s">
        <v>467</v>
      </c>
      <c r="B178" s="119" t="s">
        <v>468</v>
      </c>
      <c r="C178" s="119" t="s">
        <v>469</v>
      </c>
      <c r="D178" s="208">
        <v>221049</v>
      </c>
      <c r="E178" s="119" t="s">
        <v>470</v>
      </c>
      <c r="F178" s="119" t="s">
        <v>478</v>
      </c>
      <c r="G178" s="119" t="s">
        <v>479</v>
      </c>
      <c r="H178" s="119" t="s">
        <v>79</v>
      </c>
      <c r="I178" s="208">
        <v>0.1031106931896448</v>
      </c>
      <c r="J178" s="119" t="s">
        <v>473</v>
      </c>
      <c r="K178" s="119" t="s">
        <v>470</v>
      </c>
      <c r="L178" s="209">
        <v>22792.515618877795</v>
      </c>
      <c r="M178" s="52">
        <f>SUM(L178/2000)</f>
        <v>11.396257809438897</v>
      </c>
      <c r="N178" s="52"/>
      <c r="O178" s="59">
        <f>SUM(M178/365)</f>
        <v>3.1222624135449031E-2</v>
      </c>
    </row>
    <row r="179" spans="1:16" ht="25.5">
      <c r="A179" s="119" t="s">
        <v>467</v>
      </c>
      <c r="B179" s="119" t="s">
        <v>468</v>
      </c>
      <c r="C179" s="119" t="s">
        <v>469</v>
      </c>
      <c r="D179" s="208">
        <v>221049</v>
      </c>
      <c r="E179" s="119" t="s">
        <v>470</v>
      </c>
      <c r="F179" s="119" t="s">
        <v>480</v>
      </c>
      <c r="G179" s="119" t="s">
        <v>481</v>
      </c>
      <c r="H179" s="119" t="s">
        <v>79</v>
      </c>
      <c r="I179" s="208">
        <v>6.9941444709220122E-3</v>
      </c>
      <c r="J179" s="119" t="s">
        <v>473</v>
      </c>
      <c r="K179" s="119" t="s">
        <v>470</v>
      </c>
      <c r="L179" s="209">
        <v>1546.0486411528398</v>
      </c>
      <c r="M179" s="52">
        <f>SUM(L179/2000)</f>
        <v>0.7730243205764199</v>
      </c>
      <c r="N179" s="52"/>
      <c r="O179" s="59">
        <f>SUM(M179/365)</f>
        <v>2.1178748508943013E-3</v>
      </c>
    </row>
    <row r="180" spans="1:16">
      <c r="A180" s="119"/>
      <c r="B180" s="119"/>
      <c r="C180" s="119"/>
      <c r="D180" s="208"/>
      <c r="E180" s="119"/>
      <c r="F180" s="119"/>
      <c r="G180" s="119"/>
      <c r="H180" s="119"/>
      <c r="I180" s="208"/>
      <c r="J180" s="119"/>
      <c r="K180" s="119"/>
      <c r="L180" s="209"/>
      <c r="M180" s="52"/>
      <c r="N180" s="59">
        <f>SUM(M175:M179)</f>
        <v>56.661620049065114</v>
      </c>
      <c r="O180" s="59"/>
      <c r="P180" s="59">
        <f>SUM(O175:O179)</f>
        <v>0.15523731520291811</v>
      </c>
    </row>
    <row r="181" spans="1:16">
      <c r="A181" s="119" t="s">
        <v>482</v>
      </c>
      <c r="B181" s="119" t="s">
        <v>468</v>
      </c>
      <c r="C181" s="119" t="s">
        <v>483</v>
      </c>
      <c r="D181" s="208">
        <v>129395</v>
      </c>
      <c r="E181" s="119" t="s">
        <v>470</v>
      </c>
      <c r="F181" s="119" t="s">
        <v>471</v>
      </c>
      <c r="G181" s="119" t="s">
        <v>472</v>
      </c>
      <c r="H181" s="119" t="s">
        <v>79</v>
      </c>
      <c r="I181" s="208">
        <v>4.9795905393605309E-2</v>
      </c>
      <c r="J181" s="119" t="s">
        <v>473</v>
      </c>
      <c r="K181" s="119" t="s">
        <v>470</v>
      </c>
      <c r="L181" s="209">
        <v>6443.3411784055588</v>
      </c>
      <c r="M181" s="52">
        <f>SUM(L181/2000)</f>
        <v>3.2216705892027795</v>
      </c>
      <c r="N181" s="52"/>
      <c r="O181" s="59">
        <f>SUM(M181/365)</f>
        <v>8.8264947649391214E-3</v>
      </c>
    </row>
    <row r="182" spans="1:16">
      <c r="A182" s="119" t="s">
        <v>482</v>
      </c>
      <c r="B182" s="119" t="s">
        <v>468</v>
      </c>
      <c r="C182" s="119" t="s">
        <v>483</v>
      </c>
      <c r="D182" s="208">
        <v>129395</v>
      </c>
      <c r="E182" s="119" t="s">
        <v>470</v>
      </c>
      <c r="F182" s="119" t="s">
        <v>474</v>
      </c>
      <c r="G182" s="119" t="s">
        <v>475</v>
      </c>
      <c r="H182" s="119" t="s">
        <v>79</v>
      </c>
      <c r="I182" s="208">
        <v>0.35276043206143676</v>
      </c>
      <c r="J182" s="119" t="s">
        <v>473</v>
      </c>
      <c r="K182" s="119" t="s">
        <v>470</v>
      </c>
      <c r="L182" s="209">
        <v>45645.436106589608</v>
      </c>
      <c r="M182" s="52">
        <f>SUM(L182/2000)</f>
        <v>22.822718053294803</v>
      </c>
      <c r="N182" s="52"/>
      <c r="O182" s="59">
        <f>SUM(M182/365)</f>
        <v>6.2527994666561101E-2</v>
      </c>
    </row>
    <row r="183" spans="1:16">
      <c r="A183" s="119" t="s">
        <v>482</v>
      </c>
      <c r="B183" s="119" t="s">
        <v>468</v>
      </c>
      <c r="C183" s="119" t="s">
        <v>483</v>
      </c>
      <c r="D183" s="208">
        <v>129395</v>
      </c>
      <c r="E183" s="119" t="s">
        <v>470</v>
      </c>
      <c r="F183" s="119" t="s">
        <v>476</v>
      </c>
      <c r="G183" s="119" t="s">
        <v>477</v>
      </c>
      <c r="H183" s="119" t="s">
        <v>79</v>
      </c>
      <c r="I183" s="208">
        <v>0</v>
      </c>
      <c r="J183" s="119" t="s">
        <v>473</v>
      </c>
      <c r="K183" s="119" t="s">
        <v>470</v>
      </c>
      <c r="L183" s="209">
        <v>0</v>
      </c>
      <c r="M183" s="52">
        <f>SUM(L183/2000)</f>
        <v>0</v>
      </c>
      <c r="N183" s="52"/>
      <c r="O183" s="59">
        <f>SUM(M183/365)</f>
        <v>0</v>
      </c>
    </row>
    <row r="184" spans="1:16">
      <c r="A184" s="119" t="s">
        <v>482</v>
      </c>
      <c r="B184" s="119" t="s">
        <v>468</v>
      </c>
      <c r="C184" s="119" t="s">
        <v>483</v>
      </c>
      <c r="D184" s="208">
        <v>129395</v>
      </c>
      <c r="E184" s="119" t="s">
        <v>470</v>
      </c>
      <c r="F184" s="119" t="s">
        <v>478</v>
      </c>
      <c r="G184" s="119" t="s">
        <v>479</v>
      </c>
      <c r="H184" s="119" t="s">
        <v>79</v>
      </c>
      <c r="I184" s="208">
        <v>0.1031106931896448</v>
      </c>
      <c r="J184" s="119" t="s">
        <v>473</v>
      </c>
      <c r="K184" s="119" t="s">
        <v>470</v>
      </c>
      <c r="L184" s="209">
        <v>13342.008145274089</v>
      </c>
      <c r="M184" s="52">
        <f>SUM(L184/2000)</f>
        <v>6.6710040726370448</v>
      </c>
      <c r="N184" s="52"/>
      <c r="O184" s="59">
        <f>SUM(M184/365)</f>
        <v>1.8276723486676836E-2</v>
      </c>
    </row>
    <row r="185" spans="1:16">
      <c r="A185" s="119" t="s">
        <v>482</v>
      </c>
      <c r="B185" s="119" t="s">
        <v>468</v>
      </c>
      <c r="C185" s="119" t="s">
        <v>483</v>
      </c>
      <c r="D185" s="208">
        <v>129395</v>
      </c>
      <c r="E185" s="119" t="s">
        <v>470</v>
      </c>
      <c r="F185" s="119" t="s">
        <v>480</v>
      </c>
      <c r="G185" s="119" t="s">
        <v>481</v>
      </c>
      <c r="H185" s="119" t="s">
        <v>79</v>
      </c>
      <c r="I185" s="208">
        <v>6.9941444709220122E-3</v>
      </c>
      <c r="J185" s="119" t="s">
        <v>473</v>
      </c>
      <c r="K185" s="119" t="s">
        <v>470</v>
      </c>
      <c r="L185" s="209">
        <v>905.00732381495379</v>
      </c>
      <c r="M185" s="52">
        <f>SUM(L185/2000)</f>
        <v>0.45250366190747687</v>
      </c>
      <c r="N185" s="52"/>
      <c r="O185" s="59">
        <f>SUM(M185/365)</f>
        <v>1.2397360600204846E-3</v>
      </c>
    </row>
    <row r="186" spans="1:16">
      <c r="A186" s="119"/>
      <c r="B186" s="119"/>
      <c r="C186" s="119"/>
      <c r="D186" s="208"/>
      <c r="E186" s="119"/>
      <c r="F186" s="119"/>
      <c r="G186" s="119"/>
      <c r="H186" s="119"/>
      <c r="I186" s="208"/>
      <c r="J186" s="119"/>
      <c r="K186" s="119"/>
      <c r="L186" s="209"/>
      <c r="M186" s="52"/>
      <c r="N186" s="59">
        <f>SUM(M181:M185)</f>
        <v>33.167896377042105</v>
      </c>
      <c r="O186" s="59"/>
      <c r="P186" s="59">
        <f>SUM(O181:O185)</f>
        <v>9.087094897819753E-2</v>
      </c>
    </row>
    <row r="187" spans="1:16">
      <c r="A187" s="119" t="s">
        <v>484</v>
      </c>
      <c r="B187" s="119" t="s">
        <v>468</v>
      </c>
      <c r="C187" s="119" t="s">
        <v>485</v>
      </c>
      <c r="D187" s="208">
        <v>545823</v>
      </c>
      <c r="E187" s="119" t="s">
        <v>470</v>
      </c>
      <c r="F187" s="119" t="s">
        <v>471</v>
      </c>
      <c r="G187" s="119" t="s">
        <v>472</v>
      </c>
      <c r="H187" s="119" t="s">
        <v>79</v>
      </c>
      <c r="I187" s="208">
        <v>4.9795905393605309E-2</v>
      </c>
      <c r="J187" s="119" t="s">
        <v>473</v>
      </c>
      <c r="K187" s="119" t="s">
        <v>470</v>
      </c>
      <c r="L187" s="209">
        <v>27179.750469653831</v>
      </c>
      <c r="M187" s="52">
        <f>SUM(L187/2000)</f>
        <v>13.589875234826916</v>
      </c>
      <c r="N187" s="52"/>
      <c r="O187" s="59">
        <f>SUM(M187/365)</f>
        <v>3.7232534889936754E-2</v>
      </c>
    </row>
    <row r="188" spans="1:16">
      <c r="A188" s="119" t="s">
        <v>484</v>
      </c>
      <c r="B188" s="119" t="s">
        <v>468</v>
      </c>
      <c r="C188" s="119" t="s">
        <v>485</v>
      </c>
      <c r="D188" s="208">
        <v>545823</v>
      </c>
      <c r="E188" s="119" t="s">
        <v>470</v>
      </c>
      <c r="F188" s="119" t="s">
        <v>474</v>
      </c>
      <c r="G188" s="119" t="s">
        <v>475</v>
      </c>
      <c r="H188" s="119" t="s">
        <v>79</v>
      </c>
      <c r="I188" s="208">
        <v>0.35276043206143676</v>
      </c>
      <c r="J188" s="119" t="s">
        <v>473</v>
      </c>
      <c r="K188" s="119" t="s">
        <v>470</v>
      </c>
      <c r="L188" s="209">
        <v>192544.7573090696</v>
      </c>
      <c r="M188" s="52">
        <f>SUM(L188/2000)</f>
        <v>96.272378654534791</v>
      </c>
      <c r="N188" s="52"/>
      <c r="O188" s="59">
        <f>SUM(M188/365)</f>
        <v>0.2637599415192734</v>
      </c>
    </row>
    <row r="189" spans="1:16">
      <c r="A189" s="119" t="s">
        <v>484</v>
      </c>
      <c r="B189" s="119" t="s">
        <v>468</v>
      </c>
      <c r="C189" s="119" t="s">
        <v>485</v>
      </c>
      <c r="D189" s="208">
        <v>545823</v>
      </c>
      <c r="E189" s="119" t="s">
        <v>470</v>
      </c>
      <c r="F189" s="119" t="s">
        <v>476</v>
      </c>
      <c r="G189" s="119" t="s">
        <v>477</v>
      </c>
      <c r="H189" s="119" t="s">
        <v>79</v>
      </c>
      <c r="I189" s="208">
        <v>0</v>
      </c>
      <c r="J189" s="119" t="s">
        <v>473</v>
      </c>
      <c r="K189" s="119" t="s">
        <v>470</v>
      </c>
      <c r="L189" s="209">
        <v>0</v>
      </c>
      <c r="M189" s="52">
        <f>SUM(L189/2000)</f>
        <v>0</v>
      </c>
      <c r="N189" s="52"/>
      <c r="O189" s="59">
        <f>SUM(M189/365)</f>
        <v>0</v>
      </c>
    </row>
    <row r="190" spans="1:16">
      <c r="A190" s="119" t="s">
        <v>484</v>
      </c>
      <c r="B190" s="119" t="s">
        <v>468</v>
      </c>
      <c r="C190" s="119" t="s">
        <v>485</v>
      </c>
      <c r="D190" s="208">
        <v>545823</v>
      </c>
      <c r="E190" s="119" t="s">
        <v>470</v>
      </c>
      <c r="F190" s="119" t="s">
        <v>478</v>
      </c>
      <c r="G190" s="119" t="s">
        <v>479</v>
      </c>
      <c r="H190" s="119" t="s">
        <v>79</v>
      </c>
      <c r="I190" s="208">
        <v>0.1031106931896448</v>
      </c>
      <c r="J190" s="119" t="s">
        <v>473</v>
      </c>
      <c r="K190" s="119" t="s">
        <v>470</v>
      </c>
      <c r="L190" s="209">
        <v>56280.187888851498</v>
      </c>
      <c r="M190" s="52">
        <f>SUM(L190/2000)</f>
        <v>28.14009394442575</v>
      </c>
      <c r="N190" s="52"/>
      <c r="O190" s="59">
        <f>SUM(M190/365)</f>
        <v>7.7096147792947267E-2</v>
      </c>
    </row>
    <row r="191" spans="1:16">
      <c r="A191" s="119" t="s">
        <v>484</v>
      </c>
      <c r="B191" s="119" t="s">
        <v>468</v>
      </c>
      <c r="C191" s="119" t="s">
        <v>485</v>
      </c>
      <c r="D191" s="208">
        <v>545823</v>
      </c>
      <c r="E191" s="119" t="s">
        <v>470</v>
      </c>
      <c r="F191" s="119" t="s">
        <v>480</v>
      </c>
      <c r="G191" s="119" t="s">
        <v>481</v>
      </c>
      <c r="H191" s="119" t="s">
        <v>79</v>
      </c>
      <c r="I191" s="208">
        <v>6.9941444709220122E-3</v>
      </c>
      <c r="J191" s="119" t="s">
        <v>473</v>
      </c>
      <c r="K191" s="119" t="s">
        <v>470</v>
      </c>
      <c r="L191" s="209">
        <v>3817.5649175520653</v>
      </c>
      <c r="M191" s="52">
        <f>SUM(L191/2000)</f>
        <v>1.9087824587760327</v>
      </c>
      <c r="N191" s="52"/>
      <c r="O191" s="59">
        <f>SUM(M191/365)</f>
        <v>5.229540982948035E-3</v>
      </c>
    </row>
    <row r="192" spans="1:16">
      <c r="A192" s="119"/>
      <c r="B192" s="119"/>
      <c r="C192" s="119"/>
      <c r="D192" s="208"/>
      <c r="E192" s="119"/>
      <c r="F192" s="119"/>
      <c r="G192" s="119"/>
      <c r="H192" s="119"/>
      <c r="I192" s="208"/>
      <c r="J192" s="119"/>
      <c r="K192" s="119"/>
      <c r="L192" s="209"/>
      <c r="M192" s="52"/>
      <c r="N192" s="59">
        <f>SUM(M187:M191)</f>
        <v>139.91113029256351</v>
      </c>
      <c r="O192" s="59"/>
      <c r="P192" s="59">
        <f>SUM(O187:O191)</f>
        <v>0.38331816518510547</v>
      </c>
    </row>
    <row r="193" spans="1:16">
      <c r="A193" s="119" t="s">
        <v>486</v>
      </c>
      <c r="B193" s="119" t="s">
        <v>468</v>
      </c>
      <c r="C193" s="119" t="s">
        <v>487</v>
      </c>
      <c r="D193" s="208">
        <v>15527</v>
      </c>
      <c r="E193" s="119" t="s">
        <v>470</v>
      </c>
      <c r="F193" s="119" t="s">
        <v>471</v>
      </c>
      <c r="G193" s="119" t="s">
        <v>472</v>
      </c>
      <c r="H193" s="119" t="s">
        <v>79</v>
      </c>
      <c r="I193" s="208">
        <v>4.9795905393605309E-2</v>
      </c>
      <c r="J193" s="119" t="s">
        <v>473</v>
      </c>
      <c r="K193" s="119" t="s">
        <v>470</v>
      </c>
      <c r="L193" s="209">
        <v>773.18102304650961</v>
      </c>
      <c r="M193" s="52">
        <f>SUM(L193/2000)</f>
        <v>0.3865905115232548</v>
      </c>
      <c r="N193" s="52"/>
      <c r="O193" s="59">
        <f>SUM(M193/365)</f>
        <v>1.0591520863650816E-3</v>
      </c>
    </row>
    <row r="194" spans="1:16">
      <c r="A194" s="119" t="s">
        <v>486</v>
      </c>
      <c r="B194" s="119" t="s">
        <v>468</v>
      </c>
      <c r="C194" s="119" t="s">
        <v>487</v>
      </c>
      <c r="D194" s="208">
        <v>15527</v>
      </c>
      <c r="E194" s="119" t="s">
        <v>470</v>
      </c>
      <c r="F194" s="119" t="s">
        <v>474</v>
      </c>
      <c r="G194" s="119" t="s">
        <v>475</v>
      </c>
      <c r="H194" s="119" t="s">
        <v>79</v>
      </c>
      <c r="I194" s="208">
        <v>0.35276043206143676</v>
      </c>
      <c r="J194" s="119" t="s">
        <v>473</v>
      </c>
      <c r="K194" s="119" t="s">
        <v>470</v>
      </c>
      <c r="L194" s="209">
        <v>5477.3112286179285</v>
      </c>
      <c r="M194" s="52">
        <f>SUM(L194/2000)</f>
        <v>2.7386556143089642</v>
      </c>
      <c r="N194" s="52"/>
      <c r="O194" s="59">
        <f>SUM(M194/365)</f>
        <v>7.5031660665999022E-3</v>
      </c>
    </row>
    <row r="195" spans="1:16">
      <c r="A195" s="119" t="s">
        <v>486</v>
      </c>
      <c r="B195" s="119" t="s">
        <v>468</v>
      </c>
      <c r="C195" s="119" t="s">
        <v>487</v>
      </c>
      <c r="D195" s="208">
        <v>15527</v>
      </c>
      <c r="E195" s="119" t="s">
        <v>470</v>
      </c>
      <c r="F195" s="119" t="s">
        <v>476</v>
      </c>
      <c r="G195" s="119" t="s">
        <v>477</v>
      </c>
      <c r="H195" s="119" t="s">
        <v>79</v>
      </c>
      <c r="I195" s="208">
        <v>0</v>
      </c>
      <c r="J195" s="119" t="s">
        <v>473</v>
      </c>
      <c r="K195" s="119" t="s">
        <v>470</v>
      </c>
      <c r="L195" s="209">
        <v>0</v>
      </c>
      <c r="M195" s="52">
        <f>SUM(L195/2000)</f>
        <v>0</v>
      </c>
      <c r="N195" s="52"/>
      <c r="O195" s="59">
        <f>SUM(M195/365)</f>
        <v>0</v>
      </c>
    </row>
    <row r="196" spans="1:16">
      <c r="A196" s="119" t="s">
        <v>486</v>
      </c>
      <c r="B196" s="119" t="s">
        <v>468</v>
      </c>
      <c r="C196" s="119" t="s">
        <v>487</v>
      </c>
      <c r="D196" s="208">
        <v>15527</v>
      </c>
      <c r="E196" s="119" t="s">
        <v>470</v>
      </c>
      <c r="F196" s="119" t="s">
        <v>478</v>
      </c>
      <c r="G196" s="119" t="s">
        <v>479</v>
      </c>
      <c r="H196" s="119" t="s">
        <v>79</v>
      </c>
      <c r="I196" s="208">
        <v>0.1031106931896448</v>
      </c>
      <c r="J196" s="119" t="s">
        <v>473</v>
      </c>
      <c r="K196" s="119" t="s">
        <v>470</v>
      </c>
      <c r="L196" s="209">
        <v>1600.9997331556149</v>
      </c>
      <c r="M196" s="52">
        <f>SUM(L196/2000)</f>
        <v>0.80049986657780747</v>
      </c>
      <c r="N196" s="52"/>
      <c r="O196" s="59">
        <f>SUM(M196/365)</f>
        <v>2.1931503193912535E-3</v>
      </c>
    </row>
    <row r="197" spans="1:16">
      <c r="A197" s="119" t="s">
        <v>486</v>
      </c>
      <c r="B197" s="119" t="s">
        <v>468</v>
      </c>
      <c r="C197" s="119" t="s">
        <v>487</v>
      </c>
      <c r="D197" s="208">
        <v>15527</v>
      </c>
      <c r="E197" s="119" t="s">
        <v>470</v>
      </c>
      <c r="F197" s="119" t="s">
        <v>480</v>
      </c>
      <c r="G197" s="119" t="s">
        <v>481</v>
      </c>
      <c r="H197" s="119" t="s">
        <v>79</v>
      </c>
      <c r="I197" s="208">
        <v>6.9941444709220122E-3</v>
      </c>
      <c r="J197" s="119" t="s">
        <v>473</v>
      </c>
      <c r="K197" s="119" t="s">
        <v>470</v>
      </c>
      <c r="L197" s="209">
        <v>108.59808120000608</v>
      </c>
      <c r="M197" s="52">
        <f>SUM(L197/2000)</f>
        <v>5.429904060000304E-2</v>
      </c>
      <c r="N197" s="52"/>
      <c r="O197" s="59">
        <f>SUM(M197/365)</f>
        <v>1.4876449479452888E-4</v>
      </c>
    </row>
    <row r="198" spans="1:16">
      <c r="A198" s="119"/>
      <c r="B198" s="119"/>
      <c r="C198" s="119"/>
      <c r="D198" s="208"/>
      <c r="E198" s="119"/>
      <c r="F198" s="119"/>
      <c r="G198" s="119"/>
      <c r="H198" s="119"/>
      <c r="I198" s="208"/>
      <c r="J198" s="119"/>
      <c r="K198" s="119"/>
      <c r="L198" s="209"/>
      <c r="M198" s="52"/>
      <c r="N198" s="59">
        <f>SUM(M193:M197)</f>
        <v>3.9800450330100299</v>
      </c>
      <c r="O198" s="59"/>
      <c r="P198" s="59">
        <f>SUM(O193:O197)</f>
        <v>1.0904232967150767E-2</v>
      </c>
    </row>
    <row r="199" spans="1:16">
      <c r="A199" s="119" t="s">
        <v>488</v>
      </c>
      <c r="B199" s="119" t="s">
        <v>468</v>
      </c>
      <c r="C199" s="119" t="s">
        <v>489</v>
      </c>
      <c r="D199" s="208">
        <v>736457</v>
      </c>
      <c r="E199" s="119" t="s">
        <v>470</v>
      </c>
      <c r="F199" s="119" t="s">
        <v>471</v>
      </c>
      <c r="G199" s="119" t="s">
        <v>472</v>
      </c>
      <c r="H199" s="119" t="s">
        <v>79</v>
      </c>
      <c r="I199" s="208">
        <v>4.9795905393605309E-2</v>
      </c>
      <c r="J199" s="119" t="s">
        <v>473</v>
      </c>
      <c r="K199" s="119" t="s">
        <v>470</v>
      </c>
      <c r="L199" s="209">
        <v>36672.543098458387</v>
      </c>
      <c r="M199" s="52">
        <f>SUM(L199/2000)</f>
        <v>18.336271549229192</v>
      </c>
      <c r="N199" s="52"/>
      <c r="O199" s="59">
        <f>SUM(M199/365)</f>
        <v>5.0236360408847103E-2</v>
      </c>
    </row>
    <row r="200" spans="1:16">
      <c r="A200" s="119" t="s">
        <v>488</v>
      </c>
      <c r="B200" s="119" t="s">
        <v>468</v>
      </c>
      <c r="C200" s="119" t="s">
        <v>489</v>
      </c>
      <c r="D200" s="208">
        <v>736457</v>
      </c>
      <c r="E200" s="119" t="s">
        <v>470</v>
      </c>
      <c r="F200" s="119" t="s">
        <v>474</v>
      </c>
      <c r="G200" s="119" t="s">
        <v>475</v>
      </c>
      <c r="H200" s="119" t="s">
        <v>79</v>
      </c>
      <c r="I200" s="208">
        <v>0.35276043206143676</v>
      </c>
      <c r="J200" s="119" t="s">
        <v>473</v>
      </c>
      <c r="K200" s="119" t="s">
        <v>470</v>
      </c>
      <c r="L200" s="209">
        <v>259792.88951466954</v>
      </c>
      <c r="M200" s="52">
        <f>SUM(L200/2000)</f>
        <v>129.89644475733476</v>
      </c>
      <c r="N200" s="52"/>
      <c r="O200" s="59">
        <f>SUM(M200/365)</f>
        <v>0.35588067056804046</v>
      </c>
    </row>
    <row r="201" spans="1:16">
      <c r="A201" s="119" t="s">
        <v>488</v>
      </c>
      <c r="B201" s="119" t="s">
        <v>468</v>
      </c>
      <c r="C201" s="119" t="s">
        <v>489</v>
      </c>
      <c r="D201" s="208">
        <v>736457</v>
      </c>
      <c r="E201" s="119" t="s">
        <v>470</v>
      </c>
      <c r="F201" s="119" t="s">
        <v>476</v>
      </c>
      <c r="G201" s="119" t="s">
        <v>477</v>
      </c>
      <c r="H201" s="119" t="s">
        <v>79</v>
      </c>
      <c r="I201" s="208">
        <v>0</v>
      </c>
      <c r="J201" s="119" t="s">
        <v>473</v>
      </c>
      <c r="K201" s="119" t="s">
        <v>470</v>
      </c>
      <c r="L201" s="209">
        <v>0</v>
      </c>
      <c r="M201" s="52">
        <f>SUM(L201/2000)</f>
        <v>0</v>
      </c>
      <c r="N201" s="52"/>
      <c r="O201" s="59">
        <f>SUM(M201/365)</f>
        <v>0</v>
      </c>
    </row>
    <row r="202" spans="1:16">
      <c r="A202" s="119" t="s">
        <v>488</v>
      </c>
      <c r="B202" s="119" t="s">
        <v>468</v>
      </c>
      <c r="C202" s="119" t="s">
        <v>489</v>
      </c>
      <c r="D202" s="208">
        <v>736457</v>
      </c>
      <c r="E202" s="119" t="s">
        <v>470</v>
      </c>
      <c r="F202" s="119" t="s">
        <v>478</v>
      </c>
      <c r="G202" s="119" t="s">
        <v>479</v>
      </c>
      <c r="H202" s="119" t="s">
        <v>79</v>
      </c>
      <c r="I202" s="208">
        <v>0.1031106931896448</v>
      </c>
      <c r="J202" s="119" t="s">
        <v>473</v>
      </c>
      <c r="K202" s="119" t="s">
        <v>470</v>
      </c>
      <c r="L202" s="209">
        <v>75936.591774366243</v>
      </c>
      <c r="M202" s="52">
        <f>SUM(L202/2000)</f>
        <v>37.968295887183125</v>
      </c>
      <c r="N202" s="52"/>
      <c r="O202" s="59">
        <f>SUM(M202/365)</f>
        <v>0.10402272845803595</v>
      </c>
    </row>
    <row r="203" spans="1:16">
      <c r="A203" s="119" t="s">
        <v>488</v>
      </c>
      <c r="B203" s="119" t="s">
        <v>468</v>
      </c>
      <c r="C203" s="119" t="s">
        <v>489</v>
      </c>
      <c r="D203" s="208">
        <v>736457</v>
      </c>
      <c r="E203" s="119" t="s">
        <v>470</v>
      </c>
      <c r="F203" s="119" t="s">
        <v>480</v>
      </c>
      <c r="G203" s="119" t="s">
        <v>481</v>
      </c>
      <c r="H203" s="119" t="s">
        <v>79</v>
      </c>
      <c r="I203" s="208">
        <v>6.9941444709220122E-3</v>
      </c>
      <c r="J203" s="119" t="s">
        <v>473</v>
      </c>
      <c r="K203" s="119" t="s">
        <v>470</v>
      </c>
      <c r="L203" s="209">
        <v>5150.8866546218123</v>
      </c>
      <c r="M203" s="52">
        <f>SUM(L203/2000)</f>
        <v>2.5754433273109063</v>
      </c>
      <c r="N203" s="52"/>
      <c r="O203" s="59">
        <f>SUM(M203/365)</f>
        <v>7.056009115920291E-3</v>
      </c>
    </row>
    <row r="204" spans="1:16">
      <c r="A204" s="119"/>
      <c r="B204" s="119"/>
      <c r="C204" s="119"/>
      <c r="D204" s="208"/>
      <c r="E204" s="119"/>
      <c r="F204" s="119"/>
      <c r="G204" s="119"/>
      <c r="H204" s="119"/>
      <c r="I204" s="208"/>
      <c r="J204" s="119"/>
      <c r="K204" s="119"/>
      <c r="L204" s="209"/>
      <c r="M204" s="52"/>
      <c r="N204" s="59">
        <f>SUM(M199:M203)</f>
        <v>188.77645552105798</v>
      </c>
      <c r="O204" s="59"/>
      <c r="P204" s="59">
        <f>SUM(O199:O203)</f>
        <v>0.51719576855084382</v>
      </c>
    </row>
    <row r="205" spans="1:16">
      <c r="A205" s="119" t="s">
        <v>490</v>
      </c>
      <c r="B205" s="119" t="s">
        <v>468</v>
      </c>
      <c r="C205" s="119" t="s">
        <v>491</v>
      </c>
      <c r="D205" s="208">
        <v>71735</v>
      </c>
      <c r="E205" s="119" t="s">
        <v>470</v>
      </c>
      <c r="F205" s="119" t="s">
        <v>471</v>
      </c>
      <c r="G205" s="119" t="s">
        <v>472</v>
      </c>
      <c r="H205" s="119" t="s">
        <v>79</v>
      </c>
      <c r="I205" s="208">
        <v>4.9795905393605309E-2</v>
      </c>
      <c r="J205" s="119" t="s">
        <v>473</v>
      </c>
      <c r="K205" s="119" t="s">
        <v>470</v>
      </c>
      <c r="L205" s="209">
        <v>3572.1092734102767</v>
      </c>
      <c r="M205" s="52">
        <f>SUM(L205/2000)</f>
        <v>1.7860546367051384</v>
      </c>
      <c r="N205" s="52"/>
      <c r="O205" s="59">
        <f>SUM(M205/365)</f>
        <v>4.8933003745346261E-3</v>
      </c>
    </row>
    <row r="206" spans="1:16">
      <c r="A206" s="119" t="s">
        <v>490</v>
      </c>
      <c r="B206" s="119" t="s">
        <v>468</v>
      </c>
      <c r="C206" s="119" t="s">
        <v>491</v>
      </c>
      <c r="D206" s="208">
        <v>71735</v>
      </c>
      <c r="E206" s="119" t="s">
        <v>470</v>
      </c>
      <c r="F206" s="119" t="s">
        <v>474</v>
      </c>
      <c r="G206" s="119" t="s">
        <v>475</v>
      </c>
      <c r="H206" s="119" t="s">
        <v>79</v>
      </c>
      <c r="I206" s="208">
        <v>0.35276043206143676</v>
      </c>
      <c r="J206" s="119" t="s">
        <v>473</v>
      </c>
      <c r="K206" s="119" t="s">
        <v>470</v>
      </c>
      <c r="L206" s="209">
        <v>25305.269593927165</v>
      </c>
      <c r="M206" s="52">
        <f>SUM(L206/2000)</f>
        <v>12.652634796963582</v>
      </c>
      <c r="N206" s="52"/>
      <c r="O206" s="59">
        <f>SUM(M206/365)</f>
        <v>3.4664752868393378E-2</v>
      </c>
    </row>
    <row r="207" spans="1:16">
      <c r="A207" s="119" t="s">
        <v>490</v>
      </c>
      <c r="B207" s="119" t="s">
        <v>468</v>
      </c>
      <c r="C207" s="119" t="s">
        <v>491</v>
      </c>
      <c r="D207" s="208">
        <v>71735</v>
      </c>
      <c r="E207" s="119" t="s">
        <v>470</v>
      </c>
      <c r="F207" s="119" t="s">
        <v>476</v>
      </c>
      <c r="G207" s="119" t="s">
        <v>477</v>
      </c>
      <c r="H207" s="119" t="s">
        <v>79</v>
      </c>
      <c r="I207" s="208">
        <v>0</v>
      </c>
      <c r="J207" s="119" t="s">
        <v>473</v>
      </c>
      <c r="K207" s="119" t="s">
        <v>470</v>
      </c>
      <c r="L207" s="209">
        <v>0</v>
      </c>
      <c r="M207" s="52">
        <f>SUM(L207/2000)</f>
        <v>0</v>
      </c>
      <c r="N207" s="52"/>
      <c r="O207" s="59">
        <f>SUM(M207/365)</f>
        <v>0</v>
      </c>
    </row>
    <row r="208" spans="1:16">
      <c r="A208" s="119" t="s">
        <v>490</v>
      </c>
      <c r="B208" s="119" t="s">
        <v>468</v>
      </c>
      <c r="C208" s="119" t="s">
        <v>491</v>
      </c>
      <c r="D208" s="208">
        <v>71735</v>
      </c>
      <c r="E208" s="119" t="s">
        <v>470</v>
      </c>
      <c r="F208" s="119" t="s">
        <v>478</v>
      </c>
      <c r="G208" s="119" t="s">
        <v>479</v>
      </c>
      <c r="H208" s="119" t="s">
        <v>79</v>
      </c>
      <c r="I208" s="208">
        <v>0.1031106931896448</v>
      </c>
      <c r="J208" s="119" t="s">
        <v>473</v>
      </c>
      <c r="K208" s="119" t="s">
        <v>470</v>
      </c>
      <c r="L208" s="209">
        <v>7396.6455759591699</v>
      </c>
      <c r="M208" s="52">
        <f>SUM(L208/2000)</f>
        <v>3.6983227879795848</v>
      </c>
      <c r="N208" s="52"/>
      <c r="O208" s="59">
        <f>SUM(M208/365)</f>
        <v>1.0132391199944068E-2</v>
      </c>
    </row>
    <row r="209" spans="1:16">
      <c r="A209" s="119" t="s">
        <v>490</v>
      </c>
      <c r="B209" s="119" t="s">
        <v>468</v>
      </c>
      <c r="C209" s="119" t="s">
        <v>491</v>
      </c>
      <c r="D209" s="208">
        <v>71735</v>
      </c>
      <c r="E209" s="119" t="s">
        <v>470</v>
      </c>
      <c r="F209" s="119" t="s">
        <v>480</v>
      </c>
      <c r="G209" s="119" t="s">
        <v>481</v>
      </c>
      <c r="H209" s="119" t="s">
        <v>79</v>
      </c>
      <c r="I209" s="208">
        <v>6.9941444709220122E-3</v>
      </c>
      <c r="J209" s="119" t="s">
        <v>473</v>
      </c>
      <c r="K209" s="119" t="s">
        <v>470</v>
      </c>
      <c r="L209" s="209">
        <v>501.72495362159054</v>
      </c>
      <c r="M209" s="52">
        <f>SUM(L209/2000)</f>
        <v>0.25086247681079527</v>
      </c>
      <c r="N209" s="52"/>
      <c r="O209" s="59">
        <f>SUM(M209/365)</f>
        <v>6.8729445701587748E-4</v>
      </c>
    </row>
    <row r="210" spans="1:16">
      <c r="A210" s="119"/>
      <c r="B210" s="119"/>
      <c r="C210" s="119"/>
      <c r="D210" s="208"/>
      <c r="E210" s="119"/>
      <c r="F210" s="119"/>
      <c r="G210" s="119"/>
      <c r="H210" s="119"/>
      <c r="I210" s="208"/>
      <c r="J210" s="119"/>
      <c r="K210" s="119"/>
      <c r="L210" s="209"/>
      <c r="M210" s="52"/>
      <c r="N210" s="59">
        <f>SUM(M205:M209)</f>
        <v>18.3878746984591</v>
      </c>
      <c r="O210" s="59"/>
      <c r="P210" s="59">
        <f>SUM(O205:O209)</f>
        <v>5.0377738899887947E-2</v>
      </c>
    </row>
    <row r="211" spans="1:16">
      <c r="A211" s="119" t="s">
        <v>492</v>
      </c>
      <c r="B211" s="119" t="s">
        <v>468</v>
      </c>
      <c r="C211" s="119" t="s">
        <v>493</v>
      </c>
      <c r="D211" s="208">
        <v>460840</v>
      </c>
      <c r="E211" s="119" t="s">
        <v>470</v>
      </c>
      <c r="F211" s="119" t="s">
        <v>471</v>
      </c>
      <c r="G211" s="119" t="s">
        <v>472</v>
      </c>
      <c r="H211" s="119" t="s">
        <v>79</v>
      </c>
      <c r="I211" s="208">
        <v>4.9795905393605309E-2</v>
      </c>
      <c r="J211" s="119" t="s">
        <v>473</v>
      </c>
      <c r="K211" s="119" t="s">
        <v>470</v>
      </c>
      <c r="L211" s="209">
        <v>22947.945041589071</v>
      </c>
      <c r="M211" s="52">
        <f>SUM(L211/2000)</f>
        <v>11.473972520794536</v>
      </c>
      <c r="N211" s="52"/>
      <c r="O211" s="59">
        <f>SUM(M211/365)</f>
        <v>3.1435541152861741E-2</v>
      </c>
    </row>
    <row r="212" spans="1:16">
      <c r="A212" s="119" t="s">
        <v>492</v>
      </c>
      <c r="B212" s="119" t="s">
        <v>468</v>
      </c>
      <c r="C212" s="119" t="s">
        <v>493</v>
      </c>
      <c r="D212" s="208">
        <v>460840</v>
      </c>
      <c r="E212" s="119" t="s">
        <v>470</v>
      </c>
      <c r="F212" s="119" t="s">
        <v>474</v>
      </c>
      <c r="G212" s="119" t="s">
        <v>475</v>
      </c>
      <c r="H212" s="119" t="s">
        <v>79</v>
      </c>
      <c r="I212" s="208">
        <v>0.35276043206143676</v>
      </c>
      <c r="J212" s="119" t="s">
        <v>473</v>
      </c>
      <c r="K212" s="119" t="s">
        <v>470</v>
      </c>
      <c r="L212" s="209">
        <v>162566.11751119251</v>
      </c>
      <c r="M212" s="52">
        <f>SUM(L212/2000)</f>
        <v>81.283058755596258</v>
      </c>
      <c r="N212" s="52"/>
      <c r="O212" s="59">
        <f>SUM(M212/365)</f>
        <v>0.22269331165916784</v>
      </c>
    </row>
    <row r="213" spans="1:16">
      <c r="A213" s="119" t="s">
        <v>492</v>
      </c>
      <c r="B213" s="119" t="s">
        <v>468</v>
      </c>
      <c r="C213" s="119" t="s">
        <v>493</v>
      </c>
      <c r="D213" s="208">
        <v>460840</v>
      </c>
      <c r="E213" s="119" t="s">
        <v>470</v>
      </c>
      <c r="F213" s="119" t="s">
        <v>476</v>
      </c>
      <c r="G213" s="119" t="s">
        <v>477</v>
      </c>
      <c r="H213" s="119" t="s">
        <v>79</v>
      </c>
      <c r="I213" s="208">
        <v>0</v>
      </c>
      <c r="J213" s="119" t="s">
        <v>473</v>
      </c>
      <c r="K213" s="119" t="s">
        <v>470</v>
      </c>
      <c r="L213" s="209">
        <v>0</v>
      </c>
      <c r="M213" s="52">
        <f>SUM(L213/2000)</f>
        <v>0</v>
      </c>
      <c r="N213" s="52"/>
      <c r="O213" s="59">
        <f>SUM(M213/365)</f>
        <v>0</v>
      </c>
    </row>
    <row r="214" spans="1:16">
      <c r="A214" s="119" t="s">
        <v>492</v>
      </c>
      <c r="B214" s="119" t="s">
        <v>468</v>
      </c>
      <c r="C214" s="119" t="s">
        <v>493</v>
      </c>
      <c r="D214" s="208">
        <v>460840</v>
      </c>
      <c r="E214" s="119" t="s">
        <v>470</v>
      </c>
      <c r="F214" s="119" t="s">
        <v>478</v>
      </c>
      <c r="G214" s="119" t="s">
        <v>479</v>
      </c>
      <c r="H214" s="119" t="s">
        <v>79</v>
      </c>
      <c r="I214" s="208">
        <v>0.1031106931896448</v>
      </c>
      <c r="J214" s="119" t="s">
        <v>473</v>
      </c>
      <c r="K214" s="119" t="s">
        <v>470</v>
      </c>
      <c r="L214" s="209">
        <v>47517.531849515908</v>
      </c>
      <c r="M214" s="52">
        <f>SUM(L214/2000)</f>
        <v>23.758765924757952</v>
      </c>
      <c r="N214" s="52"/>
      <c r="O214" s="59">
        <f>SUM(M214/365)</f>
        <v>6.5092509382898497E-2</v>
      </c>
    </row>
    <row r="215" spans="1:16">
      <c r="A215" s="119" t="s">
        <v>492</v>
      </c>
      <c r="B215" s="119" t="s">
        <v>468</v>
      </c>
      <c r="C215" s="119" t="s">
        <v>493</v>
      </c>
      <c r="D215" s="208">
        <v>460840</v>
      </c>
      <c r="E215" s="119" t="s">
        <v>470</v>
      </c>
      <c r="F215" s="119" t="s">
        <v>480</v>
      </c>
      <c r="G215" s="119" t="s">
        <v>481</v>
      </c>
      <c r="H215" s="119" t="s">
        <v>79</v>
      </c>
      <c r="I215" s="208">
        <v>6.9941444709220122E-3</v>
      </c>
      <c r="J215" s="119" t="s">
        <v>473</v>
      </c>
      <c r="K215" s="119" t="s">
        <v>470</v>
      </c>
      <c r="L215" s="209">
        <v>3223.1815379796999</v>
      </c>
      <c r="M215" s="52">
        <f>SUM(L215/2000)</f>
        <v>1.6115907689898499</v>
      </c>
      <c r="N215" s="52"/>
      <c r="O215" s="59">
        <f>SUM(M215/365)</f>
        <v>4.4153171753146571E-3</v>
      </c>
    </row>
    <row r="216" spans="1:16">
      <c r="A216" s="119"/>
      <c r="B216" s="119"/>
      <c r="C216" s="119"/>
      <c r="D216" s="208"/>
      <c r="E216" s="119"/>
      <c r="F216" s="119"/>
      <c r="G216" s="119"/>
      <c r="H216" s="119"/>
      <c r="I216" s="208"/>
      <c r="J216" s="119"/>
      <c r="K216" s="119"/>
      <c r="L216" s="209"/>
      <c r="M216" s="52"/>
      <c r="N216" s="59">
        <f>SUM(M211:M215)</f>
        <v>118.1273879701386</v>
      </c>
      <c r="O216" s="59"/>
      <c r="P216" s="59">
        <f>SUM(O211:O215)</f>
        <v>0.32363667937024276</v>
      </c>
    </row>
    <row r="217" spans="1:16" ht="25.5">
      <c r="A217" s="119" t="s">
        <v>494</v>
      </c>
      <c r="B217" s="119" t="s">
        <v>468</v>
      </c>
      <c r="C217" s="119" t="s">
        <v>495</v>
      </c>
      <c r="D217" s="208">
        <v>154983</v>
      </c>
      <c r="E217" s="119" t="s">
        <v>470</v>
      </c>
      <c r="F217" s="119" t="s">
        <v>471</v>
      </c>
      <c r="G217" s="119" t="s">
        <v>472</v>
      </c>
      <c r="H217" s="119" t="s">
        <v>79</v>
      </c>
      <c r="I217" s="208">
        <v>4.9795905393605309E-2</v>
      </c>
      <c r="J217" s="119" t="s">
        <v>473</v>
      </c>
      <c r="K217" s="119" t="s">
        <v>470</v>
      </c>
      <c r="L217" s="209">
        <v>7717.5188056171319</v>
      </c>
      <c r="M217" s="52">
        <f>SUM(L217/2000)</f>
        <v>3.8587594028085661</v>
      </c>
      <c r="N217" s="52"/>
      <c r="O217" s="59">
        <f>SUM(M217/365)</f>
        <v>1.0571943569338537E-2</v>
      </c>
    </row>
    <row r="218" spans="1:16" ht="25.5">
      <c r="A218" s="119" t="s">
        <v>494</v>
      </c>
      <c r="B218" s="119" t="s">
        <v>468</v>
      </c>
      <c r="C218" s="119" t="s">
        <v>495</v>
      </c>
      <c r="D218" s="208">
        <v>154983</v>
      </c>
      <c r="E218" s="119" t="s">
        <v>470</v>
      </c>
      <c r="F218" s="119" t="s">
        <v>474</v>
      </c>
      <c r="G218" s="119" t="s">
        <v>475</v>
      </c>
      <c r="H218" s="119" t="s">
        <v>79</v>
      </c>
      <c r="I218" s="208">
        <v>0.35276043206143676</v>
      </c>
      <c r="J218" s="119" t="s">
        <v>473</v>
      </c>
      <c r="K218" s="119" t="s">
        <v>470</v>
      </c>
      <c r="L218" s="209">
        <v>54671.870042177652</v>
      </c>
      <c r="M218" s="52">
        <f>SUM(L218/2000)</f>
        <v>27.335935021088826</v>
      </c>
      <c r="N218" s="52"/>
      <c r="O218" s="59">
        <f>SUM(M218/365)</f>
        <v>7.4892972660517337E-2</v>
      </c>
    </row>
    <row r="219" spans="1:16" ht="25.5">
      <c r="A219" s="119" t="s">
        <v>494</v>
      </c>
      <c r="B219" s="119" t="s">
        <v>468</v>
      </c>
      <c r="C219" s="119" t="s">
        <v>495</v>
      </c>
      <c r="D219" s="208">
        <v>154983</v>
      </c>
      <c r="E219" s="119" t="s">
        <v>470</v>
      </c>
      <c r="F219" s="119" t="s">
        <v>476</v>
      </c>
      <c r="G219" s="119" t="s">
        <v>477</v>
      </c>
      <c r="H219" s="119" t="s">
        <v>79</v>
      </c>
      <c r="I219" s="208">
        <v>0</v>
      </c>
      <c r="J219" s="119" t="s">
        <v>473</v>
      </c>
      <c r="K219" s="119" t="s">
        <v>470</v>
      </c>
      <c r="L219" s="209">
        <v>0</v>
      </c>
      <c r="M219" s="52">
        <f>SUM(L219/2000)</f>
        <v>0</v>
      </c>
      <c r="N219" s="52"/>
      <c r="O219" s="59">
        <f>SUM(M219/365)</f>
        <v>0</v>
      </c>
    </row>
    <row r="220" spans="1:16" ht="25.5">
      <c r="A220" s="119" t="s">
        <v>494</v>
      </c>
      <c r="B220" s="119" t="s">
        <v>468</v>
      </c>
      <c r="C220" s="119" t="s">
        <v>495</v>
      </c>
      <c r="D220" s="208">
        <v>154983</v>
      </c>
      <c r="E220" s="119" t="s">
        <v>470</v>
      </c>
      <c r="F220" s="119" t="s">
        <v>478</v>
      </c>
      <c r="G220" s="119" t="s">
        <v>479</v>
      </c>
      <c r="H220" s="119" t="s">
        <v>79</v>
      </c>
      <c r="I220" s="208">
        <v>0.1031106931896448</v>
      </c>
      <c r="J220" s="119" t="s">
        <v>473</v>
      </c>
      <c r="K220" s="119" t="s">
        <v>470</v>
      </c>
      <c r="L220" s="209">
        <v>15980.40456261072</v>
      </c>
      <c r="M220" s="52">
        <f>SUM(L220/2000)</f>
        <v>7.9902022813053604</v>
      </c>
      <c r="N220" s="52"/>
      <c r="O220" s="59">
        <f>SUM(M220/365)</f>
        <v>2.1890965154261262E-2</v>
      </c>
    </row>
    <row r="221" spans="1:16" ht="25.5">
      <c r="A221" s="119" t="s">
        <v>494</v>
      </c>
      <c r="B221" s="119" t="s">
        <v>468</v>
      </c>
      <c r="C221" s="119" t="s">
        <v>495</v>
      </c>
      <c r="D221" s="208">
        <v>154983</v>
      </c>
      <c r="E221" s="119" t="s">
        <v>470</v>
      </c>
      <c r="F221" s="119" t="s">
        <v>480</v>
      </c>
      <c r="G221" s="119" t="s">
        <v>481</v>
      </c>
      <c r="H221" s="119" t="s">
        <v>79</v>
      </c>
      <c r="I221" s="208">
        <v>6.9941444709220122E-3</v>
      </c>
      <c r="J221" s="119" t="s">
        <v>473</v>
      </c>
      <c r="K221" s="119" t="s">
        <v>470</v>
      </c>
      <c r="L221" s="209">
        <v>1083.9734925369062</v>
      </c>
      <c r="M221" s="52">
        <f>SUM(L221/2000)</f>
        <v>0.54198674626845311</v>
      </c>
      <c r="N221" s="52"/>
      <c r="O221" s="59">
        <f>SUM(M221/365)</f>
        <v>1.4848951952560359E-3</v>
      </c>
    </row>
    <row r="222" spans="1:16">
      <c r="A222" s="119"/>
      <c r="B222" s="119"/>
      <c r="C222" s="119"/>
      <c r="D222" s="208"/>
      <c r="E222" s="119"/>
      <c r="F222" s="119"/>
      <c r="G222" s="119"/>
      <c r="H222" s="119"/>
      <c r="I222" s="208"/>
      <c r="J222" s="119"/>
      <c r="K222" s="119"/>
      <c r="L222" s="209"/>
      <c r="M222" s="52"/>
      <c r="N222" s="59">
        <f>SUM(M217:M221)</f>
        <v>39.72688345147121</v>
      </c>
      <c r="O222" s="59"/>
      <c r="P222" s="59">
        <f>SUM(O217:O221)</f>
        <v>0.10884077657937317</v>
      </c>
    </row>
    <row r="223" spans="1:16" ht="25.5">
      <c r="A223" s="119" t="s">
        <v>496</v>
      </c>
      <c r="B223" s="119" t="s">
        <v>468</v>
      </c>
      <c r="C223" s="119" t="s">
        <v>497</v>
      </c>
      <c r="D223" s="208">
        <v>1482478</v>
      </c>
      <c r="E223" s="119" t="s">
        <v>470</v>
      </c>
      <c r="F223" s="119" t="s">
        <v>471</v>
      </c>
      <c r="G223" s="119" t="s">
        <v>472</v>
      </c>
      <c r="H223" s="119" t="s">
        <v>79</v>
      </c>
      <c r="I223" s="208">
        <v>4.9795905393605309E-2</v>
      </c>
      <c r="J223" s="119" t="s">
        <v>473</v>
      </c>
      <c r="K223" s="119" t="s">
        <v>470</v>
      </c>
      <c r="L223" s="209">
        <v>73821.334236101218</v>
      </c>
      <c r="M223" s="52">
        <f>SUM(L223/2000)</f>
        <v>36.910667118050611</v>
      </c>
      <c r="N223" s="52"/>
      <c r="O223" s="59">
        <f>SUM(M223/365)</f>
        <v>0.10112511539191948</v>
      </c>
    </row>
    <row r="224" spans="1:16" ht="25.5">
      <c r="A224" s="119" t="s">
        <v>496</v>
      </c>
      <c r="B224" s="119" t="s">
        <v>468</v>
      </c>
      <c r="C224" s="119" t="s">
        <v>497</v>
      </c>
      <c r="D224" s="208">
        <v>1482478</v>
      </c>
      <c r="E224" s="119" t="s">
        <v>470</v>
      </c>
      <c r="F224" s="119" t="s">
        <v>474</v>
      </c>
      <c r="G224" s="119" t="s">
        <v>475</v>
      </c>
      <c r="H224" s="119" t="s">
        <v>79</v>
      </c>
      <c r="I224" s="208">
        <v>0.35276043206143676</v>
      </c>
      <c r="J224" s="119" t="s">
        <v>473</v>
      </c>
      <c r="K224" s="119" t="s">
        <v>470</v>
      </c>
      <c r="L224" s="209">
        <v>522959.57980157464</v>
      </c>
      <c r="M224" s="52">
        <f>SUM(L224/2000)</f>
        <v>261.4797899007873</v>
      </c>
      <c r="N224" s="52"/>
      <c r="O224" s="59">
        <f>SUM(M224/365)</f>
        <v>0.71638298602955419</v>
      </c>
    </row>
    <row r="225" spans="1:16" ht="25.5">
      <c r="A225" s="119" t="s">
        <v>496</v>
      </c>
      <c r="B225" s="119" t="s">
        <v>468</v>
      </c>
      <c r="C225" s="119" t="s">
        <v>497</v>
      </c>
      <c r="D225" s="208">
        <v>1482478</v>
      </c>
      <c r="E225" s="119" t="s">
        <v>470</v>
      </c>
      <c r="F225" s="119" t="s">
        <v>476</v>
      </c>
      <c r="G225" s="119" t="s">
        <v>477</v>
      </c>
      <c r="H225" s="119" t="s">
        <v>79</v>
      </c>
      <c r="I225" s="208">
        <v>0</v>
      </c>
      <c r="J225" s="119" t="s">
        <v>473</v>
      </c>
      <c r="K225" s="119" t="s">
        <v>470</v>
      </c>
      <c r="L225" s="209">
        <v>0</v>
      </c>
      <c r="M225" s="52">
        <f>SUM(L225/2000)</f>
        <v>0</v>
      </c>
      <c r="N225" s="52"/>
      <c r="O225" s="59">
        <f>SUM(M225/365)</f>
        <v>0</v>
      </c>
    </row>
    <row r="226" spans="1:16" ht="25.5">
      <c r="A226" s="119" t="s">
        <v>496</v>
      </c>
      <c r="B226" s="119" t="s">
        <v>468</v>
      </c>
      <c r="C226" s="119" t="s">
        <v>497</v>
      </c>
      <c r="D226" s="208">
        <v>1482478</v>
      </c>
      <c r="E226" s="119" t="s">
        <v>470</v>
      </c>
      <c r="F226" s="119" t="s">
        <v>478</v>
      </c>
      <c r="G226" s="119" t="s">
        <v>479</v>
      </c>
      <c r="H226" s="119" t="s">
        <v>79</v>
      </c>
      <c r="I226" s="208">
        <v>0.1031106931896448</v>
      </c>
      <c r="J226" s="119" t="s">
        <v>473</v>
      </c>
      <c r="K226" s="119" t="s">
        <v>470</v>
      </c>
      <c r="L226" s="209">
        <v>152859.33421839826</v>
      </c>
      <c r="M226" s="52">
        <f>SUM(L226/2000)</f>
        <v>76.42966710919913</v>
      </c>
      <c r="N226" s="52"/>
      <c r="O226" s="59">
        <f>SUM(M226/365)</f>
        <v>0.20939634824438119</v>
      </c>
    </row>
    <row r="227" spans="1:16" ht="25.5">
      <c r="A227" s="119" t="s">
        <v>496</v>
      </c>
      <c r="B227" s="119" t="s">
        <v>468</v>
      </c>
      <c r="C227" s="119" t="s">
        <v>497</v>
      </c>
      <c r="D227" s="208">
        <v>1482478</v>
      </c>
      <c r="E227" s="119" t="s">
        <v>470</v>
      </c>
      <c r="F227" s="119" t="s">
        <v>480</v>
      </c>
      <c r="G227" s="119" t="s">
        <v>481</v>
      </c>
      <c r="H227" s="119" t="s">
        <v>79</v>
      </c>
      <c r="I227" s="208">
        <v>6.9941444709220122E-3</v>
      </c>
      <c r="J227" s="119" t="s">
        <v>473</v>
      </c>
      <c r="K227" s="119" t="s">
        <v>470</v>
      </c>
      <c r="L227" s="209">
        <v>10368.665306963523</v>
      </c>
      <c r="M227" s="52">
        <f>SUM(L227/2000)</f>
        <v>5.1843326534817615</v>
      </c>
      <c r="N227" s="52"/>
      <c r="O227" s="59">
        <f>SUM(M227/365)</f>
        <v>1.4203651105429484E-2</v>
      </c>
    </row>
    <row r="228" spans="1:16">
      <c r="A228" s="119"/>
      <c r="B228" s="119"/>
      <c r="C228" s="119"/>
      <c r="D228" s="208"/>
      <c r="E228" s="119"/>
      <c r="F228" s="119"/>
      <c r="G228" s="119"/>
      <c r="H228" s="119"/>
      <c r="I228" s="208"/>
      <c r="J228" s="119"/>
      <c r="K228" s="119"/>
      <c r="L228" s="209"/>
      <c r="M228" s="52"/>
      <c r="N228" s="59">
        <f>SUM(M223:M227)</f>
        <v>380.0044567815188</v>
      </c>
      <c r="O228" s="59"/>
      <c r="P228" s="59">
        <f>SUM(O223:O227)</f>
        <v>1.0411081007712844</v>
      </c>
    </row>
    <row r="229" spans="1:16" ht="25.5">
      <c r="A229" s="119" t="s">
        <v>498</v>
      </c>
      <c r="B229" s="119" t="s">
        <v>468</v>
      </c>
      <c r="C229" s="119" t="s">
        <v>499</v>
      </c>
      <c r="D229" s="208">
        <v>11215</v>
      </c>
      <c r="E229" s="119" t="s">
        <v>470</v>
      </c>
      <c r="F229" s="119" t="s">
        <v>471</v>
      </c>
      <c r="G229" s="119" t="s">
        <v>472</v>
      </c>
      <c r="H229" s="119" t="s">
        <v>79</v>
      </c>
      <c r="I229" s="208">
        <v>4.9795905393605309E-2</v>
      </c>
      <c r="J229" s="119" t="s">
        <v>473</v>
      </c>
      <c r="K229" s="119" t="s">
        <v>470</v>
      </c>
      <c r="L229" s="209">
        <v>558.46107898928358</v>
      </c>
      <c r="M229" s="52">
        <f>SUM(L229/2000)</f>
        <v>0.27923053949464177</v>
      </c>
      <c r="N229" s="52"/>
      <c r="O229" s="59">
        <f>SUM(M229/365)</f>
        <v>7.6501517669764867E-4</v>
      </c>
    </row>
    <row r="230" spans="1:16" ht="25.5">
      <c r="A230" s="119" t="s">
        <v>498</v>
      </c>
      <c r="B230" s="119" t="s">
        <v>468</v>
      </c>
      <c r="C230" s="119" t="s">
        <v>499</v>
      </c>
      <c r="D230" s="208">
        <v>11215</v>
      </c>
      <c r="E230" s="119" t="s">
        <v>470</v>
      </c>
      <c r="F230" s="119" t="s">
        <v>474</v>
      </c>
      <c r="G230" s="119" t="s">
        <v>475</v>
      </c>
      <c r="H230" s="119" t="s">
        <v>79</v>
      </c>
      <c r="I230" s="208">
        <v>0.35276043206143676</v>
      </c>
      <c r="J230" s="119" t="s">
        <v>473</v>
      </c>
      <c r="K230" s="119" t="s">
        <v>470</v>
      </c>
      <c r="L230" s="209">
        <v>3956.2082455690133</v>
      </c>
      <c r="M230" s="52">
        <f>SUM(L230/2000)</f>
        <v>1.9781041227845066</v>
      </c>
      <c r="N230" s="52"/>
      <c r="O230" s="59">
        <f>SUM(M230/365)</f>
        <v>5.4194633500945387E-3</v>
      </c>
    </row>
    <row r="231" spans="1:16" ht="25.5">
      <c r="A231" s="119" t="s">
        <v>498</v>
      </c>
      <c r="B231" s="119" t="s">
        <v>468</v>
      </c>
      <c r="C231" s="119" t="s">
        <v>499</v>
      </c>
      <c r="D231" s="208">
        <v>11215</v>
      </c>
      <c r="E231" s="119" t="s">
        <v>470</v>
      </c>
      <c r="F231" s="119" t="s">
        <v>476</v>
      </c>
      <c r="G231" s="119" t="s">
        <v>477</v>
      </c>
      <c r="H231" s="119" t="s">
        <v>79</v>
      </c>
      <c r="I231" s="208">
        <v>0</v>
      </c>
      <c r="J231" s="119" t="s">
        <v>473</v>
      </c>
      <c r="K231" s="119" t="s">
        <v>470</v>
      </c>
      <c r="L231" s="209">
        <v>0</v>
      </c>
      <c r="M231" s="52">
        <f>SUM(L231/2000)</f>
        <v>0</v>
      </c>
      <c r="N231" s="52"/>
      <c r="O231" s="59">
        <f>SUM(M231/365)</f>
        <v>0</v>
      </c>
    </row>
    <row r="232" spans="1:16" ht="25.5">
      <c r="A232" s="119" t="s">
        <v>498</v>
      </c>
      <c r="B232" s="119" t="s">
        <v>468</v>
      </c>
      <c r="C232" s="119" t="s">
        <v>499</v>
      </c>
      <c r="D232" s="208">
        <v>11215</v>
      </c>
      <c r="E232" s="119" t="s">
        <v>470</v>
      </c>
      <c r="F232" s="119" t="s">
        <v>478</v>
      </c>
      <c r="G232" s="119" t="s">
        <v>479</v>
      </c>
      <c r="H232" s="119" t="s">
        <v>79</v>
      </c>
      <c r="I232" s="208">
        <v>0.1031106931896448</v>
      </c>
      <c r="J232" s="119" t="s">
        <v>473</v>
      </c>
      <c r="K232" s="119" t="s">
        <v>470</v>
      </c>
      <c r="L232" s="209">
        <v>1156.3864241218664</v>
      </c>
      <c r="M232" s="52">
        <f>SUM(L232/2000)</f>
        <v>0.57819321206093321</v>
      </c>
      <c r="N232" s="52"/>
      <c r="O232" s="59">
        <f>SUM(M232/365)</f>
        <v>1.5840909919477622E-3</v>
      </c>
    </row>
    <row r="233" spans="1:16" ht="25.5">
      <c r="A233" s="119" t="s">
        <v>498</v>
      </c>
      <c r="B233" s="119" t="s">
        <v>468</v>
      </c>
      <c r="C233" s="119" t="s">
        <v>499</v>
      </c>
      <c r="D233" s="208">
        <v>11215</v>
      </c>
      <c r="E233" s="119" t="s">
        <v>470</v>
      </c>
      <c r="F233" s="119" t="s">
        <v>480</v>
      </c>
      <c r="G233" s="119" t="s">
        <v>481</v>
      </c>
      <c r="H233" s="119" t="s">
        <v>79</v>
      </c>
      <c r="I233" s="208">
        <v>6.9941444709220122E-3</v>
      </c>
      <c r="J233" s="119" t="s">
        <v>473</v>
      </c>
      <c r="K233" s="119" t="s">
        <v>470</v>
      </c>
      <c r="L233" s="209">
        <v>78.439330241390365</v>
      </c>
      <c r="M233" s="52">
        <f>SUM(L233/2000)</f>
        <v>3.9219665120695184E-2</v>
      </c>
      <c r="N233" s="52"/>
      <c r="O233" s="59">
        <f>SUM(M233/365)</f>
        <v>1.0745113731697311E-4</v>
      </c>
    </row>
    <row r="234" spans="1:16">
      <c r="A234" s="119"/>
      <c r="B234" s="119"/>
      <c r="C234" s="119"/>
      <c r="D234" s="208"/>
      <c r="E234" s="119"/>
      <c r="F234" s="119"/>
      <c r="G234" s="119"/>
      <c r="H234" s="119"/>
      <c r="I234" s="208"/>
      <c r="J234" s="119"/>
      <c r="K234" s="119"/>
      <c r="L234" s="209"/>
      <c r="M234" s="52"/>
      <c r="N234" s="59">
        <f>SUM(M229:M233)</f>
        <v>2.8747475394607771</v>
      </c>
      <c r="O234" s="59"/>
      <c r="P234" s="59">
        <f>SUM(O229:O233)</f>
        <v>7.8760206560569233E-3</v>
      </c>
    </row>
    <row r="235" spans="1:16">
      <c r="A235" s="119" t="s">
        <v>500</v>
      </c>
      <c r="B235" s="119" t="s">
        <v>468</v>
      </c>
      <c r="C235" s="119" t="s">
        <v>501</v>
      </c>
      <c r="D235" s="208">
        <v>659909</v>
      </c>
      <c r="E235" s="119" t="s">
        <v>470</v>
      </c>
      <c r="F235" s="119" t="s">
        <v>471</v>
      </c>
      <c r="G235" s="119" t="s">
        <v>472</v>
      </c>
      <c r="H235" s="119" t="s">
        <v>79</v>
      </c>
      <c r="I235" s="208">
        <v>4.9795905393605309E-2</v>
      </c>
      <c r="J235" s="119" t="s">
        <v>473</v>
      </c>
      <c r="K235" s="119" t="s">
        <v>470</v>
      </c>
      <c r="L235" s="209">
        <v>32860.766132388686</v>
      </c>
      <c r="M235" s="52">
        <f>SUM(L235/2000)</f>
        <v>16.430383066194342</v>
      </c>
      <c r="N235" s="52"/>
      <c r="O235" s="59">
        <f>SUM(M235/365)</f>
        <v>4.5014748126559839E-2</v>
      </c>
    </row>
    <row r="236" spans="1:16">
      <c r="A236" s="119" t="s">
        <v>500</v>
      </c>
      <c r="B236" s="119" t="s">
        <v>468</v>
      </c>
      <c r="C236" s="119" t="s">
        <v>501</v>
      </c>
      <c r="D236" s="208">
        <v>659909</v>
      </c>
      <c r="E236" s="119" t="s">
        <v>470</v>
      </c>
      <c r="F236" s="119" t="s">
        <v>474</v>
      </c>
      <c r="G236" s="119" t="s">
        <v>475</v>
      </c>
      <c r="H236" s="119" t="s">
        <v>79</v>
      </c>
      <c r="I236" s="208">
        <v>0.35276043206143676</v>
      </c>
      <c r="J236" s="119" t="s">
        <v>473</v>
      </c>
      <c r="K236" s="119" t="s">
        <v>470</v>
      </c>
      <c r="L236" s="209">
        <v>232789.78396123066</v>
      </c>
      <c r="M236" s="52">
        <f>SUM(L236/2000)</f>
        <v>116.39489198061533</v>
      </c>
      <c r="N236" s="52"/>
      <c r="O236" s="59">
        <f>SUM(M236/365)</f>
        <v>0.31889011501538445</v>
      </c>
    </row>
    <row r="237" spans="1:16">
      <c r="A237" s="119" t="s">
        <v>500</v>
      </c>
      <c r="B237" s="119" t="s">
        <v>468</v>
      </c>
      <c r="C237" s="119" t="s">
        <v>501</v>
      </c>
      <c r="D237" s="208">
        <v>659909</v>
      </c>
      <c r="E237" s="119" t="s">
        <v>470</v>
      </c>
      <c r="F237" s="119" t="s">
        <v>476</v>
      </c>
      <c r="G237" s="119" t="s">
        <v>477</v>
      </c>
      <c r="H237" s="119" t="s">
        <v>79</v>
      </c>
      <c r="I237" s="208">
        <v>0</v>
      </c>
      <c r="J237" s="119" t="s">
        <v>473</v>
      </c>
      <c r="K237" s="119" t="s">
        <v>470</v>
      </c>
      <c r="L237" s="209">
        <v>0</v>
      </c>
      <c r="M237" s="52">
        <f>SUM(L237/2000)</f>
        <v>0</v>
      </c>
      <c r="N237" s="52"/>
      <c r="O237" s="59">
        <f>SUM(M237/365)</f>
        <v>0</v>
      </c>
    </row>
    <row r="238" spans="1:16">
      <c r="A238" s="119" t="s">
        <v>500</v>
      </c>
      <c r="B238" s="119" t="s">
        <v>468</v>
      </c>
      <c r="C238" s="119" t="s">
        <v>501</v>
      </c>
      <c r="D238" s="208">
        <v>659909</v>
      </c>
      <c r="E238" s="119" t="s">
        <v>470</v>
      </c>
      <c r="F238" s="119" t="s">
        <v>478</v>
      </c>
      <c r="G238" s="119" t="s">
        <v>479</v>
      </c>
      <c r="H238" s="119" t="s">
        <v>79</v>
      </c>
      <c r="I238" s="208">
        <v>0.1031106931896448</v>
      </c>
      <c r="J238" s="119" t="s">
        <v>473</v>
      </c>
      <c r="K238" s="119" t="s">
        <v>470</v>
      </c>
      <c r="L238" s="209">
        <v>68043.674432085318</v>
      </c>
      <c r="M238" s="52">
        <f>SUM(L238/2000)</f>
        <v>34.021837216042655</v>
      </c>
      <c r="N238" s="52"/>
      <c r="O238" s="59">
        <f>SUM(M238/365)</f>
        <v>9.3210512920664804E-2</v>
      </c>
    </row>
    <row r="239" spans="1:16">
      <c r="A239" s="119" t="s">
        <v>500</v>
      </c>
      <c r="B239" s="119" t="s">
        <v>468</v>
      </c>
      <c r="C239" s="119" t="s">
        <v>501</v>
      </c>
      <c r="D239" s="208">
        <v>659909</v>
      </c>
      <c r="E239" s="119" t="s">
        <v>470</v>
      </c>
      <c r="F239" s="119" t="s">
        <v>480</v>
      </c>
      <c r="G239" s="119" t="s">
        <v>481</v>
      </c>
      <c r="H239" s="119" t="s">
        <v>79</v>
      </c>
      <c r="I239" s="208">
        <v>6.9941444709220122E-3</v>
      </c>
      <c r="J239" s="119" t="s">
        <v>473</v>
      </c>
      <c r="K239" s="119" t="s">
        <v>470</v>
      </c>
      <c r="L239" s="209">
        <v>4615.498883661674</v>
      </c>
      <c r="M239" s="52">
        <f>SUM(L239/2000)</f>
        <v>2.3077494418308371</v>
      </c>
      <c r="N239" s="52"/>
      <c r="O239" s="59">
        <f>SUM(M239/365)</f>
        <v>6.3226012104954437E-3</v>
      </c>
    </row>
    <row r="240" spans="1:16">
      <c r="A240" s="119"/>
      <c r="B240" s="119"/>
      <c r="C240" s="119"/>
      <c r="D240" s="208"/>
      <c r="E240" s="119"/>
      <c r="F240" s="119"/>
      <c r="G240" s="119"/>
      <c r="H240" s="119"/>
      <c r="I240" s="208"/>
      <c r="J240" s="119"/>
      <c r="K240" s="119"/>
      <c r="L240" s="209"/>
      <c r="M240" s="52"/>
      <c r="N240" s="59">
        <f>SUM(M235:M239)</f>
        <v>169.15486170468319</v>
      </c>
      <c r="O240" s="59"/>
      <c r="P240" s="59">
        <f>SUM(O235:O239)</f>
        <v>0.46343797727310448</v>
      </c>
    </row>
    <row r="241" spans="1:16">
      <c r="A241" s="119" t="s">
        <v>502</v>
      </c>
      <c r="B241" s="119" t="s">
        <v>468</v>
      </c>
      <c r="C241" s="119" t="s">
        <v>503</v>
      </c>
      <c r="D241" s="208">
        <v>492066</v>
      </c>
      <c r="E241" s="119" t="s">
        <v>470</v>
      </c>
      <c r="F241" s="119" t="s">
        <v>471</v>
      </c>
      <c r="G241" s="119" t="s">
        <v>472</v>
      </c>
      <c r="H241" s="119" t="s">
        <v>79</v>
      </c>
      <c r="I241" s="208">
        <v>4.9795905393605309E-2</v>
      </c>
      <c r="J241" s="119" t="s">
        <v>473</v>
      </c>
      <c r="K241" s="119" t="s">
        <v>470</v>
      </c>
      <c r="L241" s="209">
        <v>24502.87198340979</v>
      </c>
      <c r="M241" s="52">
        <f>SUM(L241/2000)</f>
        <v>12.251435991704895</v>
      </c>
      <c r="N241" s="52"/>
      <c r="O241" s="59">
        <f>SUM(M241/365)</f>
        <v>3.3565578059465466E-2</v>
      </c>
    </row>
    <row r="242" spans="1:16">
      <c r="A242" s="119" t="s">
        <v>502</v>
      </c>
      <c r="B242" s="119" t="s">
        <v>468</v>
      </c>
      <c r="C242" s="119" t="s">
        <v>503</v>
      </c>
      <c r="D242" s="208">
        <v>492066</v>
      </c>
      <c r="E242" s="119" t="s">
        <v>470</v>
      </c>
      <c r="F242" s="119" t="s">
        <v>474</v>
      </c>
      <c r="G242" s="119" t="s">
        <v>475</v>
      </c>
      <c r="H242" s="119" t="s">
        <v>79</v>
      </c>
      <c r="I242" s="208">
        <v>0.35276043206143676</v>
      </c>
      <c r="J242" s="119" t="s">
        <v>473</v>
      </c>
      <c r="K242" s="119" t="s">
        <v>470</v>
      </c>
      <c r="L242" s="209">
        <v>173581.41476274293</v>
      </c>
      <c r="M242" s="52">
        <f>SUM(L242/2000)</f>
        <v>86.790707381371462</v>
      </c>
      <c r="N242" s="52"/>
      <c r="O242" s="59">
        <f>SUM(M242/365)</f>
        <v>0.23778275994896292</v>
      </c>
    </row>
    <row r="243" spans="1:16">
      <c r="A243" s="119" t="s">
        <v>502</v>
      </c>
      <c r="B243" s="119" t="s">
        <v>468</v>
      </c>
      <c r="C243" s="119" t="s">
        <v>503</v>
      </c>
      <c r="D243" s="208">
        <v>492066</v>
      </c>
      <c r="E243" s="119" t="s">
        <v>470</v>
      </c>
      <c r="F243" s="119" t="s">
        <v>476</v>
      </c>
      <c r="G243" s="119" t="s">
        <v>477</v>
      </c>
      <c r="H243" s="119" t="s">
        <v>79</v>
      </c>
      <c r="I243" s="208">
        <v>0</v>
      </c>
      <c r="J243" s="119" t="s">
        <v>473</v>
      </c>
      <c r="K243" s="119" t="s">
        <v>470</v>
      </c>
      <c r="L243" s="209">
        <v>0</v>
      </c>
      <c r="M243" s="52">
        <f>SUM(L243/2000)</f>
        <v>0</v>
      </c>
      <c r="N243" s="52"/>
      <c r="O243" s="59">
        <f>SUM(M243/365)</f>
        <v>0</v>
      </c>
    </row>
    <row r="244" spans="1:16">
      <c r="A244" s="119" t="s">
        <v>502</v>
      </c>
      <c r="B244" s="119" t="s">
        <v>468</v>
      </c>
      <c r="C244" s="119" t="s">
        <v>503</v>
      </c>
      <c r="D244" s="208">
        <v>492066</v>
      </c>
      <c r="E244" s="119" t="s">
        <v>470</v>
      </c>
      <c r="F244" s="119" t="s">
        <v>478</v>
      </c>
      <c r="G244" s="119" t="s">
        <v>479</v>
      </c>
      <c r="H244" s="119" t="s">
        <v>79</v>
      </c>
      <c r="I244" s="208">
        <v>0.1031106931896448</v>
      </c>
      <c r="J244" s="119" t="s">
        <v>473</v>
      </c>
      <c r="K244" s="119" t="s">
        <v>470</v>
      </c>
      <c r="L244" s="209">
        <v>50737.266355055763</v>
      </c>
      <c r="M244" s="52">
        <f>SUM(L244/2000)</f>
        <v>25.368633177527883</v>
      </c>
      <c r="N244" s="52"/>
      <c r="O244" s="59">
        <f>SUM(M244/365)</f>
        <v>6.95031045959668E-2</v>
      </c>
    </row>
    <row r="245" spans="1:16">
      <c r="A245" s="119" t="s">
        <v>502</v>
      </c>
      <c r="B245" s="119" t="s">
        <v>468</v>
      </c>
      <c r="C245" s="119" t="s">
        <v>503</v>
      </c>
      <c r="D245" s="208">
        <v>492066</v>
      </c>
      <c r="E245" s="119" t="s">
        <v>470</v>
      </c>
      <c r="F245" s="119" t="s">
        <v>480</v>
      </c>
      <c r="G245" s="119" t="s">
        <v>481</v>
      </c>
      <c r="H245" s="119" t="s">
        <v>79</v>
      </c>
      <c r="I245" s="208">
        <v>6.9941444709220122E-3</v>
      </c>
      <c r="J245" s="119" t="s">
        <v>473</v>
      </c>
      <c r="K245" s="119" t="s">
        <v>470</v>
      </c>
      <c r="L245" s="209">
        <v>3441.580693228711</v>
      </c>
      <c r="M245" s="52">
        <f>SUM(L245/2000)</f>
        <v>1.7207903466143555</v>
      </c>
      <c r="N245" s="52"/>
      <c r="O245" s="59">
        <f>SUM(M245/365)</f>
        <v>4.7144941003133024E-3</v>
      </c>
    </row>
    <row r="246" spans="1:16">
      <c r="A246" s="119"/>
      <c r="B246" s="119"/>
      <c r="C246" s="119"/>
      <c r="D246" s="208"/>
      <c r="E246" s="119"/>
      <c r="F246" s="119"/>
      <c r="G246" s="119"/>
      <c r="H246" s="119"/>
      <c r="I246" s="208"/>
      <c r="J246" s="119"/>
      <c r="K246" s="119"/>
      <c r="L246" s="209"/>
      <c r="M246" s="52"/>
      <c r="N246" s="59">
        <f>SUM(M241:M245)</f>
        <v>126.13156689721859</v>
      </c>
      <c r="O246" s="59"/>
      <c r="P246" s="59">
        <f>SUM(O241:O245)</f>
        <v>0.34556593670470853</v>
      </c>
    </row>
    <row r="247" spans="1:16">
      <c r="A247" s="119" t="s">
        <v>504</v>
      </c>
      <c r="B247" s="119" t="s">
        <v>468</v>
      </c>
      <c r="C247" s="119" t="s">
        <v>505</v>
      </c>
      <c r="D247" s="208">
        <v>732684</v>
      </c>
      <c r="E247" s="119" t="s">
        <v>470</v>
      </c>
      <c r="F247" s="119" t="s">
        <v>471</v>
      </c>
      <c r="G247" s="119" t="s">
        <v>472</v>
      </c>
      <c r="H247" s="119" t="s">
        <v>79</v>
      </c>
      <c r="I247" s="208">
        <v>4.9795905393605309E-2</v>
      </c>
      <c r="J247" s="119" t="s">
        <v>473</v>
      </c>
      <c r="K247" s="119" t="s">
        <v>470</v>
      </c>
      <c r="L247" s="209">
        <v>36484.663147408311</v>
      </c>
      <c r="M247" s="52">
        <f>SUM(L247/2000)</f>
        <v>18.242331573704156</v>
      </c>
      <c r="N247" s="52"/>
      <c r="O247" s="59">
        <f>SUM(M247/365)</f>
        <v>4.9978990612888102E-2</v>
      </c>
    </row>
    <row r="248" spans="1:16">
      <c r="A248" s="119" t="s">
        <v>504</v>
      </c>
      <c r="B248" s="119" t="s">
        <v>468</v>
      </c>
      <c r="C248" s="119" t="s">
        <v>505</v>
      </c>
      <c r="D248" s="208">
        <v>732684</v>
      </c>
      <c r="E248" s="119" t="s">
        <v>470</v>
      </c>
      <c r="F248" s="119" t="s">
        <v>474</v>
      </c>
      <c r="G248" s="119" t="s">
        <v>475</v>
      </c>
      <c r="H248" s="119" t="s">
        <v>79</v>
      </c>
      <c r="I248" s="208">
        <v>0.35276043206143676</v>
      </c>
      <c r="J248" s="119" t="s">
        <v>473</v>
      </c>
      <c r="K248" s="119" t="s">
        <v>470</v>
      </c>
      <c r="L248" s="209">
        <v>258461.92440450174</v>
      </c>
      <c r="M248" s="52">
        <f>SUM(L248/2000)</f>
        <v>129.23096220225088</v>
      </c>
      <c r="N248" s="52"/>
      <c r="O248" s="59">
        <f>SUM(M248/365)</f>
        <v>0.3540574306910983</v>
      </c>
    </row>
    <row r="249" spans="1:16">
      <c r="A249" s="119" t="s">
        <v>504</v>
      </c>
      <c r="B249" s="119" t="s">
        <v>468</v>
      </c>
      <c r="C249" s="119" t="s">
        <v>505</v>
      </c>
      <c r="D249" s="208">
        <v>732684</v>
      </c>
      <c r="E249" s="119" t="s">
        <v>470</v>
      </c>
      <c r="F249" s="119" t="s">
        <v>476</v>
      </c>
      <c r="G249" s="119" t="s">
        <v>477</v>
      </c>
      <c r="H249" s="119" t="s">
        <v>79</v>
      </c>
      <c r="I249" s="208">
        <v>0</v>
      </c>
      <c r="J249" s="119" t="s">
        <v>473</v>
      </c>
      <c r="K249" s="119" t="s">
        <v>470</v>
      </c>
      <c r="L249" s="209">
        <v>0</v>
      </c>
      <c r="M249" s="52">
        <f>SUM(L249/2000)</f>
        <v>0</v>
      </c>
      <c r="N249" s="52"/>
      <c r="O249" s="59">
        <f>SUM(M249/365)</f>
        <v>0</v>
      </c>
    </row>
    <row r="250" spans="1:16">
      <c r="A250" s="119" t="s">
        <v>504</v>
      </c>
      <c r="B250" s="119" t="s">
        <v>468</v>
      </c>
      <c r="C250" s="119" t="s">
        <v>505</v>
      </c>
      <c r="D250" s="208">
        <v>732684</v>
      </c>
      <c r="E250" s="119" t="s">
        <v>470</v>
      </c>
      <c r="F250" s="119" t="s">
        <v>478</v>
      </c>
      <c r="G250" s="119" t="s">
        <v>479</v>
      </c>
      <c r="H250" s="119" t="s">
        <v>79</v>
      </c>
      <c r="I250" s="208">
        <v>0.1031106931896448</v>
      </c>
      <c r="J250" s="119" t="s">
        <v>473</v>
      </c>
      <c r="K250" s="119" t="s">
        <v>470</v>
      </c>
      <c r="L250" s="209">
        <v>75547.555128961714</v>
      </c>
      <c r="M250" s="52">
        <f>SUM(L250/2000)</f>
        <v>37.773777564480859</v>
      </c>
      <c r="N250" s="52"/>
      <c r="O250" s="59">
        <f>SUM(M250/365)</f>
        <v>0.1034898015465229</v>
      </c>
    </row>
    <row r="251" spans="1:16">
      <c r="A251" s="119" t="s">
        <v>504</v>
      </c>
      <c r="B251" s="119" t="s">
        <v>468</v>
      </c>
      <c r="C251" s="119" t="s">
        <v>505</v>
      </c>
      <c r="D251" s="208">
        <v>732684</v>
      </c>
      <c r="E251" s="119" t="s">
        <v>470</v>
      </c>
      <c r="F251" s="119" t="s">
        <v>480</v>
      </c>
      <c r="G251" s="119" t="s">
        <v>481</v>
      </c>
      <c r="H251" s="119" t="s">
        <v>79</v>
      </c>
      <c r="I251" s="208">
        <v>6.9941444709220122E-3</v>
      </c>
      <c r="J251" s="119" t="s">
        <v>473</v>
      </c>
      <c r="K251" s="119" t="s">
        <v>470</v>
      </c>
      <c r="L251" s="209">
        <v>5124.4977475330234</v>
      </c>
      <c r="M251" s="52">
        <f>SUM(L251/2000)</f>
        <v>2.5622488737665119</v>
      </c>
      <c r="N251" s="52"/>
      <c r="O251" s="59">
        <f>SUM(M251/365)</f>
        <v>7.0198599281274298E-3</v>
      </c>
    </row>
    <row r="252" spans="1:16">
      <c r="A252" s="119"/>
      <c r="B252" s="119"/>
      <c r="C252" s="119"/>
      <c r="D252" s="208"/>
      <c r="E252" s="119"/>
      <c r="F252" s="119"/>
      <c r="G252" s="119"/>
      <c r="H252" s="119"/>
      <c r="I252" s="208"/>
      <c r="J252" s="119"/>
      <c r="K252" s="119"/>
      <c r="L252" s="209"/>
      <c r="M252" s="52"/>
      <c r="N252" s="59">
        <f>SUM(M247:M251)</f>
        <v>187.80932021420242</v>
      </c>
      <c r="O252" s="59"/>
      <c r="P252" s="59">
        <f>SUM(O247:O251)</f>
        <v>0.51454608277863678</v>
      </c>
    </row>
    <row r="253" spans="1:16" ht="25.5">
      <c r="A253" s="119" t="s">
        <v>506</v>
      </c>
      <c r="B253" s="119" t="s">
        <v>468</v>
      </c>
      <c r="C253" s="119" t="s">
        <v>507</v>
      </c>
      <c r="D253" s="208">
        <v>783806</v>
      </c>
      <c r="E253" s="119" t="s">
        <v>470</v>
      </c>
      <c r="F253" s="119" t="s">
        <v>471</v>
      </c>
      <c r="G253" s="119" t="s">
        <v>472</v>
      </c>
      <c r="H253" s="119" t="s">
        <v>79</v>
      </c>
      <c r="I253" s="208">
        <v>4.9795905393605309E-2</v>
      </c>
      <c r="J253" s="119" t="s">
        <v>473</v>
      </c>
      <c r="K253" s="119" t="s">
        <v>470</v>
      </c>
      <c r="L253" s="209">
        <v>39030.329422940202</v>
      </c>
      <c r="M253" s="52">
        <f>SUM(L253/2000)</f>
        <v>19.515164711470099</v>
      </c>
      <c r="N253" s="52"/>
      <c r="O253" s="59">
        <f>SUM(M253/365)</f>
        <v>5.3466204688959178E-2</v>
      </c>
    </row>
    <row r="254" spans="1:16" ht="25.5">
      <c r="A254" s="119" t="s">
        <v>506</v>
      </c>
      <c r="B254" s="119" t="s">
        <v>468</v>
      </c>
      <c r="C254" s="119" t="s">
        <v>507</v>
      </c>
      <c r="D254" s="208">
        <v>783806</v>
      </c>
      <c r="E254" s="119" t="s">
        <v>470</v>
      </c>
      <c r="F254" s="119" t="s">
        <v>474</v>
      </c>
      <c r="G254" s="119" t="s">
        <v>475</v>
      </c>
      <c r="H254" s="119" t="s">
        <v>79</v>
      </c>
      <c r="I254" s="208">
        <v>0.35276043206143676</v>
      </c>
      <c r="J254" s="119" t="s">
        <v>473</v>
      </c>
      <c r="K254" s="119" t="s">
        <v>470</v>
      </c>
      <c r="L254" s="209">
        <v>276495.74321234651</v>
      </c>
      <c r="M254" s="52">
        <f>SUM(L254/2000)</f>
        <v>138.24787160617325</v>
      </c>
      <c r="N254" s="52"/>
      <c r="O254" s="59">
        <f>SUM(M254/365)</f>
        <v>0.37876129207170756</v>
      </c>
    </row>
    <row r="255" spans="1:16" ht="25.5">
      <c r="A255" s="119" t="s">
        <v>506</v>
      </c>
      <c r="B255" s="119" t="s">
        <v>468</v>
      </c>
      <c r="C255" s="119" t="s">
        <v>507</v>
      </c>
      <c r="D255" s="208">
        <v>783806</v>
      </c>
      <c r="E255" s="119" t="s">
        <v>470</v>
      </c>
      <c r="F255" s="119" t="s">
        <v>476</v>
      </c>
      <c r="G255" s="119" t="s">
        <v>477</v>
      </c>
      <c r="H255" s="119" t="s">
        <v>79</v>
      </c>
      <c r="I255" s="208">
        <v>0</v>
      </c>
      <c r="J255" s="119" t="s">
        <v>473</v>
      </c>
      <c r="K255" s="119" t="s">
        <v>470</v>
      </c>
      <c r="L255" s="209">
        <v>0</v>
      </c>
      <c r="M255" s="52">
        <f>SUM(L255/2000)</f>
        <v>0</v>
      </c>
      <c r="N255" s="52"/>
      <c r="O255" s="59">
        <f>SUM(M255/365)</f>
        <v>0</v>
      </c>
    </row>
    <row r="256" spans="1:16" ht="25.5">
      <c r="A256" s="119" t="s">
        <v>506</v>
      </c>
      <c r="B256" s="119" t="s">
        <v>468</v>
      </c>
      <c r="C256" s="119" t="s">
        <v>507</v>
      </c>
      <c r="D256" s="208">
        <v>783806</v>
      </c>
      <c r="E256" s="119" t="s">
        <v>470</v>
      </c>
      <c r="F256" s="119" t="s">
        <v>478</v>
      </c>
      <c r="G256" s="119" t="s">
        <v>479</v>
      </c>
      <c r="H256" s="119" t="s">
        <v>79</v>
      </c>
      <c r="I256" s="208">
        <v>0.1031106931896448</v>
      </c>
      <c r="J256" s="119" t="s">
        <v>473</v>
      </c>
      <c r="K256" s="119" t="s">
        <v>470</v>
      </c>
      <c r="L256" s="209">
        <v>80818.779986202731</v>
      </c>
      <c r="M256" s="52">
        <f>SUM(L256/2000)</f>
        <v>40.409389993101364</v>
      </c>
      <c r="N256" s="52"/>
      <c r="O256" s="59">
        <f>SUM(M256/365)</f>
        <v>0.1107106575153462</v>
      </c>
    </row>
    <row r="257" spans="1:16" ht="25.5">
      <c r="A257" s="119" t="s">
        <v>506</v>
      </c>
      <c r="B257" s="119" t="s">
        <v>468</v>
      </c>
      <c r="C257" s="119" t="s">
        <v>507</v>
      </c>
      <c r="D257" s="208">
        <v>783806</v>
      </c>
      <c r="E257" s="119" t="s">
        <v>470</v>
      </c>
      <c r="F257" s="119" t="s">
        <v>480</v>
      </c>
      <c r="G257" s="119" t="s">
        <v>481</v>
      </c>
      <c r="H257" s="119" t="s">
        <v>79</v>
      </c>
      <c r="I257" s="208">
        <v>6.9941444709220122E-3</v>
      </c>
      <c r="J257" s="119" t="s">
        <v>473</v>
      </c>
      <c r="K257" s="119" t="s">
        <v>470</v>
      </c>
      <c r="L257" s="209">
        <v>5482.0524011754987</v>
      </c>
      <c r="M257" s="52">
        <f>SUM(L257/2000)</f>
        <v>2.7410262005877493</v>
      </c>
      <c r="N257" s="52"/>
      <c r="O257" s="59">
        <f>SUM(M257/365)</f>
        <v>7.5096608235280804E-3</v>
      </c>
    </row>
    <row r="258" spans="1:16">
      <c r="A258" s="119"/>
      <c r="B258" s="119"/>
      <c r="C258" s="119"/>
      <c r="D258" s="208"/>
      <c r="E258" s="119"/>
      <c r="F258" s="119"/>
      <c r="G258" s="119"/>
      <c r="H258" s="119"/>
      <c r="I258" s="208"/>
      <c r="J258" s="119"/>
      <c r="K258" s="119"/>
      <c r="L258" s="209"/>
      <c r="M258" s="52"/>
      <c r="N258" s="59">
        <f>SUM(M253:M257)</f>
        <v>200.91345251133248</v>
      </c>
      <c r="O258" s="59"/>
      <c r="P258" s="59">
        <f>SUM(O253:O257)</f>
        <v>0.5504478150995411</v>
      </c>
    </row>
    <row r="259" spans="1:16" ht="21" customHeight="1">
      <c r="A259" s="119"/>
      <c r="B259" s="119"/>
      <c r="C259" s="119"/>
      <c r="D259" s="208"/>
      <c r="E259" s="119"/>
      <c r="F259" s="119"/>
      <c r="G259" s="119"/>
      <c r="H259" s="127" t="s">
        <v>79</v>
      </c>
      <c r="I259" s="208"/>
      <c r="J259" s="119"/>
      <c r="K259" s="119"/>
      <c r="L259" s="210">
        <f>SUM(L175:L257)</f>
        <v>3331255.3980824486</v>
      </c>
      <c r="M259" s="129">
        <f>SUM(M175:M257)</f>
        <v>1665.6276990412241</v>
      </c>
      <c r="N259" s="129">
        <f>SUM(N175:N258)</f>
        <v>1665.6276990412239</v>
      </c>
      <c r="O259" s="211">
        <f>SUM(O175:O257)</f>
        <v>4.563363559017052</v>
      </c>
      <c r="P259" s="211">
        <f>SUM(P175:P258)</f>
        <v>4.5633635590170512</v>
      </c>
    </row>
    <row r="260" spans="1:16" ht="25.5">
      <c r="A260" s="119" t="s">
        <v>467</v>
      </c>
      <c r="B260" s="119" t="s">
        <v>468</v>
      </c>
      <c r="C260" s="119" t="s">
        <v>469</v>
      </c>
      <c r="D260" s="208">
        <v>221049</v>
      </c>
      <c r="E260" s="119" t="s">
        <v>470</v>
      </c>
      <c r="F260" s="119" t="s">
        <v>471</v>
      </c>
      <c r="G260" s="119" t="s">
        <v>472</v>
      </c>
      <c r="H260" s="119" t="s">
        <v>82</v>
      </c>
      <c r="I260" s="208">
        <v>1.5972160963895852E-4</v>
      </c>
      <c r="J260" s="119" t="s">
        <v>473</v>
      </c>
      <c r="K260" s="119" t="s">
        <v>470</v>
      </c>
      <c r="L260" s="209">
        <v>35.306302089082145</v>
      </c>
      <c r="M260" s="52">
        <f>SUM(L260/2000)</f>
        <v>1.7653151044541071E-2</v>
      </c>
      <c r="N260" s="52"/>
      <c r="O260" s="59">
        <f>SUM(M260/365)</f>
        <v>4.8364797382304302E-5</v>
      </c>
    </row>
    <row r="261" spans="1:16" ht="25.5">
      <c r="A261" s="119" t="s">
        <v>467</v>
      </c>
      <c r="B261" s="119" t="s">
        <v>468</v>
      </c>
      <c r="C261" s="119" t="s">
        <v>469</v>
      </c>
      <c r="D261" s="208">
        <v>221049</v>
      </c>
      <c r="E261" s="119" t="s">
        <v>470</v>
      </c>
      <c r="F261" s="119" t="s">
        <v>474</v>
      </c>
      <c r="G261" s="119" t="s">
        <v>475</v>
      </c>
      <c r="H261" s="119" t="s">
        <v>82</v>
      </c>
      <c r="I261" s="208">
        <v>1.0131481646854178E-3</v>
      </c>
      <c r="J261" s="119" t="s">
        <v>473</v>
      </c>
      <c r="K261" s="119" t="s">
        <v>470</v>
      </c>
      <c r="L261" s="209">
        <v>223.95538865554693</v>
      </c>
      <c r="M261" s="52">
        <f>SUM(L261/2000)</f>
        <v>0.11197769432777346</v>
      </c>
      <c r="N261" s="52"/>
      <c r="O261" s="59">
        <f>SUM(M261/365)</f>
        <v>3.0678820363773553E-4</v>
      </c>
    </row>
    <row r="262" spans="1:16" ht="25.5">
      <c r="A262" s="119" t="s">
        <v>467</v>
      </c>
      <c r="B262" s="119" t="s">
        <v>468</v>
      </c>
      <c r="C262" s="119" t="s">
        <v>469</v>
      </c>
      <c r="D262" s="208">
        <v>221049</v>
      </c>
      <c r="E262" s="119" t="s">
        <v>470</v>
      </c>
      <c r="F262" s="119" t="s">
        <v>478</v>
      </c>
      <c r="G262" s="119" t="s">
        <v>479</v>
      </c>
      <c r="H262" s="119" t="s">
        <v>82</v>
      </c>
      <c r="I262" s="208">
        <v>2.0736390621659134E-4</v>
      </c>
      <c r="J262" s="119" t="s">
        <v>473</v>
      </c>
      <c r="K262" s="119" t="s">
        <v>470</v>
      </c>
      <c r="L262" s="209">
        <v>45.837584105271297</v>
      </c>
      <c r="M262" s="52">
        <f>SUM(L262/2000)</f>
        <v>2.291879205263565E-2</v>
      </c>
      <c r="N262" s="52"/>
      <c r="O262" s="59">
        <f>SUM(M262/365)</f>
        <v>6.2791211103111367E-5</v>
      </c>
    </row>
    <row r="263" spans="1:16" ht="25.5">
      <c r="A263" s="119" t="s">
        <v>467</v>
      </c>
      <c r="B263" s="119" t="s">
        <v>468</v>
      </c>
      <c r="C263" s="119" t="s">
        <v>469</v>
      </c>
      <c r="D263" s="208">
        <v>221049</v>
      </c>
      <c r="E263" s="119" t="s">
        <v>470</v>
      </c>
      <c r="F263" s="119" t="s">
        <v>480</v>
      </c>
      <c r="G263" s="119" t="s">
        <v>481</v>
      </c>
      <c r="H263" s="119" t="s">
        <v>82</v>
      </c>
      <c r="I263" s="208">
        <v>1.6853912442776435E-5</v>
      </c>
      <c r="J263" s="119" t="s">
        <v>473</v>
      </c>
      <c r="K263" s="119" t="s">
        <v>470</v>
      </c>
      <c r="L263" s="209">
        <v>3.7255404915632884</v>
      </c>
      <c r="M263" s="52">
        <f>SUM(L263/2000)</f>
        <v>1.8627702457816441E-3</v>
      </c>
      <c r="N263" s="52"/>
      <c r="O263" s="59">
        <f>SUM(M263/365)</f>
        <v>5.1034801254291621E-6</v>
      </c>
    </row>
    <row r="264" spans="1:16">
      <c r="A264" s="119"/>
      <c r="B264" s="119"/>
      <c r="C264" s="119"/>
      <c r="D264" s="208"/>
      <c r="E264" s="119"/>
      <c r="F264" s="119"/>
      <c r="G264" s="119"/>
      <c r="H264" s="119"/>
      <c r="I264" s="208"/>
      <c r="J264" s="119"/>
      <c r="K264" s="119"/>
      <c r="L264" s="209"/>
      <c r="M264" s="52"/>
      <c r="N264" s="59">
        <f>SUM(M260:M263)</f>
        <v>0.1544124076707318</v>
      </c>
      <c r="O264" s="59"/>
      <c r="P264" s="59">
        <f>SUM(O260:O263)</f>
        <v>4.2304769224858036E-4</v>
      </c>
    </row>
    <row r="265" spans="1:16">
      <c r="A265" s="119" t="s">
        <v>482</v>
      </c>
      <c r="B265" s="119" t="s">
        <v>468</v>
      </c>
      <c r="C265" s="119" t="s">
        <v>483</v>
      </c>
      <c r="D265" s="208">
        <v>129395</v>
      </c>
      <c r="E265" s="119" t="s">
        <v>470</v>
      </c>
      <c r="F265" s="119" t="s">
        <v>471</v>
      </c>
      <c r="G265" s="119" t="s">
        <v>472</v>
      </c>
      <c r="H265" s="119" t="s">
        <v>82</v>
      </c>
      <c r="I265" s="208">
        <v>1.5972160963895852E-4</v>
      </c>
      <c r="J265" s="119" t="s">
        <v>473</v>
      </c>
      <c r="K265" s="119" t="s">
        <v>470</v>
      </c>
      <c r="L265" s="209">
        <v>20.667177679233038</v>
      </c>
      <c r="M265" s="52">
        <f>SUM(L265/2000)</f>
        <v>1.033358883961652E-2</v>
      </c>
      <c r="N265" s="52"/>
      <c r="O265" s="59">
        <f>SUM(M265/365)</f>
        <v>2.8311202300319231E-5</v>
      </c>
    </row>
    <row r="266" spans="1:16">
      <c r="A266" s="119" t="s">
        <v>482</v>
      </c>
      <c r="B266" s="119" t="s">
        <v>468</v>
      </c>
      <c r="C266" s="119" t="s">
        <v>483</v>
      </c>
      <c r="D266" s="208">
        <v>129395</v>
      </c>
      <c r="E266" s="119" t="s">
        <v>470</v>
      </c>
      <c r="F266" s="119" t="s">
        <v>474</v>
      </c>
      <c r="G266" s="119" t="s">
        <v>475</v>
      </c>
      <c r="H266" s="119" t="s">
        <v>82</v>
      </c>
      <c r="I266" s="208">
        <v>1.0131481646854178E-3</v>
      </c>
      <c r="J266" s="119" t="s">
        <v>473</v>
      </c>
      <c r="K266" s="119" t="s">
        <v>470</v>
      </c>
      <c r="L266" s="209">
        <v>131.09630676946963</v>
      </c>
      <c r="M266" s="52">
        <f>SUM(L266/2000)</f>
        <v>6.5548153384734811E-2</v>
      </c>
      <c r="N266" s="52"/>
      <c r="O266" s="59">
        <f>SUM(M266/365)</f>
        <v>1.795839818759858E-4</v>
      </c>
    </row>
    <row r="267" spans="1:16">
      <c r="A267" s="119" t="s">
        <v>482</v>
      </c>
      <c r="B267" s="119" t="s">
        <v>468</v>
      </c>
      <c r="C267" s="119" t="s">
        <v>483</v>
      </c>
      <c r="D267" s="208">
        <v>129395</v>
      </c>
      <c r="E267" s="119" t="s">
        <v>470</v>
      </c>
      <c r="F267" s="119" t="s">
        <v>478</v>
      </c>
      <c r="G267" s="119" t="s">
        <v>479</v>
      </c>
      <c r="H267" s="119" t="s">
        <v>82</v>
      </c>
      <c r="I267" s="208">
        <v>2.0736390621659134E-4</v>
      </c>
      <c r="J267" s="119" t="s">
        <v>473</v>
      </c>
      <c r="K267" s="119" t="s">
        <v>470</v>
      </c>
      <c r="L267" s="209">
        <v>26.831852644895836</v>
      </c>
      <c r="M267" s="52">
        <f>SUM(L267/2000)</f>
        <v>1.3415926322447917E-2</v>
      </c>
      <c r="N267" s="52"/>
      <c r="O267" s="59">
        <f>SUM(M267/365)</f>
        <v>3.6755962527254565E-5</v>
      </c>
    </row>
    <row r="268" spans="1:16">
      <c r="A268" s="119" t="s">
        <v>482</v>
      </c>
      <c r="B268" s="119" t="s">
        <v>468</v>
      </c>
      <c r="C268" s="119" t="s">
        <v>483</v>
      </c>
      <c r="D268" s="208">
        <v>129395</v>
      </c>
      <c r="E268" s="119" t="s">
        <v>470</v>
      </c>
      <c r="F268" s="119" t="s">
        <v>480</v>
      </c>
      <c r="G268" s="119" t="s">
        <v>481</v>
      </c>
      <c r="H268" s="119" t="s">
        <v>82</v>
      </c>
      <c r="I268" s="208">
        <v>1.6853912442776435E-5</v>
      </c>
      <c r="J268" s="119" t="s">
        <v>473</v>
      </c>
      <c r="K268" s="119" t="s">
        <v>470</v>
      </c>
      <c r="L268" s="209">
        <v>2.1808120005330567</v>
      </c>
      <c r="M268" s="52">
        <f>SUM(L268/2000)</f>
        <v>1.0904060002665283E-3</v>
      </c>
      <c r="N268" s="52"/>
      <c r="O268" s="59">
        <f>SUM(M268/365)</f>
        <v>2.9874136993603513E-6</v>
      </c>
    </row>
    <row r="269" spans="1:16">
      <c r="A269" s="119"/>
      <c r="B269" s="119"/>
      <c r="C269" s="119"/>
      <c r="D269" s="208"/>
      <c r="E269" s="119"/>
      <c r="F269" s="119"/>
      <c r="G269" s="119"/>
      <c r="H269" s="119"/>
      <c r="I269" s="208"/>
      <c r="J269" s="119"/>
      <c r="K269" s="119"/>
      <c r="L269" s="209"/>
      <c r="M269" s="52"/>
      <c r="N269" s="59">
        <f>SUM(M265:M268)</f>
        <v>9.0388074547065766E-2</v>
      </c>
      <c r="O269" s="59"/>
      <c r="P269" s="59">
        <f>SUM(O265:O268)</f>
        <v>2.4763856040291993E-4</v>
      </c>
    </row>
    <row r="270" spans="1:16">
      <c r="A270" s="119" t="s">
        <v>484</v>
      </c>
      <c r="B270" s="119" t="s">
        <v>468</v>
      </c>
      <c r="C270" s="119" t="s">
        <v>485</v>
      </c>
      <c r="D270" s="208">
        <v>545823</v>
      </c>
      <c r="E270" s="119" t="s">
        <v>470</v>
      </c>
      <c r="F270" s="119" t="s">
        <v>471</v>
      </c>
      <c r="G270" s="119" t="s">
        <v>472</v>
      </c>
      <c r="H270" s="119" t="s">
        <v>82</v>
      </c>
      <c r="I270" s="208">
        <v>1.5972160963895852E-4</v>
      </c>
      <c r="J270" s="119" t="s">
        <v>473</v>
      </c>
      <c r="K270" s="119" t="s">
        <v>470</v>
      </c>
      <c r="L270" s="209">
        <v>87.179728137965256</v>
      </c>
      <c r="M270" s="52">
        <f>SUM(L270/2000)</f>
        <v>4.3589864068982631E-2</v>
      </c>
      <c r="N270" s="52"/>
      <c r="O270" s="59">
        <f>SUM(M270/365)</f>
        <v>1.1942428512050036E-4</v>
      </c>
    </row>
    <row r="271" spans="1:16">
      <c r="A271" s="119" t="s">
        <v>484</v>
      </c>
      <c r="B271" s="119" t="s">
        <v>468</v>
      </c>
      <c r="C271" s="119" t="s">
        <v>485</v>
      </c>
      <c r="D271" s="208">
        <v>545823</v>
      </c>
      <c r="E271" s="119" t="s">
        <v>470</v>
      </c>
      <c r="F271" s="119" t="s">
        <v>474</v>
      </c>
      <c r="G271" s="119" t="s">
        <v>475</v>
      </c>
      <c r="H271" s="119" t="s">
        <v>82</v>
      </c>
      <c r="I271" s="208">
        <v>1.0131481646854178E-3</v>
      </c>
      <c r="J271" s="119" t="s">
        <v>473</v>
      </c>
      <c r="K271" s="119" t="s">
        <v>470</v>
      </c>
      <c r="L271" s="209">
        <v>552.9995706930888</v>
      </c>
      <c r="M271" s="52">
        <f>SUM(L271/2000)</f>
        <v>0.2764997853465444</v>
      </c>
      <c r="N271" s="52"/>
      <c r="O271" s="59">
        <f>SUM(M271/365)</f>
        <v>7.5753365848368328E-4</v>
      </c>
    </row>
    <row r="272" spans="1:16">
      <c r="A272" s="119" t="s">
        <v>484</v>
      </c>
      <c r="B272" s="119" t="s">
        <v>468</v>
      </c>
      <c r="C272" s="119" t="s">
        <v>485</v>
      </c>
      <c r="D272" s="208">
        <v>545823</v>
      </c>
      <c r="E272" s="119" t="s">
        <v>470</v>
      </c>
      <c r="F272" s="119" t="s">
        <v>478</v>
      </c>
      <c r="G272" s="119" t="s">
        <v>479</v>
      </c>
      <c r="H272" s="119" t="s">
        <v>82</v>
      </c>
      <c r="I272" s="208">
        <v>2.0736390621659134E-4</v>
      </c>
      <c r="J272" s="119" t="s">
        <v>473</v>
      </c>
      <c r="K272" s="119" t="s">
        <v>470</v>
      </c>
      <c r="L272" s="209">
        <v>113.18398938285853</v>
      </c>
      <c r="M272" s="52">
        <f>SUM(L272/2000)</f>
        <v>5.6591994691429261E-2</v>
      </c>
      <c r="N272" s="52"/>
      <c r="O272" s="59">
        <f>SUM(M272/365)</f>
        <v>1.5504656079843633E-4</v>
      </c>
    </row>
    <row r="273" spans="1:16">
      <c r="A273" s="119" t="s">
        <v>484</v>
      </c>
      <c r="B273" s="119" t="s">
        <v>468</v>
      </c>
      <c r="C273" s="119" t="s">
        <v>485</v>
      </c>
      <c r="D273" s="208">
        <v>545823</v>
      </c>
      <c r="E273" s="119" t="s">
        <v>470</v>
      </c>
      <c r="F273" s="119" t="s">
        <v>480</v>
      </c>
      <c r="G273" s="119" t="s">
        <v>481</v>
      </c>
      <c r="H273" s="119" t="s">
        <v>82</v>
      </c>
      <c r="I273" s="208">
        <v>1.6853912442776435E-5</v>
      </c>
      <c r="J273" s="119" t="s">
        <v>473</v>
      </c>
      <c r="K273" s="119" t="s">
        <v>470</v>
      </c>
      <c r="L273" s="209">
        <v>9.199253051253562</v>
      </c>
      <c r="M273" s="52">
        <f>SUM(L273/2000)</f>
        <v>4.5996265256267807E-3</v>
      </c>
      <c r="N273" s="52"/>
      <c r="O273" s="59">
        <f>SUM(M273/365)</f>
        <v>1.2601716508566522E-5</v>
      </c>
    </row>
    <row r="274" spans="1:16">
      <c r="A274" s="119"/>
      <c r="B274" s="119"/>
      <c r="C274" s="119"/>
      <c r="D274" s="208"/>
      <c r="E274" s="119"/>
      <c r="F274" s="119"/>
      <c r="G274" s="119"/>
      <c r="H274" s="119"/>
      <c r="I274" s="208"/>
      <c r="J274" s="119"/>
      <c r="K274" s="119"/>
      <c r="L274" s="209"/>
      <c r="M274" s="52"/>
      <c r="N274" s="59">
        <f>SUM(M270:M273)</f>
        <v>0.3812812706325831</v>
      </c>
      <c r="O274" s="59"/>
      <c r="P274" s="59">
        <f>SUM(O270:O273)</f>
        <v>1.0446062209111865E-3</v>
      </c>
    </row>
    <row r="275" spans="1:16">
      <c r="A275" s="119" t="s">
        <v>486</v>
      </c>
      <c r="B275" s="119" t="s">
        <v>468</v>
      </c>
      <c r="C275" s="119" t="s">
        <v>487</v>
      </c>
      <c r="D275" s="208">
        <v>15527</v>
      </c>
      <c r="E275" s="119" t="s">
        <v>470</v>
      </c>
      <c r="F275" s="119" t="s">
        <v>471</v>
      </c>
      <c r="G275" s="119" t="s">
        <v>472</v>
      </c>
      <c r="H275" s="119" t="s">
        <v>82</v>
      </c>
      <c r="I275" s="208">
        <v>1.5972160963895852E-4</v>
      </c>
      <c r="J275" s="119" t="s">
        <v>473</v>
      </c>
      <c r="K275" s="119" t="s">
        <v>470</v>
      </c>
      <c r="L275" s="209">
        <v>2.479997432864109</v>
      </c>
      <c r="M275" s="52">
        <f>SUM(L275/2000)</f>
        <v>1.2399987164320545E-3</v>
      </c>
      <c r="N275" s="52"/>
      <c r="O275" s="59">
        <f>SUM(M275/365)</f>
        <v>3.3972567573480943E-6</v>
      </c>
    </row>
    <row r="276" spans="1:16">
      <c r="A276" s="119" t="s">
        <v>486</v>
      </c>
      <c r="B276" s="119" t="s">
        <v>468</v>
      </c>
      <c r="C276" s="119" t="s">
        <v>487</v>
      </c>
      <c r="D276" s="208">
        <v>15527</v>
      </c>
      <c r="E276" s="119" t="s">
        <v>470</v>
      </c>
      <c r="F276" s="119" t="s">
        <v>474</v>
      </c>
      <c r="G276" s="119" t="s">
        <v>475</v>
      </c>
      <c r="H276" s="119" t="s">
        <v>82</v>
      </c>
      <c r="I276" s="208">
        <v>1.0131481646854178E-3</v>
      </c>
      <c r="J276" s="119" t="s">
        <v>473</v>
      </c>
      <c r="K276" s="119" t="s">
        <v>470</v>
      </c>
      <c r="L276" s="209">
        <v>15.731151553070482</v>
      </c>
      <c r="M276" s="52">
        <f>SUM(L276/2000)</f>
        <v>7.865575776535242E-3</v>
      </c>
      <c r="N276" s="52"/>
      <c r="O276" s="59">
        <f>SUM(M276/365)</f>
        <v>2.1549522675439018E-5</v>
      </c>
    </row>
    <row r="277" spans="1:16">
      <c r="A277" s="119" t="s">
        <v>486</v>
      </c>
      <c r="B277" s="119" t="s">
        <v>468</v>
      </c>
      <c r="C277" s="119" t="s">
        <v>487</v>
      </c>
      <c r="D277" s="208">
        <v>15527</v>
      </c>
      <c r="E277" s="119" t="s">
        <v>470</v>
      </c>
      <c r="F277" s="119" t="s">
        <v>478</v>
      </c>
      <c r="G277" s="119" t="s">
        <v>479</v>
      </c>
      <c r="H277" s="119" t="s">
        <v>82</v>
      </c>
      <c r="I277" s="208">
        <v>2.0736390621659134E-4</v>
      </c>
      <c r="J277" s="119" t="s">
        <v>473</v>
      </c>
      <c r="K277" s="119" t="s">
        <v>470</v>
      </c>
      <c r="L277" s="209">
        <v>3.2197393718250136</v>
      </c>
      <c r="M277" s="52">
        <f>SUM(L277/2000)</f>
        <v>1.6098696859125068E-3</v>
      </c>
      <c r="N277" s="52"/>
      <c r="O277" s="59">
        <f>SUM(M277/365)</f>
        <v>4.4106018792123472E-6</v>
      </c>
    </row>
    <row r="278" spans="1:16">
      <c r="A278" s="119" t="s">
        <v>486</v>
      </c>
      <c r="B278" s="119" t="s">
        <v>468</v>
      </c>
      <c r="C278" s="119" t="s">
        <v>487</v>
      </c>
      <c r="D278" s="208">
        <v>15527</v>
      </c>
      <c r="E278" s="119" t="s">
        <v>470</v>
      </c>
      <c r="F278" s="119" t="s">
        <v>480</v>
      </c>
      <c r="G278" s="119" t="s">
        <v>481</v>
      </c>
      <c r="H278" s="119" t="s">
        <v>82</v>
      </c>
      <c r="I278" s="208">
        <v>1.6853912442776435E-5</v>
      </c>
      <c r="J278" s="119" t="s">
        <v>473</v>
      </c>
      <c r="K278" s="119" t="s">
        <v>470</v>
      </c>
      <c r="L278" s="209">
        <v>0.26169069849898968</v>
      </c>
      <c r="M278" s="52">
        <f>SUM(L278/2000)</f>
        <v>1.3084534924949484E-4</v>
      </c>
      <c r="N278" s="52"/>
      <c r="O278" s="59">
        <f>SUM(M278/365)</f>
        <v>3.5848040890272559E-7</v>
      </c>
    </row>
    <row r="279" spans="1:16">
      <c r="A279" s="119"/>
      <c r="B279" s="119"/>
      <c r="C279" s="119"/>
      <c r="D279" s="208"/>
      <c r="E279" s="119"/>
      <c r="F279" s="119"/>
      <c r="G279" s="119"/>
      <c r="H279" s="119"/>
      <c r="I279" s="208"/>
      <c r="J279" s="119"/>
      <c r="K279" s="119"/>
      <c r="L279" s="209"/>
      <c r="M279" s="52"/>
      <c r="N279" s="59">
        <f>SUM(M275:M278)</f>
        <v>1.0846289528129299E-2</v>
      </c>
      <c r="O279" s="59"/>
      <c r="P279" s="59">
        <f>SUM(O275:O278)</f>
        <v>2.9715861720902184E-5</v>
      </c>
    </row>
    <row r="280" spans="1:16">
      <c r="A280" s="119" t="s">
        <v>488</v>
      </c>
      <c r="B280" s="119" t="s">
        <v>468</v>
      </c>
      <c r="C280" s="119" t="s">
        <v>489</v>
      </c>
      <c r="D280" s="208">
        <v>736457</v>
      </c>
      <c r="E280" s="119" t="s">
        <v>470</v>
      </c>
      <c r="F280" s="119" t="s">
        <v>471</v>
      </c>
      <c r="G280" s="119" t="s">
        <v>472</v>
      </c>
      <c r="H280" s="119" t="s">
        <v>82</v>
      </c>
      <c r="I280" s="208">
        <v>1.5972160963895852E-4</v>
      </c>
      <c r="J280" s="119" t="s">
        <v>473</v>
      </c>
      <c r="K280" s="119" t="s">
        <v>470</v>
      </c>
      <c r="L280" s="209">
        <v>117.62809746987847</v>
      </c>
      <c r="M280" s="52">
        <f>SUM(L280/2000)</f>
        <v>5.8814048734939235E-2</v>
      </c>
      <c r="N280" s="52"/>
      <c r="O280" s="59">
        <f>SUM(M280/365)</f>
        <v>1.6113438009572394E-4</v>
      </c>
    </row>
    <row r="281" spans="1:16">
      <c r="A281" s="119" t="s">
        <v>488</v>
      </c>
      <c r="B281" s="119" t="s">
        <v>468</v>
      </c>
      <c r="C281" s="119" t="s">
        <v>489</v>
      </c>
      <c r="D281" s="208">
        <v>736457</v>
      </c>
      <c r="E281" s="119" t="s">
        <v>470</v>
      </c>
      <c r="F281" s="119" t="s">
        <v>474</v>
      </c>
      <c r="G281" s="119" t="s">
        <v>475</v>
      </c>
      <c r="H281" s="119" t="s">
        <v>82</v>
      </c>
      <c r="I281" s="208">
        <v>1.0131481646854178E-3</v>
      </c>
      <c r="J281" s="119" t="s">
        <v>473</v>
      </c>
      <c r="K281" s="119" t="s">
        <v>470</v>
      </c>
      <c r="L281" s="209">
        <v>746.14005791972875</v>
      </c>
      <c r="M281" s="52">
        <f>SUM(L281/2000)</f>
        <v>0.37307002895986435</v>
      </c>
      <c r="N281" s="52"/>
      <c r="O281" s="59">
        <f>SUM(M281/365)</f>
        <v>1.0221096683831899E-3</v>
      </c>
    </row>
    <row r="282" spans="1:16">
      <c r="A282" s="119" t="s">
        <v>488</v>
      </c>
      <c r="B282" s="119" t="s">
        <v>468</v>
      </c>
      <c r="C282" s="119" t="s">
        <v>489</v>
      </c>
      <c r="D282" s="208">
        <v>736457</v>
      </c>
      <c r="E282" s="119" t="s">
        <v>470</v>
      </c>
      <c r="F282" s="119" t="s">
        <v>478</v>
      </c>
      <c r="G282" s="119" t="s">
        <v>479</v>
      </c>
      <c r="H282" s="119" t="s">
        <v>82</v>
      </c>
      <c r="I282" s="208">
        <v>2.0736390621659134E-4</v>
      </c>
      <c r="J282" s="119" t="s">
        <v>473</v>
      </c>
      <c r="K282" s="119" t="s">
        <v>470</v>
      </c>
      <c r="L282" s="209">
        <v>152.71460028055222</v>
      </c>
      <c r="M282" s="52">
        <f>SUM(L282/2000)</f>
        <v>7.6357300140276113E-2</v>
      </c>
      <c r="N282" s="52"/>
      <c r="O282" s="59">
        <f>SUM(M282/365)</f>
        <v>2.0919808257609894E-4</v>
      </c>
    </row>
    <row r="283" spans="1:16">
      <c r="A283" s="119" t="s">
        <v>488</v>
      </c>
      <c r="B283" s="119" t="s">
        <v>468</v>
      </c>
      <c r="C283" s="119" t="s">
        <v>489</v>
      </c>
      <c r="D283" s="208">
        <v>736457</v>
      </c>
      <c r="E283" s="119" t="s">
        <v>470</v>
      </c>
      <c r="F283" s="119" t="s">
        <v>480</v>
      </c>
      <c r="G283" s="119" t="s">
        <v>481</v>
      </c>
      <c r="H283" s="119" t="s">
        <v>82</v>
      </c>
      <c r="I283" s="208">
        <v>1.6853912442776435E-5</v>
      </c>
      <c r="J283" s="119" t="s">
        <v>473</v>
      </c>
      <c r="K283" s="119" t="s">
        <v>470</v>
      </c>
      <c r="L283" s="209">
        <v>12.412181795869804</v>
      </c>
      <c r="M283" s="52">
        <f>SUM(L283/2000)</f>
        <v>6.2060908979349018E-3</v>
      </c>
      <c r="N283" s="52"/>
      <c r="O283" s="59">
        <f>SUM(M283/365)</f>
        <v>1.7002988761465486E-5</v>
      </c>
    </row>
    <row r="284" spans="1:16">
      <c r="A284" s="119"/>
      <c r="B284" s="119"/>
      <c r="C284" s="119"/>
      <c r="D284" s="208"/>
      <c r="E284" s="119"/>
      <c r="F284" s="119"/>
      <c r="G284" s="119"/>
      <c r="H284" s="119"/>
      <c r="I284" s="208"/>
      <c r="J284" s="119"/>
      <c r="K284" s="119"/>
      <c r="L284" s="209"/>
      <c r="M284" s="52"/>
      <c r="N284" s="59">
        <f>SUM(M280:M283)</f>
        <v>0.51444746873301461</v>
      </c>
      <c r="O284" s="59"/>
      <c r="P284" s="59">
        <f>SUM(O280:O283)</f>
        <v>1.4094451198164784E-3</v>
      </c>
    </row>
    <row r="285" spans="1:16">
      <c r="A285" s="119" t="s">
        <v>490</v>
      </c>
      <c r="B285" s="119" t="s">
        <v>468</v>
      </c>
      <c r="C285" s="119" t="s">
        <v>491</v>
      </c>
      <c r="D285" s="208">
        <v>71735</v>
      </c>
      <c r="E285" s="119" t="s">
        <v>470</v>
      </c>
      <c r="F285" s="119" t="s">
        <v>471</v>
      </c>
      <c r="G285" s="119" t="s">
        <v>472</v>
      </c>
      <c r="H285" s="119" t="s">
        <v>82</v>
      </c>
      <c r="I285" s="208">
        <v>1.5972160963895852E-4</v>
      </c>
      <c r="J285" s="119" t="s">
        <v>473</v>
      </c>
      <c r="K285" s="119" t="s">
        <v>470</v>
      </c>
      <c r="L285" s="209">
        <v>11.457629667450689</v>
      </c>
      <c r="M285" s="52">
        <f>SUM(L285/2000)</f>
        <v>5.7288148337253444E-3</v>
      </c>
      <c r="N285" s="52"/>
      <c r="O285" s="59">
        <f>SUM(M285/365)</f>
        <v>1.5695383106096835E-5</v>
      </c>
    </row>
    <row r="286" spans="1:16">
      <c r="A286" s="119" t="s">
        <v>490</v>
      </c>
      <c r="B286" s="119" t="s">
        <v>468</v>
      </c>
      <c r="C286" s="119" t="s">
        <v>491</v>
      </c>
      <c r="D286" s="208">
        <v>71735</v>
      </c>
      <c r="E286" s="119" t="s">
        <v>470</v>
      </c>
      <c r="F286" s="119" t="s">
        <v>474</v>
      </c>
      <c r="G286" s="119" t="s">
        <v>475</v>
      </c>
      <c r="H286" s="119" t="s">
        <v>82</v>
      </c>
      <c r="I286" s="208">
        <v>1.0131481646854178E-3</v>
      </c>
      <c r="J286" s="119" t="s">
        <v>473</v>
      </c>
      <c r="K286" s="119" t="s">
        <v>470</v>
      </c>
      <c r="L286" s="209">
        <v>72.678183593708454</v>
      </c>
      <c r="M286" s="52">
        <f>SUM(L286/2000)</f>
        <v>3.6339091796854225E-2</v>
      </c>
      <c r="N286" s="52"/>
      <c r="O286" s="59">
        <f>SUM(M286/365)</f>
        <v>9.9559155607819802E-5</v>
      </c>
    </row>
    <row r="287" spans="1:16">
      <c r="A287" s="119" t="s">
        <v>490</v>
      </c>
      <c r="B287" s="119" t="s">
        <v>468</v>
      </c>
      <c r="C287" s="119" t="s">
        <v>491</v>
      </c>
      <c r="D287" s="208">
        <v>71735</v>
      </c>
      <c r="E287" s="119" t="s">
        <v>470</v>
      </c>
      <c r="F287" s="119" t="s">
        <v>478</v>
      </c>
      <c r="G287" s="119" t="s">
        <v>479</v>
      </c>
      <c r="H287" s="119" t="s">
        <v>82</v>
      </c>
      <c r="I287" s="208">
        <v>2.0736390621659134E-4</v>
      </c>
      <c r="J287" s="119" t="s">
        <v>473</v>
      </c>
      <c r="K287" s="119" t="s">
        <v>470</v>
      </c>
      <c r="L287" s="209">
        <v>14.87524981244718</v>
      </c>
      <c r="M287" s="52">
        <f>SUM(L287/2000)</f>
        <v>7.4376249062235895E-3</v>
      </c>
      <c r="N287" s="52"/>
      <c r="O287" s="59">
        <f>SUM(M287/365)</f>
        <v>2.0377054537598875E-5</v>
      </c>
    </row>
    <row r="288" spans="1:16">
      <c r="A288" s="119" t="s">
        <v>490</v>
      </c>
      <c r="B288" s="119" t="s">
        <v>468</v>
      </c>
      <c r="C288" s="119" t="s">
        <v>491</v>
      </c>
      <c r="D288" s="208">
        <v>71735</v>
      </c>
      <c r="E288" s="119" t="s">
        <v>470</v>
      </c>
      <c r="F288" s="119" t="s">
        <v>480</v>
      </c>
      <c r="G288" s="119" t="s">
        <v>481</v>
      </c>
      <c r="H288" s="119" t="s">
        <v>82</v>
      </c>
      <c r="I288" s="208">
        <v>1.6853912442776435E-5</v>
      </c>
      <c r="J288" s="119" t="s">
        <v>473</v>
      </c>
      <c r="K288" s="119" t="s">
        <v>470</v>
      </c>
      <c r="L288" s="209">
        <v>1.2090154090825675</v>
      </c>
      <c r="M288" s="52">
        <f>SUM(L288/2000)</f>
        <v>6.0450770454128382E-4</v>
      </c>
      <c r="N288" s="52"/>
      <c r="O288" s="59">
        <f>SUM(M288/365)</f>
        <v>1.6561854918939282E-6</v>
      </c>
    </row>
    <row r="289" spans="1:16">
      <c r="A289" s="119"/>
      <c r="B289" s="119"/>
      <c r="C289" s="119"/>
      <c r="D289" s="208"/>
      <c r="E289" s="119"/>
      <c r="F289" s="119"/>
      <c r="G289" s="119"/>
      <c r="H289" s="119"/>
      <c r="I289" s="208"/>
      <c r="J289" s="119"/>
      <c r="K289" s="119"/>
      <c r="L289" s="209"/>
      <c r="M289" s="52"/>
      <c r="N289" s="59">
        <f>SUM(M285:M288)</f>
        <v>5.0110039241344446E-2</v>
      </c>
      <c r="O289" s="59"/>
      <c r="P289" s="59">
        <f>SUM(O285:O288)</f>
        <v>1.3728777874340943E-4</v>
      </c>
    </row>
    <row r="290" spans="1:16">
      <c r="A290" s="119" t="s">
        <v>492</v>
      </c>
      <c r="B290" s="119" t="s">
        <v>468</v>
      </c>
      <c r="C290" s="119" t="s">
        <v>493</v>
      </c>
      <c r="D290" s="208">
        <v>460840</v>
      </c>
      <c r="E290" s="119" t="s">
        <v>470</v>
      </c>
      <c r="F290" s="119" t="s">
        <v>471</v>
      </c>
      <c r="G290" s="119" t="s">
        <v>472</v>
      </c>
      <c r="H290" s="119" t="s">
        <v>82</v>
      </c>
      <c r="I290" s="208">
        <v>1.5972160963895852E-4</v>
      </c>
      <c r="J290" s="119" t="s">
        <v>473</v>
      </c>
      <c r="K290" s="119" t="s">
        <v>470</v>
      </c>
      <c r="L290" s="209">
        <v>73.606106586017646</v>
      </c>
      <c r="M290" s="52">
        <f>SUM(L290/2000)</f>
        <v>3.6803053293008821E-2</v>
      </c>
      <c r="N290" s="52"/>
      <c r="O290" s="59">
        <f>SUM(M290/365)</f>
        <v>1.0083028299454472E-4</v>
      </c>
    </row>
    <row r="291" spans="1:16">
      <c r="A291" s="119" t="s">
        <v>492</v>
      </c>
      <c r="B291" s="119" t="s">
        <v>468</v>
      </c>
      <c r="C291" s="119" t="s">
        <v>493</v>
      </c>
      <c r="D291" s="208">
        <v>460840</v>
      </c>
      <c r="E291" s="119" t="s">
        <v>470</v>
      </c>
      <c r="F291" s="119" t="s">
        <v>474</v>
      </c>
      <c r="G291" s="119" t="s">
        <v>475</v>
      </c>
      <c r="H291" s="119" t="s">
        <v>82</v>
      </c>
      <c r="I291" s="208">
        <v>1.0131481646854178E-3</v>
      </c>
      <c r="J291" s="119" t="s">
        <v>473</v>
      </c>
      <c r="K291" s="119" t="s">
        <v>470</v>
      </c>
      <c r="L291" s="209">
        <v>466.89920021362792</v>
      </c>
      <c r="M291" s="52">
        <f>SUM(L291/2000)</f>
        <v>0.23344960010681395</v>
      </c>
      <c r="N291" s="52"/>
      <c r="O291" s="59">
        <f>SUM(M291/365)</f>
        <v>6.3958794549812039E-4</v>
      </c>
    </row>
    <row r="292" spans="1:16">
      <c r="A292" s="119" t="s">
        <v>492</v>
      </c>
      <c r="B292" s="119" t="s">
        <v>468</v>
      </c>
      <c r="C292" s="119" t="s">
        <v>493</v>
      </c>
      <c r="D292" s="208">
        <v>460840</v>
      </c>
      <c r="E292" s="119" t="s">
        <v>470</v>
      </c>
      <c r="F292" s="119" t="s">
        <v>478</v>
      </c>
      <c r="G292" s="119" t="s">
        <v>479</v>
      </c>
      <c r="H292" s="119" t="s">
        <v>82</v>
      </c>
      <c r="I292" s="208">
        <v>2.0736390621659134E-4</v>
      </c>
      <c r="J292" s="119" t="s">
        <v>473</v>
      </c>
      <c r="K292" s="119" t="s">
        <v>470</v>
      </c>
      <c r="L292" s="209">
        <v>95.561582540853948</v>
      </c>
      <c r="M292" s="52">
        <f>SUM(L292/2000)</f>
        <v>4.7780791270426975E-2</v>
      </c>
      <c r="N292" s="52"/>
      <c r="O292" s="59">
        <f>SUM(M292/365)</f>
        <v>1.3090627745322459E-4</v>
      </c>
    </row>
    <row r="293" spans="1:16">
      <c r="A293" s="119" t="s">
        <v>492</v>
      </c>
      <c r="B293" s="119" t="s">
        <v>468</v>
      </c>
      <c r="C293" s="119" t="s">
        <v>493</v>
      </c>
      <c r="D293" s="208">
        <v>460840</v>
      </c>
      <c r="E293" s="119" t="s">
        <v>470</v>
      </c>
      <c r="F293" s="119" t="s">
        <v>480</v>
      </c>
      <c r="G293" s="119" t="s">
        <v>481</v>
      </c>
      <c r="H293" s="119" t="s">
        <v>82</v>
      </c>
      <c r="I293" s="208">
        <v>1.6853912442776435E-5</v>
      </c>
      <c r="J293" s="119" t="s">
        <v>473</v>
      </c>
      <c r="K293" s="119" t="s">
        <v>470</v>
      </c>
      <c r="L293" s="209">
        <v>7.7669570101290919</v>
      </c>
      <c r="M293" s="52">
        <f>SUM(L293/2000)</f>
        <v>3.8834785050645458E-3</v>
      </c>
      <c r="N293" s="52"/>
      <c r="O293" s="59">
        <f>SUM(M293/365)</f>
        <v>1.0639667137163139E-5</v>
      </c>
    </row>
    <row r="294" spans="1:16">
      <c r="A294" s="119"/>
      <c r="B294" s="119"/>
      <c r="C294" s="119"/>
      <c r="D294" s="208"/>
      <c r="E294" s="119"/>
      <c r="F294" s="119"/>
      <c r="G294" s="119"/>
      <c r="H294" s="119"/>
      <c r="I294" s="208"/>
      <c r="J294" s="119"/>
      <c r="K294" s="119"/>
      <c r="L294" s="209"/>
      <c r="M294" s="52"/>
      <c r="N294" s="59">
        <f>SUM(M290:M293)</f>
        <v>0.32191692317531428</v>
      </c>
      <c r="O294" s="59"/>
      <c r="P294" s="59">
        <f>SUM(O290:O293)</f>
        <v>8.8196417308305283E-4</v>
      </c>
    </row>
    <row r="295" spans="1:16" ht="25.5">
      <c r="A295" s="119" t="s">
        <v>494</v>
      </c>
      <c r="B295" s="119" t="s">
        <v>468</v>
      </c>
      <c r="C295" s="119" t="s">
        <v>495</v>
      </c>
      <c r="D295" s="208">
        <v>154983</v>
      </c>
      <c r="E295" s="119" t="s">
        <v>470</v>
      </c>
      <c r="F295" s="119" t="s">
        <v>471</v>
      </c>
      <c r="G295" s="119" t="s">
        <v>472</v>
      </c>
      <c r="H295" s="119" t="s">
        <v>82</v>
      </c>
      <c r="I295" s="208">
        <v>1.5972160963895852E-4</v>
      </c>
      <c r="J295" s="119" t="s">
        <v>473</v>
      </c>
      <c r="K295" s="119" t="s">
        <v>470</v>
      </c>
      <c r="L295" s="209">
        <v>24.754134226674708</v>
      </c>
      <c r="M295" s="52">
        <f>SUM(L295/2000)</f>
        <v>1.2377067113337354E-2</v>
      </c>
      <c r="N295" s="52"/>
      <c r="O295" s="59">
        <f>SUM(M295/365)</f>
        <v>3.3909772913253023E-5</v>
      </c>
    </row>
    <row r="296" spans="1:16" ht="25.5">
      <c r="A296" s="119" t="s">
        <v>494</v>
      </c>
      <c r="B296" s="119" t="s">
        <v>468</v>
      </c>
      <c r="C296" s="119" t="s">
        <v>495</v>
      </c>
      <c r="D296" s="208">
        <v>154983</v>
      </c>
      <c r="E296" s="119" t="s">
        <v>470</v>
      </c>
      <c r="F296" s="119" t="s">
        <v>474</v>
      </c>
      <c r="G296" s="119" t="s">
        <v>475</v>
      </c>
      <c r="H296" s="119" t="s">
        <v>82</v>
      </c>
      <c r="I296" s="208">
        <v>1.0131481646854178E-3</v>
      </c>
      <c r="J296" s="119" t="s">
        <v>473</v>
      </c>
      <c r="K296" s="119" t="s">
        <v>470</v>
      </c>
      <c r="L296" s="209">
        <v>157.02074200744011</v>
      </c>
      <c r="M296" s="52">
        <f>SUM(L296/2000)</f>
        <v>7.8510371003720048E-2</v>
      </c>
      <c r="N296" s="52"/>
      <c r="O296" s="59">
        <f>SUM(M296/365)</f>
        <v>2.1509690685950699E-4</v>
      </c>
    </row>
    <row r="297" spans="1:16" ht="25.5">
      <c r="A297" s="119" t="s">
        <v>494</v>
      </c>
      <c r="B297" s="119" t="s">
        <v>468</v>
      </c>
      <c r="C297" s="119" t="s">
        <v>495</v>
      </c>
      <c r="D297" s="208">
        <v>154983</v>
      </c>
      <c r="E297" s="119" t="s">
        <v>470</v>
      </c>
      <c r="F297" s="119" t="s">
        <v>478</v>
      </c>
      <c r="G297" s="119" t="s">
        <v>479</v>
      </c>
      <c r="H297" s="119" t="s">
        <v>82</v>
      </c>
      <c r="I297" s="208">
        <v>2.0736390621659134E-4</v>
      </c>
      <c r="J297" s="119" t="s">
        <v>473</v>
      </c>
      <c r="K297" s="119" t="s">
        <v>470</v>
      </c>
      <c r="L297" s="209">
        <v>32.137880277165976</v>
      </c>
      <c r="M297" s="52">
        <f>SUM(L297/2000)</f>
        <v>1.6068940138582989E-2</v>
      </c>
      <c r="N297" s="52"/>
      <c r="O297" s="59">
        <f>SUM(M297/365)</f>
        <v>4.4024493530364353E-5</v>
      </c>
    </row>
    <row r="298" spans="1:16" ht="25.5">
      <c r="A298" s="119" t="s">
        <v>494</v>
      </c>
      <c r="B298" s="119" t="s">
        <v>468</v>
      </c>
      <c r="C298" s="119" t="s">
        <v>495</v>
      </c>
      <c r="D298" s="208">
        <v>154983</v>
      </c>
      <c r="E298" s="119" t="s">
        <v>470</v>
      </c>
      <c r="F298" s="119" t="s">
        <v>480</v>
      </c>
      <c r="G298" s="119" t="s">
        <v>481</v>
      </c>
      <c r="H298" s="119" t="s">
        <v>82</v>
      </c>
      <c r="I298" s="208">
        <v>1.6853912442776435E-5</v>
      </c>
      <c r="J298" s="119" t="s">
        <v>473</v>
      </c>
      <c r="K298" s="119" t="s">
        <v>470</v>
      </c>
      <c r="L298" s="209">
        <v>2.6120699121188204</v>
      </c>
      <c r="M298" s="52">
        <f>SUM(L298/2000)</f>
        <v>1.3060349560594102E-3</v>
      </c>
      <c r="N298" s="52"/>
      <c r="O298" s="59">
        <f>SUM(M298/365)</f>
        <v>3.5781779618066035E-6</v>
      </c>
    </row>
    <row r="299" spans="1:16">
      <c r="A299" s="119"/>
      <c r="B299" s="119"/>
      <c r="C299" s="119"/>
      <c r="D299" s="208"/>
      <c r="E299" s="119"/>
      <c r="F299" s="119"/>
      <c r="G299" s="119"/>
      <c r="H299" s="119"/>
      <c r="I299" s="208"/>
      <c r="J299" s="119"/>
      <c r="K299" s="119"/>
      <c r="L299" s="209"/>
      <c r="M299" s="52"/>
      <c r="N299" s="59">
        <f>SUM(M295:M298)</f>
        <v>0.1082624132116998</v>
      </c>
      <c r="O299" s="59"/>
      <c r="P299" s="59">
        <f>SUM(O295:O298)</f>
        <v>2.9660935126493097E-4</v>
      </c>
    </row>
    <row r="300" spans="1:16" ht="25.5">
      <c r="A300" s="119" t="s">
        <v>496</v>
      </c>
      <c r="B300" s="119" t="s">
        <v>468</v>
      </c>
      <c r="C300" s="119" t="s">
        <v>497</v>
      </c>
      <c r="D300" s="208">
        <v>1482478</v>
      </c>
      <c r="E300" s="119" t="s">
        <v>470</v>
      </c>
      <c r="F300" s="119" t="s">
        <v>471</v>
      </c>
      <c r="G300" s="119" t="s">
        <v>472</v>
      </c>
      <c r="H300" s="119" t="s">
        <v>82</v>
      </c>
      <c r="I300" s="208">
        <v>1.5972160963895852E-4</v>
      </c>
      <c r="J300" s="119" t="s">
        <v>473</v>
      </c>
      <c r="K300" s="119" t="s">
        <v>470</v>
      </c>
      <c r="L300" s="209">
        <v>236.78377241434396</v>
      </c>
      <c r="M300" s="52">
        <f>SUM(L300/2000)</f>
        <v>0.11839188620717198</v>
      </c>
      <c r="N300" s="52"/>
      <c r="O300" s="59">
        <f>SUM(M300/365)</f>
        <v>3.243613320744438E-4</v>
      </c>
    </row>
    <row r="301" spans="1:16" ht="25.5">
      <c r="A301" s="119" t="s">
        <v>496</v>
      </c>
      <c r="B301" s="119" t="s">
        <v>468</v>
      </c>
      <c r="C301" s="119" t="s">
        <v>497</v>
      </c>
      <c r="D301" s="208">
        <v>1482478</v>
      </c>
      <c r="E301" s="119" t="s">
        <v>470</v>
      </c>
      <c r="F301" s="119" t="s">
        <v>474</v>
      </c>
      <c r="G301" s="119" t="s">
        <v>475</v>
      </c>
      <c r="H301" s="119" t="s">
        <v>82</v>
      </c>
      <c r="I301" s="208">
        <v>1.0131481646854178E-3</v>
      </c>
      <c r="J301" s="119" t="s">
        <v>473</v>
      </c>
      <c r="K301" s="119" t="s">
        <v>470</v>
      </c>
      <c r="L301" s="209">
        <v>1501.9698648865087</v>
      </c>
      <c r="M301" s="52">
        <f>SUM(L301/2000)</f>
        <v>0.75098493244325437</v>
      </c>
      <c r="N301" s="52"/>
      <c r="O301" s="59">
        <f>SUM(M301/365)</f>
        <v>2.0574929655979572E-3</v>
      </c>
    </row>
    <row r="302" spans="1:16" ht="25.5">
      <c r="A302" s="119" t="s">
        <v>496</v>
      </c>
      <c r="B302" s="119" t="s">
        <v>468</v>
      </c>
      <c r="C302" s="119" t="s">
        <v>497</v>
      </c>
      <c r="D302" s="208">
        <v>1482478</v>
      </c>
      <c r="E302" s="119" t="s">
        <v>470</v>
      </c>
      <c r="F302" s="119" t="s">
        <v>478</v>
      </c>
      <c r="G302" s="119" t="s">
        <v>479</v>
      </c>
      <c r="H302" s="119" t="s">
        <v>82</v>
      </c>
      <c r="I302" s="208">
        <v>2.0736390621659134E-4</v>
      </c>
      <c r="J302" s="119" t="s">
        <v>473</v>
      </c>
      <c r="K302" s="119" t="s">
        <v>470</v>
      </c>
      <c r="L302" s="209">
        <v>307.4124289601599</v>
      </c>
      <c r="M302" s="52">
        <f>SUM(L302/2000)</f>
        <v>0.15370621448007996</v>
      </c>
      <c r="N302" s="52"/>
      <c r="O302" s="59">
        <f>SUM(M302/365)</f>
        <v>4.2111291638378072E-4</v>
      </c>
    </row>
    <row r="303" spans="1:16" ht="25.5">
      <c r="A303" s="119" t="s">
        <v>496</v>
      </c>
      <c r="B303" s="119" t="s">
        <v>468</v>
      </c>
      <c r="C303" s="119" t="s">
        <v>497</v>
      </c>
      <c r="D303" s="208">
        <v>1482478</v>
      </c>
      <c r="E303" s="119" t="s">
        <v>470</v>
      </c>
      <c r="F303" s="119" t="s">
        <v>480</v>
      </c>
      <c r="G303" s="119" t="s">
        <v>481</v>
      </c>
      <c r="H303" s="119" t="s">
        <v>82</v>
      </c>
      <c r="I303" s="208">
        <v>1.6853912442776435E-5</v>
      </c>
      <c r="J303" s="119" t="s">
        <v>473</v>
      </c>
      <c r="K303" s="119" t="s">
        <v>470</v>
      </c>
      <c r="L303" s="209">
        <v>24.985554410342324</v>
      </c>
      <c r="M303" s="52">
        <f>SUM(L303/2000)</f>
        <v>1.2492777205171161E-2</v>
      </c>
      <c r="N303" s="52"/>
      <c r="O303" s="59">
        <f>SUM(M303/365)</f>
        <v>3.4226786863482636E-5</v>
      </c>
    </row>
    <row r="304" spans="1:16">
      <c r="A304" s="119"/>
      <c r="B304" s="119"/>
      <c r="C304" s="119"/>
      <c r="D304" s="208"/>
      <c r="E304" s="119"/>
      <c r="F304" s="119"/>
      <c r="G304" s="119"/>
      <c r="H304" s="119"/>
      <c r="I304" s="208"/>
      <c r="J304" s="119"/>
      <c r="K304" s="119"/>
      <c r="L304" s="209"/>
      <c r="M304" s="52"/>
      <c r="N304" s="59">
        <f>SUM(M300:M303)</f>
        <v>1.0355758103356774</v>
      </c>
      <c r="O304" s="59"/>
      <c r="P304" s="59">
        <f>SUM(O300:O303)</f>
        <v>2.8371940009196649E-3</v>
      </c>
    </row>
    <row r="305" spans="1:16" ht="25.5">
      <c r="A305" s="119" t="s">
        <v>498</v>
      </c>
      <c r="B305" s="119" t="s">
        <v>468</v>
      </c>
      <c r="C305" s="119" t="s">
        <v>499</v>
      </c>
      <c r="D305" s="208">
        <v>11215</v>
      </c>
      <c r="E305" s="119" t="s">
        <v>470</v>
      </c>
      <c r="F305" s="119" t="s">
        <v>471</v>
      </c>
      <c r="G305" s="119" t="s">
        <v>472</v>
      </c>
      <c r="H305" s="119" t="s">
        <v>82</v>
      </c>
      <c r="I305" s="208">
        <v>1.5972160963895852E-4</v>
      </c>
      <c r="J305" s="119" t="s">
        <v>473</v>
      </c>
      <c r="K305" s="119" t="s">
        <v>470</v>
      </c>
      <c r="L305" s="209">
        <v>1.7912778521009198</v>
      </c>
      <c r="M305" s="52">
        <f>SUM(L305/2000)</f>
        <v>8.9563892605045987E-4</v>
      </c>
      <c r="N305" s="52"/>
      <c r="O305" s="59">
        <f>SUM(M305/365)</f>
        <v>2.453805276850575E-6</v>
      </c>
    </row>
    <row r="306" spans="1:16" ht="25.5">
      <c r="A306" s="119" t="s">
        <v>498</v>
      </c>
      <c r="B306" s="119" t="s">
        <v>468</v>
      </c>
      <c r="C306" s="119" t="s">
        <v>499</v>
      </c>
      <c r="D306" s="208">
        <v>11215</v>
      </c>
      <c r="E306" s="119" t="s">
        <v>470</v>
      </c>
      <c r="F306" s="119" t="s">
        <v>474</v>
      </c>
      <c r="G306" s="119" t="s">
        <v>475</v>
      </c>
      <c r="H306" s="119" t="s">
        <v>82</v>
      </c>
      <c r="I306" s="208">
        <v>1.0131481646854178E-3</v>
      </c>
      <c r="J306" s="119" t="s">
        <v>473</v>
      </c>
      <c r="K306" s="119" t="s">
        <v>470</v>
      </c>
      <c r="L306" s="209">
        <v>11.362456666946962</v>
      </c>
      <c r="M306" s="52">
        <f>SUM(L306/2000)</f>
        <v>5.6812283334734806E-3</v>
      </c>
      <c r="N306" s="52"/>
      <c r="O306" s="59">
        <f>SUM(M306/365)</f>
        <v>1.5565009132804055E-5</v>
      </c>
    </row>
    <row r="307" spans="1:16" ht="25.5">
      <c r="A307" s="119" t="s">
        <v>498</v>
      </c>
      <c r="B307" s="119" t="s">
        <v>468</v>
      </c>
      <c r="C307" s="119" t="s">
        <v>499</v>
      </c>
      <c r="D307" s="208">
        <v>11215</v>
      </c>
      <c r="E307" s="119" t="s">
        <v>470</v>
      </c>
      <c r="F307" s="119" t="s">
        <v>478</v>
      </c>
      <c r="G307" s="119" t="s">
        <v>479</v>
      </c>
      <c r="H307" s="119" t="s">
        <v>82</v>
      </c>
      <c r="I307" s="208">
        <v>2.0736390621659134E-4</v>
      </c>
      <c r="J307" s="119" t="s">
        <v>473</v>
      </c>
      <c r="K307" s="119" t="s">
        <v>470</v>
      </c>
      <c r="L307" s="209">
        <v>2.3255862082190717</v>
      </c>
      <c r="M307" s="52">
        <f>SUM(L307/2000)</f>
        <v>1.162793104109536E-3</v>
      </c>
      <c r="N307" s="52"/>
      <c r="O307" s="59">
        <f>SUM(M307/365)</f>
        <v>3.1857345318069478E-6</v>
      </c>
    </row>
    <row r="308" spans="1:16" ht="25.5">
      <c r="A308" s="119" t="s">
        <v>498</v>
      </c>
      <c r="B308" s="119" t="s">
        <v>468</v>
      </c>
      <c r="C308" s="119" t="s">
        <v>499</v>
      </c>
      <c r="D308" s="208">
        <v>11215</v>
      </c>
      <c r="E308" s="119" t="s">
        <v>470</v>
      </c>
      <c r="F308" s="119" t="s">
        <v>480</v>
      </c>
      <c r="G308" s="119" t="s">
        <v>481</v>
      </c>
      <c r="H308" s="119" t="s">
        <v>82</v>
      </c>
      <c r="I308" s="208">
        <v>1.6853912442776435E-5</v>
      </c>
      <c r="J308" s="119" t="s">
        <v>473</v>
      </c>
      <c r="K308" s="119" t="s">
        <v>470</v>
      </c>
      <c r="L308" s="209">
        <v>0.18901662804573771</v>
      </c>
      <c r="M308" s="52">
        <f>SUM(L308/2000)</f>
        <v>9.4508314022868862E-5</v>
      </c>
      <c r="N308" s="52"/>
      <c r="O308" s="59">
        <f>SUM(M308/365)</f>
        <v>2.5892688773388728E-7</v>
      </c>
    </row>
    <row r="309" spans="1:16">
      <c r="A309" s="119"/>
      <c r="B309" s="119"/>
      <c r="C309" s="119"/>
      <c r="D309" s="208"/>
      <c r="E309" s="119"/>
      <c r="F309" s="119"/>
      <c r="G309" s="119"/>
      <c r="H309" s="119"/>
      <c r="I309" s="208"/>
      <c r="J309" s="119"/>
      <c r="K309" s="119"/>
      <c r="L309" s="209"/>
      <c r="M309" s="52"/>
      <c r="N309" s="59">
        <f>SUM(M305:M308)</f>
        <v>7.834168677656345E-3</v>
      </c>
      <c r="O309" s="59"/>
      <c r="P309" s="59">
        <f>SUM(O305:O308)</f>
        <v>2.1463475829195464E-5</v>
      </c>
    </row>
    <row r="310" spans="1:16">
      <c r="A310" s="119" t="s">
        <v>500</v>
      </c>
      <c r="B310" s="119" t="s">
        <v>468</v>
      </c>
      <c r="C310" s="119" t="s">
        <v>501</v>
      </c>
      <c r="D310" s="208">
        <v>659909</v>
      </c>
      <c r="E310" s="119" t="s">
        <v>470</v>
      </c>
      <c r="F310" s="119" t="s">
        <v>471</v>
      </c>
      <c r="G310" s="119" t="s">
        <v>472</v>
      </c>
      <c r="H310" s="119" t="s">
        <v>82</v>
      </c>
      <c r="I310" s="208">
        <v>1.5972160963895852E-4</v>
      </c>
      <c r="J310" s="119" t="s">
        <v>473</v>
      </c>
      <c r="K310" s="119" t="s">
        <v>470</v>
      </c>
      <c r="L310" s="209">
        <v>105.40172769523548</v>
      </c>
      <c r="M310" s="52">
        <f>SUM(L310/2000)</f>
        <v>5.270086384761774E-2</v>
      </c>
      <c r="N310" s="52"/>
      <c r="O310" s="59">
        <f>SUM(M310/365)</f>
        <v>1.4438592834963764E-4</v>
      </c>
    </row>
    <row r="311" spans="1:16">
      <c r="A311" s="119" t="s">
        <v>500</v>
      </c>
      <c r="B311" s="119" t="s">
        <v>468</v>
      </c>
      <c r="C311" s="119" t="s">
        <v>501</v>
      </c>
      <c r="D311" s="208">
        <v>659909</v>
      </c>
      <c r="E311" s="119" t="s">
        <v>470</v>
      </c>
      <c r="F311" s="119" t="s">
        <v>474</v>
      </c>
      <c r="G311" s="119" t="s">
        <v>475</v>
      </c>
      <c r="H311" s="119" t="s">
        <v>82</v>
      </c>
      <c r="I311" s="208">
        <v>1.0131481646854178E-3</v>
      </c>
      <c r="J311" s="119" t="s">
        <v>473</v>
      </c>
      <c r="K311" s="119" t="s">
        <v>470</v>
      </c>
      <c r="L311" s="209">
        <v>668.58559220938935</v>
      </c>
      <c r="M311" s="52">
        <f>SUM(L311/2000)</f>
        <v>0.3342927961046947</v>
      </c>
      <c r="N311" s="52"/>
      <c r="O311" s="59">
        <f>SUM(M311/365)</f>
        <v>9.1587067425943751E-4</v>
      </c>
    </row>
    <row r="312" spans="1:16">
      <c r="A312" s="119" t="s">
        <v>500</v>
      </c>
      <c r="B312" s="119" t="s">
        <v>468</v>
      </c>
      <c r="C312" s="119" t="s">
        <v>501</v>
      </c>
      <c r="D312" s="208">
        <v>659909</v>
      </c>
      <c r="E312" s="119" t="s">
        <v>470</v>
      </c>
      <c r="F312" s="119" t="s">
        <v>478</v>
      </c>
      <c r="G312" s="119" t="s">
        <v>479</v>
      </c>
      <c r="H312" s="119" t="s">
        <v>82</v>
      </c>
      <c r="I312" s="208">
        <v>2.0736390621659134E-4</v>
      </c>
      <c r="J312" s="119" t="s">
        <v>473</v>
      </c>
      <c r="K312" s="119" t="s">
        <v>470</v>
      </c>
      <c r="L312" s="209">
        <v>136.84130798748458</v>
      </c>
      <c r="M312" s="52">
        <f>SUM(L312/2000)</f>
        <v>6.8420653993742295E-2</v>
      </c>
      <c r="N312" s="52"/>
      <c r="O312" s="59">
        <f>SUM(M312/365)</f>
        <v>1.8745384655819808E-4</v>
      </c>
    </row>
    <row r="313" spans="1:16">
      <c r="A313" s="119" t="s">
        <v>500</v>
      </c>
      <c r="B313" s="119" t="s">
        <v>468</v>
      </c>
      <c r="C313" s="119" t="s">
        <v>501</v>
      </c>
      <c r="D313" s="208">
        <v>659909</v>
      </c>
      <c r="E313" s="119" t="s">
        <v>470</v>
      </c>
      <c r="F313" s="119" t="s">
        <v>480</v>
      </c>
      <c r="G313" s="119" t="s">
        <v>481</v>
      </c>
      <c r="H313" s="119" t="s">
        <v>82</v>
      </c>
      <c r="I313" s="208">
        <v>1.6853912442776435E-5</v>
      </c>
      <c r="J313" s="119" t="s">
        <v>473</v>
      </c>
      <c r="K313" s="119" t="s">
        <v>470</v>
      </c>
      <c r="L313" s="209">
        <v>11.122048506200155</v>
      </c>
      <c r="M313" s="52">
        <f>SUM(L313/2000)</f>
        <v>5.5610242531000777E-3</v>
      </c>
      <c r="N313" s="52"/>
      <c r="O313" s="59">
        <f>SUM(M313/365)</f>
        <v>1.5235682885205693E-5</v>
      </c>
    </row>
    <row r="314" spans="1:16">
      <c r="A314" s="119"/>
      <c r="B314" s="119"/>
      <c r="C314" s="119"/>
      <c r="D314" s="208"/>
      <c r="E314" s="119"/>
      <c r="F314" s="119"/>
      <c r="G314" s="119"/>
      <c r="H314" s="119"/>
      <c r="I314" s="208"/>
      <c r="J314" s="119"/>
      <c r="K314" s="119"/>
      <c r="L314" s="209"/>
      <c r="M314" s="52"/>
      <c r="N314" s="59">
        <f>SUM(M310:M313)</f>
        <v>0.46097533819915482</v>
      </c>
      <c r="O314" s="59"/>
      <c r="P314" s="59">
        <f>SUM(O310:O313)</f>
        <v>1.262946132052479E-3</v>
      </c>
    </row>
    <row r="315" spans="1:16">
      <c r="A315" s="119" t="s">
        <v>502</v>
      </c>
      <c r="B315" s="119" t="s">
        <v>468</v>
      </c>
      <c r="C315" s="119" t="s">
        <v>503</v>
      </c>
      <c r="D315" s="208">
        <v>492066</v>
      </c>
      <c r="E315" s="119" t="s">
        <v>470</v>
      </c>
      <c r="F315" s="119" t="s">
        <v>471</v>
      </c>
      <c r="G315" s="119" t="s">
        <v>472</v>
      </c>
      <c r="H315" s="119" t="s">
        <v>82</v>
      </c>
      <c r="I315" s="208">
        <v>1.5972160963895852E-4</v>
      </c>
      <c r="J315" s="119" t="s">
        <v>473</v>
      </c>
      <c r="K315" s="119" t="s">
        <v>470</v>
      </c>
      <c r="L315" s="209">
        <v>78.593573568603759</v>
      </c>
      <c r="M315" s="52">
        <f>SUM(L315/2000)</f>
        <v>3.9296786784301881E-2</v>
      </c>
      <c r="N315" s="52"/>
      <c r="O315" s="59">
        <f>SUM(M315/365)</f>
        <v>1.0766242954603255E-4</v>
      </c>
    </row>
    <row r="316" spans="1:16">
      <c r="A316" s="119" t="s">
        <v>502</v>
      </c>
      <c r="B316" s="119" t="s">
        <v>468</v>
      </c>
      <c r="C316" s="119" t="s">
        <v>503</v>
      </c>
      <c r="D316" s="208">
        <v>492066</v>
      </c>
      <c r="E316" s="119" t="s">
        <v>470</v>
      </c>
      <c r="F316" s="119" t="s">
        <v>474</v>
      </c>
      <c r="G316" s="119" t="s">
        <v>475</v>
      </c>
      <c r="H316" s="119" t="s">
        <v>82</v>
      </c>
      <c r="I316" s="208">
        <v>1.0131481646854178E-3</v>
      </c>
      <c r="J316" s="119" t="s">
        <v>473</v>
      </c>
      <c r="K316" s="119" t="s">
        <v>470</v>
      </c>
      <c r="L316" s="209">
        <v>498.53576480409481</v>
      </c>
      <c r="M316" s="52">
        <f>SUM(L316/2000)</f>
        <v>0.24926788240204739</v>
      </c>
      <c r="N316" s="52"/>
      <c r="O316" s="59">
        <f>SUM(M316/365)</f>
        <v>6.8292570521108877E-4</v>
      </c>
    </row>
    <row r="317" spans="1:16">
      <c r="A317" s="119" t="s">
        <v>502</v>
      </c>
      <c r="B317" s="119" t="s">
        <v>468</v>
      </c>
      <c r="C317" s="119" t="s">
        <v>503</v>
      </c>
      <c r="D317" s="208">
        <v>492066</v>
      </c>
      <c r="E317" s="119" t="s">
        <v>470</v>
      </c>
      <c r="F317" s="119" t="s">
        <v>478</v>
      </c>
      <c r="G317" s="119" t="s">
        <v>479</v>
      </c>
      <c r="H317" s="119" t="s">
        <v>82</v>
      </c>
      <c r="I317" s="208">
        <v>2.0736390621659134E-4</v>
      </c>
      <c r="J317" s="119" t="s">
        <v>473</v>
      </c>
      <c r="K317" s="119" t="s">
        <v>470</v>
      </c>
      <c r="L317" s="209">
        <v>102.03672787637323</v>
      </c>
      <c r="M317" s="52">
        <f>SUM(L317/2000)</f>
        <v>5.1018363938186616E-2</v>
      </c>
      <c r="N317" s="52"/>
      <c r="O317" s="59">
        <f>SUM(M317/365)</f>
        <v>1.3977633955667565E-4</v>
      </c>
    </row>
    <row r="318" spans="1:16">
      <c r="A318" s="119" t="s">
        <v>502</v>
      </c>
      <c r="B318" s="119" t="s">
        <v>468</v>
      </c>
      <c r="C318" s="119" t="s">
        <v>503</v>
      </c>
      <c r="D318" s="208">
        <v>492066</v>
      </c>
      <c r="E318" s="119" t="s">
        <v>470</v>
      </c>
      <c r="F318" s="119" t="s">
        <v>480</v>
      </c>
      <c r="G318" s="119" t="s">
        <v>481</v>
      </c>
      <c r="H318" s="119" t="s">
        <v>82</v>
      </c>
      <c r="I318" s="208">
        <v>1.6853912442776435E-5</v>
      </c>
      <c r="J318" s="119" t="s">
        <v>473</v>
      </c>
      <c r="K318" s="119" t="s">
        <v>470</v>
      </c>
      <c r="L318" s="209">
        <v>8.2932372800672294</v>
      </c>
      <c r="M318" s="52">
        <f>SUM(L318/2000)</f>
        <v>4.146618640033615E-3</v>
      </c>
      <c r="N318" s="52"/>
      <c r="O318" s="59">
        <f>SUM(M318/365)</f>
        <v>1.1360599013790726E-5</v>
      </c>
    </row>
    <row r="319" spans="1:16">
      <c r="A319" s="119"/>
      <c r="B319" s="119"/>
      <c r="C319" s="119"/>
      <c r="D319" s="208"/>
      <c r="E319" s="119"/>
      <c r="F319" s="119"/>
      <c r="G319" s="119"/>
      <c r="H319" s="119"/>
      <c r="I319" s="208"/>
      <c r="J319" s="119"/>
      <c r="K319" s="119"/>
      <c r="L319" s="209"/>
      <c r="M319" s="52"/>
      <c r="N319" s="59">
        <f>SUM(M315:M318)</f>
        <v>0.34372965176456949</v>
      </c>
      <c r="O319" s="59"/>
      <c r="P319" s="59">
        <f>SUM(O315:O318)</f>
        <v>9.4172507332758763E-4</v>
      </c>
    </row>
    <row r="320" spans="1:16">
      <c r="A320" s="119"/>
      <c r="B320" s="119"/>
      <c r="C320" s="119"/>
      <c r="D320" s="208"/>
      <c r="E320" s="119"/>
      <c r="F320" s="119"/>
      <c r="G320" s="119"/>
      <c r="H320" s="119"/>
      <c r="I320" s="208"/>
      <c r="J320" s="119"/>
      <c r="K320" s="119"/>
      <c r="L320" s="209"/>
      <c r="M320" s="52"/>
      <c r="N320" s="59"/>
      <c r="O320" s="59"/>
      <c r="P320" s="59"/>
    </row>
    <row r="321" spans="1:16">
      <c r="A321" s="119" t="s">
        <v>504</v>
      </c>
      <c r="B321" s="119" t="s">
        <v>468</v>
      </c>
      <c r="C321" s="119" t="s">
        <v>505</v>
      </c>
      <c r="D321" s="208">
        <v>732684</v>
      </c>
      <c r="E321" s="119" t="s">
        <v>470</v>
      </c>
      <c r="F321" s="119" t="s">
        <v>471</v>
      </c>
      <c r="G321" s="119" t="s">
        <v>472</v>
      </c>
      <c r="H321" s="119" t="s">
        <v>82</v>
      </c>
      <c r="I321" s="208">
        <v>1.5972160963895852E-4</v>
      </c>
      <c r="J321" s="119" t="s">
        <v>473</v>
      </c>
      <c r="K321" s="119" t="s">
        <v>470</v>
      </c>
      <c r="L321" s="209">
        <v>117.02546783671069</v>
      </c>
      <c r="M321" s="52">
        <f>SUM(L321/2000)</f>
        <v>5.8512733918355347E-2</v>
      </c>
      <c r="N321" s="52"/>
      <c r="O321" s="59">
        <f>SUM(M321/365)</f>
        <v>1.6030886005028862E-4</v>
      </c>
    </row>
    <row r="322" spans="1:16">
      <c r="A322" s="119" t="s">
        <v>504</v>
      </c>
      <c r="B322" s="119" t="s">
        <v>468</v>
      </c>
      <c r="C322" s="119" t="s">
        <v>505</v>
      </c>
      <c r="D322" s="208">
        <v>732684</v>
      </c>
      <c r="E322" s="119" t="s">
        <v>470</v>
      </c>
      <c r="F322" s="119" t="s">
        <v>474</v>
      </c>
      <c r="G322" s="119" t="s">
        <v>475</v>
      </c>
      <c r="H322" s="119" t="s">
        <v>82</v>
      </c>
      <c r="I322" s="208">
        <v>1.0131481646854178E-3</v>
      </c>
      <c r="J322" s="119" t="s">
        <v>473</v>
      </c>
      <c r="K322" s="119" t="s">
        <v>470</v>
      </c>
      <c r="L322" s="209">
        <v>742.31744989437072</v>
      </c>
      <c r="M322" s="52">
        <f>SUM(L322/2000)</f>
        <v>0.37115872494718538</v>
      </c>
      <c r="N322" s="52"/>
      <c r="O322" s="59">
        <f>SUM(M322/365)</f>
        <v>1.0168732190333847E-3</v>
      </c>
    </row>
    <row r="323" spans="1:16">
      <c r="A323" s="119" t="s">
        <v>504</v>
      </c>
      <c r="B323" s="119" t="s">
        <v>468</v>
      </c>
      <c r="C323" s="119" t="s">
        <v>505</v>
      </c>
      <c r="D323" s="208">
        <v>732684</v>
      </c>
      <c r="E323" s="119" t="s">
        <v>470</v>
      </c>
      <c r="F323" s="119" t="s">
        <v>478</v>
      </c>
      <c r="G323" s="119" t="s">
        <v>479</v>
      </c>
      <c r="H323" s="119" t="s">
        <v>82</v>
      </c>
      <c r="I323" s="208">
        <v>2.0736390621659134E-4</v>
      </c>
      <c r="J323" s="119" t="s">
        <v>473</v>
      </c>
      <c r="K323" s="119" t="s">
        <v>470</v>
      </c>
      <c r="L323" s="209">
        <v>151.93221626239702</v>
      </c>
      <c r="M323" s="52">
        <f>SUM(L323/2000)</f>
        <v>7.5966108131198515E-2</v>
      </c>
      <c r="N323" s="52"/>
      <c r="O323" s="59">
        <f>SUM(M323/365)</f>
        <v>2.0812632364711922E-4</v>
      </c>
    </row>
    <row r="324" spans="1:16">
      <c r="A324" s="119" t="s">
        <v>504</v>
      </c>
      <c r="B324" s="119" t="s">
        <v>468</v>
      </c>
      <c r="C324" s="119" t="s">
        <v>505</v>
      </c>
      <c r="D324" s="208">
        <v>732684</v>
      </c>
      <c r="E324" s="119" t="s">
        <v>470</v>
      </c>
      <c r="F324" s="119" t="s">
        <v>480</v>
      </c>
      <c r="G324" s="119" t="s">
        <v>481</v>
      </c>
      <c r="H324" s="119" t="s">
        <v>82</v>
      </c>
      <c r="I324" s="208">
        <v>1.6853912442776435E-5</v>
      </c>
      <c r="J324" s="119" t="s">
        <v>473</v>
      </c>
      <c r="K324" s="119" t="s">
        <v>470</v>
      </c>
      <c r="L324" s="209">
        <v>12.34859198422321</v>
      </c>
      <c r="M324" s="52">
        <f>SUM(L324/2000)</f>
        <v>6.1742959921116053E-3</v>
      </c>
      <c r="N324" s="52"/>
      <c r="O324" s="59">
        <f>SUM(M324/365)</f>
        <v>1.6915879430442755E-5</v>
      </c>
    </row>
    <row r="325" spans="1:16">
      <c r="A325" s="119"/>
      <c r="B325" s="119"/>
      <c r="C325" s="119"/>
      <c r="D325" s="208"/>
      <c r="E325" s="119"/>
      <c r="F325" s="119"/>
      <c r="G325" s="119"/>
      <c r="H325" s="119"/>
      <c r="I325" s="208"/>
      <c r="J325" s="119"/>
      <c r="K325" s="119"/>
      <c r="L325" s="209"/>
      <c r="M325" s="52"/>
      <c r="N325" s="59">
        <f>SUM(M321:M324)</f>
        <v>0.51181186298885084</v>
      </c>
      <c r="O325" s="59"/>
      <c r="P325" s="59">
        <f>SUM(O321:O324)</f>
        <v>1.4022242821612352E-3</v>
      </c>
    </row>
    <row r="326" spans="1:16" ht="25.5">
      <c r="A326" s="119" t="s">
        <v>506</v>
      </c>
      <c r="B326" s="119" t="s">
        <v>468</v>
      </c>
      <c r="C326" s="119" t="s">
        <v>507</v>
      </c>
      <c r="D326" s="208">
        <v>783806</v>
      </c>
      <c r="E326" s="119" t="s">
        <v>470</v>
      </c>
      <c r="F326" s="119" t="s">
        <v>471</v>
      </c>
      <c r="G326" s="119" t="s">
        <v>472</v>
      </c>
      <c r="H326" s="119" t="s">
        <v>82</v>
      </c>
      <c r="I326" s="208">
        <v>1.5972160963895852E-4</v>
      </c>
      <c r="J326" s="119" t="s">
        <v>473</v>
      </c>
      <c r="K326" s="119" t="s">
        <v>470</v>
      </c>
      <c r="L326" s="209">
        <v>125.19075596467353</v>
      </c>
      <c r="M326" s="52">
        <f>SUM(L326/2000)</f>
        <v>6.2595377982336761E-2</v>
      </c>
      <c r="N326" s="52"/>
      <c r="O326" s="59">
        <f>SUM(M326/365)</f>
        <v>1.7149418625297743E-4</v>
      </c>
    </row>
    <row r="327" spans="1:16" ht="25.5">
      <c r="A327" s="119" t="s">
        <v>506</v>
      </c>
      <c r="B327" s="119" t="s">
        <v>468</v>
      </c>
      <c r="C327" s="119" t="s">
        <v>507</v>
      </c>
      <c r="D327" s="208">
        <v>783806</v>
      </c>
      <c r="E327" s="119" t="s">
        <v>470</v>
      </c>
      <c r="F327" s="119" t="s">
        <v>474</v>
      </c>
      <c r="G327" s="119" t="s">
        <v>475</v>
      </c>
      <c r="H327" s="119" t="s">
        <v>82</v>
      </c>
      <c r="I327" s="208">
        <v>1.0131481646854178E-3</v>
      </c>
      <c r="J327" s="119" t="s">
        <v>473</v>
      </c>
      <c r="K327" s="119" t="s">
        <v>470</v>
      </c>
      <c r="L327" s="209">
        <v>794.1116103694186</v>
      </c>
      <c r="M327" s="52">
        <f>SUM(L327/2000)</f>
        <v>0.39705580518470929</v>
      </c>
      <c r="N327" s="52"/>
      <c r="O327" s="59">
        <f>SUM(M327/365)</f>
        <v>1.087824123793724E-3</v>
      </c>
    </row>
    <row r="328" spans="1:16" ht="25.5">
      <c r="A328" s="119" t="s">
        <v>506</v>
      </c>
      <c r="B328" s="119" t="s">
        <v>468</v>
      </c>
      <c r="C328" s="119" t="s">
        <v>507</v>
      </c>
      <c r="D328" s="208">
        <v>783806</v>
      </c>
      <c r="E328" s="119" t="s">
        <v>470</v>
      </c>
      <c r="F328" s="119" t="s">
        <v>478</v>
      </c>
      <c r="G328" s="119" t="s">
        <v>479</v>
      </c>
      <c r="H328" s="119" t="s">
        <v>82</v>
      </c>
      <c r="I328" s="208">
        <v>2.0736390621659134E-4</v>
      </c>
      <c r="J328" s="119" t="s">
        <v>473</v>
      </c>
      <c r="K328" s="119" t="s">
        <v>470</v>
      </c>
      <c r="L328" s="209">
        <v>162.53307387600159</v>
      </c>
      <c r="M328" s="52">
        <f>SUM(L328/2000)</f>
        <v>8.1266536938000802E-2</v>
      </c>
      <c r="N328" s="52"/>
      <c r="O328" s="59">
        <f>SUM(M328/365)</f>
        <v>2.2264804640548166E-4</v>
      </c>
    </row>
    <row r="329" spans="1:16" ht="25.5">
      <c r="A329" s="119" t="s">
        <v>506</v>
      </c>
      <c r="B329" s="119" t="s">
        <v>468</v>
      </c>
      <c r="C329" s="119" t="s">
        <v>507</v>
      </c>
      <c r="D329" s="208">
        <v>783806</v>
      </c>
      <c r="E329" s="119" t="s">
        <v>470</v>
      </c>
      <c r="F329" s="119" t="s">
        <v>480</v>
      </c>
      <c r="G329" s="119" t="s">
        <v>481</v>
      </c>
      <c r="H329" s="119" t="s">
        <v>82</v>
      </c>
      <c r="I329" s="208">
        <v>1.6853912442776435E-5</v>
      </c>
      <c r="J329" s="119" t="s">
        <v>473</v>
      </c>
      <c r="K329" s="119" t="s">
        <v>470</v>
      </c>
      <c r="L329" s="209">
        <v>13.210197696122826</v>
      </c>
      <c r="M329" s="52">
        <f>SUM(L329/2000)</f>
        <v>6.605098848061413E-3</v>
      </c>
      <c r="N329" s="52"/>
      <c r="O329" s="59">
        <f>SUM(M329/365)</f>
        <v>1.8096161227565516E-5</v>
      </c>
    </row>
    <row r="330" spans="1:16">
      <c r="A330" s="119"/>
      <c r="B330" s="119"/>
      <c r="C330" s="119"/>
      <c r="D330" s="208"/>
      <c r="E330" s="119"/>
      <c r="F330" s="119"/>
      <c r="G330" s="119"/>
      <c r="H330" s="119"/>
      <c r="I330" s="208"/>
      <c r="J330" s="119"/>
      <c r="K330" s="119"/>
      <c r="L330" s="209"/>
      <c r="M330" s="52"/>
      <c r="N330" s="59">
        <f>SUM(M326:M329)</f>
        <v>0.54752281895310828</v>
      </c>
      <c r="O330" s="59"/>
      <c r="P330" s="59">
        <f>SUM(O326:O330)</f>
        <v>1.5000625176797486E-3</v>
      </c>
    </row>
    <row r="331" spans="1:16" ht="16.5" customHeight="1">
      <c r="A331" s="119"/>
      <c r="B331" s="119"/>
      <c r="C331" s="119"/>
      <c r="D331" s="208"/>
      <c r="E331" s="119"/>
      <c r="F331" s="119"/>
      <c r="G331" s="119"/>
      <c r="H331" s="119"/>
      <c r="I331" s="208"/>
      <c r="J331" s="119"/>
      <c r="K331" s="119"/>
      <c r="L331" s="210">
        <f>SUM(L260:L329)</f>
        <v>9078.2290753178004</v>
      </c>
      <c r="M331" s="129">
        <f>SUM(M260:M329)</f>
        <v>4.5391145376589002</v>
      </c>
      <c r="N331" s="211">
        <f>SUM(N260:N330)</f>
        <v>4.5391145376589002</v>
      </c>
      <c r="O331" s="211">
        <f>SUM(O260:O329)</f>
        <v>1.2435930240161371E-2</v>
      </c>
      <c r="P331" s="211">
        <f>SUM(P260:P330)</f>
        <v>1.2435930240161371E-2</v>
      </c>
    </row>
    <row r="332" spans="1:16" ht="25.5">
      <c r="A332" s="119" t="s">
        <v>467</v>
      </c>
      <c r="B332" s="119" t="s">
        <v>468</v>
      </c>
      <c r="C332" s="119" t="s">
        <v>469</v>
      </c>
      <c r="D332" s="208">
        <v>221049</v>
      </c>
      <c r="E332" s="119" t="s">
        <v>470</v>
      </c>
      <c r="F332" s="119" t="s">
        <v>471</v>
      </c>
      <c r="G332" s="119" t="s">
        <v>472</v>
      </c>
      <c r="H332" s="119" t="s">
        <v>81</v>
      </c>
      <c r="I332" s="208">
        <v>4.8273243728735225E-2</v>
      </c>
      <c r="J332" s="119" t="s">
        <v>473</v>
      </c>
      <c r="K332" s="119" t="s">
        <v>470</v>
      </c>
      <c r="L332" s="209">
        <v>10670.752252993192</v>
      </c>
      <c r="M332" s="52">
        <f>SUM(L332/2000)</f>
        <v>5.3353761264965964</v>
      </c>
      <c r="N332" s="52"/>
      <c r="O332" s="59">
        <f>SUM(M332/365)</f>
        <v>1.4617468839716702E-2</v>
      </c>
    </row>
    <row r="333" spans="1:16" ht="25.5">
      <c r="A333" s="119" t="s">
        <v>467</v>
      </c>
      <c r="B333" s="119" t="s">
        <v>468</v>
      </c>
      <c r="C333" s="119" t="s">
        <v>469</v>
      </c>
      <c r="D333" s="208">
        <v>221049</v>
      </c>
      <c r="E333" s="119" t="s">
        <v>470</v>
      </c>
      <c r="F333" s="119" t="s">
        <v>474</v>
      </c>
      <c r="G333" s="119" t="s">
        <v>475</v>
      </c>
      <c r="H333" s="119" t="s">
        <v>81</v>
      </c>
      <c r="I333" s="208">
        <v>0.34151845791464641</v>
      </c>
      <c r="J333" s="119" t="s">
        <v>473</v>
      </c>
      <c r="K333" s="119" t="s">
        <v>470</v>
      </c>
      <c r="L333" s="209">
        <v>75492.313603574672</v>
      </c>
      <c r="M333" s="52">
        <f>SUM(L333/2000)</f>
        <v>37.746156801787336</v>
      </c>
      <c r="N333" s="52"/>
      <c r="O333" s="59">
        <f>SUM(M333/365)</f>
        <v>0.10341412822407489</v>
      </c>
    </row>
    <row r="334" spans="1:16" ht="25.5">
      <c r="A334" s="119" t="s">
        <v>467</v>
      </c>
      <c r="B334" s="119" t="s">
        <v>468</v>
      </c>
      <c r="C334" s="119" t="s">
        <v>469</v>
      </c>
      <c r="D334" s="208">
        <v>221049</v>
      </c>
      <c r="E334" s="119" t="s">
        <v>470</v>
      </c>
      <c r="F334" s="119" t="s">
        <v>476</v>
      </c>
      <c r="G334" s="119" t="s">
        <v>477</v>
      </c>
      <c r="H334" s="119" t="s">
        <v>81</v>
      </c>
      <c r="I334" s="208">
        <v>0</v>
      </c>
      <c r="J334" s="119" t="s">
        <v>473</v>
      </c>
      <c r="K334" s="119" t="s">
        <v>470</v>
      </c>
      <c r="L334" s="209">
        <v>0</v>
      </c>
      <c r="M334" s="52">
        <f>SUM(L334/2000)</f>
        <v>0</v>
      </c>
      <c r="N334" s="52"/>
      <c r="O334" s="59">
        <f>SUM(M334/365)</f>
        <v>0</v>
      </c>
    </row>
    <row r="335" spans="1:16" ht="25.5">
      <c r="A335" s="119" t="s">
        <v>467</v>
      </c>
      <c r="B335" s="119" t="s">
        <v>468</v>
      </c>
      <c r="C335" s="119" t="s">
        <v>469</v>
      </c>
      <c r="D335" s="208">
        <v>221049</v>
      </c>
      <c r="E335" s="119" t="s">
        <v>470</v>
      </c>
      <c r="F335" s="119" t="s">
        <v>478</v>
      </c>
      <c r="G335" s="119" t="s">
        <v>479</v>
      </c>
      <c r="H335" s="119" t="s">
        <v>81</v>
      </c>
      <c r="I335" s="208">
        <v>7.8342797271656509E-2</v>
      </c>
      <c r="J335" s="119" t="s">
        <v>473</v>
      </c>
      <c r="K335" s="119" t="s">
        <v>470</v>
      </c>
      <c r="L335" s="209">
        <v>17317.596994102401</v>
      </c>
      <c r="M335" s="52">
        <f>SUM(L335/2000)</f>
        <v>8.6587984970512011</v>
      </c>
      <c r="N335" s="52"/>
      <c r="O335" s="59">
        <f>SUM(M335/365)</f>
        <v>2.3722735608359455E-2</v>
      </c>
    </row>
    <row r="336" spans="1:16" ht="25.5">
      <c r="A336" s="119" t="s">
        <v>467</v>
      </c>
      <c r="B336" s="119" t="s">
        <v>468</v>
      </c>
      <c r="C336" s="119" t="s">
        <v>469</v>
      </c>
      <c r="D336" s="208">
        <v>221049</v>
      </c>
      <c r="E336" s="119" t="s">
        <v>470</v>
      </c>
      <c r="F336" s="119" t="s">
        <v>480</v>
      </c>
      <c r="G336" s="119" t="s">
        <v>481</v>
      </c>
      <c r="H336" s="119" t="s">
        <v>81</v>
      </c>
      <c r="I336" s="208">
        <v>5.9103899634349154E-3</v>
      </c>
      <c r="J336" s="119" t="s">
        <v>473</v>
      </c>
      <c r="K336" s="119" t="s">
        <v>470</v>
      </c>
      <c r="L336" s="209">
        <v>1306.4857910273247</v>
      </c>
      <c r="M336" s="52">
        <f>SUM(L336/2000)</f>
        <v>0.65324289551366232</v>
      </c>
      <c r="N336" s="52"/>
      <c r="O336" s="59">
        <f>SUM(M336/365)</f>
        <v>1.7897065630511297E-3</v>
      </c>
    </row>
    <row r="337" spans="1:16">
      <c r="A337" s="119"/>
      <c r="B337" s="119"/>
      <c r="C337" s="119"/>
      <c r="D337" s="208"/>
      <c r="E337" s="119"/>
      <c r="F337" s="119"/>
      <c r="G337" s="119"/>
      <c r="H337" s="119"/>
      <c r="I337" s="208"/>
      <c r="J337" s="119"/>
      <c r="K337" s="119"/>
      <c r="L337" s="209"/>
      <c r="M337" s="52"/>
      <c r="N337" s="59">
        <f>SUM(M332:M336)</f>
        <v>52.393574320848799</v>
      </c>
      <c r="O337" s="59"/>
      <c r="P337" s="59">
        <f>SUM(O332:O336)</f>
        <v>0.14354403923520218</v>
      </c>
    </row>
    <row r="338" spans="1:16">
      <c r="A338" s="119" t="s">
        <v>482</v>
      </c>
      <c r="B338" s="119" t="s">
        <v>468</v>
      </c>
      <c r="C338" s="119" t="s">
        <v>483</v>
      </c>
      <c r="D338" s="208">
        <v>129395</v>
      </c>
      <c r="E338" s="119" t="s">
        <v>470</v>
      </c>
      <c r="F338" s="119" t="s">
        <v>471</v>
      </c>
      <c r="G338" s="119" t="s">
        <v>472</v>
      </c>
      <c r="H338" s="119" t="s">
        <v>81</v>
      </c>
      <c r="I338" s="208">
        <v>4.8273243728735225E-2</v>
      </c>
      <c r="J338" s="119" t="s">
        <v>473</v>
      </c>
      <c r="K338" s="119" t="s">
        <v>470</v>
      </c>
      <c r="L338" s="209">
        <v>6246.3163722796944</v>
      </c>
      <c r="M338" s="52">
        <f>SUM(L338/2000)</f>
        <v>3.1231581861398472</v>
      </c>
      <c r="N338" s="52"/>
      <c r="O338" s="59">
        <f>SUM(M338/365)</f>
        <v>8.5565977702461559E-3</v>
      </c>
    </row>
    <row r="339" spans="1:16">
      <c r="A339" s="119" t="s">
        <v>482</v>
      </c>
      <c r="B339" s="119" t="s">
        <v>468</v>
      </c>
      <c r="C339" s="119" t="s">
        <v>483</v>
      </c>
      <c r="D339" s="208">
        <v>129395</v>
      </c>
      <c r="E339" s="119" t="s">
        <v>470</v>
      </c>
      <c r="F339" s="119" t="s">
        <v>474</v>
      </c>
      <c r="G339" s="119" t="s">
        <v>475</v>
      </c>
      <c r="H339" s="119" t="s">
        <v>81</v>
      </c>
      <c r="I339" s="208">
        <v>0.34151845791464641</v>
      </c>
      <c r="J339" s="119" t="s">
        <v>473</v>
      </c>
      <c r="K339" s="119" t="s">
        <v>470</v>
      </c>
      <c r="L339" s="209">
        <v>44190.780861865671</v>
      </c>
      <c r="M339" s="52">
        <f>SUM(L339/2000)</f>
        <v>22.095390430932834</v>
      </c>
      <c r="N339" s="52"/>
      <c r="O339" s="59">
        <f>SUM(M339/365)</f>
        <v>6.0535316249131055E-2</v>
      </c>
    </row>
    <row r="340" spans="1:16">
      <c r="A340" s="119" t="s">
        <v>482</v>
      </c>
      <c r="B340" s="119" t="s">
        <v>468</v>
      </c>
      <c r="C340" s="119" t="s">
        <v>483</v>
      </c>
      <c r="D340" s="208">
        <v>129395</v>
      </c>
      <c r="E340" s="119" t="s">
        <v>470</v>
      </c>
      <c r="F340" s="119" t="s">
        <v>476</v>
      </c>
      <c r="G340" s="119" t="s">
        <v>477</v>
      </c>
      <c r="H340" s="119" t="s">
        <v>81</v>
      </c>
      <c r="I340" s="208">
        <v>0</v>
      </c>
      <c r="J340" s="119" t="s">
        <v>473</v>
      </c>
      <c r="K340" s="119" t="s">
        <v>470</v>
      </c>
      <c r="L340" s="209">
        <v>0</v>
      </c>
      <c r="M340" s="52">
        <f>SUM(L340/2000)</f>
        <v>0</v>
      </c>
      <c r="N340" s="52"/>
      <c r="O340" s="59">
        <f>SUM(M340/365)</f>
        <v>0</v>
      </c>
    </row>
    <row r="341" spans="1:16">
      <c r="A341" s="119" t="s">
        <v>482</v>
      </c>
      <c r="B341" s="119" t="s">
        <v>468</v>
      </c>
      <c r="C341" s="119" t="s">
        <v>483</v>
      </c>
      <c r="D341" s="208">
        <v>129395</v>
      </c>
      <c r="E341" s="119" t="s">
        <v>470</v>
      </c>
      <c r="F341" s="119" t="s">
        <v>478</v>
      </c>
      <c r="G341" s="119" t="s">
        <v>479</v>
      </c>
      <c r="H341" s="119" t="s">
        <v>81</v>
      </c>
      <c r="I341" s="208">
        <v>7.8342797271656509E-2</v>
      </c>
      <c r="J341" s="119" t="s">
        <v>473</v>
      </c>
      <c r="K341" s="119" t="s">
        <v>470</v>
      </c>
      <c r="L341" s="209">
        <v>10137.166252965993</v>
      </c>
      <c r="M341" s="52">
        <f>SUM(L341/2000)</f>
        <v>5.0685831264829968</v>
      </c>
      <c r="N341" s="52"/>
      <c r="O341" s="59">
        <f>SUM(M341/365)</f>
        <v>1.3886529113652046E-2</v>
      </c>
    </row>
    <row r="342" spans="1:16">
      <c r="A342" s="119" t="s">
        <v>482</v>
      </c>
      <c r="B342" s="119" t="s">
        <v>468</v>
      </c>
      <c r="C342" s="119" t="s">
        <v>483</v>
      </c>
      <c r="D342" s="208">
        <v>129395</v>
      </c>
      <c r="E342" s="119" t="s">
        <v>470</v>
      </c>
      <c r="F342" s="119" t="s">
        <v>480</v>
      </c>
      <c r="G342" s="119" t="s">
        <v>481</v>
      </c>
      <c r="H342" s="119" t="s">
        <v>81</v>
      </c>
      <c r="I342" s="208">
        <v>5.9103899634349154E-3</v>
      </c>
      <c r="J342" s="119" t="s">
        <v>473</v>
      </c>
      <c r="K342" s="119" t="s">
        <v>470</v>
      </c>
      <c r="L342" s="209">
        <v>764.77490931866089</v>
      </c>
      <c r="M342" s="52">
        <f>SUM(L342/2000)</f>
        <v>0.38238745465933044</v>
      </c>
      <c r="N342" s="52"/>
      <c r="O342" s="59">
        <f>SUM(M342/365)</f>
        <v>1.0476368620803574E-3</v>
      </c>
    </row>
    <row r="343" spans="1:16">
      <c r="A343" s="119"/>
      <c r="B343" s="119"/>
      <c r="C343" s="119"/>
      <c r="D343" s="208"/>
      <c r="E343" s="119"/>
      <c r="F343" s="119"/>
      <c r="G343" s="119"/>
      <c r="H343" s="119"/>
      <c r="I343" s="208"/>
      <c r="J343" s="119"/>
      <c r="K343" s="119"/>
      <c r="L343" s="209"/>
      <c r="M343" s="52"/>
      <c r="N343" s="59">
        <f>SUM(M338:M342)</f>
        <v>30.669519198215006</v>
      </c>
      <c r="O343" s="59"/>
      <c r="P343" s="59">
        <f>SUM(O338:O342)</f>
        <v>8.4026079995109609E-2</v>
      </c>
    </row>
    <row r="344" spans="1:16">
      <c r="A344" s="119" t="s">
        <v>484</v>
      </c>
      <c r="B344" s="119" t="s">
        <v>468</v>
      </c>
      <c r="C344" s="119" t="s">
        <v>485</v>
      </c>
      <c r="D344" s="208">
        <v>545823</v>
      </c>
      <c r="E344" s="119" t="s">
        <v>470</v>
      </c>
      <c r="F344" s="119" t="s">
        <v>471</v>
      </c>
      <c r="G344" s="119" t="s">
        <v>472</v>
      </c>
      <c r="H344" s="119" t="s">
        <v>81</v>
      </c>
      <c r="I344" s="208">
        <v>4.8273243728735225E-2</v>
      </c>
      <c r="J344" s="119" t="s">
        <v>473</v>
      </c>
      <c r="K344" s="119" t="s">
        <v>470</v>
      </c>
      <c r="L344" s="209">
        <v>26348.646711749447</v>
      </c>
      <c r="M344" s="52">
        <f>SUM(L344/2000)</f>
        <v>13.174323355874723</v>
      </c>
      <c r="N344" s="52"/>
      <c r="O344" s="59">
        <f>SUM(M344/365)</f>
        <v>3.6094036591437596E-2</v>
      </c>
    </row>
    <row r="345" spans="1:16">
      <c r="A345" s="119" t="s">
        <v>484</v>
      </c>
      <c r="B345" s="119" t="s">
        <v>468</v>
      </c>
      <c r="C345" s="119" t="s">
        <v>485</v>
      </c>
      <c r="D345" s="208">
        <v>545823</v>
      </c>
      <c r="E345" s="119" t="s">
        <v>470</v>
      </c>
      <c r="F345" s="119" t="s">
        <v>474</v>
      </c>
      <c r="G345" s="119" t="s">
        <v>475</v>
      </c>
      <c r="H345" s="119" t="s">
        <v>81</v>
      </c>
      <c r="I345" s="208">
        <v>0.34151845791464641</v>
      </c>
      <c r="J345" s="119" t="s">
        <v>473</v>
      </c>
      <c r="K345" s="119" t="s">
        <v>470</v>
      </c>
      <c r="L345" s="209">
        <v>186408.62925434604</v>
      </c>
      <c r="M345" s="52">
        <f>SUM(L345/2000)</f>
        <v>93.204314627173019</v>
      </c>
      <c r="N345" s="52"/>
      <c r="O345" s="59">
        <f>SUM(M345/365)</f>
        <v>0.2553542866497891</v>
      </c>
    </row>
    <row r="346" spans="1:16">
      <c r="A346" s="119" t="s">
        <v>484</v>
      </c>
      <c r="B346" s="119" t="s">
        <v>468</v>
      </c>
      <c r="C346" s="119" t="s">
        <v>485</v>
      </c>
      <c r="D346" s="208">
        <v>545823</v>
      </c>
      <c r="E346" s="119" t="s">
        <v>470</v>
      </c>
      <c r="F346" s="119" t="s">
        <v>476</v>
      </c>
      <c r="G346" s="119" t="s">
        <v>477</v>
      </c>
      <c r="H346" s="119" t="s">
        <v>81</v>
      </c>
      <c r="I346" s="208">
        <v>0</v>
      </c>
      <c r="J346" s="119" t="s">
        <v>473</v>
      </c>
      <c r="K346" s="119" t="s">
        <v>470</v>
      </c>
      <c r="L346" s="209">
        <v>0</v>
      </c>
      <c r="M346" s="52">
        <f>SUM(L346/2000)</f>
        <v>0</v>
      </c>
      <c r="N346" s="52"/>
      <c r="O346" s="59">
        <f>SUM(M346/365)</f>
        <v>0</v>
      </c>
    </row>
    <row r="347" spans="1:16">
      <c r="A347" s="119" t="s">
        <v>484</v>
      </c>
      <c r="B347" s="119" t="s">
        <v>468</v>
      </c>
      <c r="C347" s="119" t="s">
        <v>485</v>
      </c>
      <c r="D347" s="208">
        <v>545823</v>
      </c>
      <c r="E347" s="119" t="s">
        <v>470</v>
      </c>
      <c r="F347" s="119" t="s">
        <v>478</v>
      </c>
      <c r="G347" s="119" t="s">
        <v>479</v>
      </c>
      <c r="H347" s="119" t="s">
        <v>81</v>
      </c>
      <c r="I347" s="208">
        <v>7.8342797271656509E-2</v>
      </c>
      <c r="J347" s="119" t="s">
        <v>473</v>
      </c>
      <c r="K347" s="119" t="s">
        <v>470</v>
      </c>
      <c r="L347" s="209">
        <v>42761.300635207372</v>
      </c>
      <c r="M347" s="52">
        <f>SUM(L347/2000)</f>
        <v>21.380650317603685</v>
      </c>
      <c r="N347" s="52"/>
      <c r="O347" s="59">
        <f>SUM(M347/365)</f>
        <v>5.8577124157818315E-2</v>
      </c>
    </row>
    <row r="348" spans="1:16">
      <c r="A348" s="119" t="s">
        <v>484</v>
      </c>
      <c r="B348" s="119" t="s">
        <v>468</v>
      </c>
      <c r="C348" s="119" t="s">
        <v>485</v>
      </c>
      <c r="D348" s="208">
        <v>545823</v>
      </c>
      <c r="E348" s="119" t="s">
        <v>470</v>
      </c>
      <c r="F348" s="119" t="s">
        <v>480</v>
      </c>
      <c r="G348" s="119" t="s">
        <v>481</v>
      </c>
      <c r="H348" s="119" t="s">
        <v>81</v>
      </c>
      <c r="I348" s="208">
        <v>5.9103899634349154E-3</v>
      </c>
      <c r="J348" s="119" t="s">
        <v>473</v>
      </c>
      <c r="K348" s="119" t="s">
        <v>470</v>
      </c>
      <c r="L348" s="209">
        <v>3226.0267810119358</v>
      </c>
      <c r="M348" s="52">
        <f>SUM(L348/2000)</f>
        <v>1.6130133905059678</v>
      </c>
      <c r="N348" s="52"/>
      <c r="O348" s="59">
        <f>SUM(M348/365)</f>
        <v>4.4192147685095011E-3</v>
      </c>
    </row>
    <row r="349" spans="1:16">
      <c r="A349" s="119"/>
      <c r="B349" s="119"/>
      <c r="C349" s="119"/>
      <c r="D349" s="208"/>
      <c r="E349" s="119"/>
      <c r="F349" s="119"/>
      <c r="G349" s="119"/>
      <c r="H349" s="119"/>
      <c r="I349" s="208"/>
      <c r="J349" s="119"/>
      <c r="K349" s="119"/>
      <c r="L349" s="209"/>
      <c r="M349" s="52"/>
      <c r="N349" s="59">
        <f>SUM(M344:M348)</f>
        <v>129.37230169115739</v>
      </c>
      <c r="O349" s="59"/>
      <c r="P349" s="59">
        <f>SUM(O344:O348)</f>
        <v>0.35444466216755449</v>
      </c>
    </row>
    <row r="350" spans="1:16">
      <c r="A350" s="119" t="s">
        <v>486</v>
      </c>
      <c r="B350" s="119" t="s">
        <v>468</v>
      </c>
      <c r="C350" s="119" t="s">
        <v>487</v>
      </c>
      <c r="D350" s="208">
        <v>15527</v>
      </c>
      <c r="E350" s="119" t="s">
        <v>470</v>
      </c>
      <c r="F350" s="119" t="s">
        <v>471</v>
      </c>
      <c r="G350" s="119" t="s">
        <v>472</v>
      </c>
      <c r="H350" s="119" t="s">
        <v>81</v>
      </c>
      <c r="I350" s="208">
        <v>4.8273243728735225E-2</v>
      </c>
      <c r="J350" s="119" t="s">
        <v>473</v>
      </c>
      <c r="K350" s="119" t="s">
        <v>470</v>
      </c>
      <c r="L350" s="209">
        <v>749.5386553760718</v>
      </c>
      <c r="M350" s="52">
        <f>SUM(L350/2000)</f>
        <v>0.37476932768803589</v>
      </c>
      <c r="N350" s="52"/>
      <c r="O350" s="59">
        <f>SUM(M350/365)</f>
        <v>1.0267652813370847E-3</v>
      </c>
    </row>
    <row r="351" spans="1:16">
      <c r="A351" s="119" t="s">
        <v>486</v>
      </c>
      <c r="B351" s="119" t="s">
        <v>468</v>
      </c>
      <c r="C351" s="119" t="s">
        <v>487</v>
      </c>
      <c r="D351" s="208">
        <v>15527</v>
      </c>
      <c r="E351" s="119" t="s">
        <v>470</v>
      </c>
      <c r="F351" s="119" t="s">
        <v>474</v>
      </c>
      <c r="G351" s="119" t="s">
        <v>475</v>
      </c>
      <c r="H351" s="119" t="s">
        <v>81</v>
      </c>
      <c r="I351" s="208">
        <v>0.34151845791464641</v>
      </c>
      <c r="J351" s="119" t="s">
        <v>473</v>
      </c>
      <c r="K351" s="119" t="s">
        <v>470</v>
      </c>
      <c r="L351" s="209">
        <v>5302.7570960407147</v>
      </c>
      <c r="M351" s="52">
        <f>SUM(L351/2000)</f>
        <v>2.6513785480203573</v>
      </c>
      <c r="N351" s="52"/>
      <c r="O351" s="59">
        <f>SUM(M351/365)</f>
        <v>7.2640508164941294E-3</v>
      </c>
    </row>
    <row r="352" spans="1:16">
      <c r="A352" s="119" t="s">
        <v>486</v>
      </c>
      <c r="B352" s="119" t="s">
        <v>468</v>
      </c>
      <c r="C352" s="119" t="s">
        <v>487</v>
      </c>
      <c r="D352" s="208">
        <v>15527</v>
      </c>
      <c r="E352" s="119" t="s">
        <v>470</v>
      </c>
      <c r="F352" s="119" t="s">
        <v>476</v>
      </c>
      <c r="G352" s="119" t="s">
        <v>477</v>
      </c>
      <c r="H352" s="119" t="s">
        <v>81</v>
      </c>
      <c r="I352" s="208">
        <v>0</v>
      </c>
      <c r="J352" s="119" t="s">
        <v>473</v>
      </c>
      <c r="K352" s="119" t="s">
        <v>470</v>
      </c>
      <c r="L352" s="209">
        <v>0</v>
      </c>
      <c r="M352" s="52">
        <f>SUM(L352/2000)</f>
        <v>0</v>
      </c>
      <c r="N352" s="52"/>
      <c r="O352" s="59">
        <f>SUM(M352/365)</f>
        <v>0</v>
      </c>
    </row>
    <row r="353" spans="1:16">
      <c r="A353" s="119" t="s">
        <v>486</v>
      </c>
      <c r="B353" s="119" t="s">
        <v>468</v>
      </c>
      <c r="C353" s="119" t="s">
        <v>487</v>
      </c>
      <c r="D353" s="208">
        <v>15527</v>
      </c>
      <c r="E353" s="119" t="s">
        <v>470</v>
      </c>
      <c r="F353" s="119" t="s">
        <v>478</v>
      </c>
      <c r="G353" s="119" t="s">
        <v>479</v>
      </c>
      <c r="H353" s="119" t="s">
        <v>81</v>
      </c>
      <c r="I353" s="208">
        <v>7.8342797271656509E-2</v>
      </c>
      <c r="J353" s="119" t="s">
        <v>473</v>
      </c>
      <c r="K353" s="119" t="s">
        <v>470</v>
      </c>
      <c r="L353" s="209">
        <v>1216.4286132370105</v>
      </c>
      <c r="M353" s="52">
        <f>SUM(L353/2000)</f>
        <v>0.60821430661850528</v>
      </c>
      <c r="N353" s="52"/>
      <c r="O353" s="59">
        <f>SUM(M353/365)</f>
        <v>1.6663405660780966E-3</v>
      </c>
    </row>
    <row r="354" spans="1:16">
      <c r="A354" s="119" t="s">
        <v>486</v>
      </c>
      <c r="B354" s="119" t="s">
        <v>468</v>
      </c>
      <c r="C354" s="119" t="s">
        <v>487</v>
      </c>
      <c r="D354" s="208">
        <v>15527</v>
      </c>
      <c r="E354" s="119" t="s">
        <v>470</v>
      </c>
      <c r="F354" s="119" t="s">
        <v>480</v>
      </c>
      <c r="G354" s="119" t="s">
        <v>481</v>
      </c>
      <c r="H354" s="119" t="s">
        <v>81</v>
      </c>
      <c r="I354" s="208">
        <v>5.9103899634349154E-3</v>
      </c>
      <c r="J354" s="119" t="s">
        <v>473</v>
      </c>
      <c r="K354" s="119" t="s">
        <v>470</v>
      </c>
      <c r="L354" s="209">
        <v>91.770624962253933</v>
      </c>
      <c r="M354" s="52">
        <f>SUM(L354/2000)</f>
        <v>4.5885312481126969E-2</v>
      </c>
      <c r="N354" s="52"/>
      <c r="O354" s="59">
        <f>SUM(M354/365)</f>
        <v>1.2571318487979993E-4</v>
      </c>
    </row>
    <row r="355" spans="1:16">
      <c r="A355" s="119"/>
      <c r="B355" s="119"/>
      <c r="C355" s="119"/>
      <c r="D355" s="208"/>
      <c r="E355" s="119"/>
      <c r="F355" s="119"/>
      <c r="G355" s="119"/>
      <c r="H355" s="119"/>
      <c r="I355" s="208"/>
      <c r="J355" s="119"/>
      <c r="K355" s="119"/>
      <c r="L355" s="209"/>
      <c r="M355" s="52"/>
      <c r="N355" s="59">
        <f>SUM(M350:M354)</f>
        <v>3.6802474948080257</v>
      </c>
      <c r="O355" s="59"/>
      <c r="P355" s="59">
        <f>SUM(O350:O354)</f>
        <v>1.0082869848789111E-2</v>
      </c>
    </row>
    <row r="356" spans="1:16">
      <c r="A356" s="119" t="s">
        <v>488</v>
      </c>
      <c r="B356" s="119" t="s">
        <v>468</v>
      </c>
      <c r="C356" s="119" t="s">
        <v>489</v>
      </c>
      <c r="D356" s="208">
        <v>736457</v>
      </c>
      <c r="E356" s="119" t="s">
        <v>470</v>
      </c>
      <c r="F356" s="119" t="s">
        <v>471</v>
      </c>
      <c r="G356" s="119" t="s">
        <v>472</v>
      </c>
      <c r="H356" s="119" t="s">
        <v>81</v>
      </c>
      <c r="I356" s="208">
        <v>4.8273243728735225E-2</v>
      </c>
      <c r="J356" s="119" t="s">
        <v>473</v>
      </c>
      <c r="K356" s="119" t="s">
        <v>470</v>
      </c>
      <c r="L356" s="209">
        <v>35551.168256733159</v>
      </c>
      <c r="M356" s="52">
        <f>SUM(L356/2000)</f>
        <v>17.775584128366578</v>
      </c>
      <c r="N356" s="52"/>
      <c r="O356" s="59">
        <f>SUM(M356/365)</f>
        <v>4.8700230488675555E-2</v>
      </c>
    </row>
    <row r="357" spans="1:16">
      <c r="A357" s="119" t="s">
        <v>488</v>
      </c>
      <c r="B357" s="119" t="s">
        <v>468</v>
      </c>
      <c r="C357" s="119" t="s">
        <v>489</v>
      </c>
      <c r="D357" s="208">
        <v>736457</v>
      </c>
      <c r="E357" s="119" t="s">
        <v>470</v>
      </c>
      <c r="F357" s="119" t="s">
        <v>474</v>
      </c>
      <c r="G357" s="119" t="s">
        <v>475</v>
      </c>
      <c r="H357" s="119" t="s">
        <v>81</v>
      </c>
      <c r="I357" s="208">
        <v>0.34151845791464641</v>
      </c>
      <c r="J357" s="119" t="s">
        <v>473</v>
      </c>
      <c r="K357" s="119" t="s">
        <v>470</v>
      </c>
      <c r="L357" s="209">
        <v>251513.65896044674</v>
      </c>
      <c r="M357" s="52">
        <f>SUM(L357/2000)</f>
        <v>125.75682948022337</v>
      </c>
      <c r="N357" s="52"/>
      <c r="O357" s="59">
        <f>SUM(M357/365)</f>
        <v>0.34453925884992703</v>
      </c>
    </row>
    <row r="358" spans="1:16">
      <c r="A358" s="119" t="s">
        <v>488</v>
      </c>
      <c r="B358" s="119" t="s">
        <v>468</v>
      </c>
      <c r="C358" s="119" t="s">
        <v>489</v>
      </c>
      <c r="D358" s="208">
        <v>736457</v>
      </c>
      <c r="E358" s="119" t="s">
        <v>470</v>
      </c>
      <c r="F358" s="119" t="s">
        <v>476</v>
      </c>
      <c r="G358" s="119" t="s">
        <v>477</v>
      </c>
      <c r="H358" s="119" t="s">
        <v>81</v>
      </c>
      <c r="I358" s="208">
        <v>0</v>
      </c>
      <c r="J358" s="119" t="s">
        <v>473</v>
      </c>
      <c r="K358" s="119" t="s">
        <v>470</v>
      </c>
      <c r="L358" s="209">
        <v>0</v>
      </c>
      <c r="M358" s="52">
        <f>SUM(L358/2000)</f>
        <v>0</v>
      </c>
      <c r="N358" s="52"/>
      <c r="O358" s="59">
        <f>SUM(M358/365)</f>
        <v>0</v>
      </c>
    </row>
    <row r="359" spans="1:16">
      <c r="A359" s="119" t="s">
        <v>488</v>
      </c>
      <c r="B359" s="119" t="s">
        <v>468</v>
      </c>
      <c r="C359" s="119" t="s">
        <v>489</v>
      </c>
      <c r="D359" s="208">
        <v>736457</v>
      </c>
      <c r="E359" s="119" t="s">
        <v>470</v>
      </c>
      <c r="F359" s="119" t="s">
        <v>478</v>
      </c>
      <c r="G359" s="119" t="s">
        <v>479</v>
      </c>
      <c r="H359" s="119" t="s">
        <v>81</v>
      </c>
      <c r="I359" s="208">
        <v>7.8342797271656509E-2</v>
      </c>
      <c r="J359" s="119" t="s">
        <v>473</v>
      </c>
      <c r="K359" s="119" t="s">
        <v>470</v>
      </c>
      <c r="L359" s="209">
        <v>57696.101450292335</v>
      </c>
      <c r="M359" s="52">
        <f>SUM(L359/2000)</f>
        <v>28.848050725146166</v>
      </c>
      <c r="N359" s="52"/>
      <c r="O359" s="59">
        <f>SUM(M359/365)</f>
        <v>7.9035755411359362E-2</v>
      </c>
    </row>
    <row r="360" spans="1:16">
      <c r="A360" s="119" t="s">
        <v>488</v>
      </c>
      <c r="B360" s="119" t="s">
        <v>468</v>
      </c>
      <c r="C360" s="119" t="s">
        <v>489</v>
      </c>
      <c r="D360" s="208">
        <v>736457</v>
      </c>
      <c r="E360" s="119" t="s">
        <v>470</v>
      </c>
      <c r="F360" s="119" t="s">
        <v>480</v>
      </c>
      <c r="G360" s="119" t="s">
        <v>481</v>
      </c>
      <c r="H360" s="119" t="s">
        <v>81</v>
      </c>
      <c r="I360" s="208">
        <v>5.9103899634349154E-3</v>
      </c>
      <c r="J360" s="119" t="s">
        <v>473</v>
      </c>
      <c r="K360" s="119" t="s">
        <v>470</v>
      </c>
      <c r="L360" s="209">
        <v>4352.7480613013877</v>
      </c>
      <c r="M360" s="52">
        <f>SUM(L360/2000)</f>
        <v>2.176374030650694</v>
      </c>
      <c r="N360" s="52"/>
      <c r="O360" s="59">
        <f>SUM(M360/365)</f>
        <v>5.9626685771251887E-3</v>
      </c>
    </row>
    <row r="361" spans="1:16">
      <c r="A361" s="119"/>
      <c r="B361" s="119"/>
      <c r="C361" s="119"/>
      <c r="D361" s="208"/>
      <c r="E361" s="119"/>
      <c r="F361" s="119"/>
      <c r="G361" s="119"/>
      <c r="H361" s="119"/>
      <c r="I361" s="208"/>
      <c r="J361" s="119"/>
      <c r="K361" s="119"/>
      <c r="L361" s="209"/>
      <c r="M361" s="52"/>
      <c r="N361" s="59">
        <f>SUM(M356:M360)</f>
        <v>174.55683836438683</v>
      </c>
      <c r="O361" s="59"/>
      <c r="P361" s="59">
        <f>SUM(O356:O360)</f>
        <v>0.47823791332708715</v>
      </c>
    </row>
    <row r="362" spans="1:16">
      <c r="A362" s="119" t="s">
        <v>490</v>
      </c>
      <c r="B362" s="119" t="s">
        <v>468</v>
      </c>
      <c r="C362" s="119" t="s">
        <v>491</v>
      </c>
      <c r="D362" s="208">
        <v>71735</v>
      </c>
      <c r="E362" s="119" t="s">
        <v>470</v>
      </c>
      <c r="F362" s="119" t="s">
        <v>471</v>
      </c>
      <c r="G362" s="119" t="s">
        <v>472</v>
      </c>
      <c r="H362" s="119" t="s">
        <v>81</v>
      </c>
      <c r="I362" s="208">
        <v>4.8273243728735225E-2</v>
      </c>
      <c r="J362" s="119" t="s">
        <v>473</v>
      </c>
      <c r="K362" s="119" t="s">
        <v>470</v>
      </c>
      <c r="L362" s="209">
        <v>3462.8811388808213</v>
      </c>
      <c r="M362" s="52">
        <f>SUM(L362/2000)</f>
        <v>1.7314405694404107</v>
      </c>
      <c r="N362" s="52"/>
      <c r="O362" s="59">
        <f>SUM(M362/365)</f>
        <v>4.7436727929874266E-3</v>
      </c>
    </row>
    <row r="363" spans="1:16">
      <c r="A363" s="119" t="s">
        <v>490</v>
      </c>
      <c r="B363" s="119" t="s">
        <v>468</v>
      </c>
      <c r="C363" s="119" t="s">
        <v>491</v>
      </c>
      <c r="D363" s="208">
        <v>71735</v>
      </c>
      <c r="E363" s="119" t="s">
        <v>470</v>
      </c>
      <c r="F363" s="119" t="s">
        <v>474</v>
      </c>
      <c r="G363" s="119" t="s">
        <v>475</v>
      </c>
      <c r="H363" s="119" t="s">
        <v>81</v>
      </c>
      <c r="I363" s="208">
        <v>0.34151845791464641</v>
      </c>
      <c r="J363" s="119" t="s">
        <v>473</v>
      </c>
      <c r="K363" s="119" t="s">
        <v>470</v>
      </c>
      <c r="L363" s="209">
        <v>24498.82657850716</v>
      </c>
      <c r="M363" s="52">
        <f>SUM(L363/2000)</f>
        <v>12.24941328925358</v>
      </c>
      <c r="N363" s="52"/>
      <c r="O363" s="59">
        <f>SUM(M363/365)</f>
        <v>3.3560036408913918E-2</v>
      </c>
    </row>
    <row r="364" spans="1:16">
      <c r="A364" s="119" t="s">
        <v>490</v>
      </c>
      <c r="B364" s="119" t="s">
        <v>468</v>
      </c>
      <c r="C364" s="119" t="s">
        <v>491</v>
      </c>
      <c r="D364" s="208">
        <v>71735</v>
      </c>
      <c r="E364" s="119" t="s">
        <v>470</v>
      </c>
      <c r="F364" s="119" t="s">
        <v>476</v>
      </c>
      <c r="G364" s="119" t="s">
        <v>477</v>
      </c>
      <c r="H364" s="119" t="s">
        <v>81</v>
      </c>
      <c r="I364" s="208">
        <v>0</v>
      </c>
      <c r="J364" s="119" t="s">
        <v>473</v>
      </c>
      <c r="K364" s="119" t="s">
        <v>470</v>
      </c>
      <c r="L364" s="209">
        <v>0</v>
      </c>
      <c r="M364" s="52">
        <f>SUM(L364/2000)</f>
        <v>0</v>
      </c>
      <c r="N364" s="52"/>
      <c r="O364" s="59">
        <f>SUM(M364/365)</f>
        <v>0</v>
      </c>
    </row>
    <row r="365" spans="1:16">
      <c r="A365" s="119" t="s">
        <v>490</v>
      </c>
      <c r="B365" s="119" t="s">
        <v>468</v>
      </c>
      <c r="C365" s="119" t="s">
        <v>491</v>
      </c>
      <c r="D365" s="208">
        <v>71735</v>
      </c>
      <c r="E365" s="119" t="s">
        <v>470</v>
      </c>
      <c r="F365" s="119" t="s">
        <v>478</v>
      </c>
      <c r="G365" s="119" t="s">
        <v>479</v>
      </c>
      <c r="H365" s="119" t="s">
        <v>81</v>
      </c>
      <c r="I365" s="208">
        <v>7.8342797271656509E-2</v>
      </c>
      <c r="J365" s="119" t="s">
        <v>473</v>
      </c>
      <c r="K365" s="119" t="s">
        <v>470</v>
      </c>
      <c r="L365" s="209">
        <v>5619.9205622822792</v>
      </c>
      <c r="M365" s="52">
        <f>SUM(L365/2000)</f>
        <v>2.8099602811411395</v>
      </c>
      <c r="N365" s="52"/>
      <c r="O365" s="59">
        <f>SUM(M365/365)</f>
        <v>7.6985213181949026E-3</v>
      </c>
    </row>
    <row r="366" spans="1:16">
      <c r="A366" s="119" t="s">
        <v>490</v>
      </c>
      <c r="B366" s="119" t="s">
        <v>468</v>
      </c>
      <c r="C366" s="119" t="s">
        <v>491</v>
      </c>
      <c r="D366" s="208">
        <v>71735</v>
      </c>
      <c r="E366" s="119" t="s">
        <v>470</v>
      </c>
      <c r="F366" s="119" t="s">
        <v>480</v>
      </c>
      <c r="G366" s="119" t="s">
        <v>481</v>
      </c>
      <c r="H366" s="119" t="s">
        <v>81</v>
      </c>
      <c r="I366" s="208">
        <v>5.9103899634349154E-3</v>
      </c>
      <c r="J366" s="119" t="s">
        <v>473</v>
      </c>
      <c r="K366" s="119" t="s">
        <v>470</v>
      </c>
      <c r="L366" s="209">
        <v>423.98182402700365</v>
      </c>
      <c r="M366" s="52">
        <f>SUM(L366/2000)</f>
        <v>0.21199091201350181</v>
      </c>
      <c r="N366" s="52"/>
      <c r="O366" s="59">
        <f>SUM(M366/365)</f>
        <v>5.8079701921507341E-4</v>
      </c>
    </row>
    <row r="367" spans="1:16">
      <c r="A367" s="119"/>
      <c r="B367" s="119"/>
      <c r="C367" s="119"/>
      <c r="D367" s="208"/>
      <c r="E367" s="119"/>
      <c r="F367" s="119"/>
      <c r="G367" s="119"/>
      <c r="H367" s="119"/>
      <c r="I367" s="208"/>
      <c r="J367" s="119"/>
      <c r="K367" s="119"/>
      <c r="L367" s="209"/>
      <c r="M367" s="52"/>
      <c r="N367" s="59">
        <f>SUM(M362:M366)</f>
        <v>17.002805051848632</v>
      </c>
      <c r="O367" s="59"/>
      <c r="P367" s="59">
        <f>SUM(O362:O366)</f>
        <v>4.6583027539311324E-2</v>
      </c>
    </row>
    <row r="368" spans="1:16">
      <c r="A368" s="119" t="s">
        <v>492</v>
      </c>
      <c r="B368" s="119" t="s">
        <v>468</v>
      </c>
      <c r="C368" s="119" t="s">
        <v>493</v>
      </c>
      <c r="D368" s="208">
        <v>460840</v>
      </c>
      <c r="E368" s="119" t="s">
        <v>470</v>
      </c>
      <c r="F368" s="119" t="s">
        <v>471</v>
      </c>
      <c r="G368" s="119" t="s">
        <v>472</v>
      </c>
      <c r="H368" s="119" t="s">
        <v>81</v>
      </c>
      <c r="I368" s="208">
        <v>4.8273243728735225E-2</v>
      </c>
      <c r="J368" s="119" t="s">
        <v>473</v>
      </c>
      <c r="K368" s="119" t="s">
        <v>470</v>
      </c>
      <c r="L368" s="209">
        <v>22246.241639950342</v>
      </c>
      <c r="M368" s="52">
        <f>SUM(L368/2000)</f>
        <v>11.123120819975171</v>
      </c>
      <c r="N368" s="52"/>
      <c r="O368" s="59">
        <f>SUM(M368/365)</f>
        <v>3.0474303616370331E-2</v>
      </c>
    </row>
    <row r="369" spans="1:16">
      <c r="A369" s="119" t="s">
        <v>492</v>
      </c>
      <c r="B369" s="119" t="s">
        <v>468</v>
      </c>
      <c r="C369" s="119" t="s">
        <v>493</v>
      </c>
      <c r="D369" s="208">
        <v>460840</v>
      </c>
      <c r="E369" s="119" t="s">
        <v>470</v>
      </c>
      <c r="F369" s="119" t="s">
        <v>474</v>
      </c>
      <c r="G369" s="119" t="s">
        <v>475</v>
      </c>
      <c r="H369" s="119" t="s">
        <v>81</v>
      </c>
      <c r="I369" s="208">
        <v>0.34151845791464641</v>
      </c>
      <c r="J369" s="119" t="s">
        <v>473</v>
      </c>
      <c r="K369" s="119" t="s">
        <v>470</v>
      </c>
      <c r="L369" s="209">
        <v>157385.36614538566</v>
      </c>
      <c r="M369" s="52">
        <f>SUM(L369/2000)</f>
        <v>78.69268307269283</v>
      </c>
      <c r="N369" s="52"/>
      <c r="O369" s="59">
        <f>SUM(M369/365)</f>
        <v>0.21559639197998035</v>
      </c>
    </row>
    <row r="370" spans="1:16">
      <c r="A370" s="119" t="s">
        <v>492</v>
      </c>
      <c r="B370" s="119" t="s">
        <v>468</v>
      </c>
      <c r="C370" s="119" t="s">
        <v>493</v>
      </c>
      <c r="D370" s="208">
        <v>460840</v>
      </c>
      <c r="E370" s="119" t="s">
        <v>470</v>
      </c>
      <c r="F370" s="119" t="s">
        <v>476</v>
      </c>
      <c r="G370" s="119" t="s">
        <v>477</v>
      </c>
      <c r="H370" s="119" t="s">
        <v>81</v>
      </c>
      <c r="I370" s="208">
        <v>0</v>
      </c>
      <c r="J370" s="119" t="s">
        <v>473</v>
      </c>
      <c r="K370" s="119" t="s">
        <v>470</v>
      </c>
      <c r="L370" s="209">
        <v>0</v>
      </c>
      <c r="M370" s="52">
        <f>SUM(L370/2000)</f>
        <v>0</v>
      </c>
      <c r="N370" s="52"/>
      <c r="O370" s="59">
        <f>SUM(M370/365)</f>
        <v>0</v>
      </c>
    </row>
    <row r="371" spans="1:16">
      <c r="A371" s="119" t="s">
        <v>492</v>
      </c>
      <c r="B371" s="119" t="s">
        <v>468</v>
      </c>
      <c r="C371" s="119" t="s">
        <v>493</v>
      </c>
      <c r="D371" s="208">
        <v>460840</v>
      </c>
      <c r="E371" s="119" t="s">
        <v>470</v>
      </c>
      <c r="F371" s="119" t="s">
        <v>478</v>
      </c>
      <c r="G371" s="119" t="s">
        <v>479</v>
      </c>
      <c r="H371" s="119" t="s">
        <v>81</v>
      </c>
      <c r="I371" s="208">
        <v>7.8342797271656509E-2</v>
      </c>
      <c r="J371" s="119" t="s">
        <v>473</v>
      </c>
      <c r="K371" s="119" t="s">
        <v>470</v>
      </c>
      <c r="L371" s="209">
        <v>36103.494694670182</v>
      </c>
      <c r="M371" s="52">
        <f>SUM(L371/2000)</f>
        <v>18.051747347335091</v>
      </c>
      <c r="N371" s="52"/>
      <c r="O371" s="59">
        <f>SUM(M371/365)</f>
        <v>4.9456842047493399E-2</v>
      </c>
    </row>
    <row r="372" spans="1:16">
      <c r="A372" s="119" t="s">
        <v>492</v>
      </c>
      <c r="B372" s="119" t="s">
        <v>468</v>
      </c>
      <c r="C372" s="119" t="s">
        <v>493</v>
      </c>
      <c r="D372" s="208">
        <v>460840</v>
      </c>
      <c r="E372" s="119" t="s">
        <v>470</v>
      </c>
      <c r="F372" s="119" t="s">
        <v>480</v>
      </c>
      <c r="G372" s="119" t="s">
        <v>481</v>
      </c>
      <c r="H372" s="119" t="s">
        <v>81</v>
      </c>
      <c r="I372" s="208">
        <v>5.9103899634349154E-3</v>
      </c>
      <c r="J372" s="119" t="s">
        <v>473</v>
      </c>
      <c r="K372" s="119" t="s">
        <v>470</v>
      </c>
      <c r="L372" s="209">
        <v>2723.7441107493464</v>
      </c>
      <c r="M372" s="52">
        <f>SUM(L372/2000)</f>
        <v>1.3618720553746733</v>
      </c>
      <c r="N372" s="52"/>
      <c r="O372" s="59">
        <f>SUM(M372/365)</f>
        <v>3.731156316094995E-3</v>
      </c>
    </row>
    <row r="373" spans="1:16">
      <c r="A373" s="119"/>
      <c r="B373" s="119"/>
      <c r="C373" s="119"/>
      <c r="D373" s="208"/>
      <c r="E373" s="119"/>
      <c r="F373" s="119"/>
      <c r="G373" s="119"/>
      <c r="H373" s="119"/>
      <c r="I373" s="208"/>
      <c r="J373" s="119"/>
      <c r="K373" s="119"/>
      <c r="L373" s="209"/>
      <c r="M373" s="52"/>
      <c r="N373" s="59">
        <f>SUM(M368:M372)</f>
        <v>109.22942329537777</v>
      </c>
      <c r="O373" s="59"/>
      <c r="P373" s="59">
        <f>SUM(O368:O372)</f>
        <v>0.29925869395993909</v>
      </c>
    </row>
    <row r="374" spans="1:16" ht="25.5">
      <c r="A374" s="119" t="s">
        <v>494</v>
      </c>
      <c r="B374" s="119" t="s">
        <v>468</v>
      </c>
      <c r="C374" s="119" t="s">
        <v>495</v>
      </c>
      <c r="D374" s="208">
        <v>154983</v>
      </c>
      <c r="E374" s="119" t="s">
        <v>470</v>
      </c>
      <c r="F374" s="119" t="s">
        <v>471</v>
      </c>
      <c r="G374" s="119" t="s">
        <v>472</v>
      </c>
      <c r="H374" s="119" t="s">
        <v>81</v>
      </c>
      <c r="I374" s="208">
        <v>4.8273243728735225E-2</v>
      </c>
      <c r="J374" s="119" t="s">
        <v>473</v>
      </c>
      <c r="K374" s="119" t="s">
        <v>470</v>
      </c>
      <c r="L374" s="209">
        <v>7481.5321328105711</v>
      </c>
      <c r="M374" s="52">
        <f>SUM(L374/2000)</f>
        <v>3.7407660664052855</v>
      </c>
      <c r="N374" s="52"/>
      <c r="O374" s="59">
        <f>SUM(M374/365)</f>
        <v>1.0248674154535028E-2</v>
      </c>
    </row>
    <row r="375" spans="1:16" ht="25.5">
      <c r="A375" s="119" t="s">
        <v>494</v>
      </c>
      <c r="B375" s="119" t="s">
        <v>468</v>
      </c>
      <c r="C375" s="119" t="s">
        <v>495</v>
      </c>
      <c r="D375" s="208">
        <v>154983</v>
      </c>
      <c r="E375" s="119" t="s">
        <v>470</v>
      </c>
      <c r="F375" s="119" t="s">
        <v>474</v>
      </c>
      <c r="G375" s="119" t="s">
        <v>475</v>
      </c>
      <c r="H375" s="119" t="s">
        <v>81</v>
      </c>
      <c r="I375" s="208">
        <v>0.34151845791464641</v>
      </c>
      <c r="J375" s="119" t="s">
        <v>473</v>
      </c>
      <c r="K375" s="119" t="s">
        <v>470</v>
      </c>
      <c r="L375" s="209">
        <v>52929.555162985642</v>
      </c>
      <c r="M375" s="52">
        <f>SUM(L375/2000)</f>
        <v>26.464777581492822</v>
      </c>
      <c r="N375" s="52"/>
      <c r="O375" s="59">
        <f>SUM(M375/365)</f>
        <v>7.2506239949295406E-2</v>
      </c>
    </row>
    <row r="376" spans="1:16" ht="25.5">
      <c r="A376" s="119" t="s">
        <v>494</v>
      </c>
      <c r="B376" s="119" t="s">
        <v>468</v>
      </c>
      <c r="C376" s="119" t="s">
        <v>495</v>
      </c>
      <c r="D376" s="208">
        <v>154983</v>
      </c>
      <c r="E376" s="119" t="s">
        <v>470</v>
      </c>
      <c r="F376" s="119" t="s">
        <v>476</v>
      </c>
      <c r="G376" s="119" t="s">
        <v>477</v>
      </c>
      <c r="H376" s="119" t="s">
        <v>81</v>
      </c>
      <c r="I376" s="208">
        <v>0</v>
      </c>
      <c r="J376" s="119" t="s">
        <v>473</v>
      </c>
      <c r="K376" s="119" t="s">
        <v>470</v>
      </c>
      <c r="L376" s="209">
        <v>0</v>
      </c>
      <c r="M376" s="52">
        <f>SUM(L376/2000)</f>
        <v>0</v>
      </c>
      <c r="N376" s="52"/>
      <c r="O376" s="59">
        <f>SUM(M376/365)</f>
        <v>0</v>
      </c>
    </row>
    <row r="377" spans="1:16" ht="25.5">
      <c r="A377" s="119" t="s">
        <v>494</v>
      </c>
      <c r="B377" s="119" t="s">
        <v>468</v>
      </c>
      <c r="C377" s="119" t="s">
        <v>495</v>
      </c>
      <c r="D377" s="208">
        <v>154983</v>
      </c>
      <c r="E377" s="119" t="s">
        <v>470</v>
      </c>
      <c r="F377" s="119" t="s">
        <v>478</v>
      </c>
      <c r="G377" s="119" t="s">
        <v>479</v>
      </c>
      <c r="H377" s="119" t="s">
        <v>81</v>
      </c>
      <c r="I377" s="208">
        <v>7.8342797271656509E-2</v>
      </c>
      <c r="J377" s="119" t="s">
        <v>473</v>
      </c>
      <c r="K377" s="119" t="s">
        <v>470</v>
      </c>
      <c r="L377" s="209">
        <v>12141.80174955314</v>
      </c>
      <c r="M377" s="52">
        <f>SUM(L377/2000)</f>
        <v>6.0709008747765703</v>
      </c>
      <c r="N377" s="52"/>
      <c r="O377" s="59">
        <f>SUM(M377/365)</f>
        <v>1.6632605136374164E-2</v>
      </c>
    </row>
    <row r="378" spans="1:16" ht="25.5">
      <c r="A378" s="119" t="s">
        <v>494</v>
      </c>
      <c r="B378" s="119" t="s">
        <v>468</v>
      </c>
      <c r="C378" s="119" t="s">
        <v>495</v>
      </c>
      <c r="D378" s="208">
        <v>154983</v>
      </c>
      <c r="E378" s="119" t="s">
        <v>470</v>
      </c>
      <c r="F378" s="119" t="s">
        <v>480</v>
      </c>
      <c r="G378" s="119" t="s">
        <v>481</v>
      </c>
      <c r="H378" s="119" t="s">
        <v>81</v>
      </c>
      <c r="I378" s="208">
        <v>5.9103899634349154E-3</v>
      </c>
      <c r="J378" s="119" t="s">
        <v>473</v>
      </c>
      <c r="K378" s="119" t="s">
        <v>470</v>
      </c>
      <c r="L378" s="209">
        <v>916.00996770303345</v>
      </c>
      <c r="M378" s="52">
        <f>SUM(L378/2000)</f>
        <v>0.45800498385151672</v>
      </c>
      <c r="N378" s="52"/>
      <c r="O378" s="59">
        <f>SUM(M378/365)</f>
        <v>1.2548081749356624E-3</v>
      </c>
    </row>
    <row r="379" spans="1:16">
      <c r="A379" s="119"/>
      <c r="B379" s="119"/>
      <c r="C379" s="119"/>
      <c r="D379" s="208"/>
      <c r="E379" s="119"/>
      <c r="F379" s="119"/>
      <c r="G379" s="119"/>
      <c r="H379" s="119"/>
      <c r="I379" s="208"/>
      <c r="J379" s="119"/>
      <c r="K379" s="119"/>
      <c r="L379" s="209"/>
      <c r="M379" s="52"/>
      <c r="N379" s="59">
        <f>SUM(M374:M378)</f>
        <v>36.734449506526197</v>
      </c>
      <c r="O379" s="59"/>
      <c r="P379" s="59">
        <f>SUM(O374:O378)</f>
        <v>0.10064232741514025</v>
      </c>
    </row>
    <row r="380" spans="1:16" ht="25.5">
      <c r="A380" s="119" t="s">
        <v>496</v>
      </c>
      <c r="B380" s="119" t="s">
        <v>468</v>
      </c>
      <c r="C380" s="119" t="s">
        <v>497</v>
      </c>
      <c r="D380" s="208">
        <v>1482478</v>
      </c>
      <c r="E380" s="119" t="s">
        <v>470</v>
      </c>
      <c r="F380" s="119" t="s">
        <v>471</v>
      </c>
      <c r="G380" s="119" t="s">
        <v>472</v>
      </c>
      <c r="H380" s="119" t="s">
        <v>81</v>
      </c>
      <c r="I380" s="208">
        <v>4.8273243728735225E-2</v>
      </c>
      <c r="J380" s="119" t="s">
        <v>473</v>
      </c>
      <c r="K380" s="119" t="s">
        <v>470</v>
      </c>
      <c r="L380" s="209">
        <v>71564.021816487933</v>
      </c>
      <c r="M380" s="52">
        <f>SUM(L380/2000)</f>
        <v>35.782010908243969</v>
      </c>
      <c r="N380" s="52"/>
      <c r="O380" s="59">
        <f>SUM(M380/365)</f>
        <v>9.8032906597928682E-2</v>
      </c>
    </row>
    <row r="381" spans="1:16" ht="25.5">
      <c r="A381" s="119" t="s">
        <v>496</v>
      </c>
      <c r="B381" s="119" t="s">
        <v>468</v>
      </c>
      <c r="C381" s="119" t="s">
        <v>497</v>
      </c>
      <c r="D381" s="208">
        <v>1482478</v>
      </c>
      <c r="E381" s="119" t="s">
        <v>470</v>
      </c>
      <c r="F381" s="119" t="s">
        <v>474</v>
      </c>
      <c r="G381" s="119" t="s">
        <v>475</v>
      </c>
      <c r="H381" s="119" t="s">
        <v>81</v>
      </c>
      <c r="I381" s="208">
        <v>0.34151845791464641</v>
      </c>
      <c r="J381" s="119" t="s">
        <v>473</v>
      </c>
      <c r="K381" s="119" t="s">
        <v>470</v>
      </c>
      <c r="L381" s="209">
        <v>506293.60045238916</v>
      </c>
      <c r="M381" s="52">
        <f>SUM(L381/2000)</f>
        <v>253.14680022619459</v>
      </c>
      <c r="N381" s="52"/>
      <c r="O381" s="59">
        <f>SUM(M381/365)</f>
        <v>0.69355287733203996</v>
      </c>
    </row>
    <row r="382" spans="1:16" ht="25.5">
      <c r="A382" s="119" t="s">
        <v>496</v>
      </c>
      <c r="B382" s="119" t="s">
        <v>468</v>
      </c>
      <c r="C382" s="119" t="s">
        <v>497</v>
      </c>
      <c r="D382" s="208">
        <v>1482478</v>
      </c>
      <c r="E382" s="119" t="s">
        <v>470</v>
      </c>
      <c r="F382" s="119" t="s">
        <v>476</v>
      </c>
      <c r="G382" s="119" t="s">
        <v>477</v>
      </c>
      <c r="H382" s="119" t="s">
        <v>81</v>
      </c>
      <c r="I382" s="208">
        <v>0</v>
      </c>
      <c r="J382" s="119" t="s">
        <v>473</v>
      </c>
      <c r="K382" s="119" t="s">
        <v>470</v>
      </c>
      <c r="L382" s="209">
        <v>0</v>
      </c>
      <c r="M382" s="52">
        <f>SUM(L382/2000)</f>
        <v>0</v>
      </c>
      <c r="N382" s="52"/>
      <c r="O382" s="59">
        <f>SUM(M382/365)</f>
        <v>0</v>
      </c>
    </row>
    <row r="383" spans="1:16" ht="25.5">
      <c r="A383" s="119" t="s">
        <v>496</v>
      </c>
      <c r="B383" s="119" t="s">
        <v>468</v>
      </c>
      <c r="C383" s="119" t="s">
        <v>497</v>
      </c>
      <c r="D383" s="208">
        <v>1482478</v>
      </c>
      <c r="E383" s="119" t="s">
        <v>470</v>
      </c>
      <c r="F383" s="119" t="s">
        <v>478</v>
      </c>
      <c r="G383" s="119" t="s">
        <v>479</v>
      </c>
      <c r="H383" s="119" t="s">
        <v>81</v>
      </c>
      <c r="I383" s="208">
        <v>7.8342797271656509E-2</v>
      </c>
      <c r="J383" s="119" t="s">
        <v>473</v>
      </c>
      <c r="K383" s="119" t="s">
        <v>470</v>
      </c>
      <c r="L383" s="209">
        <v>116141.47341369079</v>
      </c>
      <c r="M383" s="52">
        <f>SUM(L383/2000)</f>
        <v>58.070736706845395</v>
      </c>
      <c r="N383" s="52"/>
      <c r="O383" s="59">
        <f>SUM(M383/365)</f>
        <v>0.15909790878587779</v>
      </c>
    </row>
    <row r="384" spans="1:16" ht="25.5">
      <c r="A384" s="119" t="s">
        <v>496</v>
      </c>
      <c r="B384" s="119" t="s">
        <v>468</v>
      </c>
      <c r="C384" s="119" t="s">
        <v>497</v>
      </c>
      <c r="D384" s="208">
        <v>1482478</v>
      </c>
      <c r="E384" s="119" t="s">
        <v>470</v>
      </c>
      <c r="F384" s="119" t="s">
        <v>480</v>
      </c>
      <c r="G384" s="119" t="s">
        <v>481</v>
      </c>
      <c r="H384" s="119" t="s">
        <v>81</v>
      </c>
      <c r="I384" s="208">
        <v>5.9103899634349154E-3</v>
      </c>
      <c r="J384" s="119" t="s">
        <v>473</v>
      </c>
      <c r="K384" s="119" t="s">
        <v>470</v>
      </c>
      <c r="L384" s="209">
        <v>8762.0230922130668</v>
      </c>
      <c r="M384" s="52">
        <f>SUM(L384/2000)</f>
        <v>4.3810115461065333</v>
      </c>
      <c r="N384" s="52"/>
      <c r="O384" s="59">
        <f>SUM(M384/365)</f>
        <v>1.2002771359195981E-2</v>
      </c>
    </row>
    <row r="385" spans="1:16">
      <c r="A385" s="119"/>
      <c r="B385" s="119"/>
      <c r="C385" s="119"/>
      <c r="D385" s="208"/>
      <c r="E385" s="119"/>
      <c r="F385" s="119"/>
      <c r="G385" s="119"/>
      <c r="H385" s="119"/>
      <c r="I385" s="208"/>
      <c r="J385" s="119"/>
      <c r="K385" s="119"/>
      <c r="L385" s="209"/>
      <c r="M385" s="52"/>
      <c r="N385" s="59">
        <f>SUM(M380:M384)</f>
        <v>351.38055938739052</v>
      </c>
      <c r="O385" s="59"/>
      <c r="P385" s="59">
        <f>SUM(O380:O384)</f>
        <v>0.96268646407504255</v>
      </c>
    </row>
    <row r="386" spans="1:16" ht="25.5">
      <c r="A386" s="119" t="s">
        <v>498</v>
      </c>
      <c r="B386" s="119" t="s">
        <v>468</v>
      </c>
      <c r="C386" s="119" t="s">
        <v>499</v>
      </c>
      <c r="D386" s="208">
        <v>11215</v>
      </c>
      <c r="E386" s="119" t="s">
        <v>470</v>
      </c>
      <c r="F386" s="119" t="s">
        <v>471</v>
      </c>
      <c r="G386" s="119" t="s">
        <v>472</v>
      </c>
      <c r="H386" s="119" t="s">
        <v>81</v>
      </c>
      <c r="I386" s="208">
        <v>4.8273243728735225E-2</v>
      </c>
      <c r="J386" s="119" t="s">
        <v>473</v>
      </c>
      <c r="K386" s="119" t="s">
        <v>470</v>
      </c>
      <c r="L386" s="209">
        <v>541.38442841776555</v>
      </c>
      <c r="M386" s="52">
        <f>SUM(L386/2000)</f>
        <v>0.27069221420888279</v>
      </c>
      <c r="N386" s="52"/>
      <c r="O386" s="59">
        <f>SUM(M386/365)</f>
        <v>7.4162250468187067E-4</v>
      </c>
    </row>
    <row r="387" spans="1:16" ht="25.5">
      <c r="A387" s="119" t="s">
        <v>498</v>
      </c>
      <c r="B387" s="119" t="s">
        <v>468</v>
      </c>
      <c r="C387" s="119" t="s">
        <v>499</v>
      </c>
      <c r="D387" s="208">
        <v>11215</v>
      </c>
      <c r="E387" s="119" t="s">
        <v>470</v>
      </c>
      <c r="F387" s="119" t="s">
        <v>474</v>
      </c>
      <c r="G387" s="119" t="s">
        <v>475</v>
      </c>
      <c r="H387" s="119" t="s">
        <v>81</v>
      </c>
      <c r="I387" s="208">
        <v>0.34151845791464641</v>
      </c>
      <c r="J387" s="119" t="s">
        <v>473</v>
      </c>
      <c r="K387" s="119" t="s">
        <v>470</v>
      </c>
      <c r="L387" s="209">
        <v>3830.1295055127594</v>
      </c>
      <c r="M387" s="52">
        <f>SUM(L387/2000)</f>
        <v>1.9150647527563798</v>
      </c>
      <c r="N387" s="52"/>
      <c r="O387" s="59">
        <f>SUM(M387/365)</f>
        <v>5.2467527472777531E-3</v>
      </c>
    </row>
    <row r="388" spans="1:16" ht="25.5">
      <c r="A388" s="119" t="s">
        <v>498</v>
      </c>
      <c r="B388" s="119" t="s">
        <v>468</v>
      </c>
      <c r="C388" s="119" t="s">
        <v>499</v>
      </c>
      <c r="D388" s="208">
        <v>11215</v>
      </c>
      <c r="E388" s="119" t="s">
        <v>470</v>
      </c>
      <c r="F388" s="119" t="s">
        <v>476</v>
      </c>
      <c r="G388" s="119" t="s">
        <v>477</v>
      </c>
      <c r="H388" s="119" t="s">
        <v>81</v>
      </c>
      <c r="I388" s="208">
        <v>0</v>
      </c>
      <c r="J388" s="119" t="s">
        <v>473</v>
      </c>
      <c r="K388" s="119" t="s">
        <v>470</v>
      </c>
      <c r="L388" s="209">
        <v>0</v>
      </c>
      <c r="M388" s="52">
        <f>SUM(L388/2000)</f>
        <v>0</v>
      </c>
      <c r="N388" s="52"/>
      <c r="O388" s="59">
        <f>SUM(M388/365)</f>
        <v>0</v>
      </c>
    </row>
    <row r="389" spans="1:16" ht="25.5">
      <c r="A389" s="119" t="s">
        <v>498</v>
      </c>
      <c r="B389" s="119" t="s">
        <v>468</v>
      </c>
      <c r="C389" s="119" t="s">
        <v>499</v>
      </c>
      <c r="D389" s="208">
        <v>11215</v>
      </c>
      <c r="E389" s="119" t="s">
        <v>470</v>
      </c>
      <c r="F389" s="119" t="s">
        <v>478</v>
      </c>
      <c r="G389" s="119" t="s">
        <v>479</v>
      </c>
      <c r="H389" s="119" t="s">
        <v>81</v>
      </c>
      <c r="I389" s="208">
        <v>7.8342797271656509E-2</v>
      </c>
      <c r="J389" s="119" t="s">
        <v>473</v>
      </c>
      <c r="K389" s="119" t="s">
        <v>470</v>
      </c>
      <c r="L389" s="209">
        <v>878.61447140162772</v>
      </c>
      <c r="M389" s="52">
        <f>SUM(L389/2000)</f>
        <v>0.43930723570081387</v>
      </c>
      <c r="N389" s="52"/>
      <c r="O389" s="59">
        <f>SUM(M389/365)</f>
        <v>1.2035814676734627E-3</v>
      </c>
    </row>
    <row r="390" spans="1:16" ht="25.5">
      <c r="A390" s="119" t="s">
        <v>498</v>
      </c>
      <c r="B390" s="119" t="s">
        <v>468</v>
      </c>
      <c r="C390" s="119" t="s">
        <v>499</v>
      </c>
      <c r="D390" s="208">
        <v>11215</v>
      </c>
      <c r="E390" s="119" t="s">
        <v>470</v>
      </c>
      <c r="F390" s="119" t="s">
        <v>480</v>
      </c>
      <c r="G390" s="119" t="s">
        <v>481</v>
      </c>
      <c r="H390" s="119" t="s">
        <v>81</v>
      </c>
      <c r="I390" s="208">
        <v>5.9103899634349154E-3</v>
      </c>
      <c r="J390" s="119" t="s">
        <v>473</v>
      </c>
      <c r="K390" s="119" t="s">
        <v>470</v>
      </c>
      <c r="L390" s="209">
        <v>66.285023439922583</v>
      </c>
      <c r="M390" s="52">
        <f>SUM(L390/2000)</f>
        <v>3.3142511719961291E-2</v>
      </c>
      <c r="N390" s="52"/>
      <c r="O390" s="59">
        <f>SUM(M390/365)</f>
        <v>9.0801401972496684E-5</v>
      </c>
    </row>
    <row r="391" spans="1:16">
      <c r="A391" s="119"/>
      <c r="B391" s="119"/>
      <c r="C391" s="119"/>
      <c r="D391" s="208"/>
      <c r="E391" s="119"/>
      <c r="F391" s="119"/>
      <c r="G391" s="119"/>
      <c r="H391" s="119"/>
      <c r="I391" s="208"/>
      <c r="J391" s="119"/>
      <c r="K391" s="119"/>
      <c r="L391" s="209"/>
      <c r="M391" s="52"/>
      <c r="N391" s="59">
        <f>SUM(M386:M390)</f>
        <v>2.6582067143860377</v>
      </c>
      <c r="O391" s="59"/>
      <c r="P391" s="59">
        <f>SUM(O386:O390)</f>
        <v>7.2827581216055835E-3</v>
      </c>
    </row>
    <row r="392" spans="1:16">
      <c r="A392" s="119" t="s">
        <v>500</v>
      </c>
      <c r="B392" s="119" t="s">
        <v>468</v>
      </c>
      <c r="C392" s="119" t="s">
        <v>501</v>
      </c>
      <c r="D392" s="208">
        <v>659909</v>
      </c>
      <c r="E392" s="119" t="s">
        <v>470</v>
      </c>
      <c r="F392" s="119" t="s">
        <v>471</v>
      </c>
      <c r="G392" s="119" t="s">
        <v>472</v>
      </c>
      <c r="H392" s="119" t="s">
        <v>81</v>
      </c>
      <c r="I392" s="208">
        <v>4.8273243728735225E-2</v>
      </c>
      <c r="J392" s="119" t="s">
        <v>473</v>
      </c>
      <c r="K392" s="119" t="s">
        <v>470</v>
      </c>
      <c r="L392" s="209">
        <v>31855.947995785933</v>
      </c>
      <c r="M392" s="52">
        <f>SUM(L392/2000)</f>
        <v>15.927973997892966</v>
      </c>
      <c r="N392" s="52"/>
      <c r="O392" s="59">
        <f>SUM(M392/365)</f>
        <v>4.3638284925734155E-2</v>
      </c>
    </row>
    <row r="393" spans="1:16">
      <c r="A393" s="119" t="s">
        <v>500</v>
      </c>
      <c r="B393" s="119" t="s">
        <v>468</v>
      </c>
      <c r="C393" s="119" t="s">
        <v>501</v>
      </c>
      <c r="D393" s="208">
        <v>659909</v>
      </c>
      <c r="E393" s="119" t="s">
        <v>470</v>
      </c>
      <c r="F393" s="119" t="s">
        <v>474</v>
      </c>
      <c r="G393" s="119" t="s">
        <v>475</v>
      </c>
      <c r="H393" s="119" t="s">
        <v>81</v>
      </c>
      <c r="I393" s="208">
        <v>0.34151845791464641</v>
      </c>
      <c r="J393" s="119" t="s">
        <v>473</v>
      </c>
      <c r="K393" s="119" t="s">
        <v>470</v>
      </c>
      <c r="L393" s="209">
        <v>225371.1040439964</v>
      </c>
      <c r="M393" s="52">
        <f>SUM(L393/2000)</f>
        <v>112.68555202199821</v>
      </c>
      <c r="N393" s="52"/>
      <c r="O393" s="59">
        <f>SUM(M393/365)</f>
        <v>0.30872753978629647</v>
      </c>
    </row>
    <row r="394" spans="1:16">
      <c r="A394" s="119" t="s">
        <v>500</v>
      </c>
      <c r="B394" s="119" t="s">
        <v>468</v>
      </c>
      <c r="C394" s="119" t="s">
        <v>501</v>
      </c>
      <c r="D394" s="208">
        <v>659909</v>
      </c>
      <c r="E394" s="119" t="s">
        <v>470</v>
      </c>
      <c r="F394" s="119" t="s">
        <v>476</v>
      </c>
      <c r="G394" s="119" t="s">
        <v>477</v>
      </c>
      <c r="H394" s="119" t="s">
        <v>81</v>
      </c>
      <c r="I394" s="208">
        <v>0</v>
      </c>
      <c r="J394" s="119" t="s">
        <v>473</v>
      </c>
      <c r="K394" s="119" t="s">
        <v>470</v>
      </c>
      <c r="L394" s="209">
        <v>0</v>
      </c>
      <c r="M394" s="52">
        <f>SUM(L394/2000)</f>
        <v>0</v>
      </c>
      <c r="N394" s="52"/>
      <c r="O394" s="59">
        <f>SUM(M394/365)</f>
        <v>0</v>
      </c>
    </row>
    <row r="395" spans="1:16">
      <c r="A395" s="119" t="s">
        <v>500</v>
      </c>
      <c r="B395" s="119" t="s">
        <v>468</v>
      </c>
      <c r="C395" s="119" t="s">
        <v>501</v>
      </c>
      <c r="D395" s="208">
        <v>659909</v>
      </c>
      <c r="E395" s="119" t="s">
        <v>470</v>
      </c>
      <c r="F395" s="119" t="s">
        <v>478</v>
      </c>
      <c r="G395" s="119" t="s">
        <v>479</v>
      </c>
      <c r="H395" s="119" t="s">
        <v>81</v>
      </c>
      <c r="I395" s="208">
        <v>7.8342797271656509E-2</v>
      </c>
      <c r="J395" s="119" t="s">
        <v>473</v>
      </c>
      <c r="K395" s="119" t="s">
        <v>470</v>
      </c>
      <c r="L395" s="209">
        <v>51699.117004741573</v>
      </c>
      <c r="M395" s="52">
        <f>SUM(L395/2000)</f>
        <v>25.849558502370787</v>
      </c>
      <c r="N395" s="52"/>
      <c r="O395" s="59">
        <f>SUM(M395/365)</f>
        <v>7.0820708225673393E-2</v>
      </c>
    </row>
    <row r="396" spans="1:16">
      <c r="A396" s="119" t="s">
        <v>500</v>
      </c>
      <c r="B396" s="119" t="s">
        <v>468</v>
      </c>
      <c r="C396" s="119" t="s">
        <v>501</v>
      </c>
      <c r="D396" s="208">
        <v>659909</v>
      </c>
      <c r="E396" s="119" t="s">
        <v>470</v>
      </c>
      <c r="F396" s="119" t="s">
        <v>480</v>
      </c>
      <c r="G396" s="119" t="s">
        <v>481</v>
      </c>
      <c r="H396" s="119" t="s">
        <v>81</v>
      </c>
      <c r="I396" s="208">
        <v>5.9103899634349154E-3</v>
      </c>
      <c r="J396" s="119" t="s">
        <v>473</v>
      </c>
      <c r="K396" s="119" t="s">
        <v>470</v>
      </c>
      <c r="L396" s="209">
        <v>3900.3195303803718</v>
      </c>
      <c r="M396" s="52">
        <f>SUM(L396/2000)</f>
        <v>1.9501597651901859</v>
      </c>
      <c r="N396" s="52"/>
      <c r="O396" s="59">
        <f>SUM(M396/365)</f>
        <v>5.3429034662744821E-3</v>
      </c>
    </row>
    <row r="397" spans="1:16">
      <c r="A397" s="119"/>
      <c r="B397" s="119"/>
      <c r="C397" s="119"/>
      <c r="D397" s="208"/>
      <c r="E397" s="119"/>
      <c r="F397" s="119"/>
      <c r="G397" s="119"/>
      <c r="H397" s="119"/>
      <c r="I397" s="208"/>
      <c r="J397" s="119"/>
      <c r="K397" s="119"/>
      <c r="L397" s="209"/>
      <c r="M397" s="52"/>
      <c r="N397" s="59">
        <f>SUM(M392:M396)</f>
        <v>156.41324428745216</v>
      </c>
      <c r="O397" s="59"/>
      <c r="P397" s="59">
        <f>SUM(O392:O396)</f>
        <v>0.42852943640397845</v>
      </c>
    </row>
    <row r="398" spans="1:16">
      <c r="A398" s="119" t="s">
        <v>502</v>
      </c>
      <c r="B398" s="119" t="s">
        <v>468</v>
      </c>
      <c r="C398" s="119" t="s">
        <v>503</v>
      </c>
      <c r="D398" s="208">
        <v>492066</v>
      </c>
      <c r="E398" s="119" t="s">
        <v>470</v>
      </c>
      <c r="F398" s="119" t="s">
        <v>471</v>
      </c>
      <c r="G398" s="119" t="s">
        <v>472</v>
      </c>
      <c r="H398" s="119" t="s">
        <v>81</v>
      </c>
      <c r="I398" s="208">
        <v>4.8273243728735225E-2</v>
      </c>
      <c r="J398" s="119" t="s">
        <v>473</v>
      </c>
      <c r="K398" s="119" t="s">
        <v>470</v>
      </c>
      <c r="L398" s="209">
        <v>23753.621948623826</v>
      </c>
      <c r="M398" s="52">
        <f>SUM(L398/2000)</f>
        <v>11.876810974311914</v>
      </c>
      <c r="N398" s="52"/>
      <c r="O398" s="59">
        <f>SUM(M398/365)</f>
        <v>3.2539208148799764E-2</v>
      </c>
    </row>
    <row r="399" spans="1:16">
      <c r="A399" s="119" t="s">
        <v>502</v>
      </c>
      <c r="B399" s="119" t="s">
        <v>468</v>
      </c>
      <c r="C399" s="119" t="s">
        <v>503</v>
      </c>
      <c r="D399" s="208">
        <v>492066</v>
      </c>
      <c r="E399" s="119" t="s">
        <v>470</v>
      </c>
      <c r="F399" s="119" t="s">
        <v>474</v>
      </c>
      <c r="G399" s="119" t="s">
        <v>475</v>
      </c>
      <c r="H399" s="119" t="s">
        <v>81</v>
      </c>
      <c r="I399" s="208">
        <v>0.34151845791464641</v>
      </c>
      <c r="J399" s="119" t="s">
        <v>473</v>
      </c>
      <c r="K399" s="119" t="s">
        <v>470</v>
      </c>
      <c r="L399" s="209">
        <v>168049.62151222839</v>
      </c>
      <c r="M399" s="52">
        <f>SUM(L399/2000)</f>
        <v>84.024810756114192</v>
      </c>
      <c r="N399" s="52"/>
      <c r="O399" s="59">
        <f>SUM(M399/365)</f>
        <v>0.23020496097565532</v>
      </c>
    </row>
    <row r="400" spans="1:16">
      <c r="A400" s="119" t="s">
        <v>502</v>
      </c>
      <c r="B400" s="119" t="s">
        <v>468</v>
      </c>
      <c r="C400" s="119" t="s">
        <v>503</v>
      </c>
      <c r="D400" s="208">
        <v>492066</v>
      </c>
      <c r="E400" s="119" t="s">
        <v>470</v>
      </c>
      <c r="F400" s="119" t="s">
        <v>476</v>
      </c>
      <c r="G400" s="119" t="s">
        <v>477</v>
      </c>
      <c r="H400" s="119" t="s">
        <v>81</v>
      </c>
      <c r="I400" s="208">
        <v>0</v>
      </c>
      <c r="J400" s="119" t="s">
        <v>473</v>
      </c>
      <c r="K400" s="119" t="s">
        <v>470</v>
      </c>
      <c r="L400" s="209">
        <v>0</v>
      </c>
      <c r="M400" s="52">
        <f>SUM(L400/2000)</f>
        <v>0</v>
      </c>
      <c r="N400" s="52"/>
      <c r="O400" s="59">
        <f>SUM(M400/365)</f>
        <v>0</v>
      </c>
    </row>
    <row r="401" spans="1:16">
      <c r="A401" s="119" t="s">
        <v>502</v>
      </c>
      <c r="B401" s="119" t="s">
        <v>468</v>
      </c>
      <c r="C401" s="119" t="s">
        <v>503</v>
      </c>
      <c r="D401" s="208">
        <v>492066</v>
      </c>
      <c r="E401" s="119" t="s">
        <v>470</v>
      </c>
      <c r="F401" s="119" t="s">
        <v>478</v>
      </c>
      <c r="G401" s="119" t="s">
        <v>479</v>
      </c>
      <c r="H401" s="119" t="s">
        <v>81</v>
      </c>
      <c r="I401" s="208">
        <v>7.8342797271656509E-2</v>
      </c>
      <c r="J401" s="119" t="s">
        <v>473</v>
      </c>
      <c r="K401" s="119" t="s">
        <v>470</v>
      </c>
      <c r="L401" s="209">
        <v>38549.826882274931</v>
      </c>
      <c r="M401" s="52">
        <f>SUM(L401/2000)</f>
        <v>19.274913441137464</v>
      </c>
      <c r="N401" s="52"/>
      <c r="O401" s="59">
        <f>SUM(M401/365)</f>
        <v>5.2807982030513602E-2</v>
      </c>
    </row>
    <row r="402" spans="1:16">
      <c r="A402" s="119" t="s">
        <v>502</v>
      </c>
      <c r="B402" s="119" t="s">
        <v>468</v>
      </c>
      <c r="C402" s="119" t="s">
        <v>503</v>
      </c>
      <c r="D402" s="208">
        <v>492066</v>
      </c>
      <c r="E402" s="119" t="s">
        <v>470</v>
      </c>
      <c r="F402" s="119" t="s">
        <v>480</v>
      </c>
      <c r="G402" s="119" t="s">
        <v>481</v>
      </c>
      <c r="H402" s="119" t="s">
        <v>81</v>
      </c>
      <c r="I402" s="208">
        <v>5.9103899634349154E-3</v>
      </c>
      <c r="J402" s="119" t="s">
        <v>473</v>
      </c>
      <c r="K402" s="119" t="s">
        <v>470</v>
      </c>
      <c r="L402" s="209">
        <v>2908.301947747565</v>
      </c>
      <c r="M402" s="52">
        <f>SUM(L402/2000)</f>
        <v>1.4541509738737826</v>
      </c>
      <c r="N402" s="52"/>
      <c r="O402" s="59">
        <f>SUM(M402/365)</f>
        <v>3.9839752708870756E-3</v>
      </c>
    </row>
    <row r="403" spans="1:16">
      <c r="A403" s="119"/>
      <c r="B403" s="119"/>
      <c r="C403" s="119"/>
      <c r="D403" s="208"/>
      <c r="E403" s="119"/>
      <c r="F403" s="119"/>
      <c r="G403" s="119"/>
      <c r="H403" s="119"/>
      <c r="I403" s="208"/>
      <c r="J403" s="119"/>
      <c r="K403" s="119"/>
      <c r="L403" s="209"/>
      <c r="M403" s="52"/>
      <c r="N403" s="59">
        <f>SUM(M398:M402)</f>
        <v>116.63068614543734</v>
      </c>
      <c r="O403" s="59"/>
      <c r="P403" s="59">
        <f>SUM(O398:O402)</f>
        <v>0.31953612642585577</v>
      </c>
    </row>
    <row r="404" spans="1:16">
      <c r="A404" s="119" t="s">
        <v>504</v>
      </c>
      <c r="B404" s="119" t="s">
        <v>468</v>
      </c>
      <c r="C404" s="119" t="s">
        <v>505</v>
      </c>
      <c r="D404" s="208">
        <v>732684</v>
      </c>
      <c r="E404" s="119" t="s">
        <v>470</v>
      </c>
      <c r="F404" s="119" t="s">
        <v>471</v>
      </c>
      <c r="G404" s="119" t="s">
        <v>472</v>
      </c>
      <c r="H404" s="119" t="s">
        <v>81</v>
      </c>
      <c r="I404" s="208">
        <v>4.8273243728735225E-2</v>
      </c>
      <c r="J404" s="119" t="s">
        <v>473</v>
      </c>
      <c r="K404" s="119" t="s">
        <v>470</v>
      </c>
      <c r="L404" s="209">
        <v>35369.033308144637</v>
      </c>
      <c r="M404" s="52">
        <f>SUM(L404/2000)</f>
        <v>17.684516654072318</v>
      </c>
      <c r="N404" s="52"/>
      <c r="O404" s="59">
        <f>SUM(M404/365)</f>
        <v>4.8450730559102241E-2</v>
      </c>
    </row>
    <row r="405" spans="1:16">
      <c r="A405" s="119" t="s">
        <v>504</v>
      </c>
      <c r="B405" s="119" t="s">
        <v>468</v>
      </c>
      <c r="C405" s="119" t="s">
        <v>505</v>
      </c>
      <c r="D405" s="208">
        <v>732684</v>
      </c>
      <c r="E405" s="119" t="s">
        <v>470</v>
      </c>
      <c r="F405" s="119" t="s">
        <v>474</v>
      </c>
      <c r="G405" s="119" t="s">
        <v>475</v>
      </c>
      <c r="H405" s="119" t="s">
        <v>81</v>
      </c>
      <c r="I405" s="208">
        <v>0.34151845791464641</v>
      </c>
      <c r="J405" s="119" t="s">
        <v>473</v>
      </c>
      <c r="K405" s="119" t="s">
        <v>470</v>
      </c>
      <c r="L405" s="209">
        <v>250225.10981873478</v>
      </c>
      <c r="M405" s="52">
        <f>SUM(L405/2000)</f>
        <v>125.11255490936739</v>
      </c>
      <c r="N405" s="52"/>
      <c r="O405" s="59">
        <f>SUM(M405/365)</f>
        <v>0.34277412303936272</v>
      </c>
    </row>
    <row r="406" spans="1:16">
      <c r="A406" s="119" t="s">
        <v>504</v>
      </c>
      <c r="B406" s="119" t="s">
        <v>468</v>
      </c>
      <c r="C406" s="119" t="s">
        <v>505</v>
      </c>
      <c r="D406" s="208">
        <v>732684</v>
      </c>
      <c r="E406" s="119" t="s">
        <v>470</v>
      </c>
      <c r="F406" s="119" t="s">
        <v>476</v>
      </c>
      <c r="G406" s="119" t="s">
        <v>477</v>
      </c>
      <c r="H406" s="119" t="s">
        <v>81</v>
      </c>
      <c r="I406" s="208">
        <v>0</v>
      </c>
      <c r="J406" s="119" t="s">
        <v>473</v>
      </c>
      <c r="K406" s="119" t="s">
        <v>470</v>
      </c>
      <c r="L406" s="209">
        <v>0</v>
      </c>
      <c r="M406" s="52">
        <f>SUM(L406/2000)</f>
        <v>0</v>
      </c>
      <c r="N406" s="52"/>
      <c r="O406" s="59">
        <f>SUM(M406/365)</f>
        <v>0</v>
      </c>
    </row>
    <row r="407" spans="1:16">
      <c r="A407" s="119" t="s">
        <v>504</v>
      </c>
      <c r="B407" s="119" t="s">
        <v>468</v>
      </c>
      <c r="C407" s="119" t="s">
        <v>505</v>
      </c>
      <c r="D407" s="208">
        <v>732684</v>
      </c>
      <c r="E407" s="119" t="s">
        <v>470</v>
      </c>
      <c r="F407" s="119" t="s">
        <v>478</v>
      </c>
      <c r="G407" s="119" t="s">
        <v>479</v>
      </c>
      <c r="H407" s="119" t="s">
        <v>81</v>
      </c>
      <c r="I407" s="208">
        <v>7.8342797271656509E-2</v>
      </c>
      <c r="J407" s="119" t="s">
        <v>473</v>
      </c>
      <c r="K407" s="119" t="s">
        <v>470</v>
      </c>
      <c r="L407" s="209">
        <v>57400.51407618638</v>
      </c>
      <c r="M407" s="52">
        <f>SUM(L407/2000)</f>
        <v>28.700257038093191</v>
      </c>
      <c r="N407" s="52"/>
      <c r="O407" s="59">
        <f>SUM(M407/365)</f>
        <v>7.8630841200255319E-2</v>
      </c>
    </row>
    <row r="408" spans="1:16">
      <c r="A408" s="119" t="s">
        <v>504</v>
      </c>
      <c r="B408" s="119" t="s">
        <v>468</v>
      </c>
      <c r="C408" s="119" t="s">
        <v>505</v>
      </c>
      <c r="D408" s="208">
        <v>732684</v>
      </c>
      <c r="E408" s="119" t="s">
        <v>470</v>
      </c>
      <c r="F408" s="119" t="s">
        <v>480</v>
      </c>
      <c r="G408" s="119" t="s">
        <v>481</v>
      </c>
      <c r="H408" s="119" t="s">
        <v>81</v>
      </c>
      <c r="I408" s="208">
        <v>5.9103899634349154E-3</v>
      </c>
      <c r="J408" s="119" t="s">
        <v>473</v>
      </c>
      <c r="K408" s="119" t="s">
        <v>470</v>
      </c>
      <c r="L408" s="209">
        <v>4330.4481599693472</v>
      </c>
      <c r="M408" s="52">
        <f>SUM(L408/2000)</f>
        <v>2.1652240799846738</v>
      </c>
      <c r="N408" s="52"/>
      <c r="O408" s="59">
        <f>SUM(M408/365)</f>
        <v>5.9321207670812977E-3</v>
      </c>
    </row>
    <row r="409" spans="1:16">
      <c r="A409" s="119"/>
      <c r="B409" s="119"/>
      <c r="C409" s="119"/>
      <c r="D409" s="208"/>
      <c r="E409" s="119"/>
      <c r="F409" s="119"/>
      <c r="G409" s="119"/>
      <c r="H409" s="119"/>
      <c r="I409" s="208"/>
      <c r="J409" s="119"/>
      <c r="K409" s="119"/>
      <c r="L409" s="209"/>
      <c r="M409" s="52"/>
      <c r="N409" s="59">
        <f>SUM(M404:M408)</f>
        <v>173.66255268151758</v>
      </c>
      <c r="O409" s="59"/>
      <c r="P409" s="59">
        <f>SUM(O404:O408)</f>
        <v>0.47578781556580158</v>
      </c>
    </row>
    <row r="410" spans="1:16" ht="25.5">
      <c r="A410" s="119" t="s">
        <v>506</v>
      </c>
      <c r="B410" s="119" t="s">
        <v>468</v>
      </c>
      <c r="C410" s="119" t="s">
        <v>507</v>
      </c>
      <c r="D410" s="208">
        <v>783806</v>
      </c>
      <c r="E410" s="119" t="s">
        <v>470</v>
      </c>
      <c r="F410" s="119" t="s">
        <v>471</v>
      </c>
      <c r="G410" s="119" t="s">
        <v>472</v>
      </c>
      <c r="H410" s="119" t="s">
        <v>81</v>
      </c>
      <c r="I410" s="208">
        <v>4.8273243728735225E-2</v>
      </c>
      <c r="J410" s="119" t="s">
        <v>473</v>
      </c>
      <c r="K410" s="119" t="s">
        <v>470</v>
      </c>
      <c r="L410" s="209">
        <v>37836.858074045042</v>
      </c>
      <c r="M410" s="52">
        <f>SUM(L410/2000)</f>
        <v>18.91842903702252</v>
      </c>
      <c r="N410" s="52"/>
      <c r="O410" s="59">
        <f>SUM(M410/365)</f>
        <v>5.1831312430198687E-2</v>
      </c>
    </row>
    <row r="411" spans="1:16" ht="25.5">
      <c r="A411" s="119" t="s">
        <v>506</v>
      </c>
      <c r="B411" s="119" t="s">
        <v>468</v>
      </c>
      <c r="C411" s="119" t="s">
        <v>507</v>
      </c>
      <c r="D411" s="208">
        <v>783806</v>
      </c>
      <c r="E411" s="119" t="s">
        <v>470</v>
      </c>
      <c r="F411" s="119" t="s">
        <v>474</v>
      </c>
      <c r="G411" s="119" t="s">
        <v>475</v>
      </c>
      <c r="H411" s="119" t="s">
        <v>81</v>
      </c>
      <c r="I411" s="208">
        <v>0.34151845791464641</v>
      </c>
      <c r="J411" s="119" t="s">
        <v>473</v>
      </c>
      <c r="K411" s="119" t="s">
        <v>470</v>
      </c>
      <c r="L411" s="209">
        <v>267684.21642424737</v>
      </c>
      <c r="M411" s="52">
        <f>SUM(L411/2000)</f>
        <v>133.84210821212369</v>
      </c>
      <c r="N411" s="52"/>
      <c r="O411" s="59">
        <f>SUM(M411/365)</f>
        <v>0.36669070743047588</v>
      </c>
    </row>
    <row r="412" spans="1:16" ht="25.5">
      <c r="A412" s="119" t="s">
        <v>506</v>
      </c>
      <c r="B412" s="119" t="s">
        <v>468</v>
      </c>
      <c r="C412" s="119" t="s">
        <v>507</v>
      </c>
      <c r="D412" s="208">
        <v>783806</v>
      </c>
      <c r="E412" s="119" t="s">
        <v>470</v>
      </c>
      <c r="F412" s="119" t="s">
        <v>476</v>
      </c>
      <c r="G412" s="119" t="s">
        <v>477</v>
      </c>
      <c r="H412" s="119" t="s">
        <v>81</v>
      </c>
      <c r="I412" s="208">
        <v>0</v>
      </c>
      <c r="J412" s="119" t="s">
        <v>473</v>
      </c>
      <c r="K412" s="119" t="s">
        <v>470</v>
      </c>
      <c r="L412" s="209">
        <v>0</v>
      </c>
      <c r="M412" s="52">
        <f>SUM(L412/2000)</f>
        <v>0</v>
      </c>
      <c r="N412" s="52"/>
      <c r="O412" s="59">
        <f>SUM(M412/365)</f>
        <v>0</v>
      </c>
    </row>
    <row r="413" spans="1:16" ht="25.5">
      <c r="A413" s="119" t="s">
        <v>506</v>
      </c>
      <c r="B413" s="119" t="s">
        <v>468</v>
      </c>
      <c r="C413" s="119" t="s">
        <v>507</v>
      </c>
      <c r="D413" s="208">
        <v>783806</v>
      </c>
      <c r="E413" s="119" t="s">
        <v>470</v>
      </c>
      <c r="F413" s="119" t="s">
        <v>478</v>
      </c>
      <c r="G413" s="119" t="s">
        <v>479</v>
      </c>
      <c r="H413" s="119" t="s">
        <v>81</v>
      </c>
      <c r="I413" s="208">
        <v>7.8342797271656509E-2</v>
      </c>
      <c r="J413" s="119" t="s">
        <v>473</v>
      </c>
      <c r="K413" s="119" t="s">
        <v>470</v>
      </c>
      <c r="L413" s="209">
        <v>61405.554558308002</v>
      </c>
      <c r="M413" s="52">
        <f>SUM(L413/2000)</f>
        <v>30.702777279154002</v>
      </c>
      <c r="N413" s="52"/>
      <c r="O413" s="59">
        <f>SUM(M413/365)</f>
        <v>8.4117198025079457E-2</v>
      </c>
    </row>
    <row r="414" spans="1:16" ht="25.5">
      <c r="A414" s="119" t="s">
        <v>506</v>
      </c>
      <c r="B414" s="119" t="s">
        <v>468</v>
      </c>
      <c r="C414" s="119" t="s">
        <v>507</v>
      </c>
      <c r="D414" s="208">
        <v>783806</v>
      </c>
      <c r="E414" s="119" t="s">
        <v>470</v>
      </c>
      <c r="F414" s="119" t="s">
        <v>480</v>
      </c>
      <c r="G414" s="119" t="s">
        <v>481</v>
      </c>
      <c r="H414" s="119" t="s">
        <v>81</v>
      </c>
      <c r="I414" s="208">
        <v>5.9103899634349154E-3</v>
      </c>
      <c r="J414" s="119" t="s">
        <v>473</v>
      </c>
      <c r="K414" s="119" t="s">
        <v>470</v>
      </c>
      <c r="L414" s="209">
        <v>4632.5991156800674</v>
      </c>
      <c r="M414" s="52">
        <f>SUM(L414/2000)</f>
        <v>2.3162995578400336</v>
      </c>
      <c r="N414" s="52"/>
      <c r="O414" s="59">
        <f>SUM(M414/365)</f>
        <v>6.3460261858631056E-3</v>
      </c>
    </row>
    <row r="415" spans="1:16">
      <c r="A415" s="119"/>
      <c r="B415" s="119"/>
      <c r="C415" s="119"/>
      <c r="D415" s="208"/>
      <c r="E415" s="119"/>
      <c r="F415" s="119"/>
      <c r="G415" s="119"/>
      <c r="H415" s="119"/>
      <c r="I415" s="208"/>
      <c r="J415" s="119"/>
      <c r="K415" s="119"/>
      <c r="L415" s="209"/>
      <c r="M415" s="52"/>
      <c r="N415" s="59">
        <f>SUM(M410:M414)</f>
        <v>185.77961408614024</v>
      </c>
      <c r="O415" s="59"/>
      <c r="P415" s="59">
        <f>SUM(O410:O414)</f>
        <v>0.50898524407161716</v>
      </c>
    </row>
    <row r="416" spans="1:16" ht="22.5" customHeight="1">
      <c r="A416" s="119"/>
      <c r="B416" s="119"/>
      <c r="C416" s="119"/>
      <c r="D416" s="208"/>
      <c r="E416" s="119"/>
      <c r="F416" s="119"/>
      <c r="G416" s="119"/>
      <c r="H416" s="119"/>
      <c r="I416" s="208"/>
      <c r="J416" s="119"/>
      <c r="K416" s="119"/>
      <c r="L416" s="210">
        <f>SUM(L332:L414)</f>
        <v>3080328.0444509843</v>
      </c>
      <c r="M416" s="129">
        <f>SUM(M332:M414)</f>
        <v>1540.1640222254925</v>
      </c>
      <c r="N416" s="129">
        <f>SUM(N332:N415)</f>
        <v>1540.1640222254923</v>
      </c>
      <c r="O416" s="211">
        <f>SUM(O332:O414)</f>
        <v>4.2196274581520337</v>
      </c>
      <c r="P416" s="211">
        <f>SUM(P332:P415)</f>
        <v>4.2196274581520345</v>
      </c>
    </row>
    <row r="417" spans="1:15" ht="18" customHeight="1">
      <c r="A417" s="119" t="s">
        <v>467</v>
      </c>
      <c r="B417" s="119" t="s">
        <v>468</v>
      </c>
      <c r="C417" s="119" t="s">
        <v>469</v>
      </c>
      <c r="D417" s="208">
        <v>221049</v>
      </c>
      <c r="E417" s="119" t="s">
        <v>470</v>
      </c>
      <c r="F417" s="119" t="s">
        <v>474</v>
      </c>
      <c r="G417" s="119" t="s">
        <v>475</v>
      </c>
      <c r="H417" s="119" t="s">
        <v>76</v>
      </c>
      <c r="I417" s="208">
        <v>0</v>
      </c>
      <c r="J417" s="119" t="s">
        <v>473</v>
      </c>
      <c r="K417" s="119" t="s">
        <v>470</v>
      </c>
      <c r="L417" s="209">
        <v>0</v>
      </c>
      <c r="M417" s="52">
        <f t="shared" ref="M417:M430" si="4">SUM(L417/2000)</f>
        <v>0</v>
      </c>
      <c r="N417" s="52"/>
      <c r="O417" s="59">
        <f t="shared" ref="O417:O430" si="5">SUM(M417/365)</f>
        <v>0</v>
      </c>
    </row>
    <row r="418" spans="1:15">
      <c r="A418" s="119" t="s">
        <v>482</v>
      </c>
      <c r="B418" s="119" t="s">
        <v>468</v>
      </c>
      <c r="C418" s="119" t="s">
        <v>483</v>
      </c>
      <c r="D418" s="208">
        <v>129395</v>
      </c>
      <c r="E418" s="119" t="s">
        <v>470</v>
      </c>
      <c r="F418" s="119" t="s">
        <v>474</v>
      </c>
      <c r="G418" s="119" t="s">
        <v>475</v>
      </c>
      <c r="H418" s="119" t="s">
        <v>76</v>
      </c>
      <c r="I418" s="208">
        <v>0</v>
      </c>
      <c r="J418" s="119" t="s">
        <v>473</v>
      </c>
      <c r="K418" s="119" t="s">
        <v>470</v>
      </c>
      <c r="L418" s="209">
        <v>0</v>
      </c>
      <c r="M418" s="52">
        <f t="shared" si="4"/>
        <v>0</v>
      </c>
      <c r="N418" s="52"/>
      <c r="O418" s="59">
        <f t="shared" si="5"/>
        <v>0</v>
      </c>
    </row>
    <row r="419" spans="1:15">
      <c r="A419" s="119" t="s">
        <v>484</v>
      </c>
      <c r="B419" s="119" t="s">
        <v>468</v>
      </c>
      <c r="C419" s="119" t="s">
        <v>485</v>
      </c>
      <c r="D419" s="208">
        <v>545823</v>
      </c>
      <c r="E419" s="119" t="s">
        <v>470</v>
      </c>
      <c r="F419" s="119" t="s">
        <v>474</v>
      </c>
      <c r="G419" s="119" t="s">
        <v>475</v>
      </c>
      <c r="H419" s="119" t="s">
        <v>76</v>
      </c>
      <c r="I419" s="208">
        <v>0</v>
      </c>
      <c r="J419" s="119" t="s">
        <v>473</v>
      </c>
      <c r="K419" s="119" t="s">
        <v>470</v>
      </c>
      <c r="L419" s="209">
        <v>0</v>
      </c>
      <c r="M419" s="52">
        <f t="shared" si="4"/>
        <v>0</v>
      </c>
      <c r="N419" s="52"/>
      <c r="O419" s="59">
        <f t="shared" si="5"/>
        <v>0</v>
      </c>
    </row>
    <row r="420" spans="1:15">
      <c r="A420" s="119" t="s">
        <v>486</v>
      </c>
      <c r="B420" s="119" t="s">
        <v>468</v>
      </c>
      <c r="C420" s="119" t="s">
        <v>487</v>
      </c>
      <c r="D420" s="208">
        <v>15527</v>
      </c>
      <c r="E420" s="119" t="s">
        <v>470</v>
      </c>
      <c r="F420" s="119" t="s">
        <v>474</v>
      </c>
      <c r="G420" s="119" t="s">
        <v>475</v>
      </c>
      <c r="H420" s="119" t="s">
        <v>76</v>
      </c>
      <c r="I420" s="208">
        <v>0</v>
      </c>
      <c r="J420" s="119" t="s">
        <v>473</v>
      </c>
      <c r="K420" s="119" t="s">
        <v>470</v>
      </c>
      <c r="L420" s="209">
        <v>0</v>
      </c>
      <c r="M420" s="52">
        <f t="shared" si="4"/>
        <v>0</v>
      </c>
      <c r="N420" s="52"/>
      <c r="O420" s="59">
        <f t="shared" si="5"/>
        <v>0</v>
      </c>
    </row>
    <row r="421" spans="1:15">
      <c r="A421" s="119" t="s">
        <v>488</v>
      </c>
      <c r="B421" s="119" t="s">
        <v>468</v>
      </c>
      <c r="C421" s="119" t="s">
        <v>489</v>
      </c>
      <c r="D421" s="208">
        <v>736457</v>
      </c>
      <c r="E421" s="119" t="s">
        <v>470</v>
      </c>
      <c r="F421" s="119" t="s">
        <v>474</v>
      </c>
      <c r="G421" s="119" t="s">
        <v>475</v>
      </c>
      <c r="H421" s="119" t="s">
        <v>76</v>
      </c>
      <c r="I421" s="208">
        <v>0</v>
      </c>
      <c r="J421" s="119" t="s">
        <v>473</v>
      </c>
      <c r="K421" s="119" t="s">
        <v>470</v>
      </c>
      <c r="L421" s="209">
        <v>0</v>
      </c>
      <c r="M421" s="52">
        <f t="shared" si="4"/>
        <v>0</v>
      </c>
      <c r="N421" s="52"/>
      <c r="O421" s="59">
        <f t="shared" si="5"/>
        <v>0</v>
      </c>
    </row>
    <row r="422" spans="1:15">
      <c r="A422" s="119" t="s">
        <v>490</v>
      </c>
      <c r="B422" s="119" t="s">
        <v>468</v>
      </c>
      <c r="C422" s="119" t="s">
        <v>491</v>
      </c>
      <c r="D422" s="208">
        <v>71735</v>
      </c>
      <c r="E422" s="119" t="s">
        <v>470</v>
      </c>
      <c r="F422" s="119" t="s">
        <v>474</v>
      </c>
      <c r="G422" s="119" t="s">
        <v>475</v>
      </c>
      <c r="H422" s="119" t="s">
        <v>76</v>
      </c>
      <c r="I422" s="208">
        <v>0</v>
      </c>
      <c r="J422" s="119" t="s">
        <v>473</v>
      </c>
      <c r="K422" s="119" t="s">
        <v>470</v>
      </c>
      <c r="L422" s="209">
        <v>0</v>
      </c>
      <c r="M422" s="52">
        <f t="shared" si="4"/>
        <v>0</v>
      </c>
      <c r="N422" s="52"/>
      <c r="O422" s="59">
        <f t="shared" si="5"/>
        <v>0</v>
      </c>
    </row>
    <row r="423" spans="1:15">
      <c r="A423" s="119" t="s">
        <v>492</v>
      </c>
      <c r="B423" s="119" t="s">
        <v>468</v>
      </c>
      <c r="C423" s="119" t="s">
        <v>493</v>
      </c>
      <c r="D423" s="208">
        <v>460840</v>
      </c>
      <c r="E423" s="119" t="s">
        <v>470</v>
      </c>
      <c r="F423" s="119" t="s">
        <v>474</v>
      </c>
      <c r="G423" s="119" t="s">
        <v>475</v>
      </c>
      <c r="H423" s="119" t="s">
        <v>76</v>
      </c>
      <c r="I423" s="208">
        <v>0</v>
      </c>
      <c r="J423" s="119" t="s">
        <v>473</v>
      </c>
      <c r="K423" s="119" t="s">
        <v>470</v>
      </c>
      <c r="L423" s="209">
        <v>0</v>
      </c>
      <c r="M423" s="52">
        <f t="shared" si="4"/>
        <v>0</v>
      </c>
      <c r="N423" s="52"/>
      <c r="O423" s="59">
        <f t="shared" si="5"/>
        <v>0</v>
      </c>
    </row>
    <row r="424" spans="1:15" ht="25.5">
      <c r="A424" s="119" t="s">
        <v>494</v>
      </c>
      <c r="B424" s="119" t="s">
        <v>468</v>
      </c>
      <c r="C424" s="119" t="s">
        <v>495</v>
      </c>
      <c r="D424" s="208">
        <v>154983</v>
      </c>
      <c r="E424" s="119" t="s">
        <v>470</v>
      </c>
      <c r="F424" s="119" t="s">
        <v>474</v>
      </c>
      <c r="G424" s="119" t="s">
        <v>475</v>
      </c>
      <c r="H424" s="119" t="s">
        <v>76</v>
      </c>
      <c r="I424" s="208">
        <v>0</v>
      </c>
      <c r="J424" s="119" t="s">
        <v>473</v>
      </c>
      <c r="K424" s="119" t="s">
        <v>470</v>
      </c>
      <c r="L424" s="209">
        <v>0</v>
      </c>
      <c r="M424" s="52">
        <f t="shared" si="4"/>
        <v>0</v>
      </c>
      <c r="N424" s="52"/>
      <c r="O424" s="59">
        <f t="shared" si="5"/>
        <v>0</v>
      </c>
    </row>
    <row r="425" spans="1:15" ht="25.5">
      <c r="A425" s="119" t="s">
        <v>496</v>
      </c>
      <c r="B425" s="119" t="s">
        <v>468</v>
      </c>
      <c r="C425" s="119" t="s">
        <v>497</v>
      </c>
      <c r="D425" s="208">
        <v>1482478</v>
      </c>
      <c r="E425" s="119" t="s">
        <v>470</v>
      </c>
      <c r="F425" s="119" t="s">
        <v>474</v>
      </c>
      <c r="G425" s="119" t="s">
        <v>475</v>
      </c>
      <c r="H425" s="119" t="s">
        <v>76</v>
      </c>
      <c r="I425" s="208">
        <v>0</v>
      </c>
      <c r="J425" s="119" t="s">
        <v>473</v>
      </c>
      <c r="K425" s="119" t="s">
        <v>470</v>
      </c>
      <c r="L425" s="209">
        <v>0</v>
      </c>
      <c r="M425" s="52">
        <f t="shared" si="4"/>
        <v>0</v>
      </c>
      <c r="N425" s="52"/>
      <c r="O425" s="59">
        <f t="shared" si="5"/>
        <v>0</v>
      </c>
    </row>
    <row r="426" spans="1:15" ht="25.5">
      <c r="A426" s="119" t="s">
        <v>498</v>
      </c>
      <c r="B426" s="119" t="s">
        <v>468</v>
      </c>
      <c r="C426" s="119" t="s">
        <v>499</v>
      </c>
      <c r="D426" s="208">
        <v>11215</v>
      </c>
      <c r="E426" s="119" t="s">
        <v>470</v>
      </c>
      <c r="F426" s="119" t="s">
        <v>474</v>
      </c>
      <c r="G426" s="119" t="s">
        <v>475</v>
      </c>
      <c r="H426" s="119" t="s">
        <v>76</v>
      </c>
      <c r="I426" s="208">
        <v>0</v>
      </c>
      <c r="J426" s="119" t="s">
        <v>473</v>
      </c>
      <c r="K426" s="119" t="s">
        <v>470</v>
      </c>
      <c r="L426" s="209">
        <v>0</v>
      </c>
      <c r="M426" s="52">
        <f t="shared" si="4"/>
        <v>0</v>
      </c>
      <c r="N426" s="52"/>
      <c r="O426" s="59">
        <f t="shared" si="5"/>
        <v>0</v>
      </c>
    </row>
    <row r="427" spans="1:15">
      <c r="A427" s="119" t="s">
        <v>500</v>
      </c>
      <c r="B427" s="119" t="s">
        <v>468</v>
      </c>
      <c r="C427" s="119" t="s">
        <v>501</v>
      </c>
      <c r="D427" s="208">
        <v>659909</v>
      </c>
      <c r="E427" s="119" t="s">
        <v>470</v>
      </c>
      <c r="F427" s="119" t="s">
        <v>474</v>
      </c>
      <c r="G427" s="119" t="s">
        <v>475</v>
      </c>
      <c r="H427" s="119" t="s">
        <v>76</v>
      </c>
      <c r="I427" s="208">
        <v>0</v>
      </c>
      <c r="J427" s="119" t="s">
        <v>473</v>
      </c>
      <c r="K427" s="119" t="s">
        <v>470</v>
      </c>
      <c r="L427" s="209">
        <v>0</v>
      </c>
      <c r="M427" s="52">
        <f t="shared" si="4"/>
        <v>0</v>
      </c>
      <c r="N427" s="52"/>
      <c r="O427" s="59">
        <f t="shared" si="5"/>
        <v>0</v>
      </c>
    </row>
    <row r="428" spans="1:15">
      <c r="A428" s="119" t="s">
        <v>502</v>
      </c>
      <c r="B428" s="119" t="s">
        <v>468</v>
      </c>
      <c r="C428" s="119" t="s">
        <v>503</v>
      </c>
      <c r="D428" s="208">
        <v>492066</v>
      </c>
      <c r="E428" s="119" t="s">
        <v>470</v>
      </c>
      <c r="F428" s="119" t="s">
        <v>474</v>
      </c>
      <c r="G428" s="119" t="s">
        <v>475</v>
      </c>
      <c r="H428" s="119" t="s">
        <v>76</v>
      </c>
      <c r="I428" s="208">
        <v>0</v>
      </c>
      <c r="J428" s="119" t="s">
        <v>473</v>
      </c>
      <c r="K428" s="119" t="s">
        <v>470</v>
      </c>
      <c r="L428" s="209">
        <v>0</v>
      </c>
      <c r="M428" s="52">
        <f t="shared" si="4"/>
        <v>0</v>
      </c>
      <c r="N428" s="52"/>
      <c r="O428" s="59">
        <f t="shared" si="5"/>
        <v>0</v>
      </c>
    </row>
    <row r="429" spans="1:15">
      <c r="A429" s="119" t="s">
        <v>504</v>
      </c>
      <c r="B429" s="119" t="s">
        <v>468</v>
      </c>
      <c r="C429" s="119" t="s">
        <v>505</v>
      </c>
      <c r="D429" s="208">
        <v>732684</v>
      </c>
      <c r="E429" s="119" t="s">
        <v>470</v>
      </c>
      <c r="F429" s="119" t="s">
        <v>474</v>
      </c>
      <c r="G429" s="119" t="s">
        <v>475</v>
      </c>
      <c r="H429" s="119" t="s">
        <v>76</v>
      </c>
      <c r="I429" s="208">
        <v>0</v>
      </c>
      <c r="J429" s="119" t="s">
        <v>473</v>
      </c>
      <c r="K429" s="119" t="s">
        <v>470</v>
      </c>
      <c r="L429" s="209">
        <v>0</v>
      </c>
      <c r="M429" s="52">
        <f t="shared" si="4"/>
        <v>0</v>
      </c>
      <c r="N429" s="52"/>
      <c r="O429" s="59">
        <f t="shared" si="5"/>
        <v>0</v>
      </c>
    </row>
    <row r="430" spans="1:15" ht="25.5">
      <c r="A430" s="119" t="s">
        <v>506</v>
      </c>
      <c r="B430" s="119" t="s">
        <v>468</v>
      </c>
      <c r="C430" s="119" t="s">
        <v>507</v>
      </c>
      <c r="D430" s="208">
        <v>783806</v>
      </c>
      <c r="E430" s="119" t="s">
        <v>470</v>
      </c>
      <c r="F430" s="119" t="s">
        <v>474</v>
      </c>
      <c r="G430" s="119" t="s">
        <v>475</v>
      </c>
      <c r="H430" s="119" t="s">
        <v>76</v>
      </c>
      <c r="I430" s="208">
        <v>0</v>
      </c>
      <c r="J430" s="119" t="s">
        <v>473</v>
      </c>
      <c r="K430" s="119" t="s">
        <v>470</v>
      </c>
      <c r="L430" s="209">
        <v>0</v>
      </c>
      <c r="M430" s="52">
        <f t="shared" si="4"/>
        <v>0</v>
      </c>
      <c r="N430" s="52"/>
      <c r="O430" s="59">
        <f t="shared" si="5"/>
        <v>0</v>
      </c>
    </row>
    <row r="431" spans="1:15">
      <c r="A431" s="119"/>
      <c r="B431" s="119"/>
      <c r="C431" s="119"/>
      <c r="D431" s="208"/>
      <c r="E431" s="119"/>
      <c r="F431" s="119"/>
      <c r="G431" s="119"/>
      <c r="H431" s="119"/>
      <c r="I431" s="208"/>
      <c r="J431" s="119"/>
      <c r="K431" s="119"/>
      <c r="L431" s="209"/>
      <c r="M431" s="52"/>
      <c r="N431" s="52"/>
      <c r="O431" s="59"/>
    </row>
    <row r="432" spans="1:15" ht="25.5">
      <c r="A432" s="119" t="s">
        <v>467</v>
      </c>
      <c r="B432" s="119" t="s">
        <v>468</v>
      </c>
      <c r="C432" s="119" t="s">
        <v>469</v>
      </c>
      <c r="D432" s="208">
        <v>221049</v>
      </c>
      <c r="E432" s="119" t="s">
        <v>470</v>
      </c>
      <c r="F432" s="119" t="s">
        <v>471</v>
      </c>
      <c r="G432" s="119" t="s">
        <v>472</v>
      </c>
      <c r="H432" s="119" t="s">
        <v>1</v>
      </c>
      <c r="I432" s="208">
        <v>1.2056009667653272E-2</v>
      </c>
      <c r="J432" s="119" t="s">
        <v>473</v>
      </c>
      <c r="K432" s="119" t="s">
        <v>470</v>
      </c>
      <c r="L432" s="209">
        <v>2664.9688810250882</v>
      </c>
      <c r="M432" s="52">
        <f>SUM(L432/2000)</f>
        <v>1.332484440512544</v>
      </c>
      <c r="N432" s="52"/>
      <c r="O432" s="59">
        <f>SUM(M432/365)</f>
        <v>3.6506423027740931E-3</v>
      </c>
    </row>
    <row r="433" spans="1:16" ht="25.5">
      <c r="A433" s="119" t="s">
        <v>467</v>
      </c>
      <c r="B433" s="119" t="s">
        <v>468</v>
      </c>
      <c r="C433" s="119" t="s">
        <v>469</v>
      </c>
      <c r="D433" s="208">
        <v>221049</v>
      </c>
      <c r="E433" s="119" t="s">
        <v>470</v>
      </c>
      <c r="F433" s="119" t="s">
        <v>474</v>
      </c>
      <c r="G433" s="119" t="s">
        <v>475</v>
      </c>
      <c r="H433" s="119" t="s">
        <v>1</v>
      </c>
      <c r="I433" s="208">
        <v>4.1480306652561326E-2</v>
      </c>
      <c r="J433" s="119" t="s">
        <v>473</v>
      </c>
      <c r="K433" s="119" t="s">
        <v>470</v>
      </c>
      <c r="L433" s="209">
        <v>9169.1803052420291</v>
      </c>
      <c r="M433" s="52">
        <f>SUM(L433/2000)</f>
        <v>4.5845901526210149</v>
      </c>
      <c r="N433" s="52"/>
      <c r="O433" s="59">
        <f>SUM(M433/365)</f>
        <v>1.2560520966084973E-2</v>
      </c>
    </row>
    <row r="434" spans="1:16" ht="25.5">
      <c r="A434" s="119" t="s">
        <v>467</v>
      </c>
      <c r="B434" s="119" t="s">
        <v>468</v>
      </c>
      <c r="C434" s="119" t="s">
        <v>469</v>
      </c>
      <c r="D434" s="208">
        <v>221049</v>
      </c>
      <c r="E434" s="119" t="s">
        <v>470</v>
      </c>
      <c r="F434" s="119" t="s">
        <v>476</v>
      </c>
      <c r="G434" s="119" t="s">
        <v>477</v>
      </c>
      <c r="H434" s="119" t="s">
        <v>1</v>
      </c>
      <c r="I434" s="208">
        <v>1.2608151096243402E-2</v>
      </c>
      <c r="J434" s="119" t="s">
        <v>473</v>
      </c>
      <c r="K434" s="119" t="s">
        <v>470</v>
      </c>
      <c r="L434" s="209">
        <v>2787.0191916735075</v>
      </c>
      <c r="M434" s="52">
        <f>SUM(L434/2000)</f>
        <v>1.3935095958367538</v>
      </c>
      <c r="N434" s="52"/>
      <c r="O434" s="59">
        <f>SUM(M434/365)</f>
        <v>3.8178345091417912E-3</v>
      </c>
    </row>
    <row r="435" spans="1:16" ht="25.5">
      <c r="A435" s="119" t="s">
        <v>467</v>
      </c>
      <c r="B435" s="119" t="s">
        <v>468</v>
      </c>
      <c r="C435" s="119" t="s">
        <v>469</v>
      </c>
      <c r="D435" s="208">
        <v>221049</v>
      </c>
      <c r="E435" s="119" t="s">
        <v>470</v>
      </c>
      <c r="F435" s="119" t="s">
        <v>478</v>
      </c>
      <c r="G435" s="119" t="s">
        <v>479</v>
      </c>
      <c r="H435" s="119" t="s">
        <v>1</v>
      </c>
      <c r="I435" s="208">
        <v>5.9432814399539317E-3</v>
      </c>
      <c r="J435" s="119" t="s">
        <v>473</v>
      </c>
      <c r="K435" s="119" t="s">
        <v>470</v>
      </c>
      <c r="L435" s="209">
        <v>1313.7564190203766</v>
      </c>
      <c r="M435" s="52">
        <f>SUM(L435/2000)</f>
        <v>0.65687820951018827</v>
      </c>
      <c r="N435" s="52"/>
      <c r="O435" s="59">
        <f>SUM(M435/365)</f>
        <v>1.7996663274251732E-3</v>
      </c>
    </row>
    <row r="436" spans="1:16" ht="25.5">
      <c r="A436" s="119" t="s">
        <v>467</v>
      </c>
      <c r="B436" s="119" t="s">
        <v>468</v>
      </c>
      <c r="C436" s="119" t="s">
        <v>469</v>
      </c>
      <c r="D436" s="208">
        <v>221049</v>
      </c>
      <c r="E436" s="119" t="s">
        <v>470</v>
      </c>
      <c r="F436" s="119" t="s">
        <v>480</v>
      </c>
      <c r="G436" s="119" t="s">
        <v>481</v>
      </c>
      <c r="H436" s="119" t="s">
        <v>1</v>
      </c>
      <c r="I436" s="208">
        <v>2.3156397268629241E-4</v>
      </c>
      <c r="J436" s="119" t="s">
        <v>473</v>
      </c>
      <c r="K436" s="119" t="s">
        <v>470</v>
      </c>
      <c r="L436" s="209">
        <v>51.186984598332252</v>
      </c>
      <c r="M436" s="52">
        <f>SUM(L436/2000)</f>
        <v>2.5593492299166125E-2</v>
      </c>
      <c r="N436" s="52"/>
      <c r="O436" s="59">
        <f>SUM(M436/365)</f>
        <v>7.011915698401678E-5</v>
      </c>
    </row>
    <row r="437" spans="1:16">
      <c r="A437" s="119"/>
      <c r="B437" s="119"/>
      <c r="C437" s="119"/>
      <c r="D437" s="208"/>
      <c r="E437" s="119"/>
      <c r="F437" s="119"/>
      <c r="G437" s="119"/>
      <c r="H437" s="119"/>
      <c r="I437" s="208"/>
      <c r="J437" s="119"/>
      <c r="K437" s="119"/>
      <c r="L437" s="209"/>
      <c r="M437" s="52"/>
      <c r="N437" s="59">
        <f>SUM(M432:M436)</f>
        <v>7.9930558907796678</v>
      </c>
      <c r="O437" s="59"/>
      <c r="P437" s="59">
        <f>SUM(O432:O436)</f>
        <v>2.1898783262410047E-2</v>
      </c>
    </row>
    <row r="438" spans="1:16">
      <c r="A438" s="119" t="s">
        <v>482</v>
      </c>
      <c r="B438" s="119" t="s">
        <v>468</v>
      </c>
      <c r="C438" s="119" t="s">
        <v>483</v>
      </c>
      <c r="D438" s="208">
        <v>129395</v>
      </c>
      <c r="E438" s="119" t="s">
        <v>470</v>
      </c>
      <c r="F438" s="119" t="s">
        <v>471</v>
      </c>
      <c r="G438" s="119" t="s">
        <v>472</v>
      </c>
      <c r="H438" s="119" t="s">
        <v>1</v>
      </c>
      <c r="I438" s="208">
        <v>1.2056009667653272E-2</v>
      </c>
      <c r="J438" s="119" t="s">
        <v>473</v>
      </c>
      <c r="K438" s="119" t="s">
        <v>470</v>
      </c>
      <c r="L438" s="209">
        <v>1559.9873709459953</v>
      </c>
      <c r="M438" s="52">
        <f>SUM(L438/2000)</f>
        <v>0.77999368547299763</v>
      </c>
      <c r="N438" s="52"/>
      <c r="O438" s="59">
        <f>SUM(M438/365)</f>
        <v>2.1369690012958838E-3</v>
      </c>
    </row>
    <row r="439" spans="1:16">
      <c r="A439" s="119" t="s">
        <v>482</v>
      </c>
      <c r="B439" s="119" t="s">
        <v>468</v>
      </c>
      <c r="C439" s="119" t="s">
        <v>483</v>
      </c>
      <c r="D439" s="208">
        <v>129395</v>
      </c>
      <c r="E439" s="119" t="s">
        <v>470</v>
      </c>
      <c r="F439" s="119" t="s">
        <v>474</v>
      </c>
      <c r="G439" s="119" t="s">
        <v>475</v>
      </c>
      <c r="H439" s="119" t="s">
        <v>1</v>
      </c>
      <c r="I439" s="208">
        <v>4.1480306652561326E-2</v>
      </c>
      <c r="J439" s="119" t="s">
        <v>473</v>
      </c>
      <c r="K439" s="119" t="s">
        <v>470</v>
      </c>
      <c r="L439" s="209">
        <v>5367.3442793081731</v>
      </c>
      <c r="M439" s="52">
        <f>SUM(L439/2000)</f>
        <v>2.6836721396540866</v>
      </c>
      <c r="N439" s="52"/>
      <c r="O439" s="59">
        <f>SUM(M439/365)</f>
        <v>7.3525264100111959E-3</v>
      </c>
    </row>
    <row r="440" spans="1:16">
      <c r="A440" s="119" t="s">
        <v>482</v>
      </c>
      <c r="B440" s="119" t="s">
        <v>468</v>
      </c>
      <c r="C440" s="119" t="s">
        <v>483</v>
      </c>
      <c r="D440" s="208">
        <v>129395</v>
      </c>
      <c r="E440" s="119" t="s">
        <v>470</v>
      </c>
      <c r="F440" s="119" t="s">
        <v>476</v>
      </c>
      <c r="G440" s="119" t="s">
        <v>477</v>
      </c>
      <c r="H440" s="119" t="s">
        <v>1</v>
      </c>
      <c r="I440" s="208">
        <v>1.2608151096243402E-2</v>
      </c>
      <c r="J440" s="119" t="s">
        <v>473</v>
      </c>
      <c r="K440" s="119" t="s">
        <v>470</v>
      </c>
      <c r="L440" s="209">
        <v>1631.431711098415</v>
      </c>
      <c r="M440" s="52">
        <f>SUM(L440/2000)</f>
        <v>0.81571585554920756</v>
      </c>
      <c r="N440" s="52"/>
      <c r="O440" s="59">
        <f>SUM(M440/365)</f>
        <v>2.234837960408788E-3</v>
      </c>
    </row>
    <row r="441" spans="1:16">
      <c r="A441" s="119" t="s">
        <v>482</v>
      </c>
      <c r="B441" s="119" t="s">
        <v>468</v>
      </c>
      <c r="C441" s="119" t="s">
        <v>483</v>
      </c>
      <c r="D441" s="208">
        <v>129395</v>
      </c>
      <c r="E441" s="119" t="s">
        <v>470</v>
      </c>
      <c r="F441" s="119" t="s">
        <v>478</v>
      </c>
      <c r="G441" s="119" t="s">
        <v>479</v>
      </c>
      <c r="H441" s="119" t="s">
        <v>1</v>
      </c>
      <c r="I441" s="208">
        <v>5.9432814399539317E-3</v>
      </c>
      <c r="J441" s="119" t="s">
        <v>473</v>
      </c>
      <c r="K441" s="119" t="s">
        <v>470</v>
      </c>
      <c r="L441" s="209">
        <v>769.03090192283901</v>
      </c>
      <c r="M441" s="52">
        <f>SUM(L441/2000)</f>
        <v>0.38451545096141948</v>
      </c>
      <c r="N441" s="52"/>
      <c r="O441" s="59">
        <f>SUM(M441/365)</f>
        <v>1.0534669889353959E-3</v>
      </c>
    </row>
    <row r="442" spans="1:16">
      <c r="A442" s="119" t="s">
        <v>482</v>
      </c>
      <c r="B442" s="119" t="s">
        <v>468</v>
      </c>
      <c r="C442" s="119" t="s">
        <v>483</v>
      </c>
      <c r="D442" s="208">
        <v>129395</v>
      </c>
      <c r="E442" s="119" t="s">
        <v>470</v>
      </c>
      <c r="F442" s="119" t="s">
        <v>480</v>
      </c>
      <c r="G442" s="119" t="s">
        <v>481</v>
      </c>
      <c r="H442" s="119" t="s">
        <v>1</v>
      </c>
      <c r="I442" s="208">
        <v>2.3156397268629241E-4</v>
      </c>
      <c r="J442" s="119" t="s">
        <v>473</v>
      </c>
      <c r="K442" s="119" t="s">
        <v>470</v>
      </c>
      <c r="L442" s="209">
        <v>29.963220245742807</v>
      </c>
      <c r="M442" s="52">
        <f>SUM(L442/2000)</f>
        <v>1.4981610122871403E-2</v>
      </c>
      <c r="N442" s="52"/>
      <c r="O442" s="59">
        <f>SUM(M442/365)</f>
        <v>4.1045507185949053E-5</v>
      </c>
    </row>
    <row r="443" spans="1:16">
      <c r="A443" s="119"/>
      <c r="B443" s="119"/>
      <c r="C443" s="119"/>
      <c r="D443" s="208"/>
      <c r="E443" s="119"/>
      <c r="F443" s="119"/>
      <c r="G443" s="119"/>
      <c r="H443" s="119"/>
      <c r="I443" s="208"/>
      <c r="J443" s="119"/>
      <c r="K443" s="119"/>
      <c r="L443" s="209"/>
      <c r="M443" s="52"/>
      <c r="N443" s="59">
        <f>SUM(M438:M442)</f>
        <v>4.6788787417605828</v>
      </c>
      <c r="O443" s="59"/>
      <c r="P443" s="59">
        <f>SUM(O438:O442)</f>
        <v>1.2818845867837212E-2</v>
      </c>
    </row>
    <row r="444" spans="1:16">
      <c r="A444" s="119" t="s">
        <v>484</v>
      </c>
      <c r="B444" s="119" t="s">
        <v>468</v>
      </c>
      <c r="C444" s="119" t="s">
        <v>485</v>
      </c>
      <c r="D444" s="208">
        <v>545823</v>
      </c>
      <c r="E444" s="119" t="s">
        <v>470</v>
      </c>
      <c r="F444" s="119" t="s">
        <v>471</v>
      </c>
      <c r="G444" s="119" t="s">
        <v>472</v>
      </c>
      <c r="H444" s="119" t="s">
        <v>1</v>
      </c>
      <c r="I444" s="208">
        <v>1.2056009667653272E-2</v>
      </c>
      <c r="J444" s="119" t="s">
        <v>473</v>
      </c>
      <c r="K444" s="119" t="s">
        <v>470</v>
      </c>
      <c r="L444" s="209">
        <v>6580.4473648275125</v>
      </c>
      <c r="M444" s="52">
        <f>SUM(L444/2000)</f>
        <v>3.2902236824137563</v>
      </c>
      <c r="N444" s="52"/>
      <c r="O444" s="59">
        <f>SUM(M444/365)</f>
        <v>9.0143114586678248E-3</v>
      </c>
    </row>
    <row r="445" spans="1:16">
      <c r="A445" s="119" t="s">
        <v>484</v>
      </c>
      <c r="B445" s="119" t="s">
        <v>468</v>
      </c>
      <c r="C445" s="119" t="s">
        <v>485</v>
      </c>
      <c r="D445" s="208">
        <v>545823</v>
      </c>
      <c r="E445" s="119" t="s">
        <v>470</v>
      </c>
      <c r="F445" s="119" t="s">
        <v>474</v>
      </c>
      <c r="G445" s="119" t="s">
        <v>475</v>
      </c>
      <c r="H445" s="119" t="s">
        <v>1</v>
      </c>
      <c r="I445" s="208">
        <v>4.1480306652561326E-2</v>
      </c>
      <c r="J445" s="119" t="s">
        <v>473</v>
      </c>
      <c r="K445" s="119" t="s">
        <v>470</v>
      </c>
      <c r="L445" s="209">
        <v>22640.905418020982</v>
      </c>
      <c r="M445" s="52">
        <f>SUM(L445/2000)</f>
        <v>11.320452709010491</v>
      </c>
      <c r="N445" s="52"/>
      <c r="O445" s="59">
        <f>SUM(M445/365)</f>
        <v>3.1014938928795865E-2</v>
      </c>
    </row>
    <row r="446" spans="1:16">
      <c r="A446" s="119" t="s">
        <v>484</v>
      </c>
      <c r="B446" s="119" t="s">
        <v>468</v>
      </c>
      <c r="C446" s="119" t="s">
        <v>485</v>
      </c>
      <c r="D446" s="208">
        <v>545823</v>
      </c>
      <c r="E446" s="119" t="s">
        <v>470</v>
      </c>
      <c r="F446" s="119" t="s">
        <v>476</v>
      </c>
      <c r="G446" s="119" t="s">
        <v>477</v>
      </c>
      <c r="H446" s="119" t="s">
        <v>1</v>
      </c>
      <c r="I446" s="208">
        <v>1.2608151096243402E-2</v>
      </c>
      <c r="J446" s="119" t="s">
        <v>473</v>
      </c>
      <c r="K446" s="119" t="s">
        <v>470</v>
      </c>
      <c r="L446" s="209">
        <v>6881.8188558048623</v>
      </c>
      <c r="M446" s="52">
        <f>SUM(L446/2000)</f>
        <v>3.4409094279024313</v>
      </c>
      <c r="N446" s="52"/>
      <c r="O446" s="59">
        <f>SUM(M446/365)</f>
        <v>9.4271491175409068E-3</v>
      </c>
    </row>
    <row r="447" spans="1:16">
      <c r="A447" s="119" t="s">
        <v>484</v>
      </c>
      <c r="B447" s="119" t="s">
        <v>468</v>
      </c>
      <c r="C447" s="119" t="s">
        <v>485</v>
      </c>
      <c r="D447" s="208">
        <v>545823</v>
      </c>
      <c r="E447" s="119" t="s">
        <v>470</v>
      </c>
      <c r="F447" s="119" t="s">
        <v>478</v>
      </c>
      <c r="G447" s="119" t="s">
        <v>479</v>
      </c>
      <c r="H447" s="119" t="s">
        <v>1</v>
      </c>
      <c r="I447" s="208">
        <v>5.9432814399539317E-3</v>
      </c>
      <c r="J447" s="119" t="s">
        <v>473</v>
      </c>
      <c r="K447" s="119" t="s">
        <v>470</v>
      </c>
      <c r="L447" s="209">
        <v>3243.979705399975</v>
      </c>
      <c r="M447" s="52">
        <f>SUM(L447/2000)</f>
        <v>1.6219898526999876</v>
      </c>
      <c r="N447" s="52"/>
      <c r="O447" s="59">
        <f>SUM(M447/365)</f>
        <v>4.4438078156164044E-3</v>
      </c>
    </row>
    <row r="448" spans="1:16">
      <c r="A448" s="119" t="s">
        <v>484</v>
      </c>
      <c r="B448" s="119" t="s">
        <v>468</v>
      </c>
      <c r="C448" s="119" t="s">
        <v>485</v>
      </c>
      <c r="D448" s="208">
        <v>545823</v>
      </c>
      <c r="E448" s="119" t="s">
        <v>470</v>
      </c>
      <c r="F448" s="119" t="s">
        <v>480</v>
      </c>
      <c r="G448" s="119" t="s">
        <v>481</v>
      </c>
      <c r="H448" s="119" t="s">
        <v>1</v>
      </c>
      <c r="I448" s="208">
        <v>2.3156397268629241E-4</v>
      </c>
      <c r="J448" s="119" t="s">
        <v>473</v>
      </c>
      <c r="K448" s="119" t="s">
        <v>470</v>
      </c>
      <c r="L448" s="209">
        <v>126.39294226355018</v>
      </c>
      <c r="M448" s="52">
        <f>SUM(L448/2000)</f>
        <v>6.3196471131775095E-2</v>
      </c>
      <c r="N448" s="52"/>
      <c r="O448" s="59">
        <f>SUM(M448/365)</f>
        <v>1.7314101679938383E-4</v>
      </c>
    </row>
    <row r="449" spans="1:16">
      <c r="A449" s="119"/>
      <c r="B449" s="119"/>
      <c r="C449" s="119"/>
      <c r="D449" s="208"/>
      <c r="E449" s="119"/>
      <c r="F449" s="119"/>
      <c r="G449" s="119"/>
      <c r="H449" s="119"/>
      <c r="I449" s="208"/>
      <c r="J449" s="119"/>
      <c r="K449" s="119"/>
      <c r="L449" s="209"/>
      <c r="M449" s="52"/>
      <c r="N449" s="59">
        <f>SUM(M444:M448)</f>
        <v>19.73677214315844</v>
      </c>
      <c r="O449" s="59"/>
      <c r="P449" s="59">
        <f>SUM(O444:O448)</f>
        <v>5.4073348337420377E-2</v>
      </c>
    </row>
    <row r="450" spans="1:16">
      <c r="A450" s="119" t="s">
        <v>486</v>
      </c>
      <c r="B450" s="119" t="s">
        <v>468</v>
      </c>
      <c r="C450" s="119" t="s">
        <v>487</v>
      </c>
      <c r="D450" s="208">
        <v>15527</v>
      </c>
      <c r="E450" s="119" t="s">
        <v>470</v>
      </c>
      <c r="F450" s="119" t="s">
        <v>471</v>
      </c>
      <c r="G450" s="119" t="s">
        <v>472</v>
      </c>
      <c r="H450" s="119" t="s">
        <v>1</v>
      </c>
      <c r="I450" s="208">
        <v>1.2056009667653272E-2</v>
      </c>
      <c r="J450" s="119" t="s">
        <v>473</v>
      </c>
      <c r="K450" s="119" t="s">
        <v>470</v>
      </c>
      <c r="L450" s="209">
        <v>187.19366210965237</v>
      </c>
      <c r="M450" s="52">
        <f>SUM(L450/2000)</f>
        <v>9.3596831054826177E-2</v>
      </c>
      <c r="N450" s="52"/>
      <c r="O450" s="59">
        <f>SUM(M450/365)</f>
        <v>2.5642967412281147E-4</v>
      </c>
    </row>
    <row r="451" spans="1:16">
      <c r="A451" s="119" t="s">
        <v>486</v>
      </c>
      <c r="B451" s="119" t="s">
        <v>468</v>
      </c>
      <c r="C451" s="119" t="s">
        <v>487</v>
      </c>
      <c r="D451" s="208">
        <v>15527</v>
      </c>
      <c r="E451" s="119" t="s">
        <v>470</v>
      </c>
      <c r="F451" s="119" t="s">
        <v>474</v>
      </c>
      <c r="G451" s="119" t="s">
        <v>475</v>
      </c>
      <c r="H451" s="119" t="s">
        <v>1</v>
      </c>
      <c r="I451" s="208">
        <v>4.1480306652561326E-2</v>
      </c>
      <c r="J451" s="119" t="s">
        <v>473</v>
      </c>
      <c r="K451" s="119" t="s">
        <v>470</v>
      </c>
      <c r="L451" s="209">
        <v>644.06472139431969</v>
      </c>
      <c r="M451" s="52">
        <f>SUM(L451/2000)</f>
        <v>0.32203236069715985</v>
      </c>
      <c r="N451" s="52"/>
      <c r="O451" s="59">
        <f>SUM(M451/365)</f>
        <v>8.8228044026619139E-4</v>
      </c>
    </row>
    <row r="452" spans="1:16">
      <c r="A452" s="119" t="s">
        <v>486</v>
      </c>
      <c r="B452" s="119" t="s">
        <v>468</v>
      </c>
      <c r="C452" s="119" t="s">
        <v>487</v>
      </c>
      <c r="D452" s="208">
        <v>15527</v>
      </c>
      <c r="E452" s="119" t="s">
        <v>470</v>
      </c>
      <c r="F452" s="119" t="s">
        <v>476</v>
      </c>
      <c r="G452" s="119" t="s">
        <v>477</v>
      </c>
      <c r="H452" s="119" t="s">
        <v>1</v>
      </c>
      <c r="I452" s="208">
        <v>1.2608151096243402E-2</v>
      </c>
      <c r="J452" s="119" t="s">
        <v>473</v>
      </c>
      <c r="K452" s="119" t="s">
        <v>470</v>
      </c>
      <c r="L452" s="209">
        <v>195.76676207137129</v>
      </c>
      <c r="M452" s="52">
        <f>SUM(L452/2000)</f>
        <v>9.788338103568564E-2</v>
      </c>
      <c r="N452" s="52"/>
      <c r="O452" s="59">
        <f>SUM(M452/365)</f>
        <v>2.6817364667311135E-4</v>
      </c>
    </row>
    <row r="453" spans="1:16">
      <c r="A453" s="119" t="s">
        <v>486</v>
      </c>
      <c r="B453" s="119" t="s">
        <v>468</v>
      </c>
      <c r="C453" s="119" t="s">
        <v>487</v>
      </c>
      <c r="D453" s="208">
        <v>15527</v>
      </c>
      <c r="E453" s="119" t="s">
        <v>470</v>
      </c>
      <c r="F453" s="119" t="s">
        <v>478</v>
      </c>
      <c r="G453" s="119" t="s">
        <v>479</v>
      </c>
      <c r="H453" s="119" t="s">
        <v>1</v>
      </c>
      <c r="I453" s="208">
        <v>5.9432814399539317E-3</v>
      </c>
      <c r="J453" s="119" t="s">
        <v>473</v>
      </c>
      <c r="K453" s="119" t="s">
        <v>470</v>
      </c>
      <c r="L453" s="209">
        <v>92.281330918164699</v>
      </c>
      <c r="M453" s="52">
        <f>SUM(L453/2000)</f>
        <v>4.6140665459082346E-2</v>
      </c>
      <c r="N453" s="52"/>
      <c r="O453" s="59">
        <f>SUM(M453/365)</f>
        <v>1.2641278207967767E-4</v>
      </c>
    </row>
    <row r="454" spans="1:16">
      <c r="A454" s="119" t="s">
        <v>486</v>
      </c>
      <c r="B454" s="119" t="s">
        <v>468</v>
      </c>
      <c r="C454" s="119" t="s">
        <v>487</v>
      </c>
      <c r="D454" s="208">
        <v>15527</v>
      </c>
      <c r="E454" s="119" t="s">
        <v>470</v>
      </c>
      <c r="F454" s="119" t="s">
        <v>480</v>
      </c>
      <c r="G454" s="119" t="s">
        <v>481</v>
      </c>
      <c r="H454" s="119" t="s">
        <v>1</v>
      </c>
      <c r="I454" s="208">
        <v>2.3156397268629241E-4</v>
      </c>
      <c r="J454" s="119" t="s">
        <v>473</v>
      </c>
      <c r="K454" s="119" t="s">
        <v>470</v>
      </c>
      <c r="L454" s="209">
        <v>3.5954938039000623</v>
      </c>
      <c r="M454" s="52">
        <f>SUM(L454/2000)</f>
        <v>1.7977469019500312E-3</v>
      </c>
      <c r="N454" s="52"/>
      <c r="O454" s="59">
        <f>SUM(M454/365)</f>
        <v>4.9253339779452913E-6</v>
      </c>
    </row>
    <row r="455" spans="1:16">
      <c r="A455" s="119"/>
      <c r="B455" s="119"/>
      <c r="C455" s="119"/>
      <c r="D455" s="208"/>
      <c r="E455" s="119"/>
      <c r="F455" s="119"/>
      <c r="G455" s="119"/>
      <c r="H455" s="119"/>
      <c r="I455" s="208"/>
      <c r="J455" s="119"/>
      <c r="K455" s="119"/>
      <c r="L455" s="209"/>
      <c r="M455" s="52"/>
      <c r="N455" s="59">
        <f>SUM(M450:M454)</f>
        <v>0.56145098514870406</v>
      </c>
      <c r="O455" s="59"/>
      <c r="P455" s="59">
        <f>SUM(O450:O454)</f>
        <v>1.5382218771197373E-3</v>
      </c>
    </row>
    <row r="456" spans="1:16">
      <c r="A456" s="119" t="s">
        <v>488</v>
      </c>
      <c r="B456" s="119" t="s">
        <v>468</v>
      </c>
      <c r="C456" s="119" t="s">
        <v>489</v>
      </c>
      <c r="D456" s="208">
        <v>736457</v>
      </c>
      <c r="E456" s="119" t="s">
        <v>470</v>
      </c>
      <c r="F456" s="119" t="s">
        <v>471</v>
      </c>
      <c r="G456" s="119" t="s">
        <v>472</v>
      </c>
      <c r="H456" s="119" t="s">
        <v>1</v>
      </c>
      <c r="I456" s="208">
        <v>1.2056009667653272E-2</v>
      </c>
      <c r="J456" s="119" t="s">
        <v>473</v>
      </c>
      <c r="K456" s="119" t="s">
        <v>470</v>
      </c>
      <c r="L456" s="209">
        <v>8878.732711810926</v>
      </c>
      <c r="M456" s="52">
        <f>SUM(L456/2000)</f>
        <v>4.439366355905463</v>
      </c>
      <c r="N456" s="52"/>
      <c r="O456" s="59">
        <f>SUM(M456/365)</f>
        <v>1.2162647550425926E-2</v>
      </c>
    </row>
    <row r="457" spans="1:16">
      <c r="A457" s="119" t="s">
        <v>488</v>
      </c>
      <c r="B457" s="119" t="s">
        <v>468</v>
      </c>
      <c r="C457" s="119" t="s">
        <v>489</v>
      </c>
      <c r="D457" s="208">
        <v>736457</v>
      </c>
      <c r="E457" s="119" t="s">
        <v>470</v>
      </c>
      <c r="F457" s="119" t="s">
        <v>474</v>
      </c>
      <c r="G457" s="119" t="s">
        <v>475</v>
      </c>
      <c r="H457" s="119" t="s">
        <v>1</v>
      </c>
      <c r="I457" s="208">
        <v>4.1480306652561326E-2</v>
      </c>
      <c r="J457" s="119" t="s">
        <v>473</v>
      </c>
      <c r="K457" s="119" t="s">
        <v>470</v>
      </c>
      <c r="L457" s="209">
        <v>30548.462196425357</v>
      </c>
      <c r="M457" s="52">
        <f>SUM(L457/2000)</f>
        <v>15.274231098212677</v>
      </c>
      <c r="N457" s="52"/>
      <c r="O457" s="59">
        <f>SUM(M457/365)</f>
        <v>4.1847208488253913E-2</v>
      </c>
    </row>
    <row r="458" spans="1:16">
      <c r="A458" s="119" t="s">
        <v>488</v>
      </c>
      <c r="B458" s="119" t="s">
        <v>468</v>
      </c>
      <c r="C458" s="119" t="s">
        <v>489</v>
      </c>
      <c r="D458" s="208">
        <v>736457</v>
      </c>
      <c r="E458" s="119" t="s">
        <v>470</v>
      </c>
      <c r="F458" s="119" t="s">
        <v>476</v>
      </c>
      <c r="G458" s="119" t="s">
        <v>477</v>
      </c>
      <c r="H458" s="119" t="s">
        <v>1</v>
      </c>
      <c r="I458" s="208">
        <v>1.2608151096243402E-2</v>
      </c>
      <c r="J458" s="119" t="s">
        <v>473</v>
      </c>
      <c r="K458" s="119" t="s">
        <v>470</v>
      </c>
      <c r="L458" s="209">
        <v>9285.3611318861276</v>
      </c>
      <c r="M458" s="52">
        <f>SUM(L458/2000)</f>
        <v>4.6426805659430634</v>
      </c>
      <c r="N458" s="52"/>
      <c r="O458" s="59">
        <f>SUM(M458/365)</f>
        <v>1.2719672783405652E-2</v>
      </c>
    </row>
    <row r="459" spans="1:16">
      <c r="A459" s="119" t="s">
        <v>488</v>
      </c>
      <c r="B459" s="119" t="s">
        <v>468</v>
      </c>
      <c r="C459" s="119" t="s">
        <v>489</v>
      </c>
      <c r="D459" s="208">
        <v>736457</v>
      </c>
      <c r="E459" s="119" t="s">
        <v>470</v>
      </c>
      <c r="F459" s="119" t="s">
        <v>478</v>
      </c>
      <c r="G459" s="119" t="s">
        <v>479</v>
      </c>
      <c r="H459" s="119" t="s">
        <v>1</v>
      </c>
      <c r="I459" s="208">
        <v>5.9432814399539317E-3</v>
      </c>
      <c r="J459" s="119" t="s">
        <v>473</v>
      </c>
      <c r="K459" s="119" t="s">
        <v>470</v>
      </c>
      <c r="L459" s="209">
        <v>4376.9712194241529</v>
      </c>
      <c r="M459" s="52">
        <f>SUM(L459/2000)</f>
        <v>2.1884856097120764</v>
      </c>
      <c r="N459" s="52"/>
      <c r="O459" s="59">
        <f>SUM(M459/365)</f>
        <v>5.9958509855125384E-3</v>
      </c>
    </row>
    <row r="460" spans="1:16">
      <c r="A460" s="119" t="s">
        <v>488</v>
      </c>
      <c r="B460" s="119" t="s">
        <v>468</v>
      </c>
      <c r="C460" s="119" t="s">
        <v>489</v>
      </c>
      <c r="D460" s="208">
        <v>736457</v>
      </c>
      <c r="E460" s="119" t="s">
        <v>470</v>
      </c>
      <c r="F460" s="119" t="s">
        <v>480</v>
      </c>
      <c r="G460" s="119" t="s">
        <v>481</v>
      </c>
      <c r="H460" s="119" t="s">
        <v>1</v>
      </c>
      <c r="I460" s="208">
        <v>2.3156397268629241E-4</v>
      </c>
      <c r="J460" s="119" t="s">
        <v>473</v>
      </c>
      <c r="K460" s="119" t="s">
        <v>470</v>
      </c>
      <c r="L460" s="209">
        <v>170.53690863262884</v>
      </c>
      <c r="M460" s="52">
        <f>SUM(L460/2000)</f>
        <v>8.5268454316314413E-2</v>
      </c>
      <c r="N460" s="52"/>
      <c r="O460" s="59">
        <f>SUM(M460/365)</f>
        <v>2.3361220360634087E-4</v>
      </c>
    </row>
    <row r="461" spans="1:16">
      <c r="A461" s="119"/>
      <c r="B461" s="119"/>
      <c r="C461" s="119"/>
      <c r="D461" s="208"/>
      <c r="E461" s="119"/>
      <c r="F461" s="119"/>
      <c r="G461" s="119"/>
      <c r="H461" s="119"/>
      <c r="I461" s="208"/>
      <c r="J461" s="119"/>
      <c r="K461" s="119"/>
      <c r="L461" s="209"/>
      <c r="M461" s="52"/>
      <c r="N461" s="59">
        <f>SUM(M456:M460)</f>
        <v>26.630032084089592</v>
      </c>
      <c r="O461" s="59"/>
      <c r="P461" s="59">
        <f>SUM(O456:O460)</f>
        <v>7.2958992011204371E-2</v>
      </c>
    </row>
    <row r="462" spans="1:16">
      <c r="A462" s="119" t="s">
        <v>490</v>
      </c>
      <c r="B462" s="119" t="s">
        <v>468</v>
      </c>
      <c r="C462" s="119" t="s">
        <v>491</v>
      </c>
      <c r="D462" s="208">
        <v>71735</v>
      </c>
      <c r="E462" s="119" t="s">
        <v>470</v>
      </c>
      <c r="F462" s="119" t="s">
        <v>471</v>
      </c>
      <c r="G462" s="119" t="s">
        <v>472</v>
      </c>
      <c r="H462" s="119" t="s">
        <v>1</v>
      </c>
      <c r="I462" s="208">
        <v>1.2056009667653272E-2</v>
      </c>
      <c r="J462" s="119" t="s">
        <v>473</v>
      </c>
      <c r="K462" s="119" t="s">
        <v>470</v>
      </c>
      <c r="L462" s="209">
        <v>864.8378535091075</v>
      </c>
      <c r="M462" s="52">
        <f>SUM(L462/2000)</f>
        <v>0.43241892675455373</v>
      </c>
      <c r="N462" s="52"/>
      <c r="O462" s="59">
        <f>SUM(M462/365)</f>
        <v>1.1847093883686404E-3</v>
      </c>
    </row>
    <row r="463" spans="1:16">
      <c r="A463" s="119" t="s">
        <v>490</v>
      </c>
      <c r="B463" s="119" t="s">
        <v>468</v>
      </c>
      <c r="C463" s="119" t="s">
        <v>491</v>
      </c>
      <c r="D463" s="208">
        <v>71735</v>
      </c>
      <c r="E463" s="119" t="s">
        <v>470</v>
      </c>
      <c r="F463" s="119" t="s">
        <v>474</v>
      </c>
      <c r="G463" s="119" t="s">
        <v>475</v>
      </c>
      <c r="H463" s="119" t="s">
        <v>1</v>
      </c>
      <c r="I463" s="208">
        <v>4.1480306652561326E-2</v>
      </c>
      <c r="J463" s="119" t="s">
        <v>473</v>
      </c>
      <c r="K463" s="119" t="s">
        <v>470</v>
      </c>
      <c r="L463" s="209">
        <v>2975.5897977214868</v>
      </c>
      <c r="M463" s="52">
        <f>SUM(L463/2000)</f>
        <v>1.4877948988607435</v>
      </c>
      <c r="N463" s="52"/>
      <c r="O463" s="59">
        <f>SUM(M463/365)</f>
        <v>4.0761504078376531E-3</v>
      </c>
    </row>
    <row r="464" spans="1:16">
      <c r="A464" s="119" t="s">
        <v>490</v>
      </c>
      <c r="B464" s="119" t="s">
        <v>468</v>
      </c>
      <c r="C464" s="119" t="s">
        <v>491</v>
      </c>
      <c r="D464" s="208">
        <v>71735</v>
      </c>
      <c r="E464" s="119" t="s">
        <v>470</v>
      </c>
      <c r="F464" s="119" t="s">
        <v>476</v>
      </c>
      <c r="G464" s="119" t="s">
        <v>477</v>
      </c>
      <c r="H464" s="119" t="s">
        <v>1</v>
      </c>
      <c r="I464" s="208">
        <v>1.2608151096243402E-2</v>
      </c>
      <c r="J464" s="119" t="s">
        <v>473</v>
      </c>
      <c r="K464" s="119" t="s">
        <v>470</v>
      </c>
      <c r="L464" s="209">
        <v>904.44571888902044</v>
      </c>
      <c r="M464" s="52">
        <f>SUM(L464/2000)</f>
        <v>0.45222285944451024</v>
      </c>
      <c r="N464" s="52"/>
      <c r="O464" s="59">
        <f>SUM(M464/365)</f>
        <v>1.2389667382041376E-3</v>
      </c>
    </row>
    <row r="465" spans="1:16">
      <c r="A465" s="119" t="s">
        <v>490</v>
      </c>
      <c r="B465" s="119" t="s">
        <v>468</v>
      </c>
      <c r="C465" s="119" t="s">
        <v>491</v>
      </c>
      <c r="D465" s="208">
        <v>71735</v>
      </c>
      <c r="E465" s="119" t="s">
        <v>470</v>
      </c>
      <c r="F465" s="119" t="s">
        <v>478</v>
      </c>
      <c r="G465" s="119" t="s">
        <v>479</v>
      </c>
      <c r="H465" s="119" t="s">
        <v>1</v>
      </c>
      <c r="I465" s="208">
        <v>5.9432814399539317E-3</v>
      </c>
      <c r="J465" s="119" t="s">
        <v>473</v>
      </c>
      <c r="K465" s="119" t="s">
        <v>470</v>
      </c>
      <c r="L465" s="209">
        <v>426.34129409509529</v>
      </c>
      <c r="M465" s="52">
        <f>SUM(L465/2000)</f>
        <v>0.21317064704754765</v>
      </c>
      <c r="N465" s="52"/>
      <c r="O465" s="59">
        <f>SUM(M465/365)</f>
        <v>5.8402916999328119E-4</v>
      </c>
    </row>
    <row r="466" spans="1:16">
      <c r="A466" s="119" t="s">
        <v>490</v>
      </c>
      <c r="B466" s="119" t="s">
        <v>468</v>
      </c>
      <c r="C466" s="119" t="s">
        <v>491</v>
      </c>
      <c r="D466" s="208">
        <v>71735</v>
      </c>
      <c r="E466" s="119" t="s">
        <v>470</v>
      </c>
      <c r="F466" s="119" t="s">
        <v>480</v>
      </c>
      <c r="G466" s="119" t="s">
        <v>481</v>
      </c>
      <c r="H466" s="119" t="s">
        <v>1</v>
      </c>
      <c r="I466" s="208">
        <v>2.3156397268629241E-4</v>
      </c>
      <c r="J466" s="119" t="s">
        <v>473</v>
      </c>
      <c r="K466" s="119" t="s">
        <v>470</v>
      </c>
      <c r="L466" s="209">
        <v>16.611241580651186</v>
      </c>
      <c r="M466" s="52">
        <f>SUM(L466/2000)</f>
        <v>8.3056207903255928E-3</v>
      </c>
      <c r="N466" s="52"/>
      <c r="O466" s="59">
        <f>SUM(M466/365)</f>
        <v>2.275512545294683E-5</v>
      </c>
    </row>
    <row r="467" spans="1:16">
      <c r="A467" s="119"/>
      <c r="B467" s="119"/>
      <c r="C467" s="119"/>
      <c r="D467" s="208"/>
      <c r="E467" s="119"/>
      <c r="F467" s="119"/>
      <c r="G467" s="119"/>
      <c r="H467" s="119"/>
      <c r="I467" s="208"/>
      <c r="J467" s="119"/>
      <c r="K467" s="119"/>
      <c r="L467" s="209"/>
      <c r="M467" s="52"/>
      <c r="N467" s="59">
        <f>SUM(M462:M466)</f>
        <v>2.5939129528976808</v>
      </c>
      <c r="O467" s="59"/>
      <c r="P467" s="59">
        <f>SUM(O462:O466)</f>
        <v>7.1066108298566593E-3</v>
      </c>
    </row>
    <row r="468" spans="1:16">
      <c r="A468" s="119" t="s">
        <v>492</v>
      </c>
      <c r="B468" s="119" t="s">
        <v>468</v>
      </c>
      <c r="C468" s="119" t="s">
        <v>493</v>
      </c>
      <c r="D468" s="208">
        <v>460840</v>
      </c>
      <c r="E468" s="119" t="s">
        <v>470</v>
      </c>
      <c r="F468" s="119" t="s">
        <v>471</v>
      </c>
      <c r="G468" s="119" t="s">
        <v>472</v>
      </c>
      <c r="H468" s="119" t="s">
        <v>1</v>
      </c>
      <c r="I468" s="208">
        <v>1.2056009667653272E-2</v>
      </c>
      <c r="J468" s="119" t="s">
        <v>473</v>
      </c>
      <c r="K468" s="119" t="s">
        <v>470</v>
      </c>
      <c r="L468" s="209">
        <v>5555.8914952413343</v>
      </c>
      <c r="M468" s="52">
        <f>SUM(L468/2000)</f>
        <v>2.777945747620667</v>
      </c>
      <c r="N468" s="52"/>
      <c r="O468" s="59">
        <f>SUM(M468/365)</f>
        <v>7.6108102674538819E-3</v>
      </c>
    </row>
    <row r="469" spans="1:16">
      <c r="A469" s="119" t="s">
        <v>492</v>
      </c>
      <c r="B469" s="119" t="s">
        <v>468</v>
      </c>
      <c r="C469" s="119" t="s">
        <v>493</v>
      </c>
      <c r="D469" s="208">
        <v>460840</v>
      </c>
      <c r="E469" s="119" t="s">
        <v>470</v>
      </c>
      <c r="F469" s="119" t="s">
        <v>474</v>
      </c>
      <c r="G469" s="119" t="s">
        <v>475</v>
      </c>
      <c r="H469" s="119" t="s">
        <v>1</v>
      </c>
      <c r="I469" s="208">
        <v>4.1480306652561326E-2</v>
      </c>
      <c r="J469" s="119" t="s">
        <v>473</v>
      </c>
      <c r="K469" s="119" t="s">
        <v>470</v>
      </c>
      <c r="L469" s="209">
        <v>19115.784517766362</v>
      </c>
      <c r="M469" s="52">
        <f>SUM(L469/2000)</f>
        <v>9.5578922588831805</v>
      </c>
      <c r="N469" s="52"/>
      <c r="O469" s="59">
        <f>SUM(M469/365)</f>
        <v>2.6186006188721044E-2</v>
      </c>
    </row>
    <row r="470" spans="1:16">
      <c r="A470" s="119" t="s">
        <v>492</v>
      </c>
      <c r="B470" s="119" t="s">
        <v>468</v>
      </c>
      <c r="C470" s="119" t="s">
        <v>493</v>
      </c>
      <c r="D470" s="208">
        <v>460840</v>
      </c>
      <c r="E470" s="119" t="s">
        <v>470</v>
      </c>
      <c r="F470" s="119" t="s">
        <v>476</v>
      </c>
      <c r="G470" s="119" t="s">
        <v>477</v>
      </c>
      <c r="H470" s="119" t="s">
        <v>1</v>
      </c>
      <c r="I470" s="208">
        <v>1.2608151096243402E-2</v>
      </c>
      <c r="J470" s="119" t="s">
        <v>473</v>
      </c>
      <c r="K470" s="119" t="s">
        <v>470</v>
      </c>
      <c r="L470" s="209">
        <v>5810.3403511928091</v>
      </c>
      <c r="M470" s="52">
        <f>SUM(L470/2000)</f>
        <v>2.9051701755964046</v>
      </c>
      <c r="N470" s="52"/>
      <c r="O470" s="59">
        <f>SUM(M470/365)</f>
        <v>7.9593703440997386E-3</v>
      </c>
    </row>
    <row r="471" spans="1:16">
      <c r="A471" s="119" t="s">
        <v>492</v>
      </c>
      <c r="B471" s="119" t="s">
        <v>468</v>
      </c>
      <c r="C471" s="119" t="s">
        <v>493</v>
      </c>
      <c r="D471" s="208">
        <v>460840</v>
      </c>
      <c r="E471" s="119" t="s">
        <v>470</v>
      </c>
      <c r="F471" s="119" t="s">
        <v>478</v>
      </c>
      <c r="G471" s="119" t="s">
        <v>479</v>
      </c>
      <c r="H471" s="119" t="s">
        <v>1</v>
      </c>
      <c r="I471" s="208">
        <v>5.9432814399539317E-3</v>
      </c>
      <c r="J471" s="119" t="s">
        <v>473</v>
      </c>
      <c r="K471" s="119" t="s">
        <v>470</v>
      </c>
      <c r="L471" s="209">
        <v>2738.9018187883698</v>
      </c>
      <c r="M471" s="52">
        <f>SUM(L471/2000)</f>
        <v>1.3694509093941849</v>
      </c>
      <c r="N471" s="52"/>
      <c r="O471" s="59">
        <f>SUM(M471/365)</f>
        <v>3.7519202997100955E-3</v>
      </c>
    </row>
    <row r="472" spans="1:16">
      <c r="A472" s="119" t="s">
        <v>492</v>
      </c>
      <c r="B472" s="119" t="s">
        <v>468</v>
      </c>
      <c r="C472" s="119" t="s">
        <v>493</v>
      </c>
      <c r="D472" s="208">
        <v>460840</v>
      </c>
      <c r="E472" s="119" t="s">
        <v>470</v>
      </c>
      <c r="F472" s="119" t="s">
        <v>480</v>
      </c>
      <c r="G472" s="119" t="s">
        <v>481</v>
      </c>
      <c r="H472" s="119" t="s">
        <v>1</v>
      </c>
      <c r="I472" s="208">
        <v>2.3156397268629241E-4</v>
      </c>
      <c r="J472" s="119" t="s">
        <v>473</v>
      </c>
      <c r="K472" s="119" t="s">
        <v>470</v>
      </c>
      <c r="L472" s="209">
        <v>106.71394117275099</v>
      </c>
      <c r="M472" s="52">
        <f>SUM(L472/2000)</f>
        <v>5.3356970586375493E-2</v>
      </c>
      <c r="N472" s="52"/>
      <c r="O472" s="59">
        <f>SUM(M472/365)</f>
        <v>1.46183481058563E-4</v>
      </c>
    </row>
    <row r="473" spans="1:16">
      <c r="A473" s="119"/>
      <c r="B473" s="119"/>
      <c r="C473" s="119"/>
      <c r="D473" s="208"/>
      <c r="E473" s="119"/>
      <c r="F473" s="119"/>
      <c r="G473" s="119"/>
      <c r="H473" s="119"/>
      <c r="I473" s="208"/>
      <c r="J473" s="119"/>
      <c r="K473" s="119"/>
      <c r="L473" s="209"/>
      <c r="M473" s="52"/>
      <c r="N473" s="59">
        <f>SUM(M468:M472)</f>
        <v>16.663816062080812</v>
      </c>
      <c r="O473" s="59"/>
      <c r="P473" s="59">
        <f>SUM(O468:O472)</f>
        <v>4.5654290581043325E-2</v>
      </c>
    </row>
    <row r="474" spans="1:16" ht="25.5">
      <c r="A474" s="119" t="s">
        <v>494</v>
      </c>
      <c r="B474" s="119" t="s">
        <v>468</v>
      </c>
      <c r="C474" s="119" t="s">
        <v>495</v>
      </c>
      <c r="D474" s="208">
        <v>154983</v>
      </c>
      <c r="E474" s="119" t="s">
        <v>470</v>
      </c>
      <c r="F474" s="119" t="s">
        <v>471</v>
      </c>
      <c r="G474" s="119" t="s">
        <v>472</v>
      </c>
      <c r="H474" s="119" t="s">
        <v>1</v>
      </c>
      <c r="I474" s="208">
        <v>1.2056009667653272E-2</v>
      </c>
      <c r="J474" s="119" t="s">
        <v>473</v>
      </c>
      <c r="K474" s="119" t="s">
        <v>470</v>
      </c>
      <c r="L474" s="209">
        <v>1868.4765463219071</v>
      </c>
      <c r="M474" s="52">
        <f>SUM(L474/2000)</f>
        <v>0.93423827316095354</v>
      </c>
      <c r="N474" s="52"/>
      <c r="O474" s="59">
        <f>SUM(M474/365)</f>
        <v>2.5595569127697358E-3</v>
      </c>
    </row>
    <row r="475" spans="1:16" ht="25.5">
      <c r="A475" s="119" t="s">
        <v>494</v>
      </c>
      <c r="B475" s="119" t="s">
        <v>468</v>
      </c>
      <c r="C475" s="119" t="s">
        <v>495</v>
      </c>
      <c r="D475" s="208">
        <v>154983</v>
      </c>
      <c r="E475" s="119" t="s">
        <v>470</v>
      </c>
      <c r="F475" s="119" t="s">
        <v>474</v>
      </c>
      <c r="G475" s="119" t="s">
        <v>475</v>
      </c>
      <c r="H475" s="119" t="s">
        <v>1</v>
      </c>
      <c r="I475" s="208">
        <v>4.1480306652561326E-2</v>
      </c>
      <c r="J475" s="119" t="s">
        <v>473</v>
      </c>
      <c r="K475" s="119" t="s">
        <v>470</v>
      </c>
      <c r="L475" s="209">
        <v>6428.742365933912</v>
      </c>
      <c r="M475" s="52">
        <f>SUM(L475/2000)</f>
        <v>3.2143711829669561</v>
      </c>
      <c r="N475" s="52"/>
      <c r="O475" s="59">
        <f>SUM(M475/365)</f>
        <v>8.80649639169029E-3</v>
      </c>
    </row>
    <row r="476" spans="1:16" ht="25.5">
      <c r="A476" s="119" t="s">
        <v>494</v>
      </c>
      <c r="B476" s="119" t="s">
        <v>468</v>
      </c>
      <c r="C476" s="119" t="s">
        <v>495</v>
      </c>
      <c r="D476" s="208">
        <v>154983</v>
      </c>
      <c r="E476" s="119" t="s">
        <v>470</v>
      </c>
      <c r="F476" s="119" t="s">
        <v>476</v>
      </c>
      <c r="G476" s="119" t="s">
        <v>477</v>
      </c>
      <c r="H476" s="119" t="s">
        <v>1</v>
      </c>
      <c r="I476" s="208">
        <v>1.2608151096243402E-2</v>
      </c>
      <c r="J476" s="119" t="s">
        <v>473</v>
      </c>
      <c r="K476" s="119" t="s">
        <v>470</v>
      </c>
      <c r="L476" s="209">
        <v>1954.0490813490912</v>
      </c>
      <c r="M476" s="52">
        <f>SUM(L476/2000)</f>
        <v>0.97702454067454558</v>
      </c>
      <c r="N476" s="52"/>
      <c r="O476" s="59">
        <f>SUM(M476/365)</f>
        <v>2.6767795634919057E-3</v>
      </c>
    </row>
    <row r="477" spans="1:16" ht="25.5">
      <c r="A477" s="119" t="s">
        <v>494</v>
      </c>
      <c r="B477" s="119" t="s">
        <v>468</v>
      </c>
      <c r="C477" s="119" t="s">
        <v>495</v>
      </c>
      <c r="D477" s="208">
        <v>154983</v>
      </c>
      <c r="E477" s="119" t="s">
        <v>470</v>
      </c>
      <c r="F477" s="119" t="s">
        <v>478</v>
      </c>
      <c r="G477" s="119" t="s">
        <v>479</v>
      </c>
      <c r="H477" s="119" t="s">
        <v>1</v>
      </c>
      <c r="I477" s="208">
        <v>5.9432814399539317E-3</v>
      </c>
      <c r="J477" s="119" t="s">
        <v>473</v>
      </c>
      <c r="K477" s="119" t="s">
        <v>470</v>
      </c>
      <c r="L477" s="209">
        <v>921.10758740838014</v>
      </c>
      <c r="M477" s="52">
        <f>SUM(L477/2000)</f>
        <v>0.46055379370419008</v>
      </c>
      <c r="N477" s="52"/>
      <c r="O477" s="59">
        <f>SUM(M477/365)</f>
        <v>1.261791215627918E-3</v>
      </c>
    </row>
    <row r="478" spans="1:16" ht="25.5">
      <c r="A478" s="119" t="s">
        <v>494</v>
      </c>
      <c r="B478" s="119" t="s">
        <v>468</v>
      </c>
      <c r="C478" s="119" t="s">
        <v>495</v>
      </c>
      <c r="D478" s="208">
        <v>154983</v>
      </c>
      <c r="E478" s="119" t="s">
        <v>470</v>
      </c>
      <c r="F478" s="119" t="s">
        <v>480</v>
      </c>
      <c r="G478" s="119" t="s">
        <v>481</v>
      </c>
      <c r="H478" s="119" t="s">
        <v>1</v>
      </c>
      <c r="I478" s="208">
        <v>2.3156397268629241E-4</v>
      </c>
      <c r="J478" s="119" t="s">
        <v>473</v>
      </c>
      <c r="K478" s="119" t="s">
        <v>470</v>
      </c>
      <c r="L478" s="209">
        <v>35.88847917883966</v>
      </c>
      <c r="M478" s="52">
        <f>SUM(L478/2000)</f>
        <v>1.794423958941983E-2</v>
      </c>
      <c r="N478" s="52"/>
      <c r="O478" s="59">
        <f>SUM(M478/365)</f>
        <v>4.9162300244985837E-5</v>
      </c>
    </row>
    <row r="479" spans="1:16">
      <c r="A479" s="119"/>
      <c r="B479" s="119"/>
      <c r="C479" s="119"/>
      <c r="D479" s="208"/>
      <c r="E479" s="119"/>
      <c r="F479" s="119"/>
      <c r="G479" s="119"/>
      <c r="H479" s="119"/>
      <c r="I479" s="208"/>
      <c r="J479" s="119"/>
      <c r="K479" s="119"/>
      <c r="L479" s="209"/>
      <c r="M479" s="52"/>
      <c r="N479" s="59">
        <f>SUM(M474:M478)</f>
        <v>5.6041320300960651</v>
      </c>
      <c r="O479" s="59"/>
      <c r="P479" s="59">
        <f>SUM(O474:O478)</f>
        <v>1.5353786383824834E-2</v>
      </c>
    </row>
    <row r="480" spans="1:16" ht="25.5">
      <c r="A480" s="119" t="s">
        <v>496</v>
      </c>
      <c r="B480" s="119" t="s">
        <v>468</v>
      </c>
      <c r="C480" s="119" t="s">
        <v>497</v>
      </c>
      <c r="D480" s="208">
        <v>1482478</v>
      </c>
      <c r="E480" s="119" t="s">
        <v>470</v>
      </c>
      <c r="F480" s="119" t="s">
        <v>471</v>
      </c>
      <c r="G480" s="119" t="s">
        <v>472</v>
      </c>
      <c r="H480" s="119" t="s">
        <v>1</v>
      </c>
      <c r="I480" s="208">
        <v>1.2056009667653272E-2</v>
      </c>
      <c r="J480" s="119" t="s">
        <v>473</v>
      </c>
      <c r="K480" s="119" t="s">
        <v>470</v>
      </c>
      <c r="L480" s="209">
        <v>17872.769100083289</v>
      </c>
      <c r="M480" s="52">
        <f>SUM(L480/2000)</f>
        <v>8.9363845500416446</v>
      </c>
      <c r="N480" s="52"/>
      <c r="O480" s="59">
        <f>SUM(M480/365)</f>
        <v>2.4483245342579847E-2</v>
      </c>
    </row>
    <row r="481" spans="1:16" ht="25.5">
      <c r="A481" s="119" t="s">
        <v>496</v>
      </c>
      <c r="B481" s="119" t="s">
        <v>468</v>
      </c>
      <c r="C481" s="119" t="s">
        <v>497</v>
      </c>
      <c r="D481" s="208">
        <v>1482478</v>
      </c>
      <c r="E481" s="119" t="s">
        <v>470</v>
      </c>
      <c r="F481" s="119" t="s">
        <v>474</v>
      </c>
      <c r="G481" s="119" t="s">
        <v>475</v>
      </c>
      <c r="H481" s="119" t="s">
        <v>1</v>
      </c>
      <c r="I481" s="208">
        <v>4.1480306652561326E-2</v>
      </c>
      <c r="J481" s="119" t="s">
        <v>473</v>
      </c>
      <c r="K481" s="119" t="s">
        <v>470</v>
      </c>
      <c r="L481" s="209">
        <v>61493.642045675806</v>
      </c>
      <c r="M481" s="52">
        <f>SUM(L481/2000)</f>
        <v>30.746821022837903</v>
      </c>
      <c r="N481" s="52"/>
      <c r="O481" s="59">
        <f>SUM(M481/365)</f>
        <v>8.4237865815994253E-2</v>
      </c>
    </row>
    <row r="482" spans="1:16" ht="25.5">
      <c r="A482" s="119" t="s">
        <v>496</v>
      </c>
      <c r="B482" s="119" t="s">
        <v>468</v>
      </c>
      <c r="C482" s="119" t="s">
        <v>497</v>
      </c>
      <c r="D482" s="208">
        <v>1482478</v>
      </c>
      <c r="E482" s="119" t="s">
        <v>470</v>
      </c>
      <c r="F482" s="119" t="s">
        <v>476</v>
      </c>
      <c r="G482" s="119" t="s">
        <v>477</v>
      </c>
      <c r="H482" s="119" t="s">
        <v>1</v>
      </c>
      <c r="I482" s="208">
        <v>1.2608151096243402E-2</v>
      </c>
      <c r="J482" s="119" t="s">
        <v>473</v>
      </c>
      <c r="K482" s="119" t="s">
        <v>470</v>
      </c>
      <c r="L482" s="209">
        <v>18691.306620856725</v>
      </c>
      <c r="M482" s="52">
        <f>SUM(L482/2000)</f>
        <v>9.3456533104283626</v>
      </c>
      <c r="N482" s="52"/>
      <c r="O482" s="59">
        <f>SUM(M482/365)</f>
        <v>2.5604529617611952E-2</v>
      </c>
    </row>
    <row r="483" spans="1:16" ht="25.5">
      <c r="A483" s="119" t="s">
        <v>496</v>
      </c>
      <c r="B483" s="119" t="s">
        <v>468</v>
      </c>
      <c r="C483" s="119" t="s">
        <v>497</v>
      </c>
      <c r="D483" s="208">
        <v>1482478</v>
      </c>
      <c r="E483" s="119" t="s">
        <v>470</v>
      </c>
      <c r="F483" s="119" t="s">
        <v>478</v>
      </c>
      <c r="G483" s="119" t="s">
        <v>479</v>
      </c>
      <c r="H483" s="119" t="s">
        <v>1</v>
      </c>
      <c r="I483" s="208">
        <v>5.9432814399539317E-3</v>
      </c>
      <c r="J483" s="119" t="s">
        <v>473</v>
      </c>
      <c r="K483" s="119" t="s">
        <v>470</v>
      </c>
      <c r="L483" s="209">
        <v>8810.7839825400242</v>
      </c>
      <c r="M483" s="52">
        <f>SUM(L483/2000)</f>
        <v>4.4053919912700117</v>
      </c>
      <c r="N483" s="52"/>
      <c r="O483" s="59">
        <f>SUM(M483/365)</f>
        <v>1.2069567099369896E-2</v>
      </c>
    </row>
    <row r="484" spans="1:16" ht="25.5">
      <c r="A484" s="119" t="s">
        <v>496</v>
      </c>
      <c r="B484" s="119" t="s">
        <v>468</v>
      </c>
      <c r="C484" s="119" t="s">
        <v>497</v>
      </c>
      <c r="D484" s="208">
        <v>1482478</v>
      </c>
      <c r="E484" s="119" t="s">
        <v>470</v>
      </c>
      <c r="F484" s="119" t="s">
        <v>480</v>
      </c>
      <c r="G484" s="119" t="s">
        <v>481</v>
      </c>
      <c r="H484" s="119" t="s">
        <v>1</v>
      </c>
      <c r="I484" s="208">
        <v>2.3156397268629241E-4</v>
      </c>
      <c r="J484" s="119" t="s">
        <v>473</v>
      </c>
      <c r="K484" s="119" t="s">
        <v>470</v>
      </c>
      <c r="L484" s="209">
        <v>343.28849510002942</v>
      </c>
      <c r="M484" s="52">
        <f>SUM(L484/2000)</f>
        <v>0.1716442475500147</v>
      </c>
      <c r="N484" s="52"/>
      <c r="O484" s="59">
        <f>SUM(M484/365)</f>
        <v>4.7025821246579369E-4</v>
      </c>
    </row>
    <row r="485" spans="1:16">
      <c r="A485" s="119"/>
      <c r="B485" s="119"/>
      <c r="C485" s="119"/>
      <c r="D485" s="208"/>
      <c r="E485" s="119"/>
      <c r="F485" s="119"/>
      <c r="G485" s="119"/>
      <c r="H485" s="119"/>
      <c r="I485" s="208"/>
      <c r="J485" s="119"/>
      <c r="K485" s="119"/>
      <c r="L485" s="209"/>
      <c r="M485" s="52"/>
      <c r="N485" s="59">
        <f>SUM(M480:M484)</f>
        <v>53.605895122127926</v>
      </c>
      <c r="O485" s="59"/>
      <c r="P485" s="59">
        <f>SUM(O480:O484)</f>
        <v>0.14686546608802176</v>
      </c>
    </row>
    <row r="486" spans="1:16" ht="25.5">
      <c r="A486" s="119" t="s">
        <v>498</v>
      </c>
      <c r="B486" s="119" t="s">
        <v>468</v>
      </c>
      <c r="C486" s="119" t="s">
        <v>499</v>
      </c>
      <c r="D486" s="208">
        <v>11215</v>
      </c>
      <c r="E486" s="119" t="s">
        <v>470</v>
      </c>
      <c r="F486" s="119" t="s">
        <v>471</v>
      </c>
      <c r="G486" s="119" t="s">
        <v>472</v>
      </c>
      <c r="H486" s="119" t="s">
        <v>1</v>
      </c>
      <c r="I486" s="208">
        <v>1.2056009667653272E-2</v>
      </c>
      <c r="J486" s="119" t="s">
        <v>473</v>
      </c>
      <c r="K486" s="119" t="s">
        <v>470</v>
      </c>
      <c r="L486" s="209">
        <v>135.20814842273145</v>
      </c>
      <c r="M486" s="52">
        <f>SUM(L486/2000)</f>
        <v>6.7604074211365731E-2</v>
      </c>
      <c r="N486" s="52"/>
      <c r="O486" s="59">
        <f>SUM(M486/365)</f>
        <v>1.8521664167497461E-4</v>
      </c>
    </row>
    <row r="487" spans="1:16" ht="25.5">
      <c r="A487" s="119" t="s">
        <v>498</v>
      </c>
      <c r="B487" s="119" t="s">
        <v>468</v>
      </c>
      <c r="C487" s="119" t="s">
        <v>499</v>
      </c>
      <c r="D487" s="208">
        <v>11215</v>
      </c>
      <c r="E487" s="119" t="s">
        <v>470</v>
      </c>
      <c r="F487" s="119" t="s">
        <v>474</v>
      </c>
      <c r="G487" s="119" t="s">
        <v>475</v>
      </c>
      <c r="H487" s="119" t="s">
        <v>1</v>
      </c>
      <c r="I487" s="208">
        <v>4.1480306652561326E-2</v>
      </c>
      <c r="J487" s="119" t="s">
        <v>473</v>
      </c>
      <c r="K487" s="119" t="s">
        <v>470</v>
      </c>
      <c r="L487" s="209">
        <v>465.20163910847526</v>
      </c>
      <c r="M487" s="52">
        <f>SUM(L487/2000)</f>
        <v>0.23260081955423764</v>
      </c>
      <c r="N487" s="52"/>
      <c r="O487" s="59">
        <f>SUM(M487/365)</f>
        <v>6.3726251932667843E-4</v>
      </c>
    </row>
    <row r="488" spans="1:16" ht="25.5">
      <c r="A488" s="119" t="s">
        <v>498</v>
      </c>
      <c r="B488" s="119" t="s">
        <v>468</v>
      </c>
      <c r="C488" s="119" t="s">
        <v>499</v>
      </c>
      <c r="D488" s="208">
        <v>11215</v>
      </c>
      <c r="E488" s="119" t="s">
        <v>470</v>
      </c>
      <c r="F488" s="119" t="s">
        <v>476</v>
      </c>
      <c r="G488" s="119" t="s">
        <v>477</v>
      </c>
      <c r="H488" s="119" t="s">
        <v>1</v>
      </c>
      <c r="I488" s="208">
        <v>1.2608151096243402E-2</v>
      </c>
      <c r="J488" s="119" t="s">
        <v>473</v>
      </c>
      <c r="K488" s="119" t="s">
        <v>470</v>
      </c>
      <c r="L488" s="209">
        <v>141.40041454436974</v>
      </c>
      <c r="M488" s="52">
        <f>SUM(L488/2000)</f>
        <v>7.0700207272184873E-2</v>
      </c>
      <c r="N488" s="52"/>
      <c r="O488" s="59">
        <f>SUM(M488/365)</f>
        <v>1.9369919800598596E-4</v>
      </c>
    </row>
    <row r="489" spans="1:16" ht="25.5">
      <c r="A489" s="119" t="s">
        <v>498</v>
      </c>
      <c r="B489" s="119" t="s">
        <v>468</v>
      </c>
      <c r="C489" s="119" t="s">
        <v>499</v>
      </c>
      <c r="D489" s="208">
        <v>11215</v>
      </c>
      <c r="E489" s="119" t="s">
        <v>470</v>
      </c>
      <c r="F489" s="119" t="s">
        <v>478</v>
      </c>
      <c r="G489" s="119" t="s">
        <v>479</v>
      </c>
      <c r="H489" s="119" t="s">
        <v>1</v>
      </c>
      <c r="I489" s="208">
        <v>5.9432814399539317E-3</v>
      </c>
      <c r="J489" s="119" t="s">
        <v>473</v>
      </c>
      <c r="K489" s="119" t="s">
        <v>470</v>
      </c>
      <c r="L489" s="209">
        <v>66.653901349083341</v>
      </c>
      <c r="M489" s="52">
        <f>SUM(L489/2000)</f>
        <v>3.3326950674541674E-2</v>
      </c>
      <c r="N489" s="52"/>
      <c r="O489" s="59">
        <f>SUM(M489/365)</f>
        <v>9.1306714176826506E-5</v>
      </c>
    </row>
    <row r="490" spans="1:16" ht="25.5">
      <c r="A490" s="119" t="s">
        <v>498</v>
      </c>
      <c r="B490" s="119" t="s">
        <v>468</v>
      </c>
      <c r="C490" s="119" t="s">
        <v>499</v>
      </c>
      <c r="D490" s="208">
        <v>11215</v>
      </c>
      <c r="E490" s="119" t="s">
        <v>470</v>
      </c>
      <c r="F490" s="119" t="s">
        <v>480</v>
      </c>
      <c r="G490" s="119" t="s">
        <v>481</v>
      </c>
      <c r="H490" s="119" t="s">
        <v>1</v>
      </c>
      <c r="I490" s="208">
        <v>2.3156397268629241E-4</v>
      </c>
      <c r="J490" s="119" t="s">
        <v>473</v>
      </c>
      <c r="K490" s="119" t="s">
        <v>470</v>
      </c>
      <c r="L490" s="209">
        <v>2.5969899536767693</v>
      </c>
      <c r="M490" s="52">
        <f>SUM(L490/2000)</f>
        <v>1.2984949768383846E-3</v>
      </c>
      <c r="N490" s="52"/>
      <c r="O490" s="59">
        <f>SUM(M490/365)</f>
        <v>3.5575204844887249E-6</v>
      </c>
    </row>
    <row r="491" spans="1:16">
      <c r="A491" s="119"/>
      <c r="B491" s="119"/>
      <c r="C491" s="119"/>
      <c r="D491" s="208"/>
      <c r="E491" s="119"/>
      <c r="F491" s="119"/>
      <c r="G491" s="119"/>
      <c r="H491" s="119"/>
      <c r="I491" s="208"/>
      <c r="J491" s="119"/>
      <c r="K491" s="119"/>
      <c r="L491" s="209"/>
      <c r="M491" s="52"/>
      <c r="N491" s="59">
        <f>SUM(M486:M490)</f>
        <v>0.40553054668916833</v>
      </c>
      <c r="O491" s="59"/>
      <c r="P491" s="59">
        <f>SUM(O486:O490)</f>
        <v>1.1110425936689545E-3</v>
      </c>
    </row>
    <row r="492" spans="1:16">
      <c r="A492" s="119" t="s">
        <v>500</v>
      </c>
      <c r="B492" s="119" t="s">
        <v>468</v>
      </c>
      <c r="C492" s="119" t="s">
        <v>501</v>
      </c>
      <c r="D492" s="208">
        <v>659909</v>
      </c>
      <c r="E492" s="119" t="s">
        <v>470</v>
      </c>
      <c r="F492" s="119" t="s">
        <v>471</v>
      </c>
      <c r="G492" s="119" t="s">
        <v>472</v>
      </c>
      <c r="H492" s="119" t="s">
        <v>1</v>
      </c>
      <c r="I492" s="208">
        <v>1.2056009667653272E-2</v>
      </c>
      <c r="J492" s="119" t="s">
        <v>473</v>
      </c>
      <c r="K492" s="119" t="s">
        <v>470</v>
      </c>
      <c r="L492" s="209">
        <v>7955.8692837714034</v>
      </c>
      <c r="M492" s="52">
        <f>SUM(L492/2000)</f>
        <v>3.9779346418857018</v>
      </c>
      <c r="N492" s="52"/>
      <c r="O492" s="59">
        <f>SUM(M492/365)</f>
        <v>1.0898451073659457E-2</v>
      </c>
    </row>
    <row r="493" spans="1:16">
      <c r="A493" s="119" t="s">
        <v>500</v>
      </c>
      <c r="B493" s="119" t="s">
        <v>468</v>
      </c>
      <c r="C493" s="119" t="s">
        <v>501</v>
      </c>
      <c r="D493" s="208">
        <v>659909</v>
      </c>
      <c r="E493" s="119" t="s">
        <v>470</v>
      </c>
      <c r="F493" s="119" t="s">
        <v>474</v>
      </c>
      <c r="G493" s="119" t="s">
        <v>475</v>
      </c>
      <c r="H493" s="119" t="s">
        <v>1</v>
      </c>
      <c r="I493" s="208">
        <v>4.1480306652561326E-2</v>
      </c>
      <c r="J493" s="119" t="s">
        <v>473</v>
      </c>
      <c r="K493" s="119" t="s">
        <v>470</v>
      </c>
      <c r="L493" s="209">
        <v>27373.227682785091</v>
      </c>
      <c r="M493" s="52">
        <f>SUM(L493/2000)</f>
        <v>13.686613841392546</v>
      </c>
      <c r="N493" s="52"/>
      <c r="O493" s="59">
        <f>SUM(M493/365)</f>
        <v>3.7497572168198753E-2</v>
      </c>
    </row>
    <row r="494" spans="1:16">
      <c r="A494" s="119" t="s">
        <v>500</v>
      </c>
      <c r="B494" s="119" t="s">
        <v>468</v>
      </c>
      <c r="C494" s="119" t="s">
        <v>501</v>
      </c>
      <c r="D494" s="208">
        <v>659909</v>
      </c>
      <c r="E494" s="119" t="s">
        <v>470</v>
      </c>
      <c r="F494" s="119" t="s">
        <v>476</v>
      </c>
      <c r="G494" s="119" t="s">
        <v>477</v>
      </c>
      <c r="H494" s="119" t="s">
        <v>1</v>
      </c>
      <c r="I494" s="208">
        <v>1.2608151096243402E-2</v>
      </c>
      <c r="J494" s="119" t="s">
        <v>473</v>
      </c>
      <c r="K494" s="119" t="s">
        <v>470</v>
      </c>
      <c r="L494" s="209">
        <v>8320.2323817708875</v>
      </c>
      <c r="M494" s="52">
        <f>SUM(L494/2000)</f>
        <v>4.1601161908854438</v>
      </c>
      <c r="N494" s="52"/>
      <c r="O494" s="59">
        <f>SUM(M494/365)</f>
        <v>1.13975786051656E-2</v>
      </c>
    </row>
    <row r="495" spans="1:16">
      <c r="A495" s="119" t="s">
        <v>500</v>
      </c>
      <c r="B495" s="119" t="s">
        <v>468</v>
      </c>
      <c r="C495" s="119" t="s">
        <v>501</v>
      </c>
      <c r="D495" s="208">
        <v>659909</v>
      </c>
      <c r="E495" s="119" t="s">
        <v>470</v>
      </c>
      <c r="F495" s="119" t="s">
        <v>478</v>
      </c>
      <c r="G495" s="119" t="s">
        <v>479</v>
      </c>
      <c r="H495" s="119" t="s">
        <v>1</v>
      </c>
      <c r="I495" s="208">
        <v>5.9432814399539317E-3</v>
      </c>
      <c r="J495" s="119" t="s">
        <v>473</v>
      </c>
      <c r="K495" s="119" t="s">
        <v>470</v>
      </c>
      <c r="L495" s="209">
        <v>3922.024911758559</v>
      </c>
      <c r="M495" s="52">
        <f>SUM(L495/2000)</f>
        <v>1.9610124558792794</v>
      </c>
      <c r="N495" s="52"/>
      <c r="O495" s="59">
        <f>SUM(M495/365)</f>
        <v>5.3726368654226832E-3</v>
      </c>
    </row>
    <row r="496" spans="1:16">
      <c r="A496" s="119" t="s">
        <v>500</v>
      </c>
      <c r="B496" s="119" t="s">
        <v>468</v>
      </c>
      <c r="C496" s="119" t="s">
        <v>501</v>
      </c>
      <c r="D496" s="208">
        <v>659909</v>
      </c>
      <c r="E496" s="119" t="s">
        <v>470</v>
      </c>
      <c r="F496" s="119" t="s">
        <v>480</v>
      </c>
      <c r="G496" s="119" t="s">
        <v>481</v>
      </c>
      <c r="H496" s="119" t="s">
        <v>1</v>
      </c>
      <c r="I496" s="208">
        <v>2.3156397268629241E-4</v>
      </c>
      <c r="J496" s="119" t="s">
        <v>473</v>
      </c>
      <c r="K496" s="119" t="s">
        <v>470</v>
      </c>
      <c r="L496" s="209">
        <v>152.81114965143854</v>
      </c>
      <c r="M496" s="52">
        <f>SUM(L496/2000)</f>
        <v>7.6405574825719275E-2</v>
      </c>
      <c r="N496" s="52"/>
      <c r="O496" s="59">
        <f>SUM(M496/365)</f>
        <v>2.0933034198827199E-4</v>
      </c>
    </row>
    <row r="497" spans="1:16">
      <c r="A497" s="119"/>
      <c r="B497" s="119"/>
      <c r="C497" s="119"/>
      <c r="D497" s="208"/>
      <c r="E497" s="119"/>
      <c r="F497" s="119"/>
      <c r="G497" s="119"/>
      <c r="H497" s="119"/>
      <c r="I497" s="208"/>
      <c r="J497" s="119"/>
      <c r="K497" s="119"/>
      <c r="L497" s="209"/>
      <c r="M497" s="52"/>
      <c r="N497" s="59">
        <f>SUM(M492:M496)</f>
        <v>23.862082704868691</v>
      </c>
      <c r="O497" s="59"/>
      <c r="P497" s="59">
        <f>SUM(O492:O496)</f>
        <v>6.5375569054434771E-2</v>
      </c>
    </row>
    <row r="498" spans="1:16">
      <c r="A498" s="119" t="s">
        <v>502</v>
      </c>
      <c r="B498" s="119" t="s">
        <v>468</v>
      </c>
      <c r="C498" s="119" t="s">
        <v>503</v>
      </c>
      <c r="D498" s="208">
        <v>492066</v>
      </c>
      <c r="E498" s="119" t="s">
        <v>470</v>
      </c>
      <c r="F498" s="119" t="s">
        <v>471</v>
      </c>
      <c r="G498" s="119" t="s">
        <v>472</v>
      </c>
      <c r="H498" s="119" t="s">
        <v>1</v>
      </c>
      <c r="I498" s="208">
        <v>1.2056009667653272E-2</v>
      </c>
      <c r="J498" s="119" t="s">
        <v>473</v>
      </c>
      <c r="K498" s="119" t="s">
        <v>470</v>
      </c>
      <c r="L498" s="209">
        <v>5932.3524531234752</v>
      </c>
      <c r="M498" s="52">
        <f>SUM(L498/2000)</f>
        <v>2.9661762265617377</v>
      </c>
      <c r="N498" s="52"/>
      <c r="O498" s="59">
        <f>SUM(M498/365)</f>
        <v>8.1265102097581848E-3</v>
      </c>
    </row>
    <row r="499" spans="1:16">
      <c r="A499" s="119" t="s">
        <v>502</v>
      </c>
      <c r="B499" s="119" t="s">
        <v>468</v>
      </c>
      <c r="C499" s="119" t="s">
        <v>503</v>
      </c>
      <c r="D499" s="208">
        <v>492066</v>
      </c>
      <c r="E499" s="119" t="s">
        <v>470</v>
      </c>
      <c r="F499" s="119" t="s">
        <v>474</v>
      </c>
      <c r="G499" s="119" t="s">
        <v>475</v>
      </c>
      <c r="H499" s="119" t="s">
        <v>1</v>
      </c>
      <c r="I499" s="208">
        <v>4.1480306652561326E-2</v>
      </c>
      <c r="J499" s="119" t="s">
        <v>473</v>
      </c>
      <c r="K499" s="119" t="s">
        <v>470</v>
      </c>
      <c r="L499" s="209">
        <v>20411.048573299242</v>
      </c>
      <c r="M499" s="52">
        <f>SUM(L499/2000)</f>
        <v>10.205524286649622</v>
      </c>
      <c r="N499" s="52"/>
      <c r="O499" s="59">
        <f>SUM(M499/365)</f>
        <v>2.7960340511368826E-2</v>
      </c>
    </row>
    <row r="500" spans="1:16">
      <c r="A500" s="119" t="s">
        <v>502</v>
      </c>
      <c r="B500" s="119" t="s">
        <v>468</v>
      </c>
      <c r="C500" s="119" t="s">
        <v>503</v>
      </c>
      <c r="D500" s="208">
        <v>492066</v>
      </c>
      <c r="E500" s="119" t="s">
        <v>470</v>
      </c>
      <c r="F500" s="119" t="s">
        <v>476</v>
      </c>
      <c r="G500" s="119" t="s">
        <v>477</v>
      </c>
      <c r="H500" s="119" t="s">
        <v>1</v>
      </c>
      <c r="I500" s="208">
        <v>1.2608151096243402E-2</v>
      </c>
      <c r="J500" s="119" t="s">
        <v>473</v>
      </c>
      <c r="K500" s="119" t="s">
        <v>470</v>
      </c>
      <c r="L500" s="209">
        <v>6204.0424773241057</v>
      </c>
      <c r="M500" s="52">
        <f>SUM(L500/2000)</f>
        <v>3.1020212386620529</v>
      </c>
      <c r="N500" s="52"/>
      <c r="O500" s="59">
        <f>SUM(M500/365)</f>
        <v>8.4986883251015142E-3</v>
      </c>
    </row>
    <row r="501" spans="1:16">
      <c r="A501" s="119" t="s">
        <v>502</v>
      </c>
      <c r="B501" s="119" t="s">
        <v>468</v>
      </c>
      <c r="C501" s="119" t="s">
        <v>503</v>
      </c>
      <c r="D501" s="208">
        <v>492066</v>
      </c>
      <c r="E501" s="119" t="s">
        <v>470</v>
      </c>
      <c r="F501" s="119" t="s">
        <v>478</v>
      </c>
      <c r="G501" s="119" t="s">
        <v>479</v>
      </c>
      <c r="H501" s="119" t="s">
        <v>1</v>
      </c>
      <c r="I501" s="208">
        <v>5.9432814399539317E-3</v>
      </c>
      <c r="J501" s="119" t="s">
        <v>473</v>
      </c>
      <c r="K501" s="119" t="s">
        <v>470</v>
      </c>
      <c r="L501" s="209">
        <v>2924.4867250323714</v>
      </c>
      <c r="M501" s="52">
        <f>SUM(L501/2000)</f>
        <v>1.4622433625161857</v>
      </c>
      <c r="N501" s="52"/>
      <c r="O501" s="59">
        <f>SUM(M501/365)</f>
        <v>4.0061461986744817E-3</v>
      </c>
    </row>
    <row r="502" spans="1:16">
      <c r="A502" s="119" t="s">
        <v>502</v>
      </c>
      <c r="B502" s="119" t="s">
        <v>468</v>
      </c>
      <c r="C502" s="119" t="s">
        <v>503</v>
      </c>
      <c r="D502" s="208">
        <v>492066</v>
      </c>
      <c r="E502" s="119" t="s">
        <v>470</v>
      </c>
      <c r="F502" s="119" t="s">
        <v>480</v>
      </c>
      <c r="G502" s="119" t="s">
        <v>481</v>
      </c>
      <c r="H502" s="119" t="s">
        <v>1</v>
      </c>
      <c r="I502" s="208">
        <v>2.3156397268629241E-4</v>
      </c>
      <c r="J502" s="119" t="s">
        <v>473</v>
      </c>
      <c r="K502" s="119" t="s">
        <v>470</v>
      </c>
      <c r="L502" s="209">
        <v>113.94475778385316</v>
      </c>
      <c r="M502" s="52">
        <f>SUM(L502/2000)</f>
        <v>5.6972378891926578E-2</v>
      </c>
      <c r="N502" s="52"/>
      <c r="O502" s="59">
        <f>SUM(M502/365)</f>
        <v>1.5608870929294954E-4</v>
      </c>
    </row>
    <row r="503" spans="1:16">
      <c r="A503" s="119"/>
      <c r="B503" s="119"/>
      <c r="C503" s="119"/>
      <c r="D503" s="208"/>
      <c r="E503" s="119"/>
      <c r="F503" s="119"/>
      <c r="G503" s="119"/>
      <c r="H503" s="119"/>
      <c r="I503" s="208"/>
      <c r="J503" s="119"/>
      <c r="K503" s="119"/>
      <c r="L503" s="209"/>
      <c r="M503" s="52"/>
      <c r="N503" s="59">
        <f>SUM(M498:M502)</f>
        <v>17.792937493281528</v>
      </c>
      <c r="O503" s="59"/>
      <c r="P503" s="59">
        <f>SUM(O498:O502)</f>
        <v>4.8747773954195953E-2</v>
      </c>
    </row>
    <row r="504" spans="1:16">
      <c r="A504" s="119" t="s">
        <v>504</v>
      </c>
      <c r="B504" s="119" t="s">
        <v>468</v>
      </c>
      <c r="C504" s="119" t="s">
        <v>505</v>
      </c>
      <c r="D504" s="208">
        <v>732684</v>
      </c>
      <c r="E504" s="119" t="s">
        <v>470</v>
      </c>
      <c r="F504" s="119" t="s">
        <v>471</v>
      </c>
      <c r="G504" s="119" t="s">
        <v>472</v>
      </c>
      <c r="H504" s="119" t="s">
        <v>1</v>
      </c>
      <c r="I504" s="208">
        <v>1.2056009667653272E-2</v>
      </c>
      <c r="J504" s="119" t="s">
        <v>473</v>
      </c>
      <c r="K504" s="119" t="s">
        <v>470</v>
      </c>
      <c r="L504" s="209">
        <v>8833.2453873348695</v>
      </c>
      <c r="M504" s="52">
        <f>SUM(L504/2000)</f>
        <v>4.4166226936674349</v>
      </c>
      <c r="N504" s="52"/>
      <c r="O504" s="59">
        <f>SUM(M504/365)</f>
        <v>1.2100336147034069E-2</v>
      </c>
    </row>
    <row r="505" spans="1:16">
      <c r="A505" s="119" t="s">
        <v>504</v>
      </c>
      <c r="B505" s="119" t="s">
        <v>468</v>
      </c>
      <c r="C505" s="119" t="s">
        <v>505</v>
      </c>
      <c r="D505" s="208">
        <v>732684</v>
      </c>
      <c r="E505" s="119" t="s">
        <v>470</v>
      </c>
      <c r="F505" s="119" t="s">
        <v>474</v>
      </c>
      <c r="G505" s="119" t="s">
        <v>475</v>
      </c>
      <c r="H505" s="119" t="s">
        <v>1</v>
      </c>
      <c r="I505" s="208">
        <v>4.1480306652561326E-2</v>
      </c>
      <c r="J505" s="119" t="s">
        <v>473</v>
      </c>
      <c r="K505" s="119" t="s">
        <v>470</v>
      </c>
      <c r="L505" s="209">
        <v>30391.956999425242</v>
      </c>
      <c r="M505" s="52">
        <f>SUM(L505/2000)</f>
        <v>15.19597849971262</v>
      </c>
      <c r="N505" s="52"/>
      <c r="O505" s="59">
        <f>SUM(M505/365)</f>
        <v>4.1632817807431832E-2</v>
      </c>
    </row>
    <row r="506" spans="1:16">
      <c r="A506" s="119" t="s">
        <v>504</v>
      </c>
      <c r="B506" s="119" t="s">
        <v>468</v>
      </c>
      <c r="C506" s="119" t="s">
        <v>505</v>
      </c>
      <c r="D506" s="208">
        <v>732684</v>
      </c>
      <c r="E506" s="119" t="s">
        <v>470</v>
      </c>
      <c r="F506" s="119" t="s">
        <v>476</v>
      </c>
      <c r="G506" s="119" t="s">
        <v>477</v>
      </c>
      <c r="H506" s="119" t="s">
        <v>1</v>
      </c>
      <c r="I506" s="208">
        <v>1.2608151096243402E-2</v>
      </c>
      <c r="J506" s="119" t="s">
        <v>473</v>
      </c>
      <c r="K506" s="119" t="s">
        <v>470</v>
      </c>
      <c r="L506" s="209">
        <v>9237.7905778000004</v>
      </c>
      <c r="M506" s="52">
        <f>SUM(L506/2000)</f>
        <v>4.6188952889000001</v>
      </c>
      <c r="N506" s="52"/>
      <c r="O506" s="59">
        <f>SUM(M506/365)</f>
        <v>1.2654507640821919E-2</v>
      </c>
    </row>
    <row r="507" spans="1:16">
      <c r="A507" s="119" t="s">
        <v>504</v>
      </c>
      <c r="B507" s="119" t="s">
        <v>468</v>
      </c>
      <c r="C507" s="119" t="s">
        <v>505</v>
      </c>
      <c r="D507" s="208">
        <v>732684</v>
      </c>
      <c r="E507" s="119" t="s">
        <v>470</v>
      </c>
      <c r="F507" s="119" t="s">
        <v>478</v>
      </c>
      <c r="G507" s="119" t="s">
        <v>479</v>
      </c>
      <c r="H507" s="119" t="s">
        <v>1</v>
      </c>
      <c r="I507" s="208">
        <v>5.9432814399539317E-3</v>
      </c>
      <c r="J507" s="119" t="s">
        <v>473</v>
      </c>
      <c r="K507" s="119" t="s">
        <v>470</v>
      </c>
      <c r="L507" s="209">
        <v>4354.5472185512062</v>
      </c>
      <c r="M507" s="52">
        <f>SUM(L507/2000)</f>
        <v>2.1772736092756033</v>
      </c>
      <c r="N507" s="52"/>
      <c r="O507" s="59">
        <f>SUM(M507/365)</f>
        <v>5.9651331760975437E-3</v>
      </c>
    </row>
    <row r="508" spans="1:16">
      <c r="A508" s="119" t="s">
        <v>504</v>
      </c>
      <c r="B508" s="119" t="s">
        <v>468</v>
      </c>
      <c r="C508" s="119" t="s">
        <v>505</v>
      </c>
      <c r="D508" s="208">
        <v>732684</v>
      </c>
      <c r="E508" s="119" t="s">
        <v>470</v>
      </c>
      <c r="F508" s="119" t="s">
        <v>480</v>
      </c>
      <c r="G508" s="119" t="s">
        <v>481</v>
      </c>
      <c r="H508" s="119" t="s">
        <v>1</v>
      </c>
      <c r="I508" s="208">
        <v>2.3156397268629241E-4</v>
      </c>
      <c r="J508" s="119" t="s">
        <v>473</v>
      </c>
      <c r="K508" s="119" t="s">
        <v>470</v>
      </c>
      <c r="L508" s="209">
        <v>169.66321776368346</v>
      </c>
      <c r="M508" s="52">
        <f>SUM(L508/2000)</f>
        <v>8.4831608881841727E-2</v>
      </c>
      <c r="N508" s="52"/>
      <c r="O508" s="59">
        <f>SUM(M508/365)</f>
        <v>2.3241536679956636E-4</v>
      </c>
    </row>
    <row r="509" spans="1:16">
      <c r="A509" s="119"/>
      <c r="B509" s="119"/>
      <c r="C509" s="119"/>
      <c r="D509" s="208"/>
      <c r="E509" s="119"/>
      <c r="F509" s="119"/>
      <c r="G509" s="119"/>
      <c r="H509" s="119"/>
      <c r="I509" s="208"/>
      <c r="J509" s="119"/>
      <c r="K509" s="119"/>
      <c r="L509" s="209"/>
      <c r="M509" s="52"/>
      <c r="N509" s="59">
        <f>SUM(M504:M508)</f>
        <v>26.493601700437498</v>
      </c>
      <c r="O509" s="59"/>
      <c r="P509" s="59">
        <f>SUM(O504:O508)</f>
        <v>7.2585210138184933E-2</v>
      </c>
    </row>
    <row r="510" spans="1:16" ht="25.5">
      <c r="A510" s="119" t="s">
        <v>506</v>
      </c>
      <c r="B510" s="119" t="s">
        <v>468</v>
      </c>
      <c r="C510" s="119" t="s">
        <v>507</v>
      </c>
      <c r="D510" s="208">
        <v>783806</v>
      </c>
      <c r="E510" s="119" t="s">
        <v>470</v>
      </c>
      <c r="F510" s="119" t="s">
        <v>471</v>
      </c>
      <c r="G510" s="119" t="s">
        <v>472</v>
      </c>
      <c r="H510" s="119" t="s">
        <v>1</v>
      </c>
      <c r="I510" s="208">
        <v>1.2056009667653272E-2</v>
      </c>
      <c r="J510" s="119" t="s">
        <v>473</v>
      </c>
      <c r="K510" s="119" t="s">
        <v>470</v>
      </c>
      <c r="L510" s="209">
        <v>9449.5727135646412</v>
      </c>
      <c r="M510" s="52">
        <f>SUM(L510/2000)</f>
        <v>4.724786356782321</v>
      </c>
      <c r="N510" s="52"/>
      <c r="O510" s="59">
        <f>SUM(M510/365)</f>
        <v>1.2944620155568003E-2</v>
      </c>
    </row>
    <row r="511" spans="1:16" ht="25.5">
      <c r="A511" s="119" t="s">
        <v>506</v>
      </c>
      <c r="B511" s="119" t="s">
        <v>468</v>
      </c>
      <c r="C511" s="119" t="s">
        <v>507</v>
      </c>
      <c r="D511" s="208">
        <v>783806</v>
      </c>
      <c r="E511" s="119" t="s">
        <v>470</v>
      </c>
      <c r="F511" s="119" t="s">
        <v>474</v>
      </c>
      <c r="G511" s="119" t="s">
        <v>475</v>
      </c>
      <c r="H511" s="119" t="s">
        <v>1</v>
      </c>
      <c r="I511" s="208">
        <v>4.1480306652561326E-2</v>
      </c>
      <c r="J511" s="119" t="s">
        <v>473</v>
      </c>
      <c r="K511" s="119" t="s">
        <v>470</v>
      </c>
      <c r="L511" s="209">
        <v>32512.513236117484</v>
      </c>
      <c r="M511" s="52">
        <f>SUM(L511/2000)</f>
        <v>16.256256618058742</v>
      </c>
      <c r="N511" s="52"/>
      <c r="O511" s="59">
        <f>SUM(M511/365)</f>
        <v>4.4537689364544497E-2</v>
      </c>
    </row>
    <row r="512" spans="1:16" ht="25.5">
      <c r="A512" s="119" t="s">
        <v>506</v>
      </c>
      <c r="B512" s="119" t="s">
        <v>468</v>
      </c>
      <c r="C512" s="119" t="s">
        <v>507</v>
      </c>
      <c r="D512" s="208">
        <v>783806</v>
      </c>
      <c r="E512" s="119" t="s">
        <v>470</v>
      </c>
      <c r="F512" s="119" t="s">
        <v>476</v>
      </c>
      <c r="G512" s="119" t="s">
        <v>477</v>
      </c>
      <c r="H512" s="119" t="s">
        <v>1</v>
      </c>
      <c r="I512" s="208">
        <v>1.2608151096243402E-2</v>
      </c>
      <c r="J512" s="119" t="s">
        <v>473</v>
      </c>
      <c r="K512" s="119" t="s">
        <v>470</v>
      </c>
      <c r="L512" s="209">
        <v>9882.3444781421567</v>
      </c>
      <c r="M512" s="52">
        <f>SUM(L512/2000)</f>
        <v>4.9411722390710784</v>
      </c>
      <c r="N512" s="52"/>
      <c r="O512" s="59">
        <f>SUM(M512/365)</f>
        <v>1.3537458189235831E-2</v>
      </c>
    </row>
    <row r="513" spans="1:16" ht="25.5">
      <c r="A513" s="119" t="s">
        <v>506</v>
      </c>
      <c r="B513" s="119" t="s">
        <v>468</v>
      </c>
      <c r="C513" s="119" t="s">
        <v>507</v>
      </c>
      <c r="D513" s="208">
        <v>783806</v>
      </c>
      <c r="E513" s="119" t="s">
        <v>470</v>
      </c>
      <c r="F513" s="119" t="s">
        <v>478</v>
      </c>
      <c r="G513" s="119" t="s">
        <v>479</v>
      </c>
      <c r="H513" s="119" t="s">
        <v>1</v>
      </c>
      <c r="I513" s="208">
        <v>5.9432814399539317E-3</v>
      </c>
      <c r="J513" s="119" t="s">
        <v>473</v>
      </c>
      <c r="K513" s="119" t="s">
        <v>470</v>
      </c>
      <c r="L513" s="209">
        <v>4658.379652324531</v>
      </c>
      <c r="M513" s="52">
        <f>SUM(L513/2000)</f>
        <v>2.3291898261622657</v>
      </c>
      <c r="N513" s="52"/>
      <c r="O513" s="59">
        <f>SUM(M513/365)</f>
        <v>6.3813419894856597E-3</v>
      </c>
    </row>
    <row r="514" spans="1:16" ht="25.5">
      <c r="A514" s="119" t="s">
        <v>506</v>
      </c>
      <c r="B514" s="119" t="s">
        <v>468</v>
      </c>
      <c r="C514" s="119" t="s">
        <v>507</v>
      </c>
      <c r="D514" s="208">
        <v>783806</v>
      </c>
      <c r="E514" s="119" t="s">
        <v>470</v>
      </c>
      <c r="F514" s="119" t="s">
        <v>480</v>
      </c>
      <c r="G514" s="119" t="s">
        <v>481</v>
      </c>
      <c r="H514" s="119" t="s">
        <v>1</v>
      </c>
      <c r="I514" s="208">
        <v>2.3156397268629241E-4</v>
      </c>
      <c r="J514" s="119" t="s">
        <v>473</v>
      </c>
      <c r="K514" s="119" t="s">
        <v>470</v>
      </c>
      <c r="L514" s="209">
        <v>181.5012311753521</v>
      </c>
      <c r="M514" s="52">
        <f>SUM(L514/2000)</f>
        <v>9.0750615587676053E-2</v>
      </c>
      <c r="N514" s="52"/>
      <c r="O514" s="59">
        <f>SUM(M514/365)</f>
        <v>2.486318235278796E-4</v>
      </c>
    </row>
    <row r="515" spans="1:16">
      <c r="N515" s="59">
        <f>SUM(M510:M514)</f>
        <v>28.342155655662086</v>
      </c>
      <c r="P515" s="59">
        <f>SUM(O510:O514)</f>
        <v>7.7649741522361884E-2</v>
      </c>
    </row>
    <row r="516" spans="1:16">
      <c r="H516" s="98" t="s">
        <v>1</v>
      </c>
      <c r="L516" s="212">
        <f>SUM(L432:L514)</f>
        <v>469928.50822615688</v>
      </c>
      <c r="M516" s="77">
        <f>SUM(M432:M514)</f>
        <v>234.96425411307848</v>
      </c>
      <c r="N516" s="77">
        <f>SUM(N432:N515)</f>
        <v>234.96425411307845</v>
      </c>
      <c r="O516" s="82">
        <f>SUM(O432:O514)</f>
        <v>0.6437376825015847</v>
      </c>
      <c r="P516" s="82">
        <f>SUM(P432:P515)</f>
        <v>0.64373768250158481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1.RESIDENTIAL </vt:lpstr>
      <vt:lpstr>1.2.WOOD-BURNING-EPA</vt:lpstr>
      <vt:lpstr>2.COMMERCIAL</vt:lpstr>
      <vt:lpstr>3.SMALL INDUSTRIAL</vt:lpstr>
      <vt:lpstr>4.COMMERC COOKING-EPA</vt:lpstr>
      <vt:lpstr>Print_Area_MI</vt:lpstr>
    </vt:vector>
  </TitlesOfParts>
  <Company>Commonwealth of Massachusetts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ksantlal</dc:creator>
  <cp:lastModifiedBy>MWERT</cp:lastModifiedBy>
  <cp:lastPrinted>2013-03-21T21:39:52Z</cp:lastPrinted>
  <dcterms:created xsi:type="dcterms:W3CDTF">2010-03-09T20:02:37Z</dcterms:created>
  <dcterms:modified xsi:type="dcterms:W3CDTF">2015-06-17T16:38:04Z</dcterms:modified>
</cp:coreProperties>
</file>