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5480" windowHeight="8985" tabRatio="700" activeTab="5"/>
  </bookViews>
  <sheets>
    <sheet name="gasdis11" sheetId="1" r:id="rId1"/>
    <sheet name="portvoc11" sheetId="3" r:id="rId2"/>
    <sheet name="PFC-Sum-EPA" sheetId="7" r:id="rId3"/>
    <sheet name="Aviation-Gasoline" sheetId="9" r:id="rId4"/>
    <sheet name="total-gas-dist" sheetId="10" r:id="rId5"/>
    <sheet name="Sheet1" sheetId="11" r:id="rId6"/>
  </sheets>
  <definedNames>
    <definedName name="_Regression_Int" localSheetId="0" hidden="1">1</definedName>
    <definedName name="_xlnm.Print_Area" localSheetId="0">gasdis11!$A$1:$O$35</definedName>
    <definedName name="Print_Area_MI" localSheetId="0">gasdis11!$A$1:$P$32</definedName>
  </definedNames>
  <calcPr calcId="145621"/>
</workbook>
</file>

<file path=xl/calcChain.xml><?xml version="1.0" encoding="utf-8"?>
<calcChain xmlns="http://schemas.openxmlformats.org/spreadsheetml/2006/main">
  <c r="R28" i="11" l="1"/>
  <c r="P28" i="11"/>
  <c r="O28" i="11"/>
  <c r="N28" i="11"/>
  <c r="M28" i="11"/>
  <c r="L28" i="11"/>
  <c r="K28" i="11"/>
  <c r="J28" i="11"/>
  <c r="I28" i="11"/>
  <c r="R25" i="11"/>
  <c r="R27" i="11" s="1"/>
  <c r="P25" i="11"/>
  <c r="O25" i="11"/>
  <c r="O27" i="11" s="1"/>
  <c r="N25" i="11"/>
  <c r="N27" i="11" s="1"/>
  <c r="M25" i="11"/>
  <c r="M27" i="11" s="1"/>
  <c r="L25" i="11"/>
  <c r="K25" i="11"/>
  <c r="K27" i="11" s="1"/>
  <c r="J25" i="11"/>
  <c r="J27" i="11" s="1"/>
  <c r="I25" i="11"/>
  <c r="I27" i="11" s="1"/>
  <c r="H25" i="11"/>
  <c r="G25" i="11"/>
  <c r="F25" i="11"/>
  <c r="E25" i="11"/>
  <c r="D25" i="11"/>
  <c r="B25" i="11"/>
  <c r="C25" i="11" s="1"/>
  <c r="Q25" i="11" s="1"/>
  <c r="T23" i="11"/>
  <c r="C23" i="11"/>
  <c r="Q23" i="11" s="1"/>
  <c r="S23" i="11" s="1"/>
  <c r="T22" i="11"/>
  <c r="C22" i="11"/>
  <c r="Q22" i="11" s="1"/>
  <c r="S22" i="11" s="1"/>
  <c r="T21" i="11"/>
  <c r="C21" i="11"/>
  <c r="Q21" i="11" s="1"/>
  <c r="S21" i="11" s="1"/>
  <c r="T20" i="11"/>
  <c r="C20" i="11"/>
  <c r="Q20" i="11" s="1"/>
  <c r="S20" i="11" s="1"/>
  <c r="T19" i="11"/>
  <c r="C19" i="11"/>
  <c r="Q19" i="11" s="1"/>
  <c r="S19" i="11" s="1"/>
  <c r="T18" i="11"/>
  <c r="C18" i="11"/>
  <c r="Q18" i="11" s="1"/>
  <c r="S18" i="11" s="1"/>
  <c r="T17" i="11"/>
  <c r="C17" i="11"/>
  <c r="Q17" i="11" s="1"/>
  <c r="S17" i="11" s="1"/>
  <c r="T16" i="11"/>
  <c r="C16" i="11"/>
  <c r="Q16" i="11" s="1"/>
  <c r="S16" i="11" s="1"/>
  <c r="T15" i="11"/>
  <c r="C15" i="11"/>
  <c r="Q15" i="11" s="1"/>
  <c r="S15" i="11" s="1"/>
  <c r="T14" i="11"/>
  <c r="C14" i="11"/>
  <c r="Q14" i="11" s="1"/>
  <c r="S14" i="11" s="1"/>
  <c r="T13" i="11"/>
  <c r="C13" i="11"/>
  <c r="Q13" i="11" s="1"/>
  <c r="S13" i="11" s="1"/>
  <c r="T12" i="11"/>
  <c r="C12" i="11"/>
  <c r="Q12" i="11" s="1"/>
  <c r="S12" i="11" s="1"/>
  <c r="T11" i="11"/>
  <c r="T28" i="11" s="1"/>
  <c r="C11" i="11"/>
  <c r="Q11" i="11" s="1"/>
  <c r="T10" i="11"/>
  <c r="C10" i="11"/>
  <c r="Q10" i="11" s="1"/>
  <c r="S10" i="11" s="1"/>
  <c r="L10" i="10"/>
  <c r="F25" i="10"/>
  <c r="M23" i="10"/>
  <c r="M15" i="10"/>
  <c r="F28" i="10"/>
  <c r="L24" i="3"/>
  <c r="G37" i="7"/>
  <c r="F37" i="7"/>
  <c r="F38" i="7" s="1"/>
  <c r="E37" i="7"/>
  <c r="D37" i="7"/>
  <c r="C37" i="7"/>
  <c r="I36" i="7"/>
  <c r="H36" i="7"/>
  <c r="H35" i="7"/>
  <c r="I35" i="7"/>
  <c r="I34" i="7"/>
  <c r="H34" i="7"/>
  <c r="H33" i="7"/>
  <c r="I33" i="7"/>
  <c r="I32" i="7"/>
  <c r="H32" i="7"/>
  <c r="H31" i="7"/>
  <c r="I31" i="7"/>
  <c r="I30" i="7"/>
  <c r="H30" i="7"/>
  <c r="H29" i="7"/>
  <c r="I29" i="7"/>
  <c r="I28" i="7"/>
  <c r="H28" i="7"/>
  <c r="H27" i="7"/>
  <c r="I27" i="7"/>
  <c r="I26" i="7"/>
  <c r="H26" i="7"/>
  <c r="H25" i="7"/>
  <c r="I25" i="7"/>
  <c r="I24" i="7"/>
  <c r="H24" i="7"/>
  <c r="H23" i="7"/>
  <c r="H37" i="7"/>
  <c r="I37" i="7"/>
  <c r="G20" i="7"/>
  <c r="G38" i="7" s="1"/>
  <c r="F20" i="7"/>
  <c r="E20" i="7"/>
  <c r="E38" i="7" s="1"/>
  <c r="D20" i="7"/>
  <c r="D38" i="7"/>
  <c r="C20" i="7"/>
  <c r="C38" i="7" s="1"/>
  <c r="H19" i="7"/>
  <c r="I19" i="7"/>
  <c r="H18" i="7"/>
  <c r="I18" i="7"/>
  <c r="H17" i="7"/>
  <c r="I17" i="7"/>
  <c r="H16" i="7"/>
  <c r="I16" i="7"/>
  <c r="H15" i="7"/>
  <c r="I15" i="7"/>
  <c r="H14" i="7"/>
  <c r="I14" i="7"/>
  <c r="H13" i="7"/>
  <c r="I13" i="7"/>
  <c r="H12" i="7"/>
  <c r="I12" i="7"/>
  <c r="H11" i="7"/>
  <c r="I11" i="7"/>
  <c r="H10" i="7"/>
  <c r="I10" i="7"/>
  <c r="H9" i="7"/>
  <c r="I9" i="7"/>
  <c r="H8" i="7"/>
  <c r="I8" i="7"/>
  <c r="H7" i="7"/>
  <c r="I7" i="7"/>
  <c r="H6" i="7"/>
  <c r="H20" i="7"/>
  <c r="F24" i="9"/>
  <c r="D24" i="9"/>
  <c r="D14" i="9"/>
  <c r="F14" i="9" s="1"/>
  <c r="G14" i="9" s="1"/>
  <c r="D18" i="9"/>
  <c r="F18" i="9" s="1"/>
  <c r="G18" i="9" s="1"/>
  <c r="D22" i="9"/>
  <c r="F22" i="9" s="1"/>
  <c r="G22" i="9" s="1"/>
  <c r="C11" i="1"/>
  <c r="D11" i="1" s="1"/>
  <c r="G11" i="1" s="1"/>
  <c r="H11" i="1" s="1"/>
  <c r="I11" i="1" s="1"/>
  <c r="C12" i="1"/>
  <c r="D12" i="1"/>
  <c r="C13" i="1"/>
  <c r="D13" i="1" s="1"/>
  <c r="C14" i="1"/>
  <c r="D14" i="1" s="1"/>
  <c r="J14" i="1" s="1"/>
  <c r="K14" i="1" s="1"/>
  <c r="C15" i="1"/>
  <c r="C16" i="1"/>
  <c r="D16" i="1"/>
  <c r="C17" i="1"/>
  <c r="C18" i="1"/>
  <c r="D18" i="1"/>
  <c r="C19" i="1"/>
  <c r="D19" i="1" s="1"/>
  <c r="C20" i="1"/>
  <c r="D20" i="1"/>
  <c r="C21" i="1"/>
  <c r="C22" i="1"/>
  <c r="D22" i="1" s="1"/>
  <c r="G22" i="1" s="1"/>
  <c r="H22" i="1" s="1"/>
  <c r="C23" i="1"/>
  <c r="C10" i="1"/>
  <c r="D15" i="1"/>
  <c r="D17" i="1"/>
  <c r="G17" i="1" s="1"/>
  <c r="H17" i="1" s="1"/>
  <c r="I17" i="1" s="1"/>
  <c r="D21" i="1"/>
  <c r="G21" i="1" s="1"/>
  <c r="H21" i="1" s="1"/>
  <c r="D23" i="1"/>
  <c r="D10" i="1"/>
  <c r="G10" i="1" s="1"/>
  <c r="H10" i="1" s="1"/>
  <c r="N10" i="1" s="1"/>
  <c r="J28" i="10"/>
  <c r="K28" i="10"/>
  <c r="I27" i="10"/>
  <c r="J27" i="10"/>
  <c r="K27" i="10"/>
  <c r="I28" i="10"/>
  <c r="K25" i="10"/>
  <c r="J25" i="10"/>
  <c r="C35" i="3"/>
  <c r="C32" i="3"/>
  <c r="C29" i="3"/>
  <c r="C28" i="3"/>
  <c r="C25" i="3"/>
  <c r="C24" i="3"/>
  <c r="C20" i="3"/>
  <c r="C15" i="3"/>
  <c r="C16" i="3"/>
  <c r="C17" i="3"/>
  <c r="C14" i="3"/>
  <c r="L22" i="10"/>
  <c r="E11" i="10"/>
  <c r="E15" i="10"/>
  <c r="E16" i="10"/>
  <c r="M16" i="10" s="1"/>
  <c r="E17" i="10"/>
  <c r="M17" i="10" s="1"/>
  <c r="D28" i="10"/>
  <c r="H28" i="10"/>
  <c r="E10" i="10"/>
  <c r="E27" i="10" s="1"/>
  <c r="E12" i="10"/>
  <c r="M12" i="10" s="1"/>
  <c r="E13" i="10"/>
  <c r="E14" i="10"/>
  <c r="M14" i="10" s="1"/>
  <c r="E18" i="10"/>
  <c r="M18" i="10" s="1"/>
  <c r="E19" i="10"/>
  <c r="M19" i="10" s="1"/>
  <c r="E20" i="10"/>
  <c r="M20" i="10" s="1"/>
  <c r="E21" i="10"/>
  <c r="M21" i="10" s="1"/>
  <c r="E22" i="10"/>
  <c r="M22" i="10" s="1"/>
  <c r="E23" i="10"/>
  <c r="D27" i="10"/>
  <c r="H27" i="10"/>
  <c r="D25" i="10"/>
  <c r="E25" i="10" s="1"/>
  <c r="I25" i="10"/>
  <c r="H25" i="10"/>
  <c r="L23" i="10"/>
  <c r="L21" i="10"/>
  <c r="L19" i="10"/>
  <c r="L18" i="10"/>
  <c r="L17" i="10"/>
  <c r="L16" i="10"/>
  <c r="L15" i="10"/>
  <c r="L14" i="10"/>
  <c r="L13" i="10"/>
  <c r="L12" i="10"/>
  <c r="L11" i="10"/>
  <c r="G15" i="1"/>
  <c r="H15" i="1" s="1"/>
  <c r="G23" i="1"/>
  <c r="H23" i="1" s="1"/>
  <c r="I23" i="1" s="1"/>
  <c r="C11" i="9"/>
  <c r="D11" i="9" s="1"/>
  <c r="C12" i="9"/>
  <c r="D12" i="9" s="1"/>
  <c r="C13" i="9"/>
  <c r="D13" i="9" s="1"/>
  <c r="E13" i="9" s="1"/>
  <c r="C14" i="9"/>
  <c r="C15" i="9"/>
  <c r="D15" i="9" s="1"/>
  <c r="C16" i="9"/>
  <c r="D16" i="9" s="1"/>
  <c r="C17" i="9"/>
  <c r="D17" i="9" s="1"/>
  <c r="C18" i="9"/>
  <c r="C19" i="9"/>
  <c r="D19" i="9" s="1"/>
  <c r="C20" i="9"/>
  <c r="D20" i="9" s="1"/>
  <c r="E20" i="9" s="1"/>
  <c r="C21" i="9"/>
  <c r="D21" i="9" s="1"/>
  <c r="E21" i="9" s="1"/>
  <c r="C22" i="9"/>
  <c r="C23" i="9"/>
  <c r="D23" i="9" s="1"/>
  <c r="B25" i="9"/>
  <c r="C25" i="9"/>
  <c r="D25" i="9" s="1"/>
  <c r="C10" i="9"/>
  <c r="D10" i="9" s="1"/>
  <c r="B28" i="9"/>
  <c r="B27" i="9"/>
  <c r="E23" i="1"/>
  <c r="F23" i="1"/>
  <c r="O24" i="3"/>
  <c r="H24" i="3"/>
  <c r="M24" i="3" s="1"/>
  <c r="D24" i="3"/>
  <c r="G24" i="3"/>
  <c r="F24" i="3"/>
  <c r="B25" i="1"/>
  <c r="C25" i="1" s="1"/>
  <c r="D25" i="1" s="1"/>
  <c r="D10" i="3"/>
  <c r="D12" i="3" s="1"/>
  <c r="G12" i="3" s="1"/>
  <c r="D11" i="3"/>
  <c r="F10" i="3"/>
  <c r="F11" i="3"/>
  <c r="F12" i="3"/>
  <c r="H10" i="3"/>
  <c r="H11" i="3"/>
  <c r="H12" i="3"/>
  <c r="J10" i="3"/>
  <c r="J12" i="3" s="1"/>
  <c r="J38" i="3" s="1"/>
  <c r="J11" i="3"/>
  <c r="L10" i="3"/>
  <c r="L11" i="3"/>
  <c r="D14" i="3"/>
  <c r="D15" i="3"/>
  <c r="G15" i="3" s="1"/>
  <c r="D16" i="3"/>
  <c r="G16" i="3" s="1"/>
  <c r="D17" i="3"/>
  <c r="F14" i="3"/>
  <c r="F18" i="3" s="1"/>
  <c r="F15" i="3"/>
  <c r="F16" i="3"/>
  <c r="H14" i="3"/>
  <c r="H15" i="3"/>
  <c r="H16" i="3"/>
  <c r="H17" i="3"/>
  <c r="J14" i="3"/>
  <c r="J15" i="3"/>
  <c r="J16" i="3"/>
  <c r="J17" i="3"/>
  <c r="L14" i="3"/>
  <c r="L15" i="3"/>
  <c r="L16" i="3"/>
  <c r="L17" i="3"/>
  <c r="L18" i="3"/>
  <c r="D20" i="3"/>
  <c r="F20" i="3"/>
  <c r="G20" i="3" s="1"/>
  <c r="H20" i="3"/>
  <c r="J20" i="3"/>
  <c r="L20" i="3"/>
  <c r="M20" i="3" s="1"/>
  <c r="D25" i="3"/>
  <c r="F25" i="3"/>
  <c r="F26" i="3"/>
  <c r="H25" i="3"/>
  <c r="H26" i="3" s="1"/>
  <c r="M26" i="3" s="1"/>
  <c r="J26" i="3"/>
  <c r="L26" i="3"/>
  <c r="D28" i="3"/>
  <c r="D29" i="3"/>
  <c r="G29" i="3" s="1"/>
  <c r="F28" i="3"/>
  <c r="F29" i="3"/>
  <c r="F30" i="3"/>
  <c r="H28" i="3"/>
  <c r="H30" i="3" s="1"/>
  <c r="M30" i="3" s="1"/>
  <c r="H29" i="3"/>
  <c r="J28" i="3"/>
  <c r="J29" i="3"/>
  <c r="L28" i="3"/>
  <c r="L29" i="3"/>
  <c r="D32" i="3"/>
  <c r="G32" i="3"/>
  <c r="F32" i="3"/>
  <c r="H32" i="3"/>
  <c r="J32" i="3"/>
  <c r="L32" i="3"/>
  <c r="M32" i="3" s="1"/>
  <c r="N32" i="3" s="1"/>
  <c r="O32" i="3" s="1"/>
  <c r="D35" i="3"/>
  <c r="D36" i="3" s="1"/>
  <c r="G36" i="3" s="1"/>
  <c r="F35" i="3"/>
  <c r="F36" i="3" s="1"/>
  <c r="H35" i="3"/>
  <c r="H36" i="3"/>
  <c r="J35" i="3"/>
  <c r="J36" i="3" s="1"/>
  <c r="L35" i="3"/>
  <c r="L36" i="3"/>
  <c r="K39" i="3"/>
  <c r="L39" i="3" s="1"/>
  <c r="I39" i="3"/>
  <c r="J39" i="3"/>
  <c r="B39" i="3"/>
  <c r="D39" i="3" s="1"/>
  <c r="E39" i="3"/>
  <c r="F39" i="3"/>
  <c r="G35" i="3"/>
  <c r="J25" i="3"/>
  <c r="G25" i="3"/>
  <c r="F17" i="3"/>
  <c r="G17" i="3" s="1"/>
  <c r="C28" i="1"/>
  <c r="B28" i="1"/>
  <c r="C27" i="1"/>
  <c r="B27" i="1"/>
  <c r="D28" i="9"/>
  <c r="E22" i="9"/>
  <c r="E18" i="9"/>
  <c r="E14" i="9"/>
  <c r="E12" i="9"/>
  <c r="C27" i="9"/>
  <c r="C28" i="9"/>
  <c r="J10" i="1"/>
  <c r="K10" i="1"/>
  <c r="G14" i="1"/>
  <c r="H14" i="1"/>
  <c r="I14" i="1" s="1"/>
  <c r="E14" i="1"/>
  <c r="F14" i="1"/>
  <c r="E10" i="1"/>
  <c r="F10" i="1"/>
  <c r="E21" i="1"/>
  <c r="F21" i="1"/>
  <c r="E17" i="1"/>
  <c r="F17" i="1"/>
  <c r="L10" i="1"/>
  <c r="M10" i="1"/>
  <c r="I21" i="1"/>
  <c r="O21" i="1" s="1"/>
  <c r="J22" i="1"/>
  <c r="K22" i="1" s="1"/>
  <c r="L22" i="1"/>
  <c r="M22" i="1"/>
  <c r="G20" i="1"/>
  <c r="H20" i="1"/>
  <c r="I20" i="1" s="1"/>
  <c r="O20" i="1" s="1"/>
  <c r="J20" i="1"/>
  <c r="K20" i="1" s="1"/>
  <c r="L20" i="1"/>
  <c r="M20" i="1"/>
  <c r="E20" i="1"/>
  <c r="F20" i="1" s="1"/>
  <c r="G18" i="1"/>
  <c r="H18" i="1" s="1"/>
  <c r="J18" i="1"/>
  <c r="K18" i="1" s="1"/>
  <c r="L18" i="1"/>
  <c r="M18" i="1"/>
  <c r="E18" i="1"/>
  <c r="F18" i="1"/>
  <c r="G16" i="1"/>
  <c r="H16" i="1"/>
  <c r="N16" i="1" s="1"/>
  <c r="J16" i="1"/>
  <c r="K16" i="1"/>
  <c r="L16" i="1"/>
  <c r="M16" i="1"/>
  <c r="E16" i="1"/>
  <c r="F16" i="1"/>
  <c r="G12" i="1"/>
  <c r="H12" i="1"/>
  <c r="I12" i="1" s="1"/>
  <c r="E12" i="1"/>
  <c r="F12" i="1"/>
  <c r="D28" i="1"/>
  <c r="E15" i="1"/>
  <c r="F15" i="1" s="1"/>
  <c r="E11" i="1"/>
  <c r="F11" i="1"/>
  <c r="L23" i="1"/>
  <c r="M23" i="1" s="1"/>
  <c r="O23" i="1" s="1"/>
  <c r="J23" i="1"/>
  <c r="K23" i="1"/>
  <c r="L21" i="1"/>
  <c r="M21" i="1" s="1"/>
  <c r="J21" i="1"/>
  <c r="N21" i="1" s="1"/>
  <c r="K21" i="1"/>
  <c r="L19" i="1"/>
  <c r="M19" i="1" s="1"/>
  <c r="J19" i="1"/>
  <c r="K19" i="1"/>
  <c r="L17" i="1"/>
  <c r="M17" i="1" s="1"/>
  <c r="O17" i="1" s="1"/>
  <c r="J17" i="1"/>
  <c r="K17" i="1"/>
  <c r="L14" i="1"/>
  <c r="N14" i="1" s="1"/>
  <c r="L11" i="1"/>
  <c r="M11" i="1"/>
  <c r="J11" i="1"/>
  <c r="K11" i="1" s="1"/>
  <c r="I15" i="1"/>
  <c r="I28" i="1" s="1"/>
  <c r="L15" i="1"/>
  <c r="M15" i="1" s="1"/>
  <c r="J15" i="1"/>
  <c r="G13" i="1"/>
  <c r="H13" i="1" s="1"/>
  <c r="J13" i="1"/>
  <c r="K13" i="1"/>
  <c r="L13" i="1"/>
  <c r="M13" i="1" s="1"/>
  <c r="E13" i="1"/>
  <c r="F13" i="1"/>
  <c r="D27" i="1"/>
  <c r="L12" i="1"/>
  <c r="J12" i="1"/>
  <c r="K12" i="1" s="1"/>
  <c r="K27" i="1" s="1"/>
  <c r="I10" i="1"/>
  <c r="O10" i="1" s="1"/>
  <c r="I16" i="1"/>
  <c r="O16" i="1"/>
  <c r="N20" i="1"/>
  <c r="N23" i="1"/>
  <c r="L28" i="1"/>
  <c r="K15" i="1"/>
  <c r="J28" i="1"/>
  <c r="M12" i="1"/>
  <c r="L27" i="1"/>
  <c r="J27" i="1"/>
  <c r="I23" i="7"/>
  <c r="I6" i="7"/>
  <c r="I20" i="7"/>
  <c r="I38" i="7"/>
  <c r="H38" i="7"/>
  <c r="M36" i="3"/>
  <c r="N36" i="3"/>
  <c r="O36" i="3"/>
  <c r="L30" i="3"/>
  <c r="J30" i="3"/>
  <c r="G28" i="3"/>
  <c r="D26" i="3"/>
  <c r="G26" i="3"/>
  <c r="N26" i="3"/>
  <c r="O26" i="3" s="1"/>
  <c r="N20" i="3"/>
  <c r="O20" i="3"/>
  <c r="J18" i="3"/>
  <c r="D18" i="3"/>
  <c r="C18" i="3"/>
  <c r="H39" i="3"/>
  <c r="C39" i="3"/>
  <c r="H18" i="3"/>
  <c r="M18" i="3" s="1"/>
  <c r="G14" i="3"/>
  <c r="L28" i="10"/>
  <c r="F27" i="10"/>
  <c r="L20" i="10"/>
  <c r="M10" i="10"/>
  <c r="M25" i="10" s="1"/>
  <c r="M27" i="10"/>
  <c r="M13" i="10"/>
  <c r="L27" i="10"/>
  <c r="L25" i="10"/>
  <c r="G27" i="10"/>
  <c r="M11" i="10"/>
  <c r="G28" i="10"/>
  <c r="G25" i="10"/>
  <c r="M28" i="10"/>
  <c r="M28" i="1" l="1"/>
  <c r="O15" i="1"/>
  <c r="O28" i="1"/>
  <c r="N13" i="1"/>
  <c r="I13" i="1"/>
  <c r="O13" i="1" s="1"/>
  <c r="K28" i="1"/>
  <c r="O11" i="1"/>
  <c r="I18" i="1"/>
  <c r="O18" i="1" s="1"/>
  <c r="N18" i="1"/>
  <c r="G18" i="3"/>
  <c r="N18" i="3" s="1"/>
  <c r="O18" i="3" s="1"/>
  <c r="F38" i="3"/>
  <c r="I22" i="1"/>
  <c r="O22" i="1" s="1"/>
  <c r="N22" i="1"/>
  <c r="O12" i="1"/>
  <c r="H28" i="1"/>
  <c r="N28" i="1" s="1"/>
  <c r="H38" i="3"/>
  <c r="N12" i="1"/>
  <c r="N17" i="1"/>
  <c r="N11" i="1"/>
  <c r="M14" i="1"/>
  <c r="M27" i="1" s="1"/>
  <c r="E22" i="1"/>
  <c r="F22" i="1" s="1"/>
  <c r="H10" i="9"/>
  <c r="F10" i="9"/>
  <c r="E10" i="9"/>
  <c r="J10" i="9"/>
  <c r="D27" i="9"/>
  <c r="J25" i="9"/>
  <c r="K25" i="9" s="1"/>
  <c r="E25" i="9"/>
  <c r="H25" i="9"/>
  <c r="I25" i="9" s="1"/>
  <c r="F25" i="9"/>
  <c r="H21" i="9"/>
  <c r="I21" i="9" s="1"/>
  <c r="J21" i="9"/>
  <c r="K21" i="9" s="1"/>
  <c r="F21" i="9"/>
  <c r="H17" i="9"/>
  <c r="I17" i="9" s="1"/>
  <c r="E17" i="9"/>
  <c r="J17" i="9"/>
  <c r="K17" i="9" s="1"/>
  <c r="F17" i="9"/>
  <c r="H13" i="9"/>
  <c r="I13" i="9" s="1"/>
  <c r="J13" i="9"/>
  <c r="K13" i="9" s="1"/>
  <c r="F13" i="9"/>
  <c r="G19" i="1"/>
  <c r="H19" i="1" s="1"/>
  <c r="E19" i="1"/>
  <c r="F19" i="1" s="1"/>
  <c r="D30" i="3"/>
  <c r="J25" i="1"/>
  <c r="K25" i="1" s="1"/>
  <c r="G25" i="1"/>
  <c r="H25" i="1" s="1"/>
  <c r="L25" i="1"/>
  <c r="M25" i="1" s="1"/>
  <c r="E25" i="1"/>
  <c r="F25" i="1" s="1"/>
  <c r="J20" i="9"/>
  <c r="K20" i="9" s="1"/>
  <c r="F20" i="9"/>
  <c r="H20" i="9"/>
  <c r="I20" i="9" s="1"/>
  <c r="J16" i="9"/>
  <c r="K16" i="9" s="1"/>
  <c r="E16" i="9"/>
  <c r="F16" i="9"/>
  <c r="H16" i="9"/>
  <c r="I16" i="9" s="1"/>
  <c r="J12" i="9"/>
  <c r="K12" i="9" s="1"/>
  <c r="F12" i="9"/>
  <c r="H12" i="9"/>
  <c r="I12" i="9" s="1"/>
  <c r="Q28" i="11"/>
  <c r="S11" i="11"/>
  <c r="S28" i="11" s="1"/>
  <c r="N15" i="1"/>
  <c r="L12" i="3"/>
  <c r="F23" i="9"/>
  <c r="H23" i="9"/>
  <c r="I23" i="9" s="1"/>
  <c r="J23" i="9"/>
  <c r="K23" i="9" s="1"/>
  <c r="E23" i="9"/>
  <c r="F19" i="9"/>
  <c r="E19" i="9"/>
  <c r="H19" i="9"/>
  <c r="I19" i="9" s="1"/>
  <c r="J19" i="9"/>
  <c r="K19" i="9" s="1"/>
  <c r="F15" i="9"/>
  <c r="H15" i="9"/>
  <c r="I15" i="9" s="1"/>
  <c r="J15" i="9"/>
  <c r="K15" i="9" s="1"/>
  <c r="E15" i="9"/>
  <c r="F11" i="9"/>
  <c r="E11" i="9"/>
  <c r="H11" i="9"/>
  <c r="J11" i="9"/>
  <c r="E28" i="10"/>
  <c r="L27" i="11"/>
  <c r="P27" i="11"/>
  <c r="J22" i="9"/>
  <c r="K22" i="9" s="1"/>
  <c r="J18" i="9"/>
  <c r="K18" i="9" s="1"/>
  <c r="J14" i="9"/>
  <c r="K14" i="9" s="1"/>
  <c r="H22" i="9"/>
  <c r="I22" i="9" s="1"/>
  <c r="H18" i="9"/>
  <c r="H14" i="9"/>
  <c r="I14" i="9" s="1"/>
  <c r="Q27" i="11"/>
  <c r="T25" i="11"/>
  <c r="T27" i="11" s="1"/>
  <c r="S25" i="11"/>
  <c r="G30" i="3" l="1"/>
  <c r="N30" i="3" s="1"/>
  <c r="O30" i="3" s="1"/>
  <c r="D38" i="3"/>
  <c r="G38" i="3" s="1"/>
  <c r="S27" i="11"/>
  <c r="I18" i="9"/>
  <c r="M18" i="9" s="1"/>
  <c r="L18" i="9"/>
  <c r="J28" i="9"/>
  <c r="K11" i="9"/>
  <c r="K28" i="9" s="1"/>
  <c r="L38" i="3"/>
  <c r="M12" i="3"/>
  <c r="N12" i="3" s="1"/>
  <c r="L16" i="9"/>
  <c r="G16" i="9"/>
  <c r="M16" i="9" s="1"/>
  <c r="L20" i="9"/>
  <c r="G20" i="9"/>
  <c r="M20" i="9" s="1"/>
  <c r="N25" i="1"/>
  <c r="I25" i="1"/>
  <c r="O25" i="1" s="1"/>
  <c r="I19" i="1"/>
  <c r="N19" i="1"/>
  <c r="G17" i="9"/>
  <c r="M17" i="9" s="1"/>
  <c r="L17" i="9"/>
  <c r="G21" i="9"/>
  <c r="M21" i="9" s="1"/>
  <c r="L21" i="9"/>
  <c r="J27" i="9"/>
  <c r="K10" i="9"/>
  <c r="K27" i="9" s="1"/>
  <c r="L14" i="9"/>
  <c r="M22" i="9"/>
  <c r="I11" i="9"/>
  <c r="I28" i="9" s="1"/>
  <c r="H28" i="9"/>
  <c r="L12" i="9"/>
  <c r="G12" i="9"/>
  <c r="M12" i="9" s="1"/>
  <c r="G13" i="9"/>
  <c r="M13" i="9" s="1"/>
  <c r="L13" i="9"/>
  <c r="L22" i="9"/>
  <c r="H27" i="1"/>
  <c r="N27" i="1" s="1"/>
  <c r="O14" i="1"/>
  <c r="L10" i="9"/>
  <c r="L27" i="9" s="1"/>
  <c r="G10" i="9"/>
  <c r="F27" i="9"/>
  <c r="M14" i="9"/>
  <c r="L11" i="9"/>
  <c r="L28" i="9" s="1"/>
  <c r="G11" i="9"/>
  <c r="F28" i="9"/>
  <c r="L15" i="9"/>
  <c r="G15" i="9"/>
  <c r="M15" i="9" s="1"/>
  <c r="L19" i="9"/>
  <c r="G19" i="9"/>
  <c r="M19" i="9" s="1"/>
  <c r="L23" i="9"/>
  <c r="G23" i="9"/>
  <c r="M23" i="9" s="1"/>
  <c r="L25" i="9"/>
  <c r="G25" i="9"/>
  <c r="M25" i="9" s="1"/>
  <c r="I10" i="9"/>
  <c r="I27" i="9" s="1"/>
  <c r="H27" i="9"/>
  <c r="M38" i="3"/>
  <c r="G28" i="9" l="1"/>
  <c r="M11" i="9"/>
  <c r="M28" i="9" s="1"/>
  <c r="G27" i="9"/>
  <c r="M10" i="9"/>
  <c r="M27" i="9" s="1"/>
  <c r="O19" i="1"/>
  <c r="I27" i="1"/>
  <c r="O27" i="1" s="1"/>
  <c r="N38" i="3"/>
  <c r="O38" i="3" s="1"/>
  <c r="N39" i="3"/>
  <c r="O12" i="3"/>
  <c r="O39" i="3" s="1"/>
</calcChain>
</file>

<file path=xl/sharedStrings.xml><?xml version="1.0" encoding="utf-8"?>
<sst xmlns="http://schemas.openxmlformats.org/spreadsheetml/2006/main" count="570" uniqueCount="252">
  <si>
    <t xml:space="preserve"> SCC:    25-01-060-053</t>
  </si>
  <si>
    <t xml:space="preserve">           25-01-060-201</t>
  </si>
  <si>
    <t xml:space="preserve">         25-01-030-120</t>
  </si>
  <si>
    <t>ANNUAL</t>
  </si>
  <si>
    <t>SUMMER</t>
  </si>
  <si>
    <t>STAGE I</t>
  </si>
  <si>
    <t>U.TANK</t>
  </si>
  <si>
    <t>TRANSIT</t>
  </si>
  <si>
    <t>PETRO</t>
  </si>
  <si>
    <t>PORTABLE FUEL</t>
  </si>
  <si>
    <t>TOTAL</t>
  </si>
  <si>
    <t xml:space="preserve"> APPORTIONMENT</t>
  </si>
  <si>
    <t>COUNTY</t>
  </si>
  <si>
    <t>BALANCE</t>
  </si>
  <si>
    <t>U.TANK B</t>
  </si>
  <si>
    <t>BREATH</t>
  </si>
  <si>
    <t>LOSS</t>
  </si>
  <si>
    <t>VESSEL</t>
  </si>
  <si>
    <t xml:space="preserve">CONTAINERS </t>
  </si>
  <si>
    <t xml:space="preserve">GASOLINE </t>
  </si>
  <si>
    <t>GASOL</t>
  </si>
  <si>
    <t>CNTY</t>
  </si>
  <si>
    <t xml:space="preserve">FUEL USE </t>
  </si>
  <si>
    <t xml:space="preserve">SUBM </t>
  </si>
  <si>
    <t>VOC TPY</t>
  </si>
  <si>
    <t>VOC TPSD</t>
  </si>
  <si>
    <t>BALLAST</t>
  </si>
  <si>
    <t>DISTRIB</t>
  </si>
  <si>
    <t>%</t>
  </si>
  <si>
    <t>TPSD</t>
  </si>
  <si>
    <t xml:space="preserve">EF 1.0 </t>
  </si>
  <si>
    <t>TPY</t>
  </si>
  <si>
    <t>=========</t>
  </si>
  <si>
    <t>========</t>
  </si>
  <si>
    <t xml:space="preserve"> ========</t>
  </si>
  <si>
    <t>=======</t>
  </si>
  <si>
    <t xml:space="preserve">  =========</t>
  </si>
  <si>
    <t xml:space="preserve"> =======</t>
  </si>
  <si>
    <t xml:space="preserve">    ======</t>
  </si>
  <si>
    <t>BARNSTABLE</t>
  </si>
  <si>
    <t>BERKSHIRE</t>
  </si>
  <si>
    <t>BRISTOL</t>
  </si>
  <si>
    <t>DUKES</t>
  </si>
  <si>
    <t>ESSEX</t>
  </si>
  <si>
    <t>FRANKLIN</t>
  </si>
  <si>
    <t>HAMPDEN</t>
  </si>
  <si>
    <t>HAMPSHIRE</t>
  </si>
  <si>
    <t>MIDDLESEX</t>
  </si>
  <si>
    <t>NANTUCKET</t>
  </si>
  <si>
    <t>NORFOLK</t>
  </si>
  <si>
    <t>PLYMOUTH</t>
  </si>
  <si>
    <t>SUFFOLK</t>
  </si>
  <si>
    <t>WORCESTER</t>
  </si>
  <si>
    <t>STATE</t>
  </si>
  <si>
    <t>VOC</t>
  </si>
  <si>
    <t>GASOLINE</t>
  </si>
  <si>
    <t>TRANS LO</t>
  </si>
  <si>
    <t>TRANSIT L</t>
  </si>
  <si>
    <t>SHIPMENTS</t>
  </si>
  <si>
    <t>LOSSES</t>
  </si>
  <si>
    <t>KEROSINE</t>
  </si>
  <si>
    <t>DIST OIL</t>
  </si>
  <si>
    <t>LOSS-</t>
  </si>
  <si>
    <t>DEN 0.1786</t>
  </si>
  <si>
    <t>&amp; OUTBOUND</t>
  </si>
  <si>
    <t xml:space="preserve"> GASOLIN</t>
  </si>
  <si>
    <t>DEN.14286</t>
  </si>
  <si>
    <t>DEN.14085</t>
  </si>
  <si>
    <t>GAS,KER</t>
  </si>
  <si>
    <t>LOADING</t>
  </si>
  <si>
    <t>PORT</t>
  </si>
  <si>
    <t>GAL/LB</t>
  </si>
  <si>
    <t xml:space="preserve"> GASOLINE</t>
  </si>
  <si>
    <t xml:space="preserve"> (LOADING)</t>
  </si>
  <si>
    <t xml:space="preserve"> BALLAST</t>
  </si>
  <si>
    <t xml:space="preserve"> 2.7LB/WK</t>
  </si>
  <si>
    <t>DIS OIL</t>
  </si>
  <si>
    <t xml:space="preserve"> VOC EM</t>
  </si>
  <si>
    <t xml:space="preserve">  RECEIPTS</t>
  </si>
  <si>
    <t>=GALS*.25</t>
  </si>
  <si>
    <t xml:space="preserve"> SHIPPED</t>
  </si>
  <si>
    <t xml:space="preserve"> DEN 0.1786</t>
  </si>
  <si>
    <t>0.38571LB</t>
  </si>
  <si>
    <t>= GALS</t>
  </si>
  <si>
    <t>VOC EM</t>
  </si>
  <si>
    <t xml:space="preserve"> 0.8LB/TGL</t>
  </si>
  <si>
    <t xml:space="preserve"> (LOADED)</t>
  </si>
  <si>
    <t xml:space="preserve"> 1.8LB/TGL</t>
  </si>
  <si>
    <t xml:space="preserve"> VOC </t>
  </si>
  <si>
    <t>DY/T.GAL</t>
  </si>
  <si>
    <t xml:space="preserve"> 0.005LB/TGL</t>
  </si>
  <si>
    <t>0.005LB/TGL</t>
  </si>
  <si>
    <t xml:space="preserve">    /365</t>
  </si>
  <si>
    <t>TONS</t>
  </si>
  <si>
    <t>VOC TONS</t>
  </si>
  <si>
    <t>VOC TON</t>
  </si>
  <si>
    <t>GLOUCESTR</t>
  </si>
  <si>
    <t>MAIN WFRONT</t>
  </si>
  <si>
    <t>CHELSEA H</t>
  </si>
  <si>
    <t>MYSTIC R</t>
  </si>
  <si>
    <t>TOWN RIV</t>
  </si>
  <si>
    <t xml:space="preserve">     SUFFOLK</t>
  </si>
  <si>
    <t>WEYMOUTH</t>
  </si>
  <si>
    <t>PROVINCETWN</t>
  </si>
  <si>
    <t>FALL RIV</t>
  </si>
  <si>
    <t>REFUGE H</t>
  </si>
  <si>
    <t xml:space="preserve">     STATE</t>
  </si>
  <si>
    <t>UNCONTR</t>
  </si>
  <si>
    <t>EF.1425 *.05</t>
  </si>
  <si>
    <t>SUBMERGED</t>
  </si>
  <si>
    <t>RE/CE/RP.20</t>
  </si>
  <si>
    <t>CUTTYHUNK</t>
  </si>
  <si>
    <t>25-01-011-000</t>
  </si>
  <si>
    <t>25-01-012-000</t>
  </si>
  <si>
    <t>RESIDENTIAL</t>
  </si>
  <si>
    <t>COMMERCIAL</t>
  </si>
  <si>
    <t>25001</t>
  </si>
  <si>
    <t>2501011011</t>
  </si>
  <si>
    <t>25003</t>
  </si>
  <si>
    <t>25005</t>
  </si>
  <si>
    <t>25007</t>
  </si>
  <si>
    <t>25009</t>
  </si>
  <si>
    <t>25011</t>
  </si>
  <si>
    <t>25013</t>
  </si>
  <si>
    <t>25015</t>
  </si>
  <si>
    <t>25017</t>
  </si>
  <si>
    <t>25019</t>
  </si>
  <si>
    <t>25021</t>
  </si>
  <si>
    <t>25023</t>
  </si>
  <si>
    <t>25025</t>
  </si>
  <si>
    <t>25027</t>
  </si>
  <si>
    <t>2501011012</t>
  </si>
  <si>
    <t>2501011013</t>
  </si>
  <si>
    <t>2501011014</t>
  </si>
  <si>
    <t>2501011015</t>
  </si>
  <si>
    <t>2501012011</t>
  </si>
  <si>
    <t>2501012012</t>
  </si>
  <si>
    <t>2501012013</t>
  </si>
  <si>
    <t>2501012014</t>
  </si>
  <si>
    <t>2501012015</t>
  </si>
  <si>
    <t>Resid.  Evap Diurnal Loss</t>
  </si>
  <si>
    <t>Resid. Permeation</t>
  </si>
  <si>
    <t>Resid. Spillage-Tra</t>
  </si>
  <si>
    <t>Resid. Refil  Pump Displ</t>
  </si>
  <si>
    <t>Resid. Refil Pump Spill</t>
  </si>
  <si>
    <t>Comm Refil  Pump Displ</t>
  </si>
  <si>
    <t>Comm  Evap Diurnal Loss</t>
  </si>
  <si>
    <t>Comm Permeation</t>
  </si>
  <si>
    <t>Comm Spillage-Tra</t>
  </si>
  <si>
    <t>Comm Refil Pump Spill</t>
  </si>
  <si>
    <t xml:space="preserve">County </t>
  </si>
  <si>
    <t>Barnstable</t>
  </si>
  <si>
    <t>Berkshire</t>
  </si>
  <si>
    <t>Bristol</t>
  </si>
  <si>
    <t>Essex</t>
  </si>
  <si>
    <t>Dukes</t>
  </si>
  <si>
    <t>Franklin</t>
  </si>
  <si>
    <t>Hampden</t>
  </si>
  <si>
    <t>Hampshire</t>
  </si>
  <si>
    <t>Middlesex</t>
  </si>
  <si>
    <t>Nantucket</t>
  </si>
  <si>
    <t>Norfolk</t>
  </si>
  <si>
    <t>Plymouth</t>
  </si>
  <si>
    <t>Suffolk</t>
  </si>
  <si>
    <t>Worcester</t>
  </si>
  <si>
    <t xml:space="preserve">          </t>
  </si>
  <si>
    <t>STATE TOTAL RESIDENTIAL</t>
  </si>
  <si>
    <t xml:space="preserve">   RESIDENTIAL</t>
  </si>
  <si>
    <t>STATE TOTAL COMMERCIAL</t>
  </si>
  <si>
    <t>STATE TOTAL PFCs</t>
  </si>
  <si>
    <t xml:space="preserve">Source: </t>
  </si>
  <si>
    <t xml:space="preserve"> RESIDENTIAL TOTAL TPY</t>
  </si>
  <si>
    <t xml:space="preserve">COMMERCIAL TOTAL TPY </t>
  </si>
  <si>
    <t>StateCountyFIPs</t>
  </si>
  <si>
    <t xml:space="preserve"> RESIDENTIAL TPSD * 0.40/92</t>
  </si>
  <si>
    <t xml:space="preserve">COMMERCIAL TPSD  *0.35/92 </t>
  </si>
  <si>
    <t xml:space="preserve">DVMT </t>
  </si>
  <si>
    <t>EMA</t>
  </si>
  <si>
    <t>WMA</t>
  </si>
  <si>
    <t>0.256/78</t>
  </si>
  <si>
    <t>0.256/92</t>
  </si>
  <si>
    <t>Composite</t>
  </si>
  <si>
    <t>LTOs 2008</t>
  </si>
  <si>
    <t>Gallons Gas</t>
  </si>
  <si>
    <t>ERTAC EF</t>
  </si>
  <si>
    <t xml:space="preserve"> SCC:    25-01-080-050</t>
  </si>
  <si>
    <t xml:space="preserve">TPSD </t>
  </si>
  <si>
    <t xml:space="preserve"> /365 Days</t>
  </si>
  <si>
    <t>STAGE II</t>
  </si>
  <si>
    <t>AV.GAS</t>
  </si>
  <si>
    <t>25-01-080-100</t>
  </si>
  <si>
    <t>25-01-080-201</t>
  </si>
  <si>
    <t xml:space="preserve"> ============</t>
  </si>
  <si>
    <t>AV.GAS TOTAL</t>
  </si>
  <si>
    <t xml:space="preserve">           25-05-020-000</t>
  </si>
  <si>
    <t>TOTAL GAS</t>
  </si>
  <si>
    <t>DIST LOSS</t>
  </si>
  <si>
    <t>TABLE 3.2-3</t>
  </si>
  <si>
    <t xml:space="preserve"> * 7.3/E3GAL</t>
  </si>
  <si>
    <t>E3GAL</t>
  </si>
  <si>
    <t xml:space="preserve">SUMMER </t>
  </si>
  <si>
    <t>DAY</t>
  </si>
  <si>
    <t>19.3 lb /E3GAL</t>
  </si>
  <si>
    <t>13.6lb/E3GAL</t>
  </si>
  <si>
    <t>SUM-DAY</t>
  </si>
  <si>
    <t xml:space="preserve">     TABLE 3.2-5</t>
  </si>
  <si>
    <t>SCC 25-05-020-120</t>
  </si>
  <si>
    <t>3.2-8</t>
  </si>
  <si>
    <t>3.2-9</t>
  </si>
  <si>
    <t>3.2-10</t>
  </si>
  <si>
    <t>3.2-11</t>
  </si>
  <si>
    <t>GASOLINE DISTRIBUTION LOSSES VOC EMISSIONS  BY COUNTY TPSD 2011</t>
  </si>
  <si>
    <t>ks/inv2011/Area/ Section 3.2 Gasoline Distribution/ gasdis11/ Oct 24 2011</t>
  </si>
  <si>
    <t>3.2-7</t>
  </si>
  <si>
    <t xml:space="preserve">                       TABLE 3.2-1</t>
  </si>
  <si>
    <t>54 E3 gal * 42 = 2,268 E3 gal</t>
  </si>
  <si>
    <t>ks/inv2011/Area/ Section 3.2 Gasoline Distribution/aviation gasoline/ Dec 18 2012</t>
  </si>
  <si>
    <t>TABLE 3.2-4 AVIATION GASOLINE DISTRIBUTION VOC LOSSES 2011</t>
  </si>
  <si>
    <t>Unload/Fill</t>
  </si>
  <si>
    <t>5.3lb/E3GAL TPY</t>
  </si>
  <si>
    <t>ftp://ftp.epa.gov/EmisInventory/2011nei/doc/</t>
  </si>
  <si>
    <t xml:space="preserve">   VOC EMISSIONS FROM PORTABLE FUEL CONTAINERS FROM ERTAC/EPA 2011</t>
  </si>
  <si>
    <t>KEROSENE</t>
  </si>
  <si>
    <t>Passing through - no unloading</t>
  </si>
  <si>
    <t>TABLE 3.2-2   PETROLEUM VESSEL UNLOADING/BALLASTING AND TRANSIT LOSS VOC EMISSIONS 2011</t>
  </si>
  <si>
    <t>TOTAL GASOLINE DISTRIBUTION VOC LOSSES -ALL CATEGORIES 2011</t>
  </si>
  <si>
    <t>ks/inv2011/Area/ Section 3.2 Gasoline Distribution/ portvoc11/ Aug 19, 2014</t>
  </si>
  <si>
    <t>ks/inv2011/Area/ Section 3.2 Gasoline Distribution/PFC-Sum-EPA/ June 11, 2014</t>
  </si>
  <si>
    <t>ks/inv2011/Area/ Section 3.2 Gasoline Distribution/ total-gas-dist/ May 15, 2015</t>
  </si>
  <si>
    <r>
      <t xml:space="preserve">    </t>
    </r>
    <r>
      <rPr>
        <b/>
        <sz val="10"/>
        <rFont val="Arial Narrow"/>
        <family val="2"/>
      </rPr>
      <t>COMMERCIAL</t>
    </r>
  </si>
  <si>
    <r>
      <t>SALEM H -</t>
    </r>
    <r>
      <rPr>
        <b/>
        <sz val="10"/>
        <rFont val="Arial Narrow"/>
        <family val="2"/>
      </rPr>
      <t>ESX</t>
    </r>
  </si>
  <si>
    <r>
      <t xml:space="preserve">        </t>
    </r>
    <r>
      <rPr>
        <b/>
        <sz val="10"/>
        <rFont val="Arial Narrow"/>
        <family val="2"/>
      </rPr>
      <t>ESSEX</t>
    </r>
  </si>
  <si>
    <r>
      <t xml:space="preserve">     </t>
    </r>
    <r>
      <rPr>
        <b/>
        <sz val="10"/>
        <rFont val="Arial Narrow"/>
        <family val="2"/>
      </rPr>
      <t>NORFOLK</t>
    </r>
  </si>
  <si>
    <r>
      <t>C.COD CNL</t>
    </r>
    <r>
      <rPr>
        <b/>
        <sz val="10"/>
        <rFont val="Arial Narrow"/>
        <family val="2"/>
      </rPr>
      <t xml:space="preserve"> BAR</t>
    </r>
  </si>
  <si>
    <r>
      <t xml:space="preserve">     </t>
    </r>
    <r>
      <rPr>
        <b/>
        <sz val="10"/>
        <rFont val="Arial Narrow"/>
        <family val="2"/>
      </rPr>
      <t>BARNSTABLE</t>
    </r>
  </si>
  <si>
    <r>
      <t xml:space="preserve">N.BED/FH </t>
    </r>
    <r>
      <rPr>
        <b/>
        <sz val="10"/>
        <rFont val="Arial Narrow"/>
        <family val="2"/>
      </rPr>
      <t>BR</t>
    </r>
  </si>
  <si>
    <r>
      <t xml:space="preserve">     </t>
    </r>
    <r>
      <rPr>
        <b/>
        <sz val="10"/>
        <rFont val="Arial Narrow"/>
        <family val="2"/>
      </rPr>
      <t>BRISTOL</t>
    </r>
  </si>
  <si>
    <r>
      <t xml:space="preserve">VINEYARD </t>
    </r>
    <r>
      <rPr>
        <b/>
        <sz val="10"/>
        <rFont val="Arial Narrow"/>
        <family val="2"/>
      </rPr>
      <t>DU</t>
    </r>
  </si>
  <si>
    <r>
      <t>NANT</t>
    </r>
    <r>
      <rPr>
        <sz val="10"/>
        <rFont val="Arial Narrow"/>
        <family val="2"/>
      </rPr>
      <t xml:space="preserve"> SOUND</t>
    </r>
  </si>
  <si>
    <r>
      <t xml:space="preserve">     </t>
    </r>
    <r>
      <rPr>
        <b/>
        <sz val="10"/>
        <rFont val="Arial Narrow"/>
        <family val="2"/>
      </rPr>
      <t>NANTUCKET</t>
    </r>
  </si>
  <si>
    <t xml:space="preserve">               TABLE 3.2-1</t>
  </si>
  <si>
    <t>ks/inv2011/Area/ Section 3.2 Gasoline Distribution/ gasdis11/ Oct 23 2015</t>
  </si>
  <si>
    <t>EPA's Estimates</t>
  </si>
  <si>
    <t>added EPA's Gasoline Bulk Plants/Terminals and Pipelines</t>
  </si>
  <si>
    <t>BULK</t>
  </si>
  <si>
    <t>PLANTS</t>
  </si>
  <si>
    <t>PIPELINES</t>
  </si>
  <si>
    <t>TERMINALS</t>
  </si>
  <si>
    <t>*0.256/92</t>
  </si>
  <si>
    <t>1,147 Tons</t>
  </si>
  <si>
    <t>Tons</t>
  </si>
  <si>
    <t xml:space="preserve"> =====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</si>
</sst>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General_)"/>
    <numFmt numFmtId="165" formatCode="0.00_)"/>
    <numFmt numFmtId="166" formatCode="0.000_)"/>
    <numFmt numFmtId="167" formatCode="0.0%"/>
    <numFmt numFmtId="168" formatCode="0.0_)"/>
    <numFmt numFmtId="169" formatCode="0.0"/>
    <numFmt numFmtId="170" formatCode="0.000"/>
  </numFmts>
  <fonts count="27" x14ac:knownFonts="1">
    <font>
      <sz val="10"/>
      <name val="Courier"/>
    </font>
    <font>
      <sz val="10"/>
      <name val="Arial"/>
      <family val="2"/>
    </font>
    <font>
      <sz val="10"/>
      <color indexed="8"/>
      <name val="Arial"/>
      <family val="2"/>
    </font>
    <font>
      <sz val="8"/>
      <name val="Courier"/>
      <family val="3"/>
    </font>
    <font>
      <u/>
      <sz val="10"/>
      <color indexed="12"/>
      <name val="Courier"/>
      <family val="3"/>
    </font>
    <font>
      <b/>
      <sz val="10"/>
      <color rgb="FFFF000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i/>
      <sz val="8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sz val="10"/>
      <color indexed="10"/>
      <name val="Arial Narrow"/>
      <family val="2"/>
    </font>
    <font>
      <sz val="9.5"/>
      <name val="Arial Narrow"/>
      <family val="2"/>
    </font>
    <font>
      <b/>
      <u/>
      <sz val="8"/>
      <name val="Arial Narrow"/>
      <family val="2"/>
    </font>
    <font>
      <u/>
      <sz val="8"/>
      <name val="Arial Narrow"/>
      <family val="2"/>
    </font>
    <font>
      <b/>
      <u/>
      <sz val="9"/>
      <name val="Arial Narrow"/>
      <family val="2"/>
    </font>
    <font>
      <u/>
      <sz val="10"/>
      <name val="Arial Narrow"/>
      <family val="2"/>
    </font>
    <font>
      <b/>
      <u/>
      <sz val="10"/>
      <name val="Arial Narrow"/>
      <family val="2"/>
    </font>
    <font>
      <b/>
      <sz val="10"/>
      <color indexed="10"/>
      <name val="Arial Narrow"/>
      <family val="2"/>
    </font>
    <font>
      <b/>
      <sz val="11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4">
    <xf numFmtId="164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1" fillId="0" borderId="0" applyFont="0" applyFill="0" applyBorder="0" applyAlignment="0" applyProtection="0"/>
  </cellStyleXfs>
  <cellXfs count="123">
    <xf numFmtId="164" fontId="0" fillId="0" borderId="0" xfId="0"/>
    <xf numFmtId="164" fontId="5" fillId="0" borderId="0" xfId="0" applyFont="1"/>
    <xf numFmtId="164" fontId="6" fillId="0" borderId="0" xfId="0" applyFont="1" applyAlignment="1">
      <alignment horizontal="right"/>
    </xf>
    <xf numFmtId="164" fontId="6" fillId="0" borderId="0" xfId="0" applyFont="1"/>
    <xf numFmtId="164" fontId="7" fillId="0" borderId="0" xfId="0" applyFont="1"/>
    <xf numFmtId="164" fontId="8" fillId="0" borderId="0" xfId="0" applyFont="1" applyAlignment="1" applyProtection="1">
      <alignment horizontal="left"/>
    </xf>
    <xf numFmtId="164" fontId="9" fillId="0" borderId="0" xfId="0" applyFont="1"/>
    <xf numFmtId="164" fontId="9" fillId="0" borderId="0" xfId="0" applyFont="1" applyAlignment="1">
      <alignment horizontal="right"/>
    </xf>
    <xf numFmtId="164" fontId="9" fillId="0" borderId="0" xfId="0" applyFont="1" applyAlignment="1" applyProtection="1">
      <alignment horizontal="right"/>
    </xf>
    <xf numFmtId="164" fontId="10" fillId="0" borderId="0" xfId="0" applyFont="1"/>
    <xf numFmtId="164" fontId="10" fillId="0" borderId="0" xfId="0" applyFont="1" applyAlignment="1" applyProtection="1">
      <alignment horizontal="right"/>
    </xf>
    <xf numFmtId="164" fontId="9" fillId="0" borderId="0" xfId="0" applyFont="1" applyAlignment="1">
      <alignment horizontal="left"/>
    </xf>
    <xf numFmtId="164" fontId="10" fillId="0" borderId="0" xfId="0" applyFont="1" applyAlignment="1">
      <alignment horizontal="right"/>
    </xf>
    <xf numFmtId="164" fontId="9" fillId="0" borderId="0" xfId="0" applyFont="1" applyAlignment="1" applyProtection="1">
      <alignment horizontal="left"/>
    </xf>
    <xf numFmtId="164" fontId="11" fillId="0" borderId="0" xfId="0" applyFont="1" applyAlignment="1" applyProtection="1">
      <alignment horizontal="left"/>
    </xf>
    <xf numFmtId="2" fontId="6" fillId="0" borderId="0" xfId="0" applyNumberFormat="1" applyFont="1" applyAlignment="1">
      <alignment horizontal="right"/>
    </xf>
    <xf numFmtId="2" fontId="6" fillId="0" borderId="0" xfId="0" applyNumberFormat="1" applyFont="1"/>
    <xf numFmtId="166" fontId="6" fillId="0" borderId="0" xfId="0" applyNumberFormat="1" applyFont="1" applyProtection="1"/>
    <xf numFmtId="169" fontId="10" fillId="0" borderId="0" xfId="0" applyNumberFormat="1" applyFont="1" applyAlignment="1">
      <alignment horizontal="right" vertical="center"/>
    </xf>
    <xf numFmtId="2" fontId="10" fillId="0" borderId="0" xfId="0" applyNumberFormat="1" applyFont="1"/>
    <xf numFmtId="165" fontId="6" fillId="0" borderId="0" xfId="0" applyNumberFormat="1" applyFont="1" applyProtection="1"/>
    <xf numFmtId="2" fontId="7" fillId="0" borderId="0" xfId="0" applyNumberFormat="1" applyFont="1" applyAlignment="1">
      <alignment horizontal="right"/>
    </xf>
    <xf numFmtId="164" fontId="11" fillId="0" borderId="0" xfId="0" applyFont="1"/>
    <xf numFmtId="2" fontId="11" fillId="0" borderId="0" xfId="0" applyNumberFormat="1" applyFont="1" applyProtection="1"/>
    <xf numFmtId="166" fontId="11" fillId="0" borderId="0" xfId="0" applyNumberFormat="1" applyFont="1" applyProtection="1"/>
    <xf numFmtId="170" fontId="11" fillId="0" borderId="0" xfId="0" applyNumberFormat="1" applyFont="1" applyProtection="1"/>
    <xf numFmtId="165" fontId="11" fillId="0" borderId="0" xfId="0" applyNumberFormat="1" applyFont="1" applyProtection="1"/>
    <xf numFmtId="164" fontId="12" fillId="0" borderId="0" xfId="0" applyFont="1" applyAlignment="1" applyProtection="1">
      <alignment horizontal="left"/>
    </xf>
    <xf numFmtId="2" fontId="7" fillId="0" borderId="0" xfId="0" applyNumberFormat="1" applyFont="1"/>
    <xf numFmtId="2" fontId="12" fillId="0" borderId="0" xfId="0" applyNumberFormat="1" applyFont="1" applyProtection="1"/>
    <xf numFmtId="166" fontId="12" fillId="0" borderId="0" xfId="0" applyNumberFormat="1" applyFont="1" applyProtection="1"/>
    <xf numFmtId="170" fontId="12" fillId="0" borderId="0" xfId="0" applyNumberFormat="1" applyFont="1" applyProtection="1"/>
    <xf numFmtId="2" fontId="7" fillId="0" borderId="0" xfId="0" applyNumberFormat="1" applyFont="1" applyProtection="1"/>
    <xf numFmtId="170" fontId="6" fillId="0" borderId="0" xfId="0" applyNumberFormat="1" applyFont="1"/>
    <xf numFmtId="2" fontId="11" fillId="0" borderId="0" xfId="0" applyNumberFormat="1" applyFont="1"/>
    <xf numFmtId="166" fontId="11" fillId="0" borderId="0" xfId="0" applyNumberFormat="1" applyFont="1"/>
    <xf numFmtId="170" fontId="11" fillId="0" borderId="0" xfId="0" applyNumberFormat="1" applyFont="1"/>
    <xf numFmtId="2" fontId="12" fillId="0" borderId="0" xfId="0" applyNumberFormat="1" applyFont="1" applyAlignment="1">
      <alignment horizontal="right"/>
    </xf>
    <xf numFmtId="170" fontId="12" fillId="0" borderId="0" xfId="0" applyNumberFormat="1" applyFont="1" applyAlignment="1">
      <alignment horizontal="right"/>
    </xf>
    <xf numFmtId="164" fontId="13" fillId="0" borderId="0" xfId="0" applyFont="1"/>
    <xf numFmtId="164" fontId="7" fillId="0" borderId="0" xfId="0" applyFont="1" applyAlignment="1">
      <alignment horizontal="left"/>
    </xf>
    <xf numFmtId="164" fontId="7" fillId="0" borderId="0" xfId="0" applyFont="1" applyAlignment="1">
      <alignment horizontal="center"/>
    </xf>
    <xf numFmtId="164" fontId="7" fillId="0" borderId="0" xfId="0" applyFont="1" applyAlignment="1" applyProtection="1">
      <alignment horizontal="left"/>
    </xf>
    <xf numFmtId="1" fontId="11" fillId="0" borderId="0" xfId="0" applyNumberFormat="1" applyFont="1" applyProtection="1"/>
    <xf numFmtId="167" fontId="11" fillId="0" borderId="0" xfId="0" applyNumberFormat="1" applyFont="1" applyProtection="1"/>
    <xf numFmtId="1" fontId="11" fillId="0" borderId="0" xfId="3" applyNumberFormat="1" applyFont="1" applyProtection="1"/>
    <xf numFmtId="2" fontId="11" fillId="0" borderId="0" xfId="3" applyNumberFormat="1" applyFont="1" applyProtection="1"/>
    <xf numFmtId="165" fontId="12" fillId="0" borderId="0" xfId="0" applyNumberFormat="1" applyFont="1" applyProtection="1"/>
    <xf numFmtId="1" fontId="11" fillId="0" borderId="0" xfId="0" applyNumberFormat="1" applyFont="1"/>
    <xf numFmtId="1" fontId="12" fillId="0" borderId="0" xfId="0" applyNumberFormat="1" applyFont="1" applyProtection="1"/>
    <xf numFmtId="167" fontId="12" fillId="0" borderId="0" xfId="0" applyNumberFormat="1" applyFont="1" applyProtection="1"/>
    <xf numFmtId="2" fontId="12" fillId="0" borderId="0" xfId="3" applyNumberFormat="1" applyFont="1" applyProtection="1"/>
    <xf numFmtId="164" fontId="12" fillId="0" borderId="0" xfId="0" applyFont="1"/>
    <xf numFmtId="9" fontId="11" fillId="0" borderId="0" xfId="3" applyFont="1"/>
    <xf numFmtId="164" fontId="14" fillId="0" borderId="0" xfId="0" applyFont="1"/>
    <xf numFmtId="164" fontId="6" fillId="0" borderId="0" xfId="0" applyFont="1" applyAlignment="1" applyProtection="1">
      <alignment horizontal="right"/>
    </xf>
    <xf numFmtId="0" fontId="9" fillId="0" borderId="2" xfId="2" applyFont="1" applyFill="1" applyBorder="1" applyAlignment="1">
      <alignment horizontal="right" wrapText="1"/>
    </xf>
    <xf numFmtId="0" fontId="9" fillId="0" borderId="1" xfId="2" applyFont="1" applyFill="1" applyBorder="1" applyAlignment="1">
      <alignment horizontal="right" wrapText="1"/>
    </xf>
    <xf numFmtId="0" fontId="9" fillId="0" borderId="1" xfId="2" applyFont="1" applyFill="1" applyBorder="1" applyAlignment="1">
      <alignment wrapText="1"/>
    </xf>
    <xf numFmtId="0" fontId="15" fillId="0" borderId="0" xfId="2" applyFont="1" applyFill="1" applyBorder="1" applyAlignment="1">
      <alignment horizontal="right" wrapText="1"/>
    </xf>
    <xf numFmtId="164" fontId="16" fillId="0" borderId="0" xfId="0" applyFont="1" applyAlignment="1">
      <alignment horizontal="right" wrapText="1"/>
    </xf>
    <xf numFmtId="164" fontId="15" fillId="0" borderId="0" xfId="0" applyFont="1" applyAlignment="1">
      <alignment horizontal="right" wrapText="1"/>
    </xf>
    <xf numFmtId="164" fontId="15" fillId="0" borderId="0" xfId="0" applyFont="1" applyAlignment="1">
      <alignment wrapText="1"/>
    </xf>
    <xf numFmtId="0" fontId="9" fillId="0" borderId="2" xfId="2" applyFont="1" applyFill="1" applyBorder="1" applyAlignment="1">
      <alignment horizontal="right" vertical="center" wrapText="1"/>
    </xf>
    <xf numFmtId="0" fontId="9" fillId="0" borderId="2" xfId="2" applyFont="1" applyFill="1" applyBorder="1" applyAlignment="1">
      <alignment horizontal="left" vertical="center" wrapText="1"/>
    </xf>
    <xf numFmtId="169" fontId="9" fillId="0" borderId="2" xfId="2" applyNumberFormat="1" applyFont="1" applyFill="1" applyBorder="1" applyAlignment="1">
      <alignment horizontal="right" vertical="center" wrapText="1"/>
    </xf>
    <xf numFmtId="169" fontId="9" fillId="0" borderId="1" xfId="2" applyNumberFormat="1" applyFont="1" applyFill="1" applyBorder="1" applyAlignment="1">
      <alignment horizontal="right" vertical="center" wrapText="1"/>
    </xf>
    <xf numFmtId="0" fontId="9" fillId="0" borderId="1" xfId="2" applyFont="1" applyFill="1" applyBorder="1" applyAlignment="1">
      <alignment horizontal="right" vertical="center" wrapText="1"/>
    </xf>
    <xf numFmtId="0" fontId="9" fillId="0" borderId="1" xfId="2" applyFont="1" applyFill="1" applyBorder="1" applyAlignment="1">
      <alignment horizontal="left" vertical="center" wrapText="1"/>
    </xf>
    <xf numFmtId="164" fontId="9" fillId="0" borderId="0" xfId="0" applyFont="1" applyAlignment="1">
      <alignment horizontal="left" vertical="center"/>
    </xf>
    <xf numFmtId="0" fontId="10" fillId="0" borderId="1" xfId="2" applyFont="1" applyFill="1" applyBorder="1" applyAlignment="1">
      <alignment horizontal="right" wrapText="1"/>
    </xf>
    <xf numFmtId="0" fontId="10" fillId="0" borderId="1" xfId="2" applyFont="1" applyFill="1" applyBorder="1" applyAlignment="1">
      <alignment horizontal="left" wrapText="1"/>
    </xf>
    <xf numFmtId="169" fontId="10" fillId="0" borderId="1" xfId="2" applyNumberFormat="1" applyFont="1" applyFill="1" applyBorder="1" applyAlignment="1">
      <alignment horizontal="right" wrapText="1"/>
    </xf>
    <xf numFmtId="0" fontId="9" fillId="0" borderId="1" xfId="2" applyFont="1" applyFill="1" applyBorder="1" applyAlignment="1"/>
    <xf numFmtId="0" fontId="9" fillId="0" borderId="0" xfId="2" applyFont="1" applyFill="1" applyBorder="1" applyAlignment="1">
      <alignment horizontal="right" wrapText="1"/>
    </xf>
    <xf numFmtId="164" fontId="16" fillId="0" borderId="0" xfId="0" applyFont="1" applyAlignment="1">
      <alignment horizontal="right"/>
    </xf>
    <xf numFmtId="164" fontId="17" fillId="0" borderId="0" xfId="0" applyFont="1" applyAlignment="1">
      <alignment horizontal="right"/>
    </xf>
    <xf numFmtId="169" fontId="17" fillId="0" borderId="0" xfId="0" applyNumberFormat="1" applyFont="1"/>
    <xf numFmtId="2" fontId="17" fillId="0" borderId="0" xfId="0" applyNumberFormat="1" applyFont="1"/>
    <xf numFmtId="164" fontId="16" fillId="0" borderId="0" xfId="0" applyFont="1"/>
    <xf numFmtId="164" fontId="18" fillId="0" borderId="0" xfId="1" applyNumberFormat="1" applyFont="1" applyAlignment="1" applyProtection="1"/>
    <xf numFmtId="164" fontId="7" fillId="0" borderId="0" xfId="0" applyFont="1" applyAlignment="1" applyProtection="1">
      <alignment horizontal="right"/>
    </xf>
    <xf numFmtId="164" fontId="6" fillId="0" borderId="0" xfId="0" applyFont="1" applyAlignment="1" applyProtection="1">
      <alignment horizontal="left"/>
    </xf>
    <xf numFmtId="164" fontId="7" fillId="0" borderId="0" xfId="0" applyFont="1" applyAlignment="1" applyProtection="1"/>
    <xf numFmtId="164" fontId="6" fillId="0" borderId="0" xfId="0" applyFont="1" applyAlignment="1" applyProtection="1">
      <alignment horizontal="center"/>
    </xf>
    <xf numFmtId="164" fontId="18" fillId="0" borderId="0" xfId="0" applyFont="1"/>
    <xf numFmtId="164" fontId="18" fillId="0" borderId="0" xfId="0" applyFont="1" applyAlignment="1" applyProtection="1">
      <alignment horizontal="right"/>
    </xf>
    <xf numFmtId="164" fontId="18" fillId="0" borderId="0" xfId="0" applyFont="1" applyAlignment="1">
      <alignment horizontal="center"/>
    </xf>
    <xf numFmtId="164" fontId="18" fillId="0" borderId="0" xfId="0" applyFont="1" applyAlignment="1" applyProtection="1">
      <alignment horizontal="center"/>
    </xf>
    <xf numFmtId="164" fontId="19" fillId="0" borderId="0" xfId="0" applyFont="1" applyAlignment="1" applyProtection="1">
      <alignment horizontal="right"/>
    </xf>
    <xf numFmtId="164" fontId="6" fillId="0" borderId="0" xfId="0" applyFont="1" applyProtection="1"/>
    <xf numFmtId="168" fontId="6" fillId="0" borderId="0" xfId="0" applyNumberFormat="1" applyFont="1" applyProtection="1"/>
    <xf numFmtId="165" fontId="6" fillId="0" borderId="0" xfId="0" applyNumberFormat="1" applyFont="1" applyAlignment="1" applyProtection="1">
      <alignment horizontal="right"/>
    </xf>
    <xf numFmtId="168" fontId="7" fillId="0" borderId="0" xfId="0" applyNumberFormat="1" applyFont="1" applyProtection="1"/>
    <xf numFmtId="166" fontId="7" fillId="0" borderId="0" xfId="0" applyNumberFormat="1" applyFont="1" applyProtection="1"/>
    <xf numFmtId="168" fontId="6" fillId="0" borderId="0" xfId="0" applyNumberFormat="1" applyFont="1"/>
    <xf numFmtId="166" fontId="7" fillId="0" borderId="0" xfId="0" applyNumberFormat="1" applyFont="1"/>
    <xf numFmtId="168" fontId="6" fillId="0" borderId="0" xfId="0" applyNumberFormat="1" applyFont="1" applyAlignment="1" applyProtection="1">
      <alignment horizontal="center"/>
    </xf>
    <xf numFmtId="164" fontId="7" fillId="0" borderId="0" xfId="0" applyFont="1" applyProtection="1"/>
    <xf numFmtId="165" fontId="7" fillId="0" borderId="0" xfId="0" applyNumberFormat="1" applyFont="1" applyProtection="1"/>
    <xf numFmtId="164" fontId="20" fillId="0" borderId="0" xfId="0" applyFont="1"/>
    <xf numFmtId="169" fontId="11" fillId="0" borderId="0" xfId="0" applyNumberFormat="1" applyFont="1" applyProtection="1"/>
    <xf numFmtId="169" fontId="11" fillId="0" borderId="0" xfId="3" applyNumberFormat="1" applyFont="1" applyProtection="1"/>
    <xf numFmtId="164" fontId="12" fillId="0" borderId="0" xfId="0" applyFont="1" applyProtection="1"/>
    <xf numFmtId="165" fontId="11" fillId="0" borderId="0" xfId="0" applyNumberFormat="1" applyFont="1"/>
    <xf numFmtId="167" fontId="11" fillId="0" borderId="0" xfId="3" applyNumberFormat="1" applyFont="1"/>
    <xf numFmtId="164" fontId="21" fillId="0" borderId="0" xfId="0" applyFont="1" applyAlignment="1">
      <alignment horizontal="left"/>
    </xf>
    <xf numFmtId="164" fontId="21" fillId="0" borderId="0" xfId="0" applyFont="1" applyAlignment="1">
      <alignment horizontal="right"/>
    </xf>
    <xf numFmtId="164" fontId="21" fillId="0" borderId="0" xfId="0" applyFont="1"/>
    <xf numFmtId="164" fontId="22" fillId="0" borderId="0" xfId="0" applyFont="1" applyAlignment="1">
      <alignment horizontal="left"/>
    </xf>
    <xf numFmtId="164" fontId="22" fillId="0" borderId="0" xfId="0" applyFont="1" applyAlignment="1">
      <alignment horizontal="right"/>
    </xf>
    <xf numFmtId="164" fontId="23" fillId="0" borderId="0" xfId="0" applyFont="1" applyAlignment="1">
      <alignment horizontal="right"/>
    </xf>
    <xf numFmtId="164" fontId="24" fillId="0" borderId="0" xfId="0" applyFont="1" applyAlignment="1">
      <alignment horizontal="right"/>
    </xf>
    <xf numFmtId="164" fontId="23" fillId="0" borderId="0" xfId="0" applyFont="1"/>
    <xf numFmtId="164" fontId="25" fillId="0" borderId="0" xfId="0" applyFont="1" applyAlignment="1">
      <alignment horizontal="right"/>
    </xf>
    <xf numFmtId="164" fontId="26" fillId="0" borderId="0" xfId="0" applyFont="1" applyAlignment="1">
      <alignment horizontal="right"/>
    </xf>
    <xf numFmtId="164" fontId="25" fillId="0" borderId="0" xfId="0" applyFont="1"/>
    <xf numFmtId="164" fontId="25" fillId="0" borderId="0" xfId="0" applyFont="1" applyAlignment="1">
      <alignment horizontal="left"/>
    </xf>
    <xf numFmtId="164" fontId="23" fillId="0" borderId="0" xfId="0" applyFont="1" applyAlignment="1">
      <alignment horizontal="left"/>
    </xf>
    <xf numFmtId="167" fontId="23" fillId="0" borderId="0" xfId="3" applyNumberFormat="1" applyFont="1" applyAlignment="1">
      <alignment horizontal="right"/>
    </xf>
    <xf numFmtId="169" fontId="23" fillId="0" borderId="0" xfId="0" applyNumberFormat="1" applyFont="1" applyAlignment="1">
      <alignment horizontal="right"/>
    </xf>
    <xf numFmtId="169" fontId="24" fillId="0" borderId="0" xfId="0" applyNumberFormat="1" applyFont="1" applyAlignment="1">
      <alignment horizontal="right"/>
    </xf>
    <xf numFmtId="2" fontId="24" fillId="0" borderId="0" xfId="0" applyNumberFormat="1" applyFont="1" applyAlignment="1">
      <alignment horizontal="right"/>
    </xf>
  </cellXfs>
  <cellStyles count="4">
    <cellStyle name="Hyperlink" xfId="1" builtinId="8"/>
    <cellStyle name="Normal" xfId="0" builtinId="0"/>
    <cellStyle name="Normal_Sheet1" xfId="2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1:O35"/>
  <sheetViews>
    <sheetView showGridLines="0" workbookViewId="0">
      <selection activeCell="D2" sqref="D2"/>
    </sheetView>
  </sheetViews>
  <sheetFormatPr defaultColWidth="9.75" defaultRowHeight="14.1" customHeight="1" x14ac:dyDescent="0.2"/>
  <cols>
    <col min="1" max="1" width="11.375" style="3" customWidth="1"/>
    <col min="2" max="2" width="7.25" style="3" customWidth="1"/>
    <col min="3" max="3" width="6" style="3" customWidth="1"/>
    <col min="4" max="4" width="8.625" style="3" customWidth="1"/>
    <col min="5" max="6" width="7.875" style="3" customWidth="1"/>
    <col min="7" max="7" width="9.75" style="3" customWidth="1"/>
    <col min="8" max="8" width="11" style="3" customWidth="1"/>
    <col min="9" max="9" width="8" style="3" customWidth="1"/>
    <col min="10" max="10" width="11" style="3" customWidth="1"/>
    <col min="11" max="11" width="6.125" style="3" customWidth="1"/>
    <col min="12" max="12" width="10" style="3" customWidth="1"/>
    <col min="13" max="13" width="7" style="3" customWidth="1"/>
    <col min="14" max="14" width="11.625" style="3" customWidth="1"/>
    <col min="15" max="15" width="6.625" style="3" customWidth="1"/>
    <col min="16" max="16" width="0.75" style="3" customWidth="1"/>
    <col min="17" max="17" width="1.5" style="3" customWidth="1"/>
    <col min="18" max="16384" width="9.75" style="3"/>
  </cols>
  <sheetData>
    <row r="1" spans="1:15" ht="14.1" customHeight="1" x14ac:dyDescent="0.2">
      <c r="A1" s="39"/>
      <c r="G1" s="41" t="s">
        <v>214</v>
      </c>
    </row>
    <row r="2" spans="1:15" s="4" customFormat="1" ht="14.1" customHeight="1" x14ac:dyDescent="0.2">
      <c r="A2" s="100"/>
      <c r="E2" s="42" t="s">
        <v>211</v>
      </c>
      <c r="I2" s="41"/>
    </row>
    <row r="3" spans="1:15" s="4" customFormat="1" ht="14.1" customHeight="1" x14ac:dyDescent="0.25">
      <c r="A3" s="13" t="s">
        <v>212</v>
      </c>
      <c r="C3" s="42"/>
      <c r="H3" s="41"/>
      <c r="I3" s="41"/>
    </row>
    <row r="4" spans="1:15" s="6" customFormat="1" ht="14.1" customHeight="1" x14ac:dyDescent="0.25">
      <c r="G4" s="7"/>
      <c r="H4" s="7"/>
      <c r="I4" s="7" t="s">
        <v>0</v>
      </c>
      <c r="J4" s="6" t="s">
        <v>1</v>
      </c>
      <c r="L4" s="6" t="s">
        <v>2</v>
      </c>
    </row>
    <row r="5" spans="1:15" s="6" customFormat="1" ht="14.1" customHeight="1" x14ac:dyDescent="0.25">
      <c r="D5" s="7" t="s">
        <v>3</v>
      </c>
      <c r="E5" s="7" t="s">
        <v>4</v>
      </c>
      <c r="F5" s="7" t="s">
        <v>204</v>
      </c>
      <c r="G5" s="8" t="s">
        <v>5</v>
      </c>
      <c r="H5" s="8" t="s">
        <v>5</v>
      </c>
      <c r="I5" s="8" t="s">
        <v>5</v>
      </c>
      <c r="K5" s="8" t="s">
        <v>6</v>
      </c>
      <c r="L5" s="8" t="s">
        <v>7</v>
      </c>
      <c r="M5" s="7" t="s">
        <v>7</v>
      </c>
      <c r="N5" s="10"/>
      <c r="O5" s="10"/>
    </row>
    <row r="6" spans="1:15" s="6" customFormat="1" ht="14.1" customHeight="1" x14ac:dyDescent="0.25">
      <c r="A6" s="13" t="s">
        <v>11</v>
      </c>
      <c r="D6" s="7" t="s">
        <v>12</v>
      </c>
      <c r="E6" s="7" t="s">
        <v>12</v>
      </c>
      <c r="F6" s="7" t="s">
        <v>12</v>
      </c>
      <c r="G6" s="8" t="s">
        <v>13</v>
      </c>
      <c r="H6" s="8" t="s">
        <v>13</v>
      </c>
      <c r="I6" s="8" t="s">
        <v>13</v>
      </c>
      <c r="J6" s="8" t="s">
        <v>14</v>
      </c>
      <c r="K6" s="7" t="s">
        <v>15</v>
      </c>
      <c r="L6" s="8" t="s">
        <v>16</v>
      </c>
      <c r="M6" s="8" t="s">
        <v>16</v>
      </c>
      <c r="N6" s="12" t="s">
        <v>19</v>
      </c>
      <c r="O6" s="12" t="s">
        <v>20</v>
      </c>
    </row>
    <row r="7" spans="1:15" s="6" customFormat="1" ht="14.1" customHeight="1" x14ac:dyDescent="0.25">
      <c r="B7" s="10" t="s">
        <v>176</v>
      </c>
      <c r="C7" s="8" t="s">
        <v>21</v>
      </c>
      <c r="D7" s="7" t="s">
        <v>22</v>
      </c>
      <c r="E7" s="7" t="s">
        <v>22</v>
      </c>
      <c r="F7" s="7" t="s">
        <v>22</v>
      </c>
      <c r="G7" s="7" t="s">
        <v>107</v>
      </c>
      <c r="H7" s="8" t="s">
        <v>109</v>
      </c>
      <c r="I7" s="8" t="s">
        <v>23</v>
      </c>
      <c r="J7" s="8" t="s">
        <v>24</v>
      </c>
      <c r="K7" s="8" t="s">
        <v>180</v>
      </c>
      <c r="L7" s="8" t="s">
        <v>24</v>
      </c>
      <c r="M7" s="8" t="s">
        <v>25</v>
      </c>
      <c r="N7" s="10" t="s">
        <v>27</v>
      </c>
      <c r="O7" s="10" t="s">
        <v>27</v>
      </c>
    </row>
    <row r="8" spans="1:15" s="6" customFormat="1" ht="14.1" customHeight="1" x14ac:dyDescent="0.25">
      <c r="A8" s="13" t="s">
        <v>12</v>
      </c>
      <c r="B8" s="6">
        <v>2011</v>
      </c>
      <c r="C8" s="8" t="s">
        <v>28</v>
      </c>
      <c r="D8" s="8" t="s">
        <v>199</v>
      </c>
      <c r="E8" s="8" t="s">
        <v>199</v>
      </c>
      <c r="F8" s="8" t="s">
        <v>199</v>
      </c>
      <c r="G8" s="8" t="s">
        <v>198</v>
      </c>
      <c r="H8" s="7" t="s">
        <v>110</v>
      </c>
      <c r="I8" s="7" t="s">
        <v>29</v>
      </c>
      <c r="J8" s="7" t="s">
        <v>30</v>
      </c>
      <c r="K8" s="8" t="s">
        <v>29</v>
      </c>
      <c r="L8" s="7" t="s">
        <v>108</v>
      </c>
      <c r="M8" s="8" t="s">
        <v>179</v>
      </c>
      <c r="N8" s="10" t="s">
        <v>31</v>
      </c>
      <c r="O8" s="10" t="s">
        <v>29</v>
      </c>
    </row>
    <row r="9" spans="1:15" s="6" customFormat="1" ht="14.1" customHeight="1" x14ac:dyDescent="0.25">
      <c r="A9" s="13" t="s">
        <v>32</v>
      </c>
      <c r="B9" s="8" t="s">
        <v>33</v>
      </c>
      <c r="C9" s="8" t="s">
        <v>34</v>
      </c>
      <c r="D9" s="8" t="s">
        <v>34</v>
      </c>
      <c r="E9" s="8" t="s">
        <v>34</v>
      </c>
      <c r="F9" s="8" t="s">
        <v>34</v>
      </c>
      <c r="G9" s="8" t="s">
        <v>34</v>
      </c>
      <c r="H9" s="8" t="s">
        <v>35</v>
      </c>
      <c r="I9" s="8" t="s">
        <v>35</v>
      </c>
      <c r="J9" s="8" t="s">
        <v>36</v>
      </c>
      <c r="K9" s="8" t="s">
        <v>37</v>
      </c>
      <c r="L9" s="8" t="s">
        <v>38</v>
      </c>
      <c r="M9" s="8" t="s">
        <v>33</v>
      </c>
      <c r="N9" s="8" t="s">
        <v>33</v>
      </c>
      <c r="O9" s="8" t="s">
        <v>33</v>
      </c>
    </row>
    <row r="10" spans="1:15" s="22" customFormat="1" ht="15" customHeight="1" x14ac:dyDescent="0.25">
      <c r="A10" s="14" t="s">
        <v>39</v>
      </c>
      <c r="B10" s="101">
        <v>6969</v>
      </c>
      <c r="C10" s="44">
        <f>SUM(B10/147986)</f>
        <v>4.7092292514156746E-2</v>
      </c>
      <c r="D10" s="45">
        <f>SUM(C10*2781376.741)</f>
        <v>130981.40707924399</v>
      </c>
      <c r="E10" s="45">
        <f>SUM(D10*0.256)</f>
        <v>33531.240212286459</v>
      </c>
      <c r="F10" s="45">
        <f>SUM(E10/92)</f>
        <v>364.47000230746153</v>
      </c>
      <c r="G10" s="102">
        <f>SUM(D10*7.3)/2000</f>
        <v>478.08213583924055</v>
      </c>
      <c r="H10" s="26">
        <f>SUM(G10*0.2)</f>
        <v>95.616427167848116</v>
      </c>
      <c r="I10" s="24">
        <f>SUM(H10*0.256)/78</f>
        <v>0.31381801737139892</v>
      </c>
      <c r="J10" s="26">
        <f>SUM((D10*1))/2000</f>
        <v>65.49070353962199</v>
      </c>
      <c r="K10" s="24">
        <f>SUM(J10*0.256)/92</f>
        <v>0.18223500115373079</v>
      </c>
      <c r="L10" s="26">
        <f>SUM((D10*0.1425))/2000*1.05</f>
        <v>9.79904651711594</v>
      </c>
      <c r="M10" s="24">
        <f>SUM(L10*0.256)/78</f>
        <v>3.2160973184380527E-2</v>
      </c>
      <c r="N10" s="47">
        <f>SUM(H10,J10,L10)</f>
        <v>170.90617722458603</v>
      </c>
      <c r="O10" s="30">
        <f>SUM(I10,K10,M10)</f>
        <v>0.52821399170951022</v>
      </c>
    </row>
    <row r="11" spans="1:15" s="22" customFormat="1" ht="15" customHeight="1" x14ac:dyDescent="0.25">
      <c r="A11" s="14" t="s">
        <v>40</v>
      </c>
      <c r="B11" s="101">
        <v>5095</v>
      </c>
      <c r="C11" s="44">
        <f t="shared" ref="C11:C25" si="0">SUM(B11/147986)</f>
        <v>3.4428932466584676E-2</v>
      </c>
      <c r="D11" s="45">
        <f t="shared" ref="D11:D25" si="1">SUM(C11*2781376.741)</f>
        <v>95759.831980018382</v>
      </c>
      <c r="E11" s="45">
        <f t="shared" ref="E11:E25" si="2">SUM(D11*0.256)</f>
        <v>24514.516986884708</v>
      </c>
      <c r="F11" s="45">
        <f t="shared" ref="F11:F25" si="3">SUM(E11/92)</f>
        <v>266.46214116179033</v>
      </c>
      <c r="G11" s="102">
        <f t="shared" ref="G11:G25" si="4">SUM(D11*7.3)/2000</f>
        <v>349.52338672706708</v>
      </c>
      <c r="H11" s="26">
        <f t="shared" ref="H11:H25" si="5">SUM(G11*0.2)</f>
        <v>69.904677345413418</v>
      </c>
      <c r="I11" s="24">
        <f t="shared" ref="I11:I25" si="6">SUM(H11*0.256)/78</f>
        <v>0.22943073590289531</v>
      </c>
      <c r="J11" s="26">
        <f t="shared" ref="J11:J25" si="7">SUM((D11*1))/2000</f>
        <v>47.879915990009188</v>
      </c>
      <c r="K11" s="24">
        <f t="shared" ref="K11:K25" si="8">SUM(J11*0.256)/92</f>
        <v>0.13323107058089514</v>
      </c>
      <c r="L11" s="26">
        <f t="shared" ref="L11:L25" si="9">SUM((D11*0.1425))/2000*1.05</f>
        <v>7.1640324300051246</v>
      </c>
      <c r="M11" s="24">
        <f t="shared" ref="M11:M25" si="10">SUM(L11*0.256)/78</f>
        <v>2.3512721821555282E-2</v>
      </c>
      <c r="N11" s="47">
        <f t="shared" ref="N11:N27" si="11">SUM(H11,J11,L11)</f>
        <v>124.94862576542774</v>
      </c>
      <c r="O11" s="30">
        <f t="shared" ref="O11:O28" si="12">SUM(I11,K11,M11)</f>
        <v>0.38617452830534571</v>
      </c>
    </row>
    <row r="12" spans="1:15" s="22" customFormat="1" ht="15" customHeight="1" x14ac:dyDescent="0.25">
      <c r="A12" s="14" t="s">
        <v>41</v>
      </c>
      <c r="B12" s="101">
        <v>12613</v>
      </c>
      <c r="C12" s="44">
        <f t="shared" si="0"/>
        <v>8.52310353682105E-2</v>
      </c>
      <c r="D12" s="45">
        <f t="shared" si="1"/>
        <v>237059.61938448905</v>
      </c>
      <c r="E12" s="45">
        <f t="shared" si="2"/>
        <v>60687.262562429198</v>
      </c>
      <c r="F12" s="45">
        <f t="shared" si="3"/>
        <v>659.64415828727385</v>
      </c>
      <c r="G12" s="102">
        <f t="shared" si="4"/>
        <v>865.26761075338504</v>
      </c>
      <c r="H12" s="26">
        <f t="shared" si="5"/>
        <v>173.05352215067703</v>
      </c>
      <c r="I12" s="24">
        <f t="shared" si="6"/>
        <v>0.5679705342381195</v>
      </c>
      <c r="J12" s="26">
        <f t="shared" si="7"/>
        <v>118.52980969224453</v>
      </c>
      <c r="K12" s="24">
        <f t="shared" si="8"/>
        <v>0.32982207914363693</v>
      </c>
      <c r="L12" s="26">
        <f t="shared" si="9"/>
        <v>17.735022775202086</v>
      </c>
      <c r="M12" s="24">
        <f t="shared" si="10"/>
        <v>5.8207254236560695E-2</v>
      </c>
      <c r="N12" s="47">
        <f t="shared" si="11"/>
        <v>309.31835461812364</v>
      </c>
      <c r="O12" s="30">
        <f t="shared" si="12"/>
        <v>0.95599986761831712</v>
      </c>
    </row>
    <row r="13" spans="1:15" s="22" customFormat="1" ht="15" customHeight="1" x14ac:dyDescent="0.25">
      <c r="A13" s="14" t="s">
        <v>42</v>
      </c>
      <c r="B13" s="101">
        <v>280</v>
      </c>
      <c r="C13" s="44">
        <f t="shared" si="0"/>
        <v>1.8920708715689323E-3</v>
      </c>
      <c r="D13" s="45">
        <f t="shared" si="1"/>
        <v>5262.5619145054261</v>
      </c>
      <c r="E13" s="45">
        <f t="shared" si="2"/>
        <v>1347.215850113389</v>
      </c>
      <c r="F13" s="45">
        <f t="shared" si="3"/>
        <v>14.64365054471075</v>
      </c>
      <c r="G13" s="102">
        <f t="shared" si="4"/>
        <v>19.208350987944808</v>
      </c>
      <c r="H13" s="26">
        <f t="shared" si="5"/>
        <v>3.8416701975889618</v>
      </c>
      <c r="I13" s="24">
        <f t="shared" si="6"/>
        <v>1.2608558597215054E-2</v>
      </c>
      <c r="J13" s="26">
        <f t="shared" si="7"/>
        <v>2.6312809572527129</v>
      </c>
      <c r="K13" s="24">
        <f t="shared" si="8"/>
        <v>7.3218252723553758E-3</v>
      </c>
      <c r="L13" s="26">
        <f t="shared" si="9"/>
        <v>0.39370541322893721</v>
      </c>
      <c r="M13" s="24">
        <f t="shared" si="10"/>
        <v>1.2921613562385632E-3</v>
      </c>
      <c r="N13" s="47">
        <f t="shared" si="11"/>
        <v>6.8666565680706118</v>
      </c>
      <c r="O13" s="30">
        <f t="shared" si="12"/>
        <v>2.1222545225808992E-2</v>
      </c>
    </row>
    <row r="14" spans="1:15" s="22" customFormat="1" ht="15" customHeight="1" x14ac:dyDescent="0.25">
      <c r="A14" s="14" t="s">
        <v>43</v>
      </c>
      <c r="B14" s="101">
        <v>16641</v>
      </c>
      <c r="C14" s="44">
        <f t="shared" si="0"/>
        <v>0.11244982633492358</v>
      </c>
      <c r="D14" s="45">
        <f t="shared" si="1"/>
        <v>312765.3314974457</v>
      </c>
      <c r="E14" s="45">
        <f t="shared" si="2"/>
        <v>80067.924863346096</v>
      </c>
      <c r="F14" s="45">
        <f t="shared" si="3"/>
        <v>870.30353112332716</v>
      </c>
      <c r="G14" s="102">
        <f t="shared" si="4"/>
        <v>1141.5934599656769</v>
      </c>
      <c r="H14" s="26">
        <f t="shared" si="5"/>
        <v>228.31869199313539</v>
      </c>
      <c r="I14" s="24">
        <f t="shared" si="6"/>
        <v>0.74935365577234181</v>
      </c>
      <c r="J14" s="26">
        <f t="shared" si="7"/>
        <v>156.38266574872284</v>
      </c>
      <c r="K14" s="24">
        <f t="shared" si="8"/>
        <v>0.43515176556166357</v>
      </c>
      <c r="L14" s="26">
        <f t="shared" si="9"/>
        <v>23.398756362652655</v>
      </c>
      <c r="M14" s="24">
        <f t="shared" si="10"/>
        <v>7.6795918318449743E-2</v>
      </c>
      <c r="N14" s="47">
        <f t="shared" si="11"/>
        <v>408.10011410451091</v>
      </c>
      <c r="O14" s="30">
        <f t="shared" si="12"/>
        <v>1.2613013396524551</v>
      </c>
    </row>
    <row r="15" spans="1:15" s="22" customFormat="1" ht="15" customHeight="1" x14ac:dyDescent="0.25">
      <c r="A15" s="14" t="s">
        <v>44</v>
      </c>
      <c r="B15" s="101">
        <v>3560</v>
      </c>
      <c r="C15" s="44">
        <f t="shared" si="0"/>
        <v>2.4056329652804995E-2</v>
      </c>
      <c r="D15" s="45">
        <f t="shared" si="1"/>
        <v>66909.715770140421</v>
      </c>
      <c r="E15" s="45">
        <f t="shared" si="2"/>
        <v>17128.887237155948</v>
      </c>
      <c r="F15" s="45">
        <f t="shared" si="3"/>
        <v>186.18355692560814</v>
      </c>
      <c r="G15" s="102">
        <f t="shared" si="4"/>
        <v>244.22046256101254</v>
      </c>
      <c r="H15" s="26">
        <f t="shared" si="5"/>
        <v>48.844092512202508</v>
      </c>
      <c r="I15" s="24">
        <f t="shared" si="6"/>
        <v>0.16030881645030567</v>
      </c>
      <c r="J15" s="26">
        <f t="shared" si="7"/>
        <v>33.454857885070211</v>
      </c>
      <c r="K15" s="24">
        <f t="shared" si="8"/>
        <v>9.3091778462804059E-2</v>
      </c>
      <c r="L15" s="26">
        <f t="shared" si="9"/>
        <v>5.0056831110536306</v>
      </c>
      <c r="M15" s="24">
        <f t="shared" si="10"/>
        <v>1.6428908672176019E-2</v>
      </c>
      <c r="N15" s="47">
        <f t="shared" si="11"/>
        <v>87.304633508326347</v>
      </c>
      <c r="O15" s="30">
        <f t="shared" si="12"/>
        <v>0.26982950358528573</v>
      </c>
    </row>
    <row r="16" spans="1:15" s="22" customFormat="1" ht="15" customHeight="1" x14ac:dyDescent="0.25">
      <c r="A16" s="14" t="s">
        <v>45</v>
      </c>
      <c r="B16" s="101">
        <v>10461</v>
      </c>
      <c r="C16" s="44">
        <f t="shared" si="0"/>
        <v>7.0689119241009291E-2</v>
      </c>
      <c r="D16" s="45">
        <f t="shared" si="1"/>
        <v>196613.07209871881</v>
      </c>
      <c r="E16" s="45">
        <f t="shared" si="2"/>
        <v>50332.946457272017</v>
      </c>
      <c r="F16" s="45">
        <f t="shared" si="3"/>
        <v>547.09724410078275</v>
      </c>
      <c r="G16" s="102">
        <f t="shared" si="4"/>
        <v>717.63771316032364</v>
      </c>
      <c r="H16" s="26">
        <f t="shared" si="5"/>
        <v>143.52754263206472</v>
      </c>
      <c r="I16" s="24">
        <f t="shared" si="6"/>
        <v>0.47106475530523806</v>
      </c>
      <c r="J16" s="26">
        <f t="shared" si="7"/>
        <v>98.306536049359408</v>
      </c>
      <c r="K16" s="24">
        <f t="shared" si="8"/>
        <v>0.27354862205039138</v>
      </c>
      <c r="L16" s="26">
        <f t="shared" si="9"/>
        <v>14.709115456385401</v>
      </c>
      <c r="M16" s="24">
        <f t="shared" si="10"/>
        <v>4.8276071241470035E-2</v>
      </c>
      <c r="N16" s="47">
        <f t="shared" si="11"/>
        <v>256.54319413780951</v>
      </c>
      <c r="O16" s="30">
        <f t="shared" si="12"/>
        <v>0.79288944859709942</v>
      </c>
    </row>
    <row r="17" spans="1:15" s="22" customFormat="1" ht="15" customHeight="1" x14ac:dyDescent="0.25">
      <c r="A17" s="14" t="s">
        <v>46</v>
      </c>
      <c r="B17" s="101">
        <v>4551</v>
      </c>
      <c r="C17" s="44">
        <f t="shared" si="0"/>
        <v>3.0752909058965036E-2</v>
      </c>
      <c r="D17" s="45">
        <f t="shared" si="1"/>
        <v>85535.425974693542</v>
      </c>
      <c r="E17" s="45">
        <f t="shared" si="2"/>
        <v>21897.069049521546</v>
      </c>
      <c r="F17" s="45">
        <f t="shared" si="3"/>
        <v>238.01162010349506</v>
      </c>
      <c r="G17" s="102">
        <f t="shared" si="4"/>
        <v>312.20430480763139</v>
      </c>
      <c r="H17" s="26">
        <f t="shared" si="5"/>
        <v>62.440860961526283</v>
      </c>
      <c r="I17" s="24">
        <f t="shared" si="6"/>
        <v>0.20493410777116319</v>
      </c>
      <c r="J17" s="26">
        <f t="shared" si="7"/>
        <v>42.767712987346769</v>
      </c>
      <c r="K17" s="24">
        <f t="shared" si="8"/>
        <v>0.11900581005174754</v>
      </c>
      <c r="L17" s="26">
        <f t="shared" si="9"/>
        <v>6.3991190557317612</v>
      </c>
      <c r="M17" s="24">
        <f t="shared" si="10"/>
        <v>2.1002236900863218E-2</v>
      </c>
      <c r="N17" s="47">
        <f t="shared" si="11"/>
        <v>111.60769300460481</v>
      </c>
      <c r="O17" s="30">
        <f t="shared" si="12"/>
        <v>0.34494215472377399</v>
      </c>
    </row>
    <row r="18" spans="1:15" s="22" customFormat="1" ht="15" customHeight="1" x14ac:dyDescent="0.25">
      <c r="A18" s="14" t="s">
        <v>47</v>
      </c>
      <c r="B18" s="101">
        <v>31373</v>
      </c>
      <c r="C18" s="44">
        <f t="shared" si="0"/>
        <v>0.21199978376332895</v>
      </c>
      <c r="D18" s="45">
        <f t="shared" si="1"/>
        <v>589651.2676563526</v>
      </c>
      <c r="E18" s="45">
        <f t="shared" si="2"/>
        <v>150950.72452002627</v>
      </c>
      <c r="F18" s="45">
        <f t="shared" si="3"/>
        <v>1640.7687447828941</v>
      </c>
      <c r="G18" s="102">
        <f t="shared" si="4"/>
        <v>2152.2271269456869</v>
      </c>
      <c r="H18" s="26">
        <f t="shared" si="5"/>
        <v>430.44542538913743</v>
      </c>
      <c r="I18" s="24">
        <f t="shared" si="6"/>
        <v>1.4127439602515279</v>
      </c>
      <c r="J18" s="26">
        <f t="shared" si="7"/>
        <v>294.82563382817631</v>
      </c>
      <c r="K18" s="24">
        <f t="shared" si="8"/>
        <v>0.82038437239144724</v>
      </c>
      <c r="L18" s="26">
        <f t="shared" si="9"/>
        <v>44.113285461540883</v>
      </c>
      <c r="M18" s="24">
        <f t="shared" si="10"/>
        <v>0.14478206510454444</v>
      </c>
      <c r="N18" s="47">
        <f t="shared" si="11"/>
        <v>769.38434467885452</v>
      </c>
      <c r="O18" s="30">
        <f t="shared" si="12"/>
        <v>2.3779103977475198</v>
      </c>
    </row>
    <row r="19" spans="1:15" s="22" customFormat="1" ht="15" customHeight="1" x14ac:dyDescent="0.25">
      <c r="A19" s="14" t="s">
        <v>48</v>
      </c>
      <c r="B19" s="101">
        <v>160</v>
      </c>
      <c r="C19" s="44">
        <f t="shared" si="0"/>
        <v>1.081183355182247E-3</v>
      </c>
      <c r="D19" s="45">
        <f t="shared" si="1"/>
        <v>3007.1782368602435</v>
      </c>
      <c r="E19" s="45">
        <f t="shared" si="2"/>
        <v>769.83762863622235</v>
      </c>
      <c r="F19" s="45">
        <f t="shared" si="3"/>
        <v>8.3678003112632862</v>
      </c>
      <c r="G19" s="102">
        <f t="shared" si="4"/>
        <v>10.976200564539887</v>
      </c>
      <c r="H19" s="26">
        <f t="shared" si="5"/>
        <v>2.1952401129079777</v>
      </c>
      <c r="I19" s="24">
        <f t="shared" si="6"/>
        <v>7.2048906269800298E-3</v>
      </c>
      <c r="J19" s="26">
        <f t="shared" si="7"/>
        <v>1.5035891184301218</v>
      </c>
      <c r="K19" s="24">
        <f t="shared" si="8"/>
        <v>4.1839001556316438E-3</v>
      </c>
      <c r="L19" s="26">
        <f t="shared" si="9"/>
        <v>0.22497452184510694</v>
      </c>
      <c r="M19" s="24">
        <f t="shared" si="10"/>
        <v>7.3837791785060739E-4</v>
      </c>
      <c r="N19" s="47">
        <f t="shared" si="11"/>
        <v>3.9238037531832068</v>
      </c>
      <c r="O19" s="30">
        <f t="shared" si="12"/>
        <v>1.2127168700462281E-2</v>
      </c>
    </row>
    <row r="20" spans="1:15" s="22" customFormat="1" ht="15" customHeight="1" x14ac:dyDescent="0.25">
      <c r="A20" s="14" t="s">
        <v>49</v>
      </c>
      <c r="B20" s="101">
        <v>17361</v>
      </c>
      <c r="C20" s="44">
        <f t="shared" si="0"/>
        <v>0.11731515143324368</v>
      </c>
      <c r="D20" s="45">
        <f t="shared" si="1"/>
        <v>326297.63356331678</v>
      </c>
      <c r="E20" s="45">
        <f t="shared" si="2"/>
        <v>83532.194192209092</v>
      </c>
      <c r="F20" s="45">
        <f t="shared" si="3"/>
        <v>907.95863252401182</v>
      </c>
      <c r="G20" s="102">
        <f t="shared" si="4"/>
        <v>1190.9863625061062</v>
      </c>
      <c r="H20" s="26">
        <f t="shared" si="5"/>
        <v>238.19727250122125</v>
      </c>
      <c r="I20" s="24">
        <f t="shared" si="6"/>
        <v>0.78177566359375184</v>
      </c>
      <c r="J20" s="26">
        <f t="shared" si="7"/>
        <v>163.14881678165838</v>
      </c>
      <c r="K20" s="24">
        <f t="shared" si="8"/>
        <v>0.45397931626200594</v>
      </c>
      <c r="L20" s="26">
        <f t="shared" si="9"/>
        <v>24.411141710955633</v>
      </c>
      <c r="M20" s="24">
        <f t="shared" si="10"/>
        <v>8.0118618948777462E-2</v>
      </c>
      <c r="N20" s="47">
        <f t="shared" si="11"/>
        <v>425.75723099383526</v>
      </c>
      <c r="O20" s="30">
        <f t="shared" si="12"/>
        <v>1.3158735988045354</v>
      </c>
    </row>
    <row r="21" spans="1:15" s="22" customFormat="1" ht="15" customHeight="1" x14ac:dyDescent="0.25">
      <c r="A21" s="14" t="s">
        <v>50</v>
      </c>
      <c r="B21" s="101">
        <v>10594</v>
      </c>
      <c r="C21" s="44">
        <f t="shared" si="0"/>
        <v>7.1587852905004523E-2</v>
      </c>
      <c r="D21" s="45">
        <f t="shared" si="1"/>
        <v>199112.78900810887</v>
      </c>
      <c r="E21" s="45">
        <f t="shared" si="2"/>
        <v>50972.873986075872</v>
      </c>
      <c r="F21" s="45">
        <f t="shared" si="3"/>
        <v>554.05297810952038</v>
      </c>
      <c r="G21" s="102">
        <f t="shared" si="4"/>
        <v>726.76167987959741</v>
      </c>
      <c r="H21" s="26">
        <f t="shared" si="5"/>
        <v>145.35233597591949</v>
      </c>
      <c r="I21" s="24">
        <f t="shared" si="6"/>
        <v>0.47705382063891522</v>
      </c>
      <c r="J21" s="26">
        <f t="shared" si="7"/>
        <v>99.556394504054438</v>
      </c>
      <c r="K21" s="24">
        <f t="shared" si="8"/>
        <v>0.27702648905476018</v>
      </c>
      <c r="L21" s="26">
        <f t="shared" si="9"/>
        <v>14.896125527669144</v>
      </c>
      <c r="M21" s="24">
        <f t="shared" si="10"/>
        <v>4.8889847885683346E-2</v>
      </c>
      <c r="N21" s="47">
        <f t="shared" si="11"/>
        <v>259.80485600764308</v>
      </c>
      <c r="O21" s="30">
        <f t="shared" si="12"/>
        <v>0.80297015757935886</v>
      </c>
    </row>
    <row r="22" spans="1:15" s="22" customFormat="1" ht="15" customHeight="1" x14ac:dyDescent="0.25">
      <c r="A22" s="14" t="s">
        <v>51</v>
      </c>
      <c r="B22" s="101">
        <v>7506</v>
      </c>
      <c r="C22" s="44">
        <f t="shared" si="0"/>
        <v>5.0721014149987163E-2</v>
      </c>
      <c r="D22" s="45">
        <f t="shared" si="1"/>
        <v>141074.24903670617</v>
      </c>
      <c r="E22" s="45">
        <f t="shared" si="2"/>
        <v>36115.007753396778</v>
      </c>
      <c r="F22" s="45">
        <f t="shared" si="3"/>
        <v>392.55443210213889</v>
      </c>
      <c r="G22" s="102">
        <f t="shared" si="4"/>
        <v>514.92100898397746</v>
      </c>
      <c r="H22" s="26">
        <f t="shared" si="5"/>
        <v>102.9842017967955</v>
      </c>
      <c r="I22" s="24">
        <f t="shared" si="6"/>
        <v>0.33799943153820061</v>
      </c>
      <c r="J22" s="26">
        <f t="shared" si="7"/>
        <v>70.537124518353082</v>
      </c>
      <c r="K22" s="24">
        <f t="shared" si="8"/>
        <v>0.19627721605106946</v>
      </c>
      <c r="L22" s="26">
        <f t="shared" si="9"/>
        <v>10.55411725605858</v>
      </c>
      <c r="M22" s="24">
        <f t="shared" si="10"/>
        <v>3.4639154071166627E-2</v>
      </c>
      <c r="N22" s="47">
        <f t="shared" si="11"/>
        <v>184.07544357120719</v>
      </c>
      <c r="O22" s="30">
        <f t="shared" si="12"/>
        <v>0.56891580166043665</v>
      </c>
    </row>
    <row r="23" spans="1:15" s="22" customFormat="1" ht="15" customHeight="1" x14ac:dyDescent="0.25">
      <c r="A23" s="14" t="s">
        <v>52</v>
      </c>
      <c r="B23" s="101">
        <v>20822</v>
      </c>
      <c r="C23" s="44">
        <f t="shared" si="0"/>
        <v>0.14070249888502967</v>
      </c>
      <c r="D23" s="45">
        <f t="shared" si="1"/>
        <v>391346.65779939992</v>
      </c>
      <c r="E23" s="45">
        <f t="shared" si="2"/>
        <v>100184.74439664638</v>
      </c>
      <c r="F23" s="45">
        <f t="shared" si="3"/>
        <v>1088.9646130070257</v>
      </c>
      <c r="G23" s="102">
        <f t="shared" si="4"/>
        <v>1428.4153009678098</v>
      </c>
      <c r="H23" s="26">
        <f t="shared" si="5"/>
        <v>285.68306019356197</v>
      </c>
      <c r="I23" s="24">
        <f t="shared" si="6"/>
        <v>0.93762645396861366</v>
      </c>
      <c r="J23" s="26">
        <f t="shared" si="7"/>
        <v>195.67332889969995</v>
      </c>
      <c r="K23" s="24">
        <f t="shared" si="8"/>
        <v>0.54448230650351293</v>
      </c>
      <c r="L23" s="26">
        <f t="shared" si="9"/>
        <v>29.277621836617605</v>
      </c>
      <c r="M23" s="24">
        <f t="shared" si="10"/>
        <v>9.6090656284283427E-2</v>
      </c>
      <c r="N23" s="47">
        <f t="shared" si="11"/>
        <v>510.63401092987948</v>
      </c>
      <c r="O23" s="30">
        <f t="shared" si="12"/>
        <v>1.57819941675641</v>
      </c>
    </row>
    <row r="24" spans="1:15" s="22" customFormat="1" ht="14.1" customHeight="1" x14ac:dyDescent="0.25">
      <c r="C24" s="44"/>
      <c r="D24" s="45"/>
      <c r="E24" s="45"/>
      <c r="F24" s="45"/>
      <c r="G24" s="102"/>
      <c r="H24" s="26"/>
      <c r="I24" s="24"/>
      <c r="J24" s="26"/>
      <c r="K24" s="24"/>
      <c r="L24" s="26"/>
      <c r="M24" s="24"/>
      <c r="N24" s="47"/>
      <c r="O24" s="30"/>
    </row>
    <row r="25" spans="1:15" s="52" customFormat="1" ht="14.1" customHeight="1" x14ac:dyDescent="0.25">
      <c r="A25" s="27" t="s">
        <v>53</v>
      </c>
      <c r="B25" s="103">
        <f>SUM(B10:B23)</f>
        <v>147986</v>
      </c>
      <c r="C25" s="44">
        <f t="shared" si="0"/>
        <v>1</v>
      </c>
      <c r="D25" s="45">
        <f t="shared" si="1"/>
        <v>2781376.7409999999</v>
      </c>
      <c r="E25" s="45">
        <f t="shared" si="2"/>
        <v>712032.44569600001</v>
      </c>
      <c r="F25" s="45">
        <f t="shared" si="3"/>
        <v>7739.4831053913049</v>
      </c>
      <c r="G25" s="102">
        <f t="shared" si="4"/>
        <v>10152.02510465</v>
      </c>
      <c r="H25" s="47">
        <f t="shared" si="5"/>
        <v>2030.4050209300001</v>
      </c>
      <c r="I25" s="30">
        <f t="shared" si="6"/>
        <v>6.6638934020266669</v>
      </c>
      <c r="J25" s="47">
        <f t="shared" si="7"/>
        <v>1390.6883705</v>
      </c>
      <c r="K25" s="30">
        <f t="shared" si="8"/>
        <v>3.8697415526956518</v>
      </c>
      <c r="L25" s="47">
        <f t="shared" si="9"/>
        <v>208.0817474360625</v>
      </c>
      <c r="M25" s="30">
        <f t="shared" si="10"/>
        <v>0.68293496594400005</v>
      </c>
      <c r="N25" s="47">
        <f t="shared" si="11"/>
        <v>3629.1751388660628</v>
      </c>
      <c r="O25" s="30">
        <f t="shared" si="12"/>
        <v>11.216569920666318</v>
      </c>
    </row>
    <row r="26" spans="1:15" s="22" customFormat="1" ht="14.1" customHeight="1" x14ac:dyDescent="0.25">
      <c r="H26" s="104"/>
      <c r="I26" s="35"/>
      <c r="J26" s="104"/>
      <c r="K26" s="35"/>
      <c r="L26" s="104"/>
      <c r="M26" s="35"/>
      <c r="N26" s="47"/>
      <c r="O26" s="30"/>
    </row>
    <row r="27" spans="1:15" s="22" customFormat="1" ht="14.1" customHeight="1" x14ac:dyDescent="0.25">
      <c r="A27" s="22" t="s">
        <v>177</v>
      </c>
      <c r="B27" s="48">
        <f>SUM(B10,B12,B13,B14,B18,B19,B20,B21,B22,B23)</f>
        <v>124319</v>
      </c>
      <c r="C27" s="105">
        <f>SUM(C10,C12,C13,C14,C18,C19,C20,C21,C22,C23)</f>
        <v>0.84007270958063596</v>
      </c>
      <c r="D27" s="48">
        <f>SUM(D10,D12,D13,D14,D18,D19,D20,D21,D22,D23)</f>
        <v>2336558.6951764286</v>
      </c>
      <c r="E27" s="48"/>
      <c r="F27" s="48"/>
      <c r="G27" s="48"/>
      <c r="H27" s="104">
        <f t="shared" ref="H27:M27" si="13">SUM(H10,H12,H13,H14,H18,H19,H20,H21,H22,H23)</f>
        <v>1705.6878474787929</v>
      </c>
      <c r="I27" s="35">
        <f t="shared" si="13"/>
        <v>5.5981549865970646</v>
      </c>
      <c r="J27" s="104">
        <f t="shared" si="13"/>
        <v>1168.2793475882143</v>
      </c>
      <c r="K27" s="35">
        <f t="shared" si="13"/>
        <v>3.2508642715498137</v>
      </c>
      <c r="L27" s="104">
        <f t="shared" si="13"/>
        <v>174.80379738288659</v>
      </c>
      <c r="M27" s="35">
        <f t="shared" si="13"/>
        <v>0.57371502730793544</v>
      </c>
      <c r="N27" s="47">
        <f t="shared" si="11"/>
        <v>3048.7709924498936</v>
      </c>
      <c r="O27" s="30">
        <f t="shared" si="12"/>
        <v>9.4227342854548137</v>
      </c>
    </row>
    <row r="28" spans="1:15" s="22" customFormat="1" ht="14.1" customHeight="1" x14ac:dyDescent="0.25">
      <c r="A28" s="22" t="s">
        <v>178</v>
      </c>
      <c r="B28" s="48">
        <f>SUM(B11,B15,B16,B17)</f>
        <v>23667</v>
      </c>
      <c r="C28" s="105">
        <f>SUM(C11,C15,C16,C17)</f>
        <v>0.15992729041936399</v>
      </c>
      <c r="D28" s="48">
        <f>SUM(D11,D15,D16,D17)</f>
        <v>444818.04582357121</v>
      </c>
      <c r="E28" s="48"/>
      <c r="F28" s="48"/>
      <c r="G28" s="48"/>
      <c r="H28" s="104">
        <f t="shared" ref="H28:M28" si="14">SUM(H11,H15,H16,H17)</f>
        <v>324.71717345120692</v>
      </c>
      <c r="I28" s="35">
        <f t="shared" si="14"/>
        <v>1.0657384154296023</v>
      </c>
      <c r="J28" s="104">
        <f t="shared" si="14"/>
        <v>222.4090229117856</v>
      </c>
      <c r="K28" s="35">
        <f t="shared" si="14"/>
        <v>0.61887728114583807</v>
      </c>
      <c r="L28" s="104">
        <f t="shared" si="14"/>
        <v>33.277950053175914</v>
      </c>
      <c r="M28" s="35">
        <f t="shared" si="14"/>
        <v>0.10921993863606455</v>
      </c>
      <c r="N28" s="47">
        <f>SUM(H28,J28,L28)</f>
        <v>580.40414641616837</v>
      </c>
      <c r="O28" s="30">
        <f t="shared" si="12"/>
        <v>1.793835635211505</v>
      </c>
    </row>
    <row r="29" spans="1:15" ht="14.1" customHeight="1" x14ac:dyDescent="0.2">
      <c r="K29" s="17"/>
      <c r="M29" s="17"/>
      <c r="O29" s="17"/>
    </row>
    <row r="33" spans="8:11" ht="14.1" customHeight="1" x14ac:dyDescent="0.2">
      <c r="K33" s="2"/>
    </row>
    <row r="35" spans="8:11" ht="14.1" customHeight="1" x14ac:dyDescent="0.2">
      <c r="H35" s="2" t="s">
        <v>213</v>
      </c>
    </row>
  </sheetData>
  <phoneticPr fontId="0" type="noConversion"/>
  <printOptions gridLines="1"/>
  <pageMargins left="0.5" right="0.5" top="0.5" bottom="0.25" header="0.25" footer="0.25"/>
  <pageSetup scale="9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opLeftCell="C1" workbookViewId="0">
      <selection activeCell="C1" sqref="A1:IV65536"/>
    </sheetView>
  </sheetViews>
  <sheetFormatPr defaultColWidth="9.75" defaultRowHeight="15" customHeight="1" x14ac:dyDescent="0.2"/>
  <cols>
    <col min="1" max="1" width="11.75" style="3" customWidth="1"/>
    <col min="2" max="2" width="9.375" style="3" customWidth="1"/>
    <col min="3" max="3" width="9.875" style="3" customWidth="1"/>
    <col min="4" max="4" width="10.5" style="3" customWidth="1"/>
    <col min="5" max="5" width="9.5" style="3" customWidth="1"/>
    <col min="6" max="6" width="11.25" style="3" customWidth="1"/>
    <col min="7" max="7" width="8.5" style="3" customWidth="1"/>
    <col min="8" max="8" width="10.25" style="3" customWidth="1"/>
    <col min="9" max="9" width="8.5" style="3" customWidth="1"/>
    <col min="10" max="10" width="10.25" style="3" customWidth="1"/>
    <col min="11" max="11" width="9" style="3" customWidth="1"/>
    <col min="12" max="12" width="10.125" style="3" customWidth="1"/>
    <col min="13" max="13" width="7.875" style="3" customWidth="1"/>
    <col min="14" max="14" width="8.875" style="3" customWidth="1"/>
    <col min="15" max="15" width="6.875" style="3" customWidth="1"/>
    <col min="16" max="16" width="0.75" style="3" customWidth="1"/>
    <col min="17" max="17" width="4.75" style="3" customWidth="1"/>
    <col min="18" max="18" width="3.75" style="3" customWidth="1"/>
    <col min="19" max="16384" width="9.75" style="3"/>
  </cols>
  <sheetData>
    <row r="1" spans="1:15" ht="18.75" customHeight="1" x14ac:dyDescent="0.2">
      <c r="B1" s="4"/>
      <c r="C1" s="42" t="s">
        <v>224</v>
      </c>
    </row>
    <row r="2" spans="1:15" ht="15" customHeight="1" x14ac:dyDescent="0.25">
      <c r="A2" s="13" t="s">
        <v>226</v>
      </c>
      <c r="B2" s="54"/>
      <c r="C2" s="54"/>
      <c r="M2" s="55" t="s">
        <v>10</v>
      </c>
    </row>
    <row r="3" spans="1:15" ht="15" customHeight="1" x14ac:dyDescent="0.2">
      <c r="B3" s="3" t="s">
        <v>206</v>
      </c>
      <c r="D3" s="55" t="s">
        <v>26</v>
      </c>
      <c r="F3" s="55" t="s">
        <v>55</v>
      </c>
      <c r="H3" s="55" t="s">
        <v>7</v>
      </c>
      <c r="J3" s="55" t="s">
        <v>56</v>
      </c>
      <c r="L3" s="55" t="s">
        <v>57</v>
      </c>
      <c r="M3" s="55" t="s">
        <v>7</v>
      </c>
      <c r="N3" s="81" t="s">
        <v>10</v>
      </c>
    </row>
    <row r="4" spans="1:15" ht="15" customHeight="1" x14ac:dyDescent="0.2">
      <c r="D4" s="55" t="s">
        <v>55</v>
      </c>
      <c r="F4" s="55" t="s">
        <v>58</v>
      </c>
      <c r="G4" s="55" t="s">
        <v>10</v>
      </c>
      <c r="H4" s="55" t="s">
        <v>59</v>
      </c>
      <c r="J4" s="55" t="s">
        <v>60</v>
      </c>
      <c r="L4" s="55" t="s">
        <v>61</v>
      </c>
      <c r="M4" s="55" t="s">
        <v>62</v>
      </c>
      <c r="N4" s="81" t="s">
        <v>26</v>
      </c>
    </row>
    <row r="5" spans="1:15" ht="15" customHeight="1" x14ac:dyDescent="0.2">
      <c r="D5" s="55" t="s">
        <v>63</v>
      </c>
      <c r="F5" s="55" t="s">
        <v>64</v>
      </c>
      <c r="G5" s="82" t="s">
        <v>65</v>
      </c>
      <c r="H5" s="55" t="s">
        <v>65</v>
      </c>
      <c r="J5" s="55" t="s">
        <v>66</v>
      </c>
      <c r="L5" s="55" t="s">
        <v>67</v>
      </c>
      <c r="M5" s="55" t="s">
        <v>68</v>
      </c>
      <c r="N5" s="81" t="s">
        <v>69</v>
      </c>
      <c r="O5" s="81" t="s">
        <v>10</v>
      </c>
    </row>
    <row r="6" spans="1:15" ht="15" customHeight="1" x14ac:dyDescent="0.2">
      <c r="B6" s="55" t="s">
        <v>70</v>
      </c>
      <c r="C6" s="55" t="s">
        <v>70</v>
      </c>
      <c r="D6" s="55" t="s">
        <v>71</v>
      </c>
      <c r="E6" s="55" t="s">
        <v>72</v>
      </c>
      <c r="F6" s="55" t="s">
        <v>73</v>
      </c>
      <c r="G6" s="82" t="s">
        <v>74</v>
      </c>
      <c r="H6" s="55" t="s">
        <v>75</v>
      </c>
      <c r="J6" s="55" t="s">
        <v>71</v>
      </c>
      <c r="L6" s="55" t="s">
        <v>71</v>
      </c>
      <c r="M6" s="55" t="s">
        <v>76</v>
      </c>
      <c r="N6" s="81" t="s">
        <v>7</v>
      </c>
      <c r="O6" s="81" t="s">
        <v>77</v>
      </c>
    </row>
    <row r="7" spans="1:15" ht="15" customHeight="1" x14ac:dyDescent="0.2">
      <c r="B7" s="82" t="s">
        <v>78</v>
      </c>
      <c r="C7" s="82" t="s">
        <v>78</v>
      </c>
      <c r="D7" s="55" t="s">
        <v>79</v>
      </c>
      <c r="E7" s="55" t="s">
        <v>80</v>
      </c>
      <c r="F7" s="55" t="s">
        <v>81</v>
      </c>
      <c r="G7" s="55" t="s">
        <v>69</v>
      </c>
      <c r="H7" s="55" t="s">
        <v>82</v>
      </c>
      <c r="J7" s="55" t="s">
        <v>83</v>
      </c>
      <c r="L7" s="55" t="s">
        <v>83</v>
      </c>
      <c r="M7" s="55" t="s">
        <v>10</v>
      </c>
      <c r="N7" s="81" t="s">
        <v>84</v>
      </c>
      <c r="O7" s="83">
        <v>2011</v>
      </c>
    </row>
    <row r="8" spans="1:15" ht="15" customHeight="1" x14ac:dyDescent="0.2">
      <c r="A8" s="55" t="s">
        <v>70</v>
      </c>
      <c r="B8" s="55" t="s">
        <v>20</v>
      </c>
      <c r="C8" s="55" t="s">
        <v>20</v>
      </c>
      <c r="D8" s="55" t="s">
        <v>85</v>
      </c>
      <c r="E8" s="55" t="s">
        <v>86</v>
      </c>
      <c r="F8" s="55" t="s">
        <v>87</v>
      </c>
      <c r="G8" s="84" t="s">
        <v>88</v>
      </c>
      <c r="H8" s="55" t="s">
        <v>89</v>
      </c>
      <c r="I8" s="82" t="s">
        <v>222</v>
      </c>
      <c r="J8" s="55" t="s">
        <v>90</v>
      </c>
      <c r="K8" s="55" t="s">
        <v>61</v>
      </c>
      <c r="L8" s="55" t="s">
        <v>91</v>
      </c>
      <c r="M8" s="55" t="s">
        <v>54</v>
      </c>
      <c r="N8" s="83">
        <v>2011</v>
      </c>
      <c r="O8" s="81" t="s">
        <v>92</v>
      </c>
    </row>
    <row r="9" spans="1:15" s="85" customFormat="1" ht="15" customHeight="1" x14ac:dyDescent="0.2">
      <c r="B9" s="86" t="s">
        <v>93</v>
      </c>
      <c r="C9" s="86" t="s">
        <v>199</v>
      </c>
      <c r="D9" s="86" t="s">
        <v>94</v>
      </c>
      <c r="E9" s="86" t="s">
        <v>93</v>
      </c>
      <c r="F9" s="86" t="s">
        <v>94</v>
      </c>
      <c r="G9" s="87" t="s">
        <v>93</v>
      </c>
      <c r="H9" s="86" t="s">
        <v>95</v>
      </c>
      <c r="I9" s="88" t="s">
        <v>93</v>
      </c>
      <c r="J9" s="86" t="s">
        <v>95</v>
      </c>
      <c r="K9" s="86" t="s">
        <v>93</v>
      </c>
      <c r="L9" s="86" t="s">
        <v>95</v>
      </c>
      <c r="M9" s="86" t="s">
        <v>31</v>
      </c>
      <c r="N9" s="89" t="s">
        <v>31</v>
      </c>
      <c r="O9" s="89" t="s">
        <v>29</v>
      </c>
    </row>
    <row r="10" spans="1:15" ht="21" customHeight="1" x14ac:dyDescent="0.2">
      <c r="A10" s="82" t="s">
        <v>230</v>
      </c>
      <c r="B10" s="90">
        <v>0</v>
      </c>
      <c r="C10" s="90"/>
      <c r="D10" s="91">
        <f>SUM(B10*2000*0.25)*0.17857*0.8/1000/2000</f>
        <v>0</v>
      </c>
      <c r="E10" s="90">
        <v>0</v>
      </c>
      <c r="F10" s="91">
        <f>SUM(E10*2000)*0.17857*1.8/1000/2000</f>
        <v>0</v>
      </c>
      <c r="H10" s="91">
        <f>SUM(B10*2000)*0.17857*2.7/7/1000/2000</f>
        <v>0</v>
      </c>
      <c r="I10" s="90">
        <v>0</v>
      </c>
      <c r="J10" s="91">
        <f>SUM(I10*2000)*0.14286*0.005/7/1000/2000</f>
        <v>0</v>
      </c>
      <c r="K10" s="90">
        <v>0</v>
      </c>
      <c r="L10" s="91">
        <f>SUM(K10*2000)*0.14085*0.005/7/1000/2000</f>
        <v>0</v>
      </c>
      <c r="N10" s="92"/>
    </row>
    <row r="11" spans="1:15" ht="15" customHeight="1" x14ac:dyDescent="0.2">
      <c r="A11" s="82" t="s">
        <v>96</v>
      </c>
      <c r="B11" s="90">
        <v>0</v>
      </c>
      <c r="C11" s="90"/>
      <c r="D11" s="91">
        <f>SUM(B11*2000*0.25)*0.17857*0.8/1000/2000</f>
        <v>0</v>
      </c>
      <c r="E11" s="90">
        <v>0</v>
      </c>
      <c r="F11" s="91">
        <f>SUM(E11*2000)*0.17857*1.8/1000/2000</f>
        <v>0</v>
      </c>
      <c r="H11" s="91">
        <f>SUM(B11*2000)*0.17857*2.7/7/2/1000/2000</f>
        <v>0</v>
      </c>
      <c r="I11" s="90">
        <v>0</v>
      </c>
      <c r="J11" s="91">
        <f>SUM(I11*2000)*0.14286*0.005/7/1000/2000</f>
        <v>0</v>
      </c>
      <c r="K11" s="90">
        <v>6947</v>
      </c>
      <c r="L11" s="91">
        <f>SUM(K11*2000)*0.14085*0.005/7/1000/2000</f>
        <v>6.9891782142857139E-4</v>
      </c>
      <c r="N11" s="20"/>
    </row>
    <row r="12" spans="1:15" ht="15" customHeight="1" x14ac:dyDescent="0.2">
      <c r="A12" s="3" t="s">
        <v>231</v>
      </c>
      <c r="D12" s="91">
        <f>SUM(D10:D11)</f>
        <v>0</v>
      </c>
      <c r="E12" s="20"/>
      <c r="F12" s="91">
        <f>SUM(F10:F11)</f>
        <v>0</v>
      </c>
      <c r="G12" s="91">
        <f>SUM(D12,F12)</f>
        <v>0</v>
      </c>
      <c r="H12" s="91">
        <f>SUM(H10:H11)</f>
        <v>0</v>
      </c>
      <c r="I12" s="20"/>
      <c r="J12" s="91">
        <f>SUM(J10:J11)</f>
        <v>0</v>
      </c>
      <c r="K12" s="20"/>
      <c r="L12" s="91">
        <f>SUM(L10:L11)</f>
        <v>6.9891782142857139E-4</v>
      </c>
      <c r="M12" s="91">
        <f>SUM(H12,J12,L12)</f>
        <v>6.9891782142857139E-4</v>
      </c>
      <c r="N12" s="93">
        <f>SUM(G12,M12)</f>
        <v>6.9891782142857139E-4</v>
      </c>
      <c r="O12" s="94">
        <f>SUM(N12/365)</f>
        <v>1.9148433463796476E-6</v>
      </c>
    </row>
    <row r="13" spans="1:15" ht="8.25" customHeight="1" x14ac:dyDescent="0.2">
      <c r="A13" s="4"/>
      <c r="D13" s="95"/>
      <c r="F13" s="95"/>
      <c r="G13" s="91"/>
      <c r="H13" s="95"/>
      <c r="J13" s="95"/>
      <c r="L13" s="95"/>
      <c r="M13" s="91"/>
      <c r="N13" s="93"/>
      <c r="O13" s="96"/>
    </row>
    <row r="14" spans="1:15" ht="15" customHeight="1" x14ac:dyDescent="0.2">
      <c r="A14" s="82" t="s">
        <v>97</v>
      </c>
      <c r="B14" s="90">
        <v>55000</v>
      </c>
      <c r="C14" s="91">
        <f>SUM(B14*2000*0.1786)/1000</f>
        <v>19646</v>
      </c>
      <c r="D14" s="91">
        <f>SUM(B14*2000*0.25)*0.17857*0.8/1000/2000</f>
        <v>1.96427</v>
      </c>
      <c r="E14" s="90">
        <v>0</v>
      </c>
      <c r="F14" s="91">
        <f>SUM(E14*2000)*0.17857*1.8/1000/2000</f>
        <v>0</v>
      </c>
      <c r="G14" s="91">
        <f>SUM(D14,F14)</f>
        <v>1.96427</v>
      </c>
      <c r="H14" s="91">
        <f>SUM(B14*2000)*0.17857*2.7/7/2/1000/2000</f>
        <v>1.8941175000000001</v>
      </c>
      <c r="I14" s="90">
        <v>316000</v>
      </c>
      <c r="J14" s="91">
        <f>SUM(I14*2000)*0.14286*0.005/7/1000/2000</f>
        <v>3.2245542857142852E-2</v>
      </c>
      <c r="K14" s="90">
        <v>2217000</v>
      </c>
      <c r="L14" s="91">
        <f>SUM(K14*2000)*0.14085*0.005/7/1000/2000</f>
        <v>0.22304603571428572</v>
      </c>
      <c r="M14" s="91"/>
      <c r="N14" s="93"/>
      <c r="O14" s="96"/>
    </row>
    <row r="15" spans="1:15" ht="15" customHeight="1" x14ac:dyDescent="0.2">
      <c r="A15" s="82" t="s">
        <v>98</v>
      </c>
      <c r="B15" s="90">
        <v>3803000</v>
      </c>
      <c r="C15" s="91">
        <f>SUM(B15*2000*0.1786)/1000</f>
        <v>1358431.6</v>
      </c>
      <c r="D15" s="91">
        <f>SUM(B15*2000*0.25)*0.17857*0.8/1000/2000</f>
        <v>135.82034200000001</v>
      </c>
      <c r="E15" s="90">
        <v>0</v>
      </c>
      <c r="F15" s="91">
        <f>SUM(E15*2000)*0.17857*1.8/1000/2000</f>
        <v>0</v>
      </c>
      <c r="G15" s="91">
        <f>SUM(D15,F15)</f>
        <v>135.82034200000001</v>
      </c>
      <c r="H15" s="91">
        <f>SUM(B15*2000)*0.17857*2.7/7/2/1000/2000</f>
        <v>130.9696155</v>
      </c>
      <c r="I15" s="90">
        <v>0</v>
      </c>
      <c r="J15" s="91">
        <f>SUM(I15*2000)*0.14286*0.005/7/1000/2000</f>
        <v>0</v>
      </c>
      <c r="K15" s="90">
        <v>1536000</v>
      </c>
      <c r="L15" s="91">
        <f>SUM(K15*2000)*0.14085*0.005/7/1000/2000</f>
        <v>0.15453257142857144</v>
      </c>
      <c r="M15" s="91"/>
      <c r="N15" s="93"/>
      <c r="O15" s="96"/>
    </row>
    <row r="16" spans="1:15" ht="15" customHeight="1" x14ac:dyDescent="0.2">
      <c r="A16" s="82" t="s">
        <v>99</v>
      </c>
      <c r="B16" s="90">
        <v>1628000</v>
      </c>
      <c r="C16" s="91">
        <f>SUM(B16*2000*0.1786)/1000</f>
        <v>581521.6</v>
      </c>
      <c r="D16" s="91">
        <f>SUM(B16*2000*0.25)*0.17857*0.8/1000/2000</f>
        <v>58.142392000000001</v>
      </c>
      <c r="E16" s="90">
        <v>0</v>
      </c>
      <c r="F16" s="91">
        <f>SUM(E16*2000)*0.17857*1.8/1000/2000</f>
        <v>0</v>
      </c>
      <c r="G16" s="91">
        <f>SUM(D16,F16)</f>
        <v>58.142392000000001</v>
      </c>
      <c r="H16" s="91">
        <f>SUM(B16*2000)*0.17857*2.7/7/2/1000/2000</f>
        <v>56.065877999999998</v>
      </c>
      <c r="I16" s="90">
        <v>0</v>
      </c>
      <c r="J16" s="91">
        <f>SUM(I16*2000)*0.14286*0.005/7/1000/2000</f>
        <v>0</v>
      </c>
      <c r="K16" s="90">
        <v>305756</v>
      </c>
      <c r="L16" s="91">
        <f>SUM(K16*2000)*0.14085*0.005/7/1000/2000</f>
        <v>3.0761237571428571E-2</v>
      </c>
      <c r="M16" s="91"/>
      <c r="N16" s="93"/>
      <c r="O16" s="96"/>
    </row>
    <row r="17" spans="1:15" ht="15" customHeight="1" x14ac:dyDescent="0.2">
      <c r="A17" s="82" t="s">
        <v>100</v>
      </c>
      <c r="B17" s="90">
        <v>8000</v>
      </c>
      <c r="C17" s="91">
        <f>SUM(B17*2000*0.1786)/1000</f>
        <v>2857.6</v>
      </c>
      <c r="D17" s="91">
        <f>SUM(B17*2000*0.25)*0.17857*0.8/1000/2000</f>
        <v>0.28571199999999997</v>
      </c>
      <c r="E17" s="90">
        <v>0</v>
      </c>
      <c r="F17" s="91">
        <f>SUM(E17*2000)*0.17857*1.8/1000/2000</f>
        <v>0</v>
      </c>
      <c r="G17" s="91">
        <f>SUM(D17,F17)</f>
        <v>0.28571199999999997</v>
      </c>
      <c r="H17" s="91">
        <f>SUM(B17*2000)*0.17857*2.7/7/2/1000/2000</f>
        <v>0.27550800000000003</v>
      </c>
      <c r="I17" s="90">
        <v>0</v>
      </c>
      <c r="J17" s="91">
        <f>SUM(I17*2000)*0.14286*0.005/7/1000/2000</f>
        <v>0</v>
      </c>
      <c r="K17" s="90">
        <v>306000</v>
      </c>
      <c r="L17" s="91">
        <f>SUM(K17*2000)*0.14085*0.005/7/1000/2000</f>
        <v>3.0785785714285713E-2</v>
      </c>
      <c r="M17" s="91"/>
      <c r="N17" s="93"/>
      <c r="O17" s="96"/>
    </row>
    <row r="18" spans="1:15" ht="15" customHeight="1" x14ac:dyDescent="0.2">
      <c r="A18" s="4" t="s">
        <v>101</v>
      </c>
      <c r="C18" s="4">
        <f>SUM(C14:C17)</f>
        <v>1962456.8000000003</v>
      </c>
      <c r="D18" s="91">
        <f>SUM(D14:D17)</f>
        <v>196.212716</v>
      </c>
      <c r="E18" s="20"/>
      <c r="F18" s="91">
        <f>SUM(F14:F16)</f>
        <v>0</v>
      </c>
      <c r="G18" s="91">
        <f>SUM(D18,F18)</f>
        <v>196.212716</v>
      </c>
      <c r="H18" s="91">
        <f>SUM(H14:H17)</f>
        <v>189.205119</v>
      </c>
      <c r="I18" s="20"/>
      <c r="J18" s="91">
        <f>SUM(J14:J17)</f>
        <v>3.2245542857142852E-2</v>
      </c>
      <c r="K18" s="20"/>
      <c r="L18" s="91">
        <f>SUM(L14:L17)</f>
        <v>0.43912563042857145</v>
      </c>
      <c r="M18" s="91">
        <f>SUM(H18,J18,L18)</f>
        <v>189.67649017328571</v>
      </c>
      <c r="N18" s="93">
        <f>SUM(G18,M18)</f>
        <v>385.88920617328574</v>
      </c>
      <c r="O18" s="94">
        <f>SUM(N18/365)</f>
        <v>1.0572307018446185</v>
      </c>
    </row>
    <row r="19" spans="1:15" ht="9" customHeight="1" x14ac:dyDescent="0.2">
      <c r="D19" s="95"/>
      <c r="F19" s="95"/>
      <c r="G19" s="91"/>
      <c r="H19" s="95"/>
      <c r="J19" s="95"/>
      <c r="L19" s="95"/>
      <c r="M19" s="91"/>
      <c r="N19" s="93"/>
      <c r="O19" s="94"/>
    </row>
    <row r="20" spans="1:15" ht="15" customHeight="1" x14ac:dyDescent="0.2">
      <c r="A20" s="82" t="s">
        <v>102</v>
      </c>
      <c r="B20" s="90">
        <v>232275</v>
      </c>
      <c r="C20" s="91">
        <f>SUM(B20*2000*0.1786)/1000</f>
        <v>82968.63</v>
      </c>
      <c r="D20" s="91">
        <f>SUM(B20*2000*0.25)*0.17857*0.8/1000/2000</f>
        <v>8.2954693500000012</v>
      </c>
      <c r="E20" s="90">
        <v>0</v>
      </c>
      <c r="F20" s="91">
        <f>SUM(E20*2000)*0.17857*1.8/1000/2000</f>
        <v>0</v>
      </c>
      <c r="G20" s="91">
        <f>SUM(D20,F20)</f>
        <v>8.2954693500000012</v>
      </c>
      <c r="H20" s="91">
        <f>SUM(B20*2000)*0.17857*2.7/7/2/1000/2000</f>
        <v>7.9992025875000001</v>
      </c>
      <c r="I20" s="90">
        <v>16819</v>
      </c>
      <c r="J20" s="91">
        <f>SUM(I20*2000)*0.14286*0.005/7/1000/2000</f>
        <v>1.7162588142857144E-3</v>
      </c>
      <c r="K20" s="90">
        <v>174143</v>
      </c>
      <c r="L20" s="91">
        <f>SUM(K20*2000)*0.14085*0.005/7/1000/2000</f>
        <v>1.7520029678571424E-2</v>
      </c>
      <c r="M20" s="91">
        <f>SUM(H20,J20,L20)</f>
        <v>8.0184388759928584</v>
      </c>
      <c r="N20" s="93">
        <f>SUM(G20,M20)</f>
        <v>16.313908225992861</v>
      </c>
      <c r="O20" s="94">
        <f>SUM(N20/365)</f>
        <v>4.4695638975322909E-2</v>
      </c>
    </row>
    <row r="21" spans="1:15" ht="15" customHeight="1" x14ac:dyDescent="0.2">
      <c r="A21" s="3" t="s">
        <v>232</v>
      </c>
      <c r="D21" s="95"/>
      <c r="F21" s="95"/>
      <c r="G21" s="91"/>
      <c r="H21" s="95"/>
      <c r="J21" s="95"/>
      <c r="L21" s="95"/>
      <c r="M21" s="91"/>
      <c r="N21" s="93"/>
      <c r="O21" s="96"/>
    </row>
    <row r="22" spans="1:15" ht="9" customHeight="1" x14ac:dyDescent="0.2">
      <c r="D22" s="95"/>
      <c r="F22" s="95"/>
      <c r="G22" s="91"/>
      <c r="H22" s="95"/>
      <c r="J22" s="95"/>
      <c r="L22" s="95"/>
      <c r="M22" s="91"/>
      <c r="N22" s="93"/>
      <c r="O22" s="96"/>
    </row>
    <row r="23" spans="1:15" ht="15" customHeight="1" x14ac:dyDescent="0.2">
      <c r="A23" s="82" t="s">
        <v>233</v>
      </c>
      <c r="D23" s="97" t="s">
        <v>223</v>
      </c>
      <c r="F23" s="91"/>
      <c r="G23" s="91"/>
      <c r="H23" s="95"/>
      <c r="J23" s="91"/>
      <c r="L23" s="91"/>
      <c r="M23" s="91"/>
      <c r="N23" s="93"/>
      <c r="O23" s="96"/>
    </row>
    <row r="24" spans="1:15" ht="15" customHeight="1" x14ac:dyDescent="0.2">
      <c r="A24" s="82" t="s">
        <v>111</v>
      </c>
      <c r="B24" s="3">
        <v>42</v>
      </c>
      <c r="C24" s="91">
        <f>SUM(B24*2000*0.1786)/1000</f>
        <v>15.002400000000002</v>
      </c>
      <c r="D24" s="91">
        <f>SUM(B24*2000*0.25)*0.17857*0.8/1000/2000</f>
        <v>1.4999880000000003E-3</v>
      </c>
      <c r="E24" s="90">
        <v>0</v>
      </c>
      <c r="F24" s="91">
        <f>SUM(E24*2000)*0.17857*1.8/1000/2000</f>
        <v>0</v>
      </c>
      <c r="G24" s="91">
        <f>SUM(D24,F24)</f>
        <v>1.4999880000000003E-3</v>
      </c>
      <c r="H24" s="91">
        <f>SUM(B24*2000)*0.17857*2.7/7/2/1000/2000</f>
        <v>1.446417E-3</v>
      </c>
      <c r="I24" s="3">
        <v>0</v>
      </c>
      <c r="J24" s="91"/>
      <c r="K24" s="3">
        <v>192</v>
      </c>
      <c r="L24" s="91">
        <f>SUM(K24*2000)*0.14085*0.005/7/1000/2000</f>
        <v>1.9316571428571429E-5</v>
      </c>
      <c r="M24" s="91">
        <f>SUM(H24,J24,L24)</f>
        <v>1.4657335714285714E-3</v>
      </c>
      <c r="N24" s="93"/>
      <c r="O24" s="94">
        <f>SUM(N24/365)</f>
        <v>0</v>
      </c>
    </row>
    <row r="25" spans="1:15" ht="15" customHeight="1" x14ac:dyDescent="0.2">
      <c r="A25" s="82" t="s">
        <v>103</v>
      </c>
      <c r="B25" s="90">
        <v>0</v>
      </c>
      <c r="C25" s="91">
        <f>SUM(B25*2000*0.1786)/1000</f>
        <v>0</v>
      </c>
      <c r="D25" s="91">
        <f>SUM(B25*2000*0.25)*0.17857*0.8/1000/2000</f>
        <v>0</v>
      </c>
      <c r="E25" s="90">
        <v>0</v>
      </c>
      <c r="F25" s="91">
        <f>SUM(E25*2000)*0.17857*1.8/1000/2000</f>
        <v>0</v>
      </c>
      <c r="G25" s="91">
        <f>SUM(D25,F25)</f>
        <v>0</v>
      </c>
      <c r="H25" s="91">
        <f>SUM(B25*2000)*0.17857*2.7/7/2/1000/2000</f>
        <v>0</v>
      </c>
      <c r="I25" s="90">
        <v>0</v>
      </c>
      <c r="J25" s="91">
        <f>SUM(I25*2000)*0.14286*0.005/7/1000/2000</f>
        <v>0</v>
      </c>
      <c r="K25" s="3">
        <v>0</v>
      </c>
      <c r="L25" s="95"/>
      <c r="M25" s="91"/>
      <c r="N25" s="93"/>
      <c r="O25" s="96"/>
    </row>
    <row r="26" spans="1:15" ht="15" customHeight="1" x14ac:dyDescent="0.2">
      <c r="A26" s="3" t="s">
        <v>234</v>
      </c>
      <c r="D26" s="91">
        <f>SUM(D23:D25)</f>
        <v>1.4999880000000003E-3</v>
      </c>
      <c r="E26" s="20"/>
      <c r="F26" s="91">
        <f>SUM(F23:F25)</f>
        <v>0</v>
      </c>
      <c r="G26" s="91">
        <f>SUM(D26,F26)</f>
        <v>1.4999880000000003E-3</v>
      </c>
      <c r="H26" s="91">
        <f>SUM(H23:H25)</f>
        <v>1.446417E-3</v>
      </c>
      <c r="I26" s="20"/>
      <c r="J26" s="91">
        <f>SUM(J23:J24)</f>
        <v>0</v>
      </c>
      <c r="K26" s="20"/>
      <c r="L26" s="91">
        <f>SUM(K26*2000)*0.14085*0.005/7/1000/2000</f>
        <v>0</v>
      </c>
      <c r="M26" s="91">
        <f>SUM(H26,J26,L26)</f>
        <v>1.446417E-3</v>
      </c>
      <c r="N26" s="93">
        <f>SUM(G26,M26)</f>
        <v>2.946405E-3</v>
      </c>
      <c r="O26" s="94">
        <f>SUM(N26/365)</f>
        <v>8.0723424657534248E-6</v>
      </c>
    </row>
    <row r="27" spans="1:15" ht="8.25" customHeight="1" x14ac:dyDescent="0.2">
      <c r="D27" s="95"/>
      <c r="F27" s="95"/>
      <c r="G27" s="91"/>
      <c r="H27" s="95"/>
      <c r="J27" s="95"/>
      <c r="L27" s="95"/>
      <c r="M27" s="91"/>
      <c r="N27" s="93"/>
      <c r="O27" s="94"/>
    </row>
    <row r="28" spans="1:15" ht="15" customHeight="1" x14ac:dyDescent="0.2">
      <c r="A28" s="82" t="s">
        <v>235</v>
      </c>
      <c r="B28" s="90">
        <v>5412</v>
      </c>
      <c r="C28" s="91">
        <f>SUM(B28*2000*0.1786)/1000</f>
        <v>1933.1664000000001</v>
      </c>
      <c r="D28" s="91">
        <f>SUM(B28*2000*0.25)*0.17857*0.8/1000/2000</f>
        <v>0.19328416800000003</v>
      </c>
      <c r="E28" s="90">
        <v>0</v>
      </c>
      <c r="F28" s="91">
        <f>SUM(E28*2000)*0.17857*1.8/1000/2000</f>
        <v>0</v>
      </c>
      <c r="G28" s="91">
        <f>SUM(D28,F28)</f>
        <v>0.19328416800000003</v>
      </c>
      <c r="H28" s="91">
        <f>SUM(B28*2000)*0.17857*2.7/7/2/1000/2000</f>
        <v>0.18638116200000004</v>
      </c>
      <c r="I28" s="90">
        <v>204</v>
      </c>
      <c r="J28" s="91">
        <f>SUM(I28*2000)*0.14286*0.005/7/1000/2000</f>
        <v>2.0816742857142856E-5</v>
      </c>
      <c r="K28" s="90">
        <v>54422</v>
      </c>
      <c r="L28" s="91">
        <f>SUM(K28*2000)*0.14085*0.005/7/1000/2000</f>
        <v>5.4752419285714286E-3</v>
      </c>
      <c r="M28" s="91"/>
      <c r="N28" s="93"/>
      <c r="O28" s="94"/>
    </row>
    <row r="29" spans="1:15" ht="15" customHeight="1" x14ac:dyDescent="0.2">
      <c r="A29" s="82" t="s">
        <v>104</v>
      </c>
      <c r="B29" s="90">
        <v>0</v>
      </c>
      <c r="C29" s="91">
        <f>SUM(B29*2000*0.1786)/1000</f>
        <v>0</v>
      </c>
      <c r="D29" s="91">
        <f>SUM(B29*2000*0.25)*0.17857*0.8/1000/2000</f>
        <v>0</v>
      </c>
      <c r="E29" s="90">
        <v>0</v>
      </c>
      <c r="F29" s="91">
        <f>SUM(E29*2000)*0.17857*1.8/1000/2000</f>
        <v>0</v>
      </c>
      <c r="G29" s="91">
        <f>SUM(D29,F29)</f>
        <v>0</v>
      </c>
      <c r="H29" s="91">
        <f>SUM(B29*2000)*0.17857*2.7/7/2/1000/2000</f>
        <v>0</v>
      </c>
      <c r="I29" s="90">
        <v>0</v>
      </c>
      <c r="J29" s="91">
        <f>SUM(I29*2000)*0.14286*0.005/7/1000/2000</f>
        <v>0</v>
      </c>
      <c r="K29" s="90">
        <v>127174</v>
      </c>
      <c r="L29" s="91">
        <f>SUM(K29*2000)*0.14085*0.005/7/1000/2000</f>
        <v>1.2794612785714287E-2</v>
      </c>
      <c r="M29" s="91"/>
      <c r="N29" s="93"/>
      <c r="O29" s="94"/>
    </row>
    <row r="30" spans="1:15" ht="15" customHeight="1" x14ac:dyDescent="0.2">
      <c r="A30" s="3" t="s">
        <v>236</v>
      </c>
      <c r="D30" s="91">
        <f>SUM(D28:D29)</f>
        <v>0.19328416800000003</v>
      </c>
      <c r="E30" s="20"/>
      <c r="F30" s="91">
        <f>SUM(F28:F29)</f>
        <v>0</v>
      </c>
      <c r="G30" s="91">
        <f>SUM(D30,F30)</f>
        <v>0.19328416800000003</v>
      </c>
      <c r="H30" s="91">
        <f>SUM(H28:H29)</f>
        <v>0.18638116200000004</v>
      </c>
      <c r="I30" s="20"/>
      <c r="J30" s="91">
        <f>SUM(J28:J29)</f>
        <v>2.0816742857142856E-5</v>
      </c>
      <c r="K30" s="20"/>
      <c r="L30" s="91">
        <f>SUM(L28:L29)</f>
        <v>1.8269854714285716E-2</v>
      </c>
      <c r="M30" s="91">
        <f>SUM(H30,J30,L30)</f>
        <v>0.2046718334571429</v>
      </c>
      <c r="N30" s="93">
        <f>SUM(G30,M30)</f>
        <v>0.39795600145714294</v>
      </c>
      <c r="O30" s="94">
        <f>SUM(N30/365)</f>
        <v>1.0902904149510766E-3</v>
      </c>
    </row>
    <row r="31" spans="1:15" ht="9.75" customHeight="1" x14ac:dyDescent="0.2">
      <c r="D31" s="95"/>
      <c r="F31" s="95"/>
      <c r="G31" s="91"/>
      <c r="H31" s="95"/>
      <c r="J31" s="95"/>
      <c r="L31" s="95"/>
      <c r="M31" s="91"/>
      <c r="N31" s="93"/>
      <c r="O31" s="94"/>
    </row>
    <row r="32" spans="1:15" ht="15" customHeight="1" x14ac:dyDescent="0.2">
      <c r="A32" s="82" t="s">
        <v>237</v>
      </c>
      <c r="B32" s="90">
        <v>4543</v>
      </c>
      <c r="C32" s="91">
        <f>SUM(B32*2000*0.1786)/1000</f>
        <v>1622.7596000000001</v>
      </c>
      <c r="D32" s="91">
        <f>SUM(B32*2000*0.25)*0.17857*0.8/1000/2000</f>
        <v>0.16224870200000002</v>
      </c>
      <c r="E32" s="90">
        <v>0</v>
      </c>
      <c r="F32" s="91">
        <f>SUM(E32*2000)*0.17857*1.8/1000/2000</f>
        <v>0</v>
      </c>
      <c r="G32" s="91">
        <f>SUM(D32,F32)</f>
        <v>0.16224870200000002</v>
      </c>
      <c r="H32" s="91">
        <f>SUM(B32*2000)*0.17857*2.7/7/2/1000/2000</f>
        <v>0.1564541055</v>
      </c>
      <c r="I32" s="90">
        <v>204</v>
      </c>
      <c r="J32" s="91">
        <f>SUM(I32*2000)*0.14286*0.005/7/1000/2000</f>
        <v>2.0816742857142856E-5</v>
      </c>
      <c r="K32" s="90">
        <v>8944</v>
      </c>
      <c r="L32" s="91">
        <f>SUM(K32*2000)*0.14085*0.005/7/1000/2000</f>
        <v>8.998302857142859E-4</v>
      </c>
      <c r="M32" s="91">
        <f>SUM(H32,J32,L32)</f>
        <v>0.15737475252857142</v>
      </c>
      <c r="N32" s="93">
        <f>SUM(G32,M32)</f>
        <v>0.31962345452857144</v>
      </c>
      <c r="O32" s="94">
        <f>SUM(N32/365)</f>
        <v>8.7568069733855191E-4</v>
      </c>
    </row>
    <row r="33" spans="1:15" ht="9.75" customHeight="1" x14ac:dyDescent="0.2">
      <c r="D33" s="95"/>
      <c r="F33" s="95"/>
      <c r="G33" s="91"/>
      <c r="H33" s="95"/>
      <c r="J33" s="95"/>
      <c r="L33" s="95"/>
      <c r="M33" s="91"/>
      <c r="N33" s="93"/>
      <c r="O33" s="94"/>
    </row>
    <row r="34" spans="1:15" ht="15" customHeight="1" x14ac:dyDescent="0.2">
      <c r="A34" s="42" t="s">
        <v>238</v>
      </c>
      <c r="D34" s="91"/>
      <c r="F34" s="91"/>
      <c r="G34" s="91"/>
      <c r="H34" s="95"/>
      <c r="J34" s="91"/>
      <c r="L34" s="91"/>
      <c r="M34" s="91"/>
      <c r="N34" s="93"/>
      <c r="O34" s="94"/>
    </row>
    <row r="35" spans="1:15" ht="15" customHeight="1" x14ac:dyDescent="0.2">
      <c r="A35" s="82" t="s">
        <v>105</v>
      </c>
      <c r="B35" s="90">
        <v>827</v>
      </c>
      <c r="C35" s="91">
        <f>SUM(B35*2000*0.1786)/1000</f>
        <v>295.40440000000001</v>
      </c>
      <c r="D35" s="91">
        <f>SUM(B35*2000*0.25)*0.17857*0.8/1000/2000</f>
        <v>2.9535478E-2</v>
      </c>
      <c r="E35" s="90">
        <v>0</v>
      </c>
      <c r="F35" s="91">
        <f>SUM(E35*2000)*0.17857*1.8/1000/2000</f>
        <v>0</v>
      </c>
      <c r="G35" s="91">
        <f>SUM(D35,F35)</f>
        <v>2.9535478E-2</v>
      </c>
      <c r="H35" s="91">
        <f>SUM(B35*2000)*0.17857*2.7/7/2/1000/2000</f>
        <v>2.8480639500000002E-2</v>
      </c>
      <c r="I35" s="90">
        <v>9000</v>
      </c>
      <c r="J35" s="91">
        <f>SUM(I35*2000)*0.14286*0.005/7/1000/2000</f>
        <v>9.183857142857141E-4</v>
      </c>
      <c r="K35" s="90">
        <v>4697</v>
      </c>
      <c r="L35" s="91">
        <f>SUM(K35*2000)*0.14085*0.005/7/1000/2000</f>
        <v>4.7255175000000013E-4</v>
      </c>
      <c r="M35" s="91"/>
      <c r="N35" s="93"/>
      <c r="O35" s="94"/>
    </row>
    <row r="36" spans="1:15" ht="15" customHeight="1" x14ac:dyDescent="0.2">
      <c r="A36" s="3" t="s">
        <v>239</v>
      </c>
      <c r="D36" s="91">
        <f>SUM(D34:D35)</f>
        <v>2.9535478E-2</v>
      </c>
      <c r="F36" s="91">
        <f>SUM(F34:F35)</f>
        <v>0</v>
      </c>
      <c r="G36" s="91">
        <f>SUM(D36,F36)</f>
        <v>2.9535478E-2</v>
      </c>
      <c r="H36" s="91">
        <f>SUM(H34:H35)</f>
        <v>2.8480639500000002E-2</v>
      </c>
      <c r="J36" s="91">
        <f>SUM(J34:J35)</f>
        <v>9.183857142857141E-4</v>
      </c>
      <c r="L36" s="91">
        <f>SUM(L35)</f>
        <v>4.7255175000000013E-4</v>
      </c>
      <c r="M36" s="91">
        <f>SUM(H36,J36,L36)</f>
        <v>2.9871576964285718E-2</v>
      </c>
      <c r="N36" s="93">
        <f>SUM(G36,M36)</f>
        <v>5.9407054964285722E-2</v>
      </c>
      <c r="O36" s="94">
        <f>SUM(N36/365)</f>
        <v>1.6275905469667322E-4</v>
      </c>
    </row>
    <row r="37" spans="1:15" ht="9" customHeight="1" x14ac:dyDescent="0.2">
      <c r="D37" s="95"/>
      <c r="F37" s="95"/>
      <c r="G37" s="91"/>
      <c r="H37" s="95"/>
      <c r="J37" s="95"/>
      <c r="L37" s="95"/>
      <c r="M37" s="91"/>
      <c r="N37" s="93"/>
      <c r="O37" s="94"/>
    </row>
    <row r="38" spans="1:15" ht="15" customHeight="1" x14ac:dyDescent="0.2">
      <c r="A38" s="90"/>
      <c r="D38" s="91">
        <f>SUM(D12,D18,D20,D26,D30,D32,D36)</f>
        <v>204.894753686</v>
      </c>
      <c r="F38" s="91">
        <f>SUM(F12,F18,F20,F26,F30,F32,F36)</f>
        <v>0</v>
      </c>
      <c r="G38" s="91">
        <f>SUM(D38,F38)</f>
        <v>204.894753686</v>
      </c>
      <c r="H38" s="91">
        <f>SUM(H12,H18,H20,H26,H30,H32,H36)</f>
        <v>197.57708391150001</v>
      </c>
      <c r="J38" s="91">
        <f>SUM(J12,J18,J20,J26,J30,J32,J36)</f>
        <v>3.4921820871428567E-2</v>
      </c>
      <c r="L38" s="91">
        <f>SUM(L12,L18,L20,L26,L30,L32,L36)</f>
        <v>0.4769868146785714</v>
      </c>
      <c r="M38" s="91">
        <f>SUM(H38,J38,L38)</f>
        <v>198.08899254705003</v>
      </c>
      <c r="N38" s="93">
        <f>SUM(G38,M38)</f>
        <v>402.98374623305006</v>
      </c>
      <c r="O38" s="94">
        <f>SUM(N38/365)</f>
        <v>1.1040650581727398</v>
      </c>
    </row>
    <row r="39" spans="1:15" s="4" customFormat="1" ht="15" customHeight="1" x14ac:dyDescent="0.2">
      <c r="A39" s="4" t="s">
        <v>106</v>
      </c>
      <c r="B39" s="98">
        <f>SUM(B10:B35)</f>
        <v>5737099</v>
      </c>
      <c r="C39" s="91">
        <f>SUM(B39*2000*0.1786)/1000</f>
        <v>2049291.7628000001</v>
      </c>
      <c r="D39" s="93">
        <f>SUM(B39*2000*0.25)*0.17857*0.8/1000/2000</f>
        <v>204.894753686</v>
      </c>
      <c r="E39" s="98">
        <f>SUM(E12:E37)</f>
        <v>0</v>
      </c>
      <c r="F39" s="93">
        <f>SUM(E39*2000)*0.17857*1.8/1000/2000</f>
        <v>0</v>
      </c>
      <c r="G39" s="99"/>
      <c r="H39" s="93">
        <f>SUM(B39*2000)*0.17857*2.7/7/2/1000/2000</f>
        <v>197.57708391150001</v>
      </c>
      <c r="I39" s="98">
        <f>SUM(I10:I35)</f>
        <v>342227</v>
      </c>
      <c r="J39" s="93">
        <f>SUM(I39*2000)*0.14286*0.005/7/1000/2000</f>
        <v>3.4921820871428574E-2</v>
      </c>
      <c r="K39" s="98">
        <f>SUM(K10:K35)</f>
        <v>4741275</v>
      </c>
      <c r="L39" s="93">
        <f>SUM(K39*2000)*0.14085*0.005/7/1000/2000</f>
        <v>0.47700613125000002</v>
      </c>
      <c r="M39" s="93"/>
      <c r="N39" s="93">
        <f>SUM(N12:N36)</f>
        <v>402.98374623305006</v>
      </c>
      <c r="O39" s="99">
        <f>SUM(O12:O36)</f>
        <v>1.1040650581727396</v>
      </c>
    </row>
    <row r="40" spans="1:15" ht="15" customHeight="1" x14ac:dyDescent="0.2">
      <c r="G40" s="20"/>
      <c r="I40" s="90"/>
      <c r="M40" s="17"/>
    </row>
    <row r="41" spans="1:15" ht="15" customHeight="1" x14ac:dyDescent="0.2">
      <c r="G41" s="2" t="s">
        <v>207</v>
      </c>
      <c r="H41" s="2"/>
    </row>
  </sheetData>
  <phoneticPr fontId="0" type="noConversion"/>
  <printOptions gridLines="1"/>
  <pageMargins left="0.5" right="0.25" top="0.25" bottom="0.25" header="0.5" footer="0.25"/>
  <pageSetup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A13" sqref="A1:IV65536"/>
    </sheetView>
  </sheetViews>
  <sheetFormatPr defaultColWidth="9" defaultRowHeight="12.75" x14ac:dyDescent="0.25"/>
  <cols>
    <col min="1" max="1" width="7.5" style="7" customWidth="1"/>
    <col min="2" max="2" width="7.75" style="7" customWidth="1"/>
    <col min="3" max="5" width="8.75" style="6" customWidth="1"/>
    <col min="6" max="6" width="8.625" style="6" customWidth="1"/>
    <col min="7" max="7" width="8.5" style="6" customWidth="1"/>
    <col min="8" max="8" width="10" style="7" customWidth="1"/>
    <col min="9" max="9" width="10.25" style="6" customWidth="1"/>
    <col min="10" max="10" width="1" style="6" customWidth="1"/>
    <col min="11" max="16384" width="9" style="6"/>
  </cols>
  <sheetData>
    <row r="1" spans="1:13" ht="17.25" customHeight="1" x14ac:dyDescent="0.25">
      <c r="C1" s="6" t="s">
        <v>165</v>
      </c>
      <c r="D1" s="4" t="s">
        <v>197</v>
      </c>
    </row>
    <row r="2" spans="1:13" s="9" customFormat="1" ht="16.5" customHeight="1" x14ac:dyDescent="0.25">
      <c r="A2" s="40" t="s">
        <v>221</v>
      </c>
      <c r="H2" s="12"/>
    </row>
    <row r="3" spans="1:13" s="3" customFormat="1" ht="15" customHeight="1" x14ac:dyDescent="0.25">
      <c r="A3" s="13" t="s">
        <v>227</v>
      </c>
      <c r="B3" s="54"/>
      <c r="C3" s="54"/>
      <c r="M3" s="55"/>
    </row>
    <row r="4" spans="1:13" s="9" customFormat="1" ht="24" customHeight="1" x14ac:dyDescent="0.25">
      <c r="A4" s="40" t="s">
        <v>167</v>
      </c>
      <c r="B4" s="12"/>
      <c r="C4" s="56" t="s">
        <v>117</v>
      </c>
      <c r="D4" s="57" t="s">
        <v>131</v>
      </c>
      <c r="E4" s="57" t="s">
        <v>132</v>
      </c>
      <c r="F4" s="57" t="s">
        <v>133</v>
      </c>
      <c r="G4" s="58" t="s">
        <v>134</v>
      </c>
      <c r="H4" s="58">
        <v>2501011010</v>
      </c>
    </row>
    <row r="5" spans="1:13" s="62" customFormat="1" ht="29.45" customHeight="1" x14ac:dyDescent="0.25">
      <c r="A5" s="59" t="s">
        <v>173</v>
      </c>
      <c r="B5" s="59" t="s">
        <v>150</v>
      </c>
      <c r="C5" s="60" t="s">
        <v>141</v>
      </c>
      <c r="D5" s="60" t="s">
        <v>140</v>
      </c>
      <c r="E5" s="60" t="s">
        <v>142</v>
      </c>
      <c r="F5" s="60" t="s">
        <v>143</v>
      </c>
      <c r="G5" s="60" t="s">
        <v>144</v>
      </c>
      <c r="H5" s="61" t="s">
        <v>171</v>
      </c>
      <c r="I5" s="61" t="s">
        <v>174</v>
      </c>
    </row>
    <row r="6" spans="1:13" ht="15.75" customHeight="1" x14ac:dyDescent="0.25">
      <c r="A6" s="63" t="s">
        <v>116</v>
      </c>
      <c r="B6" s="64" t="s">
        <v>151</v>
      </c>
      <c r="C6" s="65">
        <v>18.399999999999999</v>
      </c>
      <c r="D6" s="66">
        <v>35.799999999999997</v>
      </c>
      <c r="E6" s="66">
        <v>22</v>
      </c>
      <c r="F6" s="66">
        <v>6.7</v>
      </c>
      <c r="G6" s="66">
        <v>0.7</v>
      </c>
      <c r="H6" s="18">
        <f>SUM(C6:G6)</f>
        <v>83.6</v>
      </c>
      <c r="I6" s="19">
        <f>SUM(H6*0.4)/92</f>
        <v>0.3634782608695652</v>
      </c>
    </row>
    <row r="7" spans="1:13" ht="12.95" customHeight="1" x14ac:dyDescent="0.25">
      <c r="A7" s="67" t="s">
        <v>118</v>
      </c>
      <c r="B7" s="68" t="s">
        <v>152</v>
      </c>
      <c r="C7" s="66">
        <v>4.8</v>
      </c>
      <c r="D7" s="66">
        <v>9.4</v>
      </c>
      <c r="E7" s="66">
        <v>5.8</v>
      </c>
      <c r="F7" s="66">
        <v>1.8</v>
      </c>
      <c r="G7" s="66">
        <v>0.18363769797078966</v>
      </c>
      <c r="H7" s="18">
        <f t="shared" ref="H7:H19" si="0">SUM(C7:G7)</f>
        <v>21.983637697970792</v>
      </c>
      <c r="I7" s="19">
        <f t="shared" ref="I7:I20" si="1">SUM(H7*0.4)/92</f>
        <v>9.5581033469438234E-2</v>
      </c>
    </row>
    <row r="8" spans="1:13" ht="12.95" customHeight="1" x14ac:dyDescent="0.25">
      <c r="A8" s="67" t="s">
        <v>119</v>
      </c>
      <c r="B8" s="68" t="s">
        <v>153</v>
      </c>
      <c r="C8" s="66">
        <v>12.3</v>
      </c>
      <c r="D8" s="66">
        <v>24</v>
      </c>
      <c r="E8" s="66">
        <v>14.7</v>
      </c>
      <c r="F8" s="66">
        <v>4.5</v>
      </c>
      <c r="G8" s="66">
        <v>0.5</v>
      </c>
      <c r="H8" s="18">
        <f t="shared" si="0"/>
        <v>56</v>
      </c>
      <c r="I8" s="19">
        <f t="shared" si="1"/>
        <v>0.24347826086956523</v>
      </c>
    </row>
    <row r="9" spans="1:13" ht="12.95" customHeight="1" x14ac:dyDescent="0.25">
      <c r="A9" s="67" t="s">
        <v>120</v>
      </c>
      <c r="B9" s="69" t="s">
        <v>155</v>
      </c>
      <c r="C9" s="66">
        <v>2.5</v>
      </c>
      <c r="D9" s="66">
        <v>4.8</v>
      </c>
      <c r="E9" s="66">
        <v>3</v>
      </c>
      <c r="F9" s="66">
        <v>0.9</v>
      </c>
      <c r="G9" s="66">
        <v>9.6</v>
      </c>
      <c r="H9" s="18">
        <f t="shared" si="0"/>
        <v>20.8</v>
      </c>
      <c r="I9" s="19">
        <f t="shared" si="1"/>
        <v>9.0434782608695655E-2</v>
      </c>
    </row>
    <row r="10" spans="1:13" ht="12.95" customHeight="1" x14ac:dyDescent="0.25">
      <c r="A10" s="67" t="s">
        <v>121</v>
      </c>
      <c r="B10" s="68" t="s">
        <v>154</v>
      </c>
      <c r="C10" s="66">
        <v>23.2</v>
      </c>
      <c r="D10" s="66">
        <v>45.2</v>
      </c>
      <c r="E10" s="66">
        <v>27.8</v>
      </c>
      <c r="F10" s="66">
        <v>8.4</v>
      </c>
      <c r="G10" s="66">
        <v>0.9</v>
      </c>
      <c r="H10" s="18">
        <f t="shared" si="0"/>
        <v>105.50000000000001</v>
      </c>
      <c r="I10" s="19">
        <f t="shared" si="1"/>
        <v>0.45869565217391317</v>
      </c>
    </row>
    <row r="11" spans="1:13" ht="12.95" customHeight="1" x14ac:dyDescent="0.25">
      <c r="A11" s="67" t="s">
        <v>122</v>
      </c>
      <c r="B11" s="68" t="s">
        <v>156</v>
      </c>
      <c r="C11" s="66">
        <v>2.5</v>
      </c>
      <c r="D11" s="66">
        <v>4.9000000000000004</v>
      </c>
      <c r="E11" s="66">
        <v>3</v>
      </c>
      <c r="F11" s="66">
        <v>0.9</v>
      </c>
      <c r="G11" s="66">
        <v>9.6</v>
      </c>
      <c r="H11" s="18">
        <f t="shared" si="0"/>
        <v>20.9</v>
      </c>
      <c r="I11" s="19">
        <f t="shared" si="1"/>
        <v>9.0869565217391299E-2</v>
      </c>
    </row>
    <row r="12" spans="1:13" ht="12.95" customHeight="1" x14ac:dyDescent="0.25">
      <c r="A12" s="67" t="s">
        <v>123</v>
      </c>
      <c r="B12" s="68" t="s">
        <v>157</v>
      </c>
      <c r="C12" s="66">
        <v>11.6</v>
      </c>
      <c r="D12" s="66">
        <v>22.7</v>
      </c>
      <c r="E12" s="66">
        <v>13.9</v>
      </c>
      <c r="F12" s="66">
        <v>4.2</v>
      </c>
      <c r="G12" s="66">
        <v>0.5</v>
      </c>
      <c r="H12" s="18">
        <f t="shared" si="0"/>
        <v>52.9</v>
      </c>
      <c r="I12" s="19">
        <f t="shared" si="1"/>
        <v>0.23</v>
      </c>
    </row>
    <row r="13" spans="1:13" ht="12.95" customHeight="1" x14ac:dyDescent="0.25">
      <c r="A13" s="67" t="s">
        <v>124</v>
      </c>
      <c r="B13" s="68" t="s">
        <v>158</v>
      </c>
      <c r="C13" s="66">
        <v>3.9</v>
      </c>
      <c r="D13" s="66">
        <v>7.6</v>
      </c>
      <c r="E13" s="66">
        <v>4.7</v>
      </c>
      <c r="F13" s="66">
        <v>1.4</v>
      </c>
      <c r="G13" s="66">
        <v>0.2</v>
      </c>
      <c r="H13" s="18">
        <f t="shared" si="0"/>
        <v>17.799999999999997</v>
      </c>
      <c r="I13" s="19">
        <f t="shared" si="1"/>
        <v>7.7391304347826081E-2</v>
      </c>
    </row>
    <row r="14" spans="1:13" ht="12.95" customHeight="1" x14ac:dyDescent="0.25">
      <c r="A14" s="67" t="s">
        <v>125</v>
      </c>
      <c r="B14" s="68" t="s">
        <v>159</v>
      </c>
      <c r="C14" s="66">
        <v>50.7</v>
      </c>
      <c r="D14" s="66">
        <v>99</v>
      </c>
      <c r="E14" s="66">
        <v>60.8</v>
      </c>
      <c r="F14" s="66">
        <v>18.5</v>
      </c>
      <c r="G14" s="66">
        <v>2</v>
      </c>
      <c r="H14" s="18">
        <f t="shared" si="0"/>
        <v>231</v>
      </c>
      <c r="I14" s="19">
        <f t="shared" si="1"/>
        <v>1.0043478260869565</v>
      </c>
    </row>
    <row r="15" spans="1:13" ht="12.95" customHeight="1" x14ac:dyDescent="0.25">
      <c r="A15" s="67" t="s">
        <v>126</v>
      </c>
      <c r="B15" s="68" t="s">
        <v>160</v>
      </c>
      <c r="C15" s="66">
        <v>2.1</v>
      </c>
      <c r="D15" s="66">
        <v>4.2</v>
      </c>
      <c r="E15" s="66">
        <v>2.6</v>
      </c>
      <c r="F15" s="66">
        <v>0.8</v>
      </c>
      <c r="G15" s="66">
        <v>8.3000000000000007</v>
      </c>
      <c r="H15" s="18">
        <f t="shared" si="0"/>
        <v>18</v>
      </c>
      <c r="I15" s="19">
        <f t="shared" si="1"/>
        <v>7.8260869565217397E-2</v>
      </c>
    </row>
    <row r="16" spans="1:13" ht="12.95" customHeight="1" x14ac:dyDescent="0.25">
      <c r="A16" s="67" t="s">
        <v>127</v>
      </c>
      <c r="B16" s="68" t="s">
        <v>161</v>
      </c>
      <c r="C16" s="66">
        <v>22.3</v>
      </c>
      <c r="D16" s="66">
        <v>43.5</v>
      </c>
      <c r="E16" s="66">
        <v>26.7</v>
      </c>
      <c r="F16" s="66">
        <v>8.1</v>
      </c>
      <c r="G16" s="66">
        <v>0.9</v>
      </c>
      <c r="H16" s="18">
        <f t="shared" si="0"/>
        <v>101.5</v>
      </c>
      <c r="I16" s="19">
        <f t="shared" si="1"/>
        <v>0.44130434782608696</v>
      </c>
    </row>
    <row r="17" spans="1:9" ht="12.95" customHeight="1" x14ac:dyDescent="0.25">
      <c r="A17" s="67" t="s">
        <v>128</v>
      </c>
      <c r="B17" s="68" t="s">
        <v>162</v>
      </c>
      <c r="C17" s="66">
        <v>18.100000000000001</v>
      </c>
      <c r="D17" s="66">
        <v>35.299999999999997</v>
      </c>
      <c r="E17" s="66">
        <v>21.7</v>
      </c>
      <c r="F17" s="66">
        <v>6.6</v>
      </c>
      <c r="G17" s="66">
        <v>0.7</v>
      </c>
      <c r="H17" s="18">
        <f t="shared" si="0"/>
        <v>82.399999999999991</v>
      </c>
      <c r="I17" s="19">
        <f t="shared" si="1"/>
        <v>0.35826086956521741</v>
      </c>
    </row>
    <row r="18" spans="1:9" ht="12.95" customHeight="1" x14ac:dyDescent="0.25">
      <c r="A18" s="67" t="s">
        <v>129</v>
      </c>
      <c r="B18" s="68" t="s">
        <v>163</v>
      </c>
      <c r="C18" s="66">
        <v>13.2</v>
      </c>
      <c r="D18" s="66">
        <v>25.7</v>
      </c>
      <c r="E18" s="66">
        <v>15.8</v>
      </c>
      <c r="F18" s="66">
        <v>4.8</v>
      </c>
      <c r="G18" s="66">
        <v>0.5</v>
      </c>
      <c r="H18" s="18">
        <f t="shared" si="0"/>
        <v>60</v>
      </c>
      <c r="I18" s="19">
        <f t="shared" si="1"/>
        <v>0.2608695652173913</v>
      </c>
    </row>
    <row r="19" spans="1:9" ht="12.95" customHeight="1" x14ac:dyDescent="0.25">
      <c r="A19" s="67" t="s">
        <v>130</v>
      </c>
      <c r="B19" s="68" t="s">
        <v>164</v>
      </c>
      <c r="C19" s="66">
        <v>21.7</v>
      </c>
      <c r="D19" s="66">
        <v>42.4</v>
      </c>
      <c r="E19" s="66">
        <v>26</v>
      </c>
      <c r="F19" s="66">
        <v>7.9</v>
      </c>
      <c r="G19" s="66">
        <v>0.8</v>
      </c>
      <c r="H19" s="18">
        <f t="shared" si="0"/>
        <v>98.8</v>
      </c>
      <c r="I19" s="19">
        <f t="shared" si="1"/>
        <v>0.42956521739130438</v>
      </c>
    </row>
    <row r="20" spans="1:9" s="9" customFormat="1" ht="28.9" customHeight="1" x14ac:dyDescent="0.25">
      <c r="A20" s="70"/>
      <c r="B20" s="71" t="s">
        <v>166</v>
      </c>
      <c r="C20" s="72">
        <f t="shared" ref="C20:H20" si="2">SUM(C6:C19)</f>
        <v>207.29999999999998</v>
      </c>
      <c r="D20" s="72">
        <f t="shared" si="2"/>
        <v>404.49999999999994</v>
      </c>
      <c r="E20" s="72">
        <f t="shared" si="2"/>
        <v>248.49999999999997</v>
      </c>
      <c r="F20" s="72">
        <f t="shared" si="2"/>
        <v>75.5</v>
      </c>
      <c r="G20" s="72">
        <f t="shared" si="2"/>
        <v>35.383637697970791</v>
      </c>
      <c r="H20" s="72">
        <f t="shared" si="2"/>
        <v>971.18363769797077</v>
      </c>
      <c r="I20" s="19">
        <f t="shared" si="1"/>
        <v>4.2225375552085689</v>
      </c>
    </row>
    <row r="21" spans="1:9" ht="28.5" customHeight="1" x14ac:dyDescent="0.25">
      <c r="A21" s="73" t="s">
        <v>229</v>
      </c>
      <c r="B21" s="57"/>
      <c r="C21" s="58" t="s">
        <v>135</v>
      </c>
      <c r="D21" s="58" t="s">
        <v>136</v>
      </c>
      <c r="E21" s="58" t="s">
        <v>137</v>
      </c>
      <c r="F21" s="58" t="s">
        <v>138</v>
      </c>
      <c r="G21" s="58" t="s">
        <v>139</v>
      </c>
      <c r="H21" s="58">
        <v>2501012010</v>
      </c>
    </row>
    <row r="22" spans="1:9" ht="28.9" customHeight="1" x14ac:dyDescent="0.25">
      <c r="A22" s="57"/>
      <c r="B22" s="74"/>
      <c r="C22" s="60" t="s">
        <v>147</v>
      </c>
      <c r="D22" s="60" t="s">
        <v>146</v>
      </c>
      <c r="E22" s="60" t="s">
        <v>148</v>
      </c>
      <c r="F22" s="60" t="s">
        <v>145</v>
      </c>
      <c r="G22" s="60" t="s">
        <v>149</v>
      </c>
      <c r="H22" s="61" t="s">
        <v>172</v>
      </c>
      <c r="I22" s="61" t="s">
        <v>175</v>
      </c>
    </row>
    <row r="23" spans="1:9" ht="12.95" customHeight="1" x14ac:dyDescent="0.25">
      <c r="A23" s="67" t="s">
        <v>116</v>
      </c>
      <c r="B23" s="64" t="s">
        <v>151</v>
      </c>
      <c r="C23" s="66">
        <v>0.6</v>
      </c>
      <c r="D23" s="66">
        <v>1.1000000000000001</v>
      </c>
      <c r="E23" s="66">
        <v>30</v>
      </c>
      <c r="F23" s="66">
        <v>12.9</v>
      </c>
      <c r="G23" s="66">
        <v>1.4</v>
      </c>
      <c r="H23" s="18">
        <f>SUM(C23:G23)</f>
        <v>46</v>
      </c>
      <c r="I23" s="19">
        <f>SUM(H23*0.35)/92</f>
        <v>0.17499999999999999</v>
      </c>
    </row>
    <row r="24" spans="1:9" ht="12.95" customHeight="1" x14ac:dyDescent="0.25">
      <c r="A24" s="67" t="s">
        <v>118</v>
      </c>
      <c r="B24" s="68" t="s">
        <v>152</v>
      </c>
      <c r="C24" s="66">
        <v>0.2</v>
      </c>
      <c r="D24" s="66">
        <v>0.3</v>
      </c>
      <c r="E24" s="66">
        <v>7.9</v>
      </c>
      <c r="F24" s="66">
        <v>3.4</v>
      </c>
      <c r="G24" s="66">
        <v>0.35333431415845595</v>
      </c>
      <c r="H24" s="18">
        <f t="shared" ref="H24:H36" si="3">SUM(C24:G24)</f>
        <v>12.153334314158457</v>
      </c>
      <c r="I24" s="19">
        <f t="shared" ref="I24:I37" si="4">SUM(H24*0.35)/92</f>
        <v>4.6235510977776735E-2</v>
      </c>
    </row>
    <row r="25" spans="1:9" ht="12.95" customHeight="1" x14ac:dyDescent="0.25">
      <c r="A25" s="67" t="s">
        <v>119</v>
      </c>
      <c r="B25" s="68" t="s">
        <v>153</v>
      </c>
      <c r="C25" s="66">
        <v>0.4</v>
      </c>
      <c r="D25" s="66">
        <v>0.8</v>
      </c>
      <c r="E25" s="66">
        <v>20.100000000000001</v>
      </c>
      <c r="F25" s="66">
        <v>8.6</v>
      </c>
      <c r="G25" s="66">
        <v>0.9</v>
      </c>
      <c r="H25" s="18">
        <f t="shared" si="3"/>
        <v>30.799999999999997</v>
      </c>
      <c r="I25" s="19">
        <f t="shared" si="4"/>
        <v>0.11717391304347824</v>
      </c>
    </row>
    <row r="26" spans="1:9" ht="12.95" customHeight="1" x14ac:dyDescent="0.25">
      <c r="A26" s="67" t="s">
        <v>120</v>
      </c>
      <c r="B26" s="69" t="s">
        <v>155</v>
      </c>
      <c r="C26" s="66">
        <v>7.9</v>
      </c>
      <c r="D26" s="66">
        <v>0.2</v>
      </c>
      <c r="E26" s="66">
        <v>4.0999999999999996</v>
      </c>
      <c r="F26" s="66">
        <v>1.7</v>
      </c>
      <c r="G26" s="66">
        <v>0.2</v>
      </c>
      <c r="H26" s="18">
        <f t="shared" si="3"/>
        <v>14.099999999999998</v>
      </c>
      <c r="I26" s="19">
        <f t="shared" si="4"/>
        <v>5.3641304347826074E-2</v>
      </c>
    </row>
    <row r="27" spans="1:9" ht="12.95" customHeight="1" x14ac:dyDescent="0.25">
      <c r="A27" s="67" t="s">
        <v>121</v>
      </c>
      <c r="B27" s="68" t="s">
        <v>154</v>
      </c>
      <c r="C27" s="66">
        <v>0.8</v>
      </c>
      <c r="D27" s="66">
        <v>1.4</v>
      </c>
      <c r="E27" s="66">
        <v>37.9</v>
      </c>
      <c r="F27" s="66">
        <v>16.2</v>
      </c>
      <c r="G27" s="66">
        <v>1.7</v>
      </c>
      <c r="H27" s="18">
        <f t="shared" si="3"/>
        <v>58</v>
      </c>
      <c r="I27" s="19">
        <f t="shared" si="4"/>
        <v>0.22065217391304345</v>
      </c>
    </row>
    <row r="28" spans="1:9" ht="12.95" customHeight="1" x14ac:dyDescent="0.25">
      <c r="A28" s="67" t="s">
        <v>122</v>
      </c>
      <c r="B28" s="68" t="s">
        <v>156</v>
      </c>
      <c r="C28" s="66">
        <v>7.9</v>
      </c>
      <c r="D28" s="66">
        <v>0.2</v>
      </c>
      <c r="E28" s="66">
        <v>4.0999999999999996</v>
      </c>
      <c r="F28" s="66">
        <v>1.7</v>
      </c>
      <c r="G28" s="66">
        <v>0.2</v>
      </c>
      <c r="H28" s="18">
        <f t="shared" si="3"/>
        <v>14.099999999999998</v>
      </c>
      <c r="I28" s="19">
        <f t="shared" si="4"/>
        <v>5.3641304347826074E-2</v>
      </c>
    </row>
    <row r="29" spans="1:9" ht="12.95" customHeight="1" x14ac:dyDescent="0.25">
      <c r="A29" s="67" t="s">
        <v>123</v>
      </c>
      <c r="B29" s="68" t="s">
        <v>157</v>
      </c>
      <c r="C29" s="66">
        <v>0.4</v>
      </c>
      <c r="D29" s="66">
        <v>0.7</v>
      </c>
      <c r="E29" s="66">
        <v>19</v>
      </c>
      <c r="F29" s="66">
        <v>8.1999999999999993</v>
      </c>
      <c r="G29" s="66">
        <v>0.9</v>
      </c>
      <c r="H29" s="18">
        <f t="shared" si="3"/>
        <v>29.2</v>
      </c>
      <c r="I29" s="19">
        <f t="shared" si="4"/>
        <v>0.11108695652173912</v>
      </c>
    </row>
    <row r="30" spans="1:9" ht="12.95" customHeight="1" x14ac:dyDescent="0.25">
      <c r="A30" s="67" t="s">
        <v>124</v>
      </c>
      <c r="B30" s="68" t="s">
        <v>158</v>
      </c>
      <c r="C30" s="66">
        <v>0.1</v>
      </c>
      <c r="D30" s="66">
        <v>0.2</v>
      </c>
      <c r="E30" s="66">
        <v>6.4</v>
      </c>
      <c r="F30" s="66">
        <v>2.7</v>
      </c>
      <c r="G30" s="66">
        <v>0.3</v>
      </c>
      <c r="H30" s="18">
        <f t="shared" si="3"/>
        <v>9.7000000000000011</v>
      </c>
      <c r="I30" s="19">
        <f t="shared" si="4"/>
        <v>3.6902173913043478E-2</v>
      </c>
    </row>
    <row r="31" spans="1:9" ht="12.95" customHeight="1" x14ac:dyDescent="0.25">
      <c r="A31" s="67" t="s">
        <v>125</v>
      </c>
      <c r="B31" s="68" t="s">
        <v>159</v>
      </c>
      <c r="C31" s="66">
        <v>1.6</v>
      </c>
      <c r="D31" s="66">
        <v>3.2</v>
      </c>
      <c r="E31" s="66">
        <v>82.9</v>
      </c>
      <c r="F31" s="66">
        <v>35.6</v>
      </c>
      <c r="G31" s="66">
        <v>3.8</v>
      </c>
      <c r="H31" s="18">
        <f t="shared" si="3"/>
        <v>127.10000000000001</v>
      </c>
      <c r="I31" s="19">
        <f t="shared" si="4"/>
        <v>0.48353260869565218</v>
      </c>
    </row>
    <row r="32" spans="1:9" ht="12.95" customHeight="1" x14ac:dyDescent="0.25">
      <c r="A32" s="67" t="s">
        <v>126</v>
      </c>
      <c r="B32" s="68" t="s">
        <v>160</v>
      </c>
      <c r="C32" s="66">
        <v>6.8</v>
      </c>
      <c r="D32" s="66">
        <v>0.1</v>
      </c>
      <c r="E32" s="66">
        <v>3.5</v>
      </c>
      <c r="F32" s="66">
        <v>1.5</v>
      </c>
      <c r="G32" s="66">
        <v>0.2</v>
      </c>
      <c r="H32" s="18">
        <f t="shared" si="3"/>
        <v>12.099999999999998</v>
      </c>
      <c r="I32" s="19">
        <f t="shared" si="4"/>
        <v>4.6032608695652157E-2</v>
      </c>
    </row>
    <row r="33" spans="1:9" ht="12.95" customHeight="1" x14ac:dyDescent="0.25">
      <c r="A33" s="67" t="s">
        <v>127</v>
      </c>
      <c r="B33" s="68" t="s">
        <v>161</v>
      </c>
      <c r="C33" s="66">
        <v>0.7</v>
      </c>
      <c r="D33" s="66">
        <v>1.4</v>
      </c>
      <c r="E33" s="66">
        <v>36.5</v>
      </c>
      <c r="F33" s="66">
        <v>15.6</v>
      </c>
      <c r="G33" s="66">
        <v>1.7</v>
      </c>
      <c r="H33" s="18">
        <f t="shared" si="3"/>
        <v>55.900000000000006</v>
      </c>
      <c r="I33" s="19">
        <f t="shared" si="4"/>
        <v>0.21266304347826087</v>
      </c>
    </row>
    <row r="34" spans="1:9" ht="12.95" customHeight="1" x14ac:dyDescent="0.25">
      <c r="A34" s="67" t="s">
        <v>128</v>
      </c>
      <c r="B34" s="68" t="s">
        <v>162</v>
      </c>
      <c r="C34" s="66">
        <v>0.6</v>
      </c>
      <c r="D34" s="66">
        <v>1.1000000000000001</v>
      </c>
      <c r="E34" s="66">
        <v>29.5</v>
      </c>
      <c r="F34" s="66">
        <v>12.7</v>
      </c>
      <c r="G34" s="66">
        <v>1.3</v>
      </c>
      <c r="H34" s="18">
        <f t="shared" si="3"/>
        <v>45.199999999999996</v>
      </c>
      <c r="I34" s="19">
        <f t="shared" si="4"/>
        <v>0.1719565217391304</v>
      </c>
    </row>
    <row r="35" spans="1:9" ht="12.95" customHeight="1" x14ac:dyDescent="0.25">
      <c r="A35" s="67" t="s">
        <v>129</v>
      </c>
      <c r="B35" s="68" t="s">
        <v>163</v>
      </c>
      <c r="C35" s="66">
        <v>0.4</v>
      </c>
      <c r="D35" s="66">
        <v>0.8</v>
      </c>
      <c r="E35" s="66">
        <v>21.5</v>
      </c>
      <c r="F35" s="66">
        <v>9.1999999999999993</v>
      </c>
      <c r="G35" s="66">
        <v>1</v>
      </c>
      <c r="H35" s="18">
        <f t="shared" si="3"/>
        <v>32.9</v>
      </c>
      <c r="I35" s="19">
        <f t="shared" si="4"/>
        <v>0.12516304347826085</v>
      </c>
    </row>
    <row r="36" spans="1:9" ht="12.95" customHeight="1" x14ac:dyDescent="0.25">
      <c r="A36" s="67" t="s">
        <v>130</v>
      </c>
      <c r="B36" s="68" t="s">
        <v>164</v>
      </c>
      <c r="C36" s="66">
        <v>0.7</v>
      </c>
      <c r="D36" s="66">
        <v>1.4</v>
      </c>
      <c r="E36" s="66">
        <v>35.5</v>
      </c>
      <c r="F36" s="66">
        <v>15.2</v>
      </c>
      <c r="G36" s="66">
        <v>1.6</v>
      </c>
      <c r="H36" s="18">
        <f t="shared" si="3"/>
        <v>54.4</v>
      </c>
      <c r="I36" s="19">
        <f t="shared" si="4"/>
        <v>0.20695652173913043</v>
      </c>
    </row>
    <row r="37" spans="1:9" ht="28.9" customHeight="1" x14ac:dyDescent="0.25">
      <c r="A37" s="57"/>
      <c r="B37" s="70" t="s">
        <v>168</v>
      </c>
      <c r="C37" s="72">
        <f t="shared" ref="C37:H37" si="5">SUM(C23:C36)</f>
        <v>29.100000000000005</v>
      </c>
      <c r="D37" s="72">
        <f t="shared" si="5"/>
        <v>12.900000000000002</v>
      </c>
      <c r="E37" s="72">
        <f t="shared" si="5"/>
        <v>338.9</v>
      </c>
      <c r="F37" s="72">
        <f t="shared" si="5"/>
        <v>145.19999999999999</v>
      </c>
      <c r="G37" s="72">
        <f t="shared" si="5"/>
        <v>15.553334314158455</v>
      </c>
      <c r="H37" s="72">
        <f t="shared" si="5"/>
        <v>541.65333431415843</v>
      </c>
      <c r="I37" s="19">
        <f t="shared" si="4"/>
        <v>2.0606376848908199</v>
      </c>
    </row>
    <row r="38" spans="1:9" s="79" customFormat="1" ht="23.25" customHeight="1" x14ac:dyDescent="0.25">
      <c r="A38" s="75"/>
      <c r="B38" s="76" t="s">
        <v>169</v>
      </c>
      <c r="C38" s="77">
        <f t="shared" ref="C38:I38" si="6">SUM(C20,C37)</f>
        <v>236.39999999999998</v>
      </c>
      <c r="D38" s="77">
        <f t="shared" si="6"/>
        <v>417.39999999999992</v>
      </c>
      <c r="E38" s="77">
        <f t="shared" si="6"/>
        <v>587.4</v>
      </c>
      <c r="F38" s="77">
        <f t="shared" si="6"/>
        <v>220.7</v>
      </c>
      <c r="G38" s="77">
        <f t="shared" si="6"/>
        <v>50.936972012129246</v>
      </c>
      <c r="H38" s="77">
        <f t="shared" si="6"/>
        <v>1512.8369720121291</v>
      </c>
      <c r="I38" s="78">
        <f t="shared" si="6"/>
        <v>6.2831752400993892</v>
      </c>
    </row>
    <row r="40" spans="1:9" x14ac:dyDescent="0.25">
      <c r="A40" s="7" t="s">
        <v>170</v>
      </c>
      <c r="B40" s="11" t="s">
        <v>220</v>
      </c>
    </row>
    <row r="41" spans="1:9" ht="13.5" x14ac:dyDescent="0.25">
      <c r="A41" s="11"/>
      <c r="B41" s="80"/>
    </row>
    <row r="42" spans="1:9" x14ac:dyDescent="0.25">
      <c r="A42" s="11"/>
    </row>
    <row r="43" spans="1:9" x14ac:dyDescent="0.25">
      <c r="A43" s="11"/>
      <c r="E43" s="7" t="s">
        <v>208</v>
      </c>
    </row>
    <row r="44" spans="1:9" x14ac:dyDescent="0.25">
      <c r="A44" s="11"/>
    </row>
  </sheetData>
  <phoneticPr fontId="3" type="noConversion"/>
  <printOptions gridLines="1"/>
  <pageMargins left="1" right="0.75" top="0.5" bottom="0.5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workbookViewId="0">
      <selection sqref="A1:IV65536"/>
    </sheetView>
  </sheetViews>
  <sheetFormatPr defaultColWidth="9.75" defaultRowHeight="14.1" customHeight="1" x14ac:dyDescent="0.2"/>
  <cols>
    <col min="1" max="1" width="10.5" style="3" customWidth="1"/>
    <col min="2" max="2" width="7.25" style="3" customWidth="1"/>
    <col min="3" max="3" width="6.5" style="3" customWidth="1"/>
    <col min="4" max="4" width="8.625" style="3" customWidth="1"/>
    <col min="5" max="5" width="9.75" style="3" customWidth="1"/>
    <col min="6" max="6" width="9.5" style="3" customWidth="1"/>
    <col min="7" max="7" width="7.375" style="3" customWidth="1"/>
    <col min="8" max="8" width="9.25" style="3" customWidth="1"/>
    <col min="9" max="9" width="8" style="3" customWidth="1"/>
    <col min="10" max="10" width="11.375" style="3" customWidth="1"/>
    <col min="11" max="11" width="7.125" style="3" customWidth="1"/>
    <col min="12" max="12" width="9" style="3" customWidth="1"/>
    <col min="13" max="13" width="6.625" style="3" customWidth="1"/>
    <col min="14" max="14" width="2.125" style="3" customWidth="1"/>
    <col min="15" max="15" width="1.5" style="3" customWidth="1"/>
    <col min="16" max="16384" width="9.75" style="3"/>
  </cols>
  <sheetData>
    <row r="1" spans="1:13" ht="14.1" customHeight="1" x14ac:dyDescent="0.2">
      <c r="A1" s="39"/>
      <c r="B1" s="4"/>
      <c r="D1" s="40" t="s">
        <v>217</v>
      </c>
      <c r="E1" s="40"/>
    </row>
    <row r="2" spans="1:13" s="4" customFormat="1" ht="14.1" customHeight="1" x14ac:dyDescent="0.25">
      <c r="A2" s="13" t="s">
        <v>216</v>
      </c>
      <c r="H2" s="41"/>
    </row>
    <row r="3" spans="1:13" s="4" customFormat="1" ht="14.1" customHeight="1" x14ac:dyDescent="0.25">
      <c r="A3" s="13"/>
      <c r="B3" s="3" t="s">
        <v>215</v>
      </c>
      <c r="C3" s="42"/>
      <c r="E3" s="6"/>
      <c r="F3" s="7" t="s">
        <v>185</v>
      </c>
      <c r="G3" s="6"/>
      <c r="H3" s="7" t="s">
        <v>190</v>
      </c>
      <c r="I3" s="6"/>
      <c r="J3" s="7" t="s">
        <v>191</v>
      </c>
      <c r="K3" s="7" t="s">
        <v>189</v>
      </c>
    </row>
    <row r="4" spans="1:13" s="6" customFormat="1" ht="14.1" customHeight="1" x14ac:dyDescent="0.25">
      <c r="D4" s="7" t="s">
        <v>3</v>
      </c>
      <c r="E4" s="7" t="s">
        <v>200</v>
      </c>
      <c r="F4" s="7" t="s">
        <v>184</v>
      </c>
      <c r="G4" s="8" t="s">
        <v>189</v>
      </c>
      <c r="H4" s="7" t="s">
        <v>184</v>
      </c>
      <c r="I4" s="8" t="s">
        <v>189</v>
      </c>
      <c r="J4" s="7" t="s">
        <v>184</v>
      </c>
      <c r="K4" s="8" t="s">
        <v>6</v>
      </c>
      <c r="L4" s="10" t="s">
        <v>189</v>
      </c>
      <c r="M4" s="12" t="s">
        <v>189</v>
      </c>
    </row>
    <row r="5" spans="1:13" s="6" customFormat="1" ht="14.1" customHeight="1" x14ac:dyDescent="0.25">
      <c r="B5" s="13" t="s">
        <v>11</v>
      </c>
      <c r="E5" s="7" t="s">
        <v>201</v>
      </c>
      <c r="F5" s="8" t="s">
        <v>218</v>
      </c>
      <c r="H5" s="7" t="s">
        <v>189</v>
      </c>
      <c r="J5" s="8" t="s">
        <v>189</v>
      </c>
      <c r="L5" s="10" t="s">
        <v>10</v>
      </c>
      <c r="M5" s="10" t="s">
        <v>10</v>
      </c>
    </row>
    <row r="6" spans="1:13" s="6" customFormat="1" ht="14.1" customHeight="1" x14ac:dyDescent="0.25">
      <c r="B6" s="8" t="s">
        <v>181</v>
      </c>
      <c r="D6" s="7" t="s">
        <v>12</v>
      </c>
      <c r="E6" s="7" t="s">
        <v>12</v>
      </c>
      <c r="F6" s="8" t="s">
        <v>5</v>
      </c>
      <c r="G6" s="8" t="s">
        <v>5</v>
      </c>
      <c r="H6" s="7" t="s">
        <v>188</v>
      </c>
      <c r="I6" s="8" t="s">
        <v>188</v>
      </c>
      <c r="J6" s="8" t="s">
        <v>6</v>
      </c>
      <c r="K6" s="7" t="s">
        <v>15</v>
      </c>
      <c r="L6" s="12" t="s">
        <v>19</v>
      </c>
      <c r="M6" s="12" t="s">
        <v>20</v>
      </c>
    </row>
    <row r="7" spans="1:13" s="6" customFormat="1" ht="14.1" customHeight="1" x14ac:dyDescent="0.25">
      <c r="B7" s="6" t="s">
        <v>182</v>
      </c>
      <c r="C7" s="8" t="s">
        <v>21</v>
      </c>
      <c r="D7" s="7" t="s">
        <v>22</v>
      </c>
      <c r="E7" s="7" t="s">
        <v>22</v>
      </c>
      <c r="F7" s="8" t="s">
        <v>202</v>
      </c>
      <c r="G7" s="7" t="s">
        <v>187</v>
      </c>
      <c r="H7" s="7" t="s">
        <v>203</v>
      </c>
      <c r="I7" s="7" t="s">
        <v>187</v>
      </c>
      <c r="J7" s="7" t="s">
        <v>15</v>
      </c>
      <c r="K7" s="7" t="s">
        <v>187</v>
      </c>
      <c r="L7" s="10" t="s">
        <v>27</v>
      </c>
      <c r="M7" s="10" t="s">
        <v>27</v>
      </c>
    </row>
    <row r="8" spans="1:13" s="6" customFormat="1" ht="14.1" customHeight="1" x14ac:dyDescent="0.25">
      <c r="A8" s="13" t="s">
        <v>12</v>
      </c>
      <c r="B8" s="6" t="s">
        <v>183</v>
      </c>
      <c r="C8" s="8" t="s">
        <v>28</v>
      </c>
      <c r="D8" s="8" t="s">
        <v>199</v>
      </c>
      <c r="E8" s="8" t="s">
        <v>199</v>
      </c>
      <c r="F8" s="7" t="s">
        <v>31</v>
      </c>
      <c r="G8" s="7" t="s">
        <v>186</v>
      </c>
      <c r="H8" s="7" t="s">
        <v>31</v>
      </c>
      <c r="I8" s="7" t="s">
        <v>186</v>
      </c>
      <c r="J8" s="8" t="s">
        <v>219</v>
      </c>
      <c r="K8" s="7" t="s">
        <v>29</v>
      </c>
      <c r="L8" s="10" t="s">
        <v>31</v>
      </c>
      <c r="M8" s="10" t="s">
        <v>29</v>
      </c>
    </row>
    <row r="9" spans="1:13" s="6" customFormat="1" ht="14.1" customHeight="1" x14ac:dyDescent="0.25">
      <c r="A9" s="13" t="s">
        <v>32</v>
      </c>
      <c r="B9" s="8" t="s">
        <v>33</v>
      </c>
      <c r="C9" s="8" t="s">
        <v>34</v>
      </c>
      <c r="D9" s="8" t="s">
        <v>34</v>
      </c>
      <c r="E9" s="8" t="s">
        <v>34</v>
      </c>
      <c r="F9" s="8" t="s">
        <v>34</v>
      </c>
      <c r="G9" s="8" t="s">
        <v>35</v>
      </c>
      <c r="H9" s="8" t="s">
        <v>35</v>
      </c>
      <c r="I9" s="8" t="s">
        <v>36</v>
      </c>
      <c r="J9" s="8" t="s">
        <v>192</v>
      </c>
      <c r="K9" s="8" t="s">
        <v>38</v>
      </c>
      <c r="L9" s="8" t="s">
        <v>33</v>
      </c>
      <c r="M9" s="8" t="s">
        <v>33</v>
      </c>
    </row>
    <row r="10" spans="1:13" s="22" customFormat="1" ht="15" customHeight="1" x14ac:dyDescent="0.25">
      <c r="A10" s="14" t="s">
        <v>39</v>
      </c>
      <c r="B10" s="43">
        <v>163389</v>
      </c>
      <c r="C10" s="44">
        <f>SUM(B10/1273777)</f>
        <v>0.12827127511330477</v>
      </c>
      <c r="D10" s="45">
        <f>SUM(C10*2268)</f>
        <v>290.91925195697524</v>
      </c>
      <c r="E10" s="46">
        <f>SUM(D10/365)</f>
        <v>0.79703904645746637</v>
      </c>
      <c r="F10" s="46">
        <f>SUM(D10*19.33)/2000</f>
        <v>2.8117345701641656</v>
      </c>
      <c r="G10" s="24">
        <f t="shared" ref="G10:G23" si="0">SUM(F10/365)</f>
        <v>7.7033823840114129E-3</v>
      </c>
      <c r="H10" s="24">
        <f>SUM(D10*13.6)/2000</f>
        <v>1.9782509133074315</v>
      </c>
      <c r="I10" s="24">
        <f>SUM(H10/365)</f>
        <v>5.419865515910771E-3</v>
      </c>
      <c r="J10" s="26">
        <f>SUM(D10*5.3)/2000</f>
        <v>0.7709360176859843</v>
      </c>
      <c r="K10" s="24">
        <f>SUM(J10/365)</f>
        <v>2.1121534731122858E-3</v>
      </c>
      <c r="L10" s="47">
        <f>SUM(F10,H10,J10)</f>
        <v>5.5609215011575808</v>
      </c>
      <c r="M10" s="30">
        <f>SUM(G10,I10,K10)</f>
        <v>1.5235401373034469E-2</v>
      </c>
    </row>
    <row r="11" spans="1:13" s="22" customFormat="1" ht="15" customHeight="1" x14ac:dyDescent="0.25">
      <c r="A11" s="14" t="s">
        <v>40</v>
      </c>
      <c r="B11" s="43">
        <v>121288</v>
      </c>
      <c r="C11" s="44">
        <f t="shared" ref="C11:C25" si="1">SUM(B11/1273777)</f>
        <v>9.5219178867258558E-2</v>
      </c>
      <c r="D11" s="45">
        <f t="shared" ref="D11:D25" si="2">SUM(C11*2268)</f>
        <v>215.9570976709424</v>
      </c>
      <c r="E11" s="46">
        <f t="shared" ref="E11:E25" si="3">SUM(D11/365)</f>
        <v>0.59166328129025314</v>
      </c>
      <c r="F11" s="46">
        <f t="shared" ref="F11:F25" si="4">SUM(D11*19.33)/2000</f>
        <v>2.0872253489896582</v>
      </c>
      <c r="G11" s="24">
        <f t="shared" si="0"/>
        <v>5.7184256136702961E-3</v>
      </c>
      <c r="H11" s="24">
        <f t="shared" ref="H11:H25" si="5">SUM(D11*13.6)/2000</f>
        <v>1.4685082641624083</v>
      </c>
      <c r="I11" s="24">
        <f t="shared" ref="I11:I25" si="6">SUM(H11/365)</f>
        <v>4.0233103127737214E-3</v>
      </c>
      <c r="J11" s="26">
        <f t="shared" ref="J11:J25" si="7">SUM(D11*5.3)/2000</f>
        <v>0.57228630882799736</v>
      </c>
      <c r="K11" s="24">
        <f t="shared" ref="K11:K25" si="8">SUM(J11/365)</f>
        <v>1.5679076954191709E-3</v>
      </c>
      <c r="L11" s="47">
        <f t="shared" ref="L11:L25" si="9">SUM(F11,H11,J11)</f>
        <v>4.128019921980064</v>
      </c>
      <c r="M11" s="30">
        <f t="shared" ref="M11:M25" si="10">SUM(G11,I11,K11)</f>
        <v>1.1309643621863187E-2</v>
      </c>
    </row>
    <row r="12" spans="1:13" s="22" customFormat="1" ht="15" customHeight="1" x14ac:dyDescent="0.25">
      <c r="A12" s="14" t="s">
        <v>41</v>
      </c>
      <c r="B12" s="43">
        <v>176782</v>
      </c>
      <c r="C12" s="44">
        <f t="shared" si="1"/>
        <v>0.13878567441553741</v>
      </c>
      <c r="D12" s="45">
        <f t="shared" si="2"/>
        <v>314.76590957443887</v>
      </c>
      <c r="E12" s="46">
        <f t="shared" si="3"/>
        <v>0.86237235499846265</v>
      </c>
      <c r="F12" s="46">
        <f t="shared" si="4"/>
        <v>3.0422125160369515</v>
      </c>
      <c r="G12" s="24">
        <f t="shared" si="0"/>
        <v>8.3348288110601416E-3</v>
      </c>
      <c r="H12" s="24">
        <f t="shared" si="5"/>
        <v>2.140408185106184</v>
      </c>
      <c r="I12" s="24">
        <f t="shared" si="6"/>
        <v>5.864132013989545E-3</v>
      </c>
      <c r="J12" s="26">
        <f t="shared" si="7"/>
        <v>0.83412966037226299</v>
      </c>
      <c r="K12" s="24">
        <f t="shared" si="8"/>
        <v>2.2852867407459261E-3</v>
      </c>
      <c r="L12" s="47">
        <f t="shared" si="9"/>
        <v>6.016750361515399</v>
      </c>
      <c r="M12" s="30">
        <f t="shared" si="10"/>
        <v>1.6484247565795612E-2</v>
      </c>
    </row>
    <row r="13" spans="1:13" s="22" customFormat="1" ht="15" customHeight="1" x14ac:dyDescent="0.25">
      <c r="A13" s="14" t="s">
        <v>42</v>
      </c>
      <c r="B13" s="43">
        <v>30065</v>
      </c>
      <c r="C13" s="44">
        <f t="shared" si="1"/>
        <v>2.3603032555934045E-2</v>
      </c>
      <c r="D13" s="45">
        <f t="shared" si="2"/>
        <v>53.531677836858414</v>
      </c>
      <c r="E13" s="46">
        <f t="shared" si="3"/>
        <v>0.14666213105988607</v>
      </c>
      <c r="F13" s="46">
        <f t="shared" si="4"/>
        <v>0.51738366629323651</v>
      </c>
      <c r="G13" s="24">
        <f t="shared" si="0"/>
        <v>1.4174894966937986E-3</v>
      </c>
      <c r="H13" s="24">
        <f t="shared" si="5"/>
        <v>0.36401540929063719</v>
      </c>
      <c r="I13" s="24">
        <f t="shared" si="6"/>
        <v>9.9730249120722511E-4</v>
      </c>
      <c r="J13" s="26">
        <f t="shared" si="7"/>
        <v>0.14185894626767478</v>
      </c>
      <c r="K13" s="24">
        <f t="shared" si="8"/>
        <v>3.8865464730869807E-4</v>
      </c>
      <c r="L13" s="47">
        <f t="shared" si="9"/>
        <v>1.0232580218515483</v>
      </c>
      <c r="M13" s="30">
        <f t="shared" si="10"/>
        <v>2.8034466352097214E-3</v>
      </c>
    </row>
    <row r="14" spans="1:13" s="22" customFormat="1" ht="15" customHeight="1" x14ac:dyDescent="0.25">
      <c r="A14" s="14" t="s">
        <v>43</v>
      </c>
      <c r="B14" s="43">
        <v>90327</v>
      </c>
      <c r="C14" s="44">
        <f t="shared" si="1"/>
        <v>7.0912726481950919E-2</v>
      </c>
      <c r="D14" s="45">
        <f t="shared" si="2"/>
        <v>160.83006366106468</v>
      </c>
      <c r="E14" s="46">
        <f t="shared" si="3"/>
        <v>0.44063031140017722</v>
      </c>
      <c r="F14" s="46">
        <f t="shared" si="4"/>
        <v>1.5544225652841901</v>
      </c>
      <c r="G14" s="24">
        <f t="shared" si="0"/>
        <v>4.2586919596827129E-3</v>
      </c>
      <c r="H14" s="24">
        <f t="shared" si="5"/>
        <v>1.0936444328952397</v>
      </c>
      <c r="I14" s="24">
        <f t="shared" si="6"/>
        <v>2.9962861175212045E-3</v>
      </c>
      <c r="J14" s="26">
        <f t="shared" si="7"/>
        <v>0.42619966870182141</v>
      </c>
      <c r="K14" s="24">
        <f t="shared" si="8"/>
        <v>1.1676703252104697E-3</v>
      </c>
      <c r="L14" s="47">
        <f t="shared" si="9"/>
        <v>3.0742666668812513</v>
      </c>
      <c r="M14" s="30">
        <f t="shared" si="10"/>
        <v>8.4226484024143879E-3</v>
      </c>
    </row>
    <row r="15" spans="1:13" s="22" customFormat="1" ht="15" customHeight="1" x14ac:dyDescent="0.25">
      <c r="A15" s="14" t="s">
        <v>44</v>
      </c>
      <c r="B15" s="43">
        <v>34557</v>
      </c>
      <c r="C15" s="44">
        <f t="shared" si="1"/>
        <v>2.7129552504088234E-2</v>
      </c>
      <c r="D15" s="45">
        <f t="shared" si="2"/>
        <v>61.529825079272115</v>
      </c>
      <c r="E15" s="46">
        <f t="shared" si="3"/>
        <v>0.1685748632308825</v>
      </c>
      <c r="F15" s="46">
        <f t="shared" si="4"/>
        <v>0.59468575939116497</v>
      </c>
      <c r="G15" s="24">
        <f t="shared" si="0"/>
        <v>1.6292760531264794E-3</v>
      </c>
      <c r="H15" s="24">
        <f t="shared" si="5"/>
        <v>0.41840281053905037</v>
      </c>
      <c r="I15" s="24">
        <f t="shared" si="6"/>
        <v>1.146309069970001E-3</v>
      </c>
      <c r="J15" s="26">
        <f t="shared" si="7"/>
        <v>0.16305403646007111</v>
      </c>
      <c r="K15" s="24">
        <f t="shared" si="8"/>
        <v>4.4672338756183863E-4</v>
      </c>
      <c r="L15" s="47">
        <f t="shared" si="9"/>
        <v>1.1761426063902864</v>
      </c>
      <c r="M15" s="30">
        <f t="shared" si="10"/>
        <v>3.2223085106583191E-3</v>
      </c>
    </row>
    <row r="16" spans="1:13" s="22" customFormat="1" ht="15" customHeight="1" x14ac:dyDescent="0.25">
      <c r="A16" s="14" t="s">
        <v>45</v>
      </c>
      <c r="B16" s="43">
        <v>57960</v>
      </c>
      <c r="C16" s="44">
        <f t="shared" si="1"/>
        <v>4.5502470212603931E-2</v>
      </c>
      <c r="D16" s="45">
        <f t="shared" si="2"/>
        <v>103.19960244218572</v>
      </c>
      <c r="E16" s="46">
        <f t="shared" si="3"/>
        <v>0.28273863682790606</v>
      </c>
      <c r="F16" s="46">
        <f t="shared" si="4"/>
        <v>0.99742415760372494</v>
      </c>
      <c r="G16" s="24">
        <f t="shared" si="0"/>
        <v>2.7326689249417124E-3</v>
      </c>
      <c r="H16" s="24">
        <f t="shared" si="5"/>
        <v>0.70175729660686281</v>
      </c>
      <c r="I16" s="24">
        <f t="shared" si="6"/>
        <v>1.9226227304297611E-3</v>
      </c>
      <c r="J16" s="26">
        <f t="shared" si="7"/>
        <v>0.27347894647179216</v>
      </c>
      <c r="K16" s="24">
        <f t="shared" si="8"/>
        <v>7.492573875939511E-4</v>
      </c>
      <c r="L16" s="47">
        <f t="shared" si="9"/>
        <v>1.9726604006823798</v>
      </c>
      <c r="M16" s="30">
        <f t="shared" si="10"/>
        <v>5.4045490429654244E-3</v>
      </c>
    </row>
    <row r="17" spans="1:13" s="22" customFormat="1" ht="15" customHeight="1" x14ac:dyDescent="0.25">
      <c r="A17" s="14" t="s">
        <v>46</v>
      </c>
      <c r="B17" s="43">
        <v>42961</v>
      </c>
      <c r="C17" s="44">
        <f t="shared" si="1"/>
        <v>3.3727253671561035E-2</v>
      </c>
      <c r="D17" s="45">
        <f t="shared" si="2"/>
        <v>76.493411327100432</v>
      </c>
      <c r="E17" s="46">
        <f t="shared" si="3"/>
        <v>0.20957098993726145</v>
      </c>
      <c r="F17" s="46">
        <f t="shared" si="4"/>
        <v>0.73930882047642554</v>
      </c>
      <c r="G17" s="24">
        <f t="shared" si="0"/>
        <v>2.0255036177436315E-3</v>
      </c>
      <c r="H17" s="24">
        <f t="shared" si="5"/>
        <v>0.52015519702428292</v>
      </c>
      <c r="I17" s="24">
        <f t="shared" si="6"/>
        <v>1.4250827315733779E-3</v>
      </c>
      <c r="J17" s="26">
        <f t="shared" si="7"/>
        <v>0.20270754001681612</v>
      </c>
      <c r="K17" s="24">
        <f t="shared" si="8"/>
        <v>5.5536312333374276E-4</v>
      </c>
      <c r="L17" s="47">
        <f t="shared" si="9"/>
        <v>1.4621715575175245</v>
      </c>
      <c r="M17" s="30">
        <f t="shared" si="10"/>
        <v>4.0059494726507527E-3</v>
      </c>
    </row>
    <row r="18" spans="1:13" s="22" customFormat="1" ht="15" customHeight="1" x14ac:dyDescent="0.25">
      <c r="A18" s="14" t="s">
        <v>47</v>
      </c>
      <c r="B18" s="43">
        <v>137320</v>
      </c>
      <c r="C18" s="44">
        <f t="shared" si="1"/>
        <v>0.1078053693856931</v>
      </c>
      <c r="D18" s="45">
        <f t="shared" si="2"/>
        <v>244.50257776675195</v>
      </c>
      <c r="E18" s="46">
        <f t="shared" si="3"/>
        <v>0.66987007607329307</v>
      </c>
      <c r="F18" s="46">
        <f t="shared" si="4"/>
        <v>2.3631174141156577</v>
      </c>
      <c r="G18" s="24">
        <f t="shared" si="0"/>
        <v>6.4742942852483772E-3</v>
      </c>
      <c r="H18" s="24">
        <f t="shared" si="5"/>
        <v>1.6626175288139131</v>
      </c>
      <c r="I18" s="24">
        <f t="shared" si="6"/>
        <v>4.5551165172983922E-3</v>
      </c>
      <c r="J18" s="26">
        <f t="shared" si="7"/>
        <v>0.64793183108189267</v>
      </c>
      <c r="K18" s="24">
        <f t="shared" si="8"/>
        <v>1.7751557015942266E-3</v>
      </c>
      <c r="L18" s="47">
        <f t="shared" si="9"/>
        <v>4.6736667740114637</v>
      </c>
      <c r="M18" s="30">
        <f t="shared" si="10"/>
        <v>1.2804566504140994E-2</v>
      </c>
    </row>
    <row r="19" spans="1:13" s="22" customFormat="1" ht="15" customHeight="1" x14ac:dyDescent="0.25">
      <c r="A19" s="14" t="s">
        <v>48</v>
      </c>
      <c r="B19" s="43">
        <v>82474</v>
      </c>
      <c r="C19" s="44">
        <f t="shared" si="1"/>
        <v>6.4747597106871932E-2</v>
      </c>
      <c r="D19" s="45">
        <f t="shared" si="2"/>
        <v>146.84755023838554</v>
      </c>
      <c r="E19" s="46">
        <f t="shared" si="3"/>
        <v>0.40232205544763161</v>
      </c>
      <c r="F19" s="46">
        <f t="shared" si="4"/>
        <v>1.419281573053996</v>
      </c>
      <c r="G19" s="24">
        <f t="shared" si="0"/>
        <v>3.888442665901359E-3</v>
      </c>
      <c r="H19" s="24">
        <f t="shared" si="5"/>
        <v>0.99856334162102167</v>
      </c>
      <c r="I19" s="24">
        <f t="shared" si="6"/>
        <v>2.7357899770438952E-3</v>
      </c>
      <c r="J19" s="26">
        <f t="shared" si="7"/>
        <v>0.38914600813172168</v>
      </c>
      <c r="K19" s="24">
        <f t="shared" si="8"/>
        <v>1.0661534469362237E-3</v>
      </c>
      <c r="L19" s="47">
        <f t="shared" si="9"/>
        <v>2.8069909228067393</v>
      </c>
      <c r="M19" s="30">
        <f t="shared" si="10"/>
        <v>7.6903860898814777E-3</v>
      </c>
    </row>
    <row r="20" spans="1:13" s="22" customFormat="1" ht="15" customHeight="1" x14ac:dyDescent="0.25">
      <c r="A20" s="14" t="s">
        <v>49</v>
      </c>
      <c r="B20" s="43">
        <v>43205</v>
      </c>
      <c r="C20" s="44">
        <f t="shared" si="1"/>
        <v>3.391880996438152E-2</v>
      </c>
      <c r="D20" s="45">
        <f t="shared" si="2"/>
        <v>76.927860999217287</v>
      </c>
      <c r="E20" s="46">
        <f t="shared" si="3"/>
        <v>0.21076126301155421</v>
      </c>
      <c r="F20" s="46">
        <f t="shared" si="4"/>
        <v>0.74350777655743505</v>
      </c>
      <c r="G20" s="24">
        <f t="shared" si="0"/>
        <v>2.0370076070066715E-3</v>
      </c>
      <c r="H20" s="24">
        <f t="shared" si="5"/>
        <v>0.52310945479467752</v>
      </c>
      <c r="I20" s="24">
        <f t="shared" si="6"/>
        <v>1.4331765884785686E-3</v>
      </c>
      <c r="J20" s="26">
        <f t="shared" si="7"/>
        <v>0.20385883164792579</v>
      </c>
      <c r="K20" s="24">
        <f t="shared" si="8"/>
        <v>5.5851734698061863E-4</v>
      </c>
      <c r="L20" s="47">
        <f t="shared" si="9"/>
        <v>1.4704760630000384</v>
      </c>
      <c r="M20" s="30">
        <f t="shared" si="10"/>
        <v>4.0287015424658587E-3</v>
      </c>
    </row>
    <row r="21" spans="1:13" s="22" customFormat="1" ht="15" customHeight="1" x14ac:dyDescent="0.25">
      <c r="A21" s="14" t="s">
        <v>50</v>
      </c>
      <c r="B21" s="43">
        <v>107934</v>
      </c>
      <c r="C21" s="44">
        <f t="shared" si="1"/>
        <v>8.4735397169206222E-2</v>
      </c>
      <c r="D21" s="45">
        <f t="shared" si="2"/>
        <v>192.17988077975971</v>
      </c>
      <c r="E21" s="46">
        <f t="shared" si="3"/>
        <v>0.52652022131441012</v>
      </c>
      <c r="F21" s="46">
        <f t="shared" si="4"/>
        <v>1.8574185477363774</v>
      </c>
      <c r="G21" s="24">
        <f t="shared" si="0"/>
        <v>5.0888179390037739E-3</v>
      </c>
      <c r="H21" s="24">
        <f t="shared" si="5"/>
        <v>1.3068231893023661</v>
      </c>
      <c r="I21" s="24">
        <f t="shared" si="6"/>
        <v>3.5803375049379893E-3</v>
      </c>
      <c r="J21" s="26">
        <f t="shared" si="7"/>
        <v>0.50927668406636317</v>
      </c>
      <c r="K21" s="24">
        <f t="shared" si="8"/>
        <v>1.3952785864831867E-3</v>
      </c>
      <c r="L21" s="47">
        <f t="shared" si="9"/>
        <v>3.6735184211051068</v>
      </c>
      <c r="M21" s="30">
        <f t="shared" si="10"/>
        <v>1.006443403042495E-2</v>
      </c>
    </row>
    <row r="22" spans="1:13" s="22" customFormat="1" ht="15" customHeight="1" x14ac:dyDescent="0.25">
      <c r="A22" s="14" t="s">
        <v>51</v>
      </c>
      <c r="B22" s="43">
        <v>987</v>
      </c>
      <c r="C22" s="44">
        <f t="shared" si="1"/>
        <v>7.7486090579434235E-4</v>
      </c>
      <c r="D22" s="45">
        <f t="shared" si="2"/>
        <v>1.7573845343415684</v>
      </c>
      <c r="E22" s="46">
        <f t="shared" si="3"/>
        <v>4.8147521488810094E-3</v>
      </c>
      <c r="F22" s="46">
        <f t="shared" si="4"/>
        <v>1.6985121524411256E-2</v>
      </c>
      <c r="G22" s="24">
        <f t="shared" si="0"/>
        <v>4.6534579518934948E-5</v>
      </c>
      <c r="H22" s="24">
        <f t="shared" si="5"/>
        <v>1.1950214833522665E-2</v>
      </c>
      <c r="I22" s="24">
        <f t="shared" si="6"/>
        <v>3.2740314612390862E-5</v>
      </c>
      <c r="J22" s="26">
        <f t="shared" si="7"/>
        <v>4.6570690160051562E-3</v>
      </c>
      <c r="K22" s="24">
        <f t="shared" si="8"/>
        <v>1.2759093194534674E-5</v>
      </c>
      <c r="L22" s="47">
        <f t="shared" si="9"/>
        <v>3.359240537393908E-2</v>
      </c>
      <c r="M22" s="30">
        <f t="shared" si="10"/>
        <v>9.2033987325860491E-5</v>
      </c>
    </row>
    <row r="23" spans="1:13" s="22" customFormat="1" ht="15" customHeight="1" x14ac:dyDescent="0.25">
      <c r="A23" s="14" t="s">
        <v>52</v>
      </c>
      <c r="B23" s="43">
        <v>184528</v>
      </c>
      <c r="C23" s="44">
        <f t="shared" si="1"/>
        <v>0.14486680164581398</v>
      </c>
      <c r="D23" s="45">
        <f t="shared" si="2"/>
        <v>328.55790613270608</v>
      </c>
      <c r="E23" s="46">
        <f t="shared" si="3"/>
        <v>0.90015864693892078</v>
      </c>
      <c r="F23" s="46">
        <f t="shared" si="4"/>
        <v>3.1755121627726037</v>
      </c>
      <c r="G23" s="24">
        <f t="shared" si="0"/>
        <v>8.7000333226646669E-3</v>
      </c>
      <c r="H23" s="24">
        <f t="shared" si="5"/>
        <v>2.2341937617024015</v>
      </c>
      <c r="I23" s="24">
        <f t="shared" si="6"/>
        <v>6.1210787991846614E-3</v>
      </c>
      <c r="J23" s="26">
        <f t="shared" si="7"/>
        <v>0.87067845125167109</v>
      </c>
      <c r="K23" s="24">
        <f t="shared" si="8"/>
        <v>2.3854204143881402E-3</v>
      </c>
      <c r="L23" s="47">
        <f t="shared" si="9"/>
        <v>6.2803843757266771</v>
      </c>
      <c r="M23" s="30">
        <f t="shared" si="10"/>
        <v>1.7206532536237468E-2</v>
      </c>
    </row>
    <row r="24" spans="1:13" s="22" customFormat="1" ht="14.1" customHeight="1" x14ac:dyDescent="0.25">
      <c r="B24" s="48"/>
      <c r="C24" s="44"/>
      <c r="D24" s="45">
        <f t="shared" si="2"/>
        <v>0</v>
      </c>
      <c r="E24" s="46"/>
      <c r="F24" s="46">
        <f t="shared" si="4"/>
        <v>0</v>
      </c>
      <c r="G24" s="24"/>
      <c r="H24" s="24"/>
      <c r="I24" s="24"/>
      <c r="J24" s="26"/>
      <c r="K24" s="24"/>
      <c r="L24" s="47"/>
      <c r="M24" s="30"/>
    </row>
    <row r="25" spans="1:13" s="52" customFormat="1" ht="14.1" customHeight="1" x14ac:dyDescent="0.25">
      <c r="A25" s="27" t="s">
        <v>53</v>
      </c>
      <c r="B25" s="49">
        <f>SUM(B10:B23)</f>
        <v>1273777</v>
      </c>
      <c r="C25" s="50">
        <f t="shared" si="1"/>
        <v>1</v>
      </c>
      <c r="D25" s="45">
        <f t="shared" si="2"/>
        <v>2268</v>
      </c>
      <c r="E25" s="46">
        <f t="shared" si="3"/>
        <v>6.2136986301369861</v>
      </c>
      <c r="F25" s="51">
        <f t="shared" si="4"/>
        <v>21.920219999999997</v>
      </c>
      <c r="G25" s="30">
        <f>SUM(F25/365)</f>
        <v>6.0055397260273966E-2</v>
      </c>
      <c r="H25" s="30">
        <f t="shared" si="5"/>
        <v>15.4224</v>
      </c>
      <c r="I25" s="30">
        <f t="shared" si="6"/>
        <v>4.2253150684931504E-2</v>
      </c>
      <c r="J25" s="47">
        <f t="shared" si="7"/>
        <v>6.0102000000000002</v>
      </c>
      <c r="K25" s="30">
        <f t="shared" si="8"/>
        <v>1.6466301369863014E-2</v>
      </c>
      <c r="L25" s="47">
        <f t="shared" si="9"/>
        <v>43.352819999999994</v>
      </c>
      <c r="M25" s="30">
        <f t="shared" si="10"/>
        <v>0.11877484931506849</v>
      </c>
    </row>
    <row r="26" spans="1:13" s="22" customFormat="1" ht="14.1" customHeight="1" x14ac:dyDescent="0.25">
      <c r="B26" s="48"/>
      <c r="F26" s="34"/>
      <c r="G26" s="24"/>
      <c r="H26" s="24"/>
      <c r="I26" s="24"/>
      <c r="J26" s="26"/>
      <c r="K26" s="24"/>
      <c r="L26" s="47"/>
      <c r="M26" s="30"/>
    </row>
    <row r="27" spans="1:13" s="22" customFormat="1" ht="14.1" customHeight="1" x14ac:dyDescent="0.25">
      <c r="A27" s="22" t="s">
        <v>177</v>
      </c>
      <c r="B27" s="48">
        <f>SUM(B10,B12,B13,B14,B18,B19,B20,B21,B22,B23)</f>
        <v>1017011</v>
      </c>
      <c r="C27" s="53">
        <f>SUM(C10,C12,C13,C14,C18,C19,C20,C21,C22,C23)</f>
        <v>0.79842154474448834</v>
      </c>
      <c r="D27" s="48">
        <f>SUM(D10,D12,D13,D14,D18,D19,D20,D21,D22,D23)</f>
        <v>1810.8200634804994</v>
      </c>
      <c r="E27" s="48"/>
      <c r="F27" s="34">
        <f>SUM(F10,F12,F13,F14,F18,F19,F20,F21,F22,F23)</f>
        <v>17.501575913539025</v>
      </c>
      <c r="G27" s="36">
        <f t="shared" ref="G27:M27" si="11">SUM(G10,G12,G13,G14,G18,G19,G20,G21,G22,G23)</f>
        <v>4.7949523050791851E-2</v>
      </c>
      <c r="H27" s="34">
        <f t="shared" si="11"/>
        <v>12.313576431667396</v>
      </c>
      <c r="I27" s="36">
        <f t="shared" si="11"/>
        <v>3.3735825840184641E-2</v>
      </c>
      <c r="J27" s="34">
        <f t="shared" si="11"/>
        <v>4.7986731682233232</v>
      </c>
      <c r="K27" s="36">
        <f t="shared" si="11"/>
        <v>1.3147049775954312E-2</v>
      </c>
      <c r="L27" s="34">
        <f t="shared" si="11"/>
        <v>34.613825513429745</v>
      </c>
      <c r="M27" s="36">
        <f t="shared" si="11"/>
        <v>9.4832398666930801E-2</v>
      </c>
    </row>
    <row r="28" spans="1:13" s="22" customFormat="1" ht="14.1" customHeight="1" x14ac:dyDescent="0.25">
      <c r="A28" s="22" t="s">
        <v>178</v>
      </c>
      <c r="B28" s="48">
        <f>SUM(B11,B15,B16,B17)</f>
        <v>256766</v>
      </c>
      <c r="C28" s="53">
        <f>SUM(C11,C15,C16,C17)</f>
        <v>0.20157845525551177</v>
      </c>
      <c r="D28" s="48">
        <f>SUM(D11,D15,D16,D17)</f>
        <v>457.17993651950064</v>
      </c>
      <c r="E28" s="48"/>
      <c r="F28" s="34">
        <f t="shared" ref="F28:M28" si="12">SUM(F11,F15,F16,F17)</f>
        <v>4.4186440864609731</v>
      </c>
      <c r="G28" s="36">
        <f t="shared" si="12"/>
        <v>1.210587420948212E-2</v>
      </c>
      <c r="H28" s="36">
        <f t="shared" si="12"/>
        <v>3.1088235683326046</v>
      </c>
      <c r="I28" s="36">
        <f t="shared" si="12"/>
        <v>8.5173248447468607E-3</v>
      </c>
      <c r="J28" s="36">
        <f t="shared" si="12"/>
        <v>1.2115268317766767</v>
      </c>
      <c r="K28" s="36">
        <f t="shared" si="12"/>
        <v>3.3192515939087031E-3</v>
      </c>
      <c r="L28" s="36">
        <f t="shared" si="12"/>
        <v>8.7389944865702542</v>
      </c>
      <c r="M28" s="36">
        <f t="shared" si="12"/>
        <v>2.3942450648137686E-2</v>
      </c>
    </row>
    <row r="29" spans="1:13" ht="14.1" customHeight="1" x14ac:dyDescent="0.2">
      <c r="J29" s="17"/>
      <c r="M29" s="17"/>
    </row>
    <row r="31" spans="1:13" ht="14.1" customHeight="1" x14ac:dyDescent="0.2">
      <c r="G31" s="2" t="s">
        <v>209</v>
      </c>
    </row>
    <row r="33" spans="10:10" ht="14.1" customHeight="1" x14ac:dyDescent="0.2">
      <c r="J33" s="2"/>
    </row>
  </sheetData>
  <phoneticPr fontId="3" type="noConversion"/>
  <printOptions gridLines="1"/>
  <pageMargins left="1" right="0.75" top="0.75" bottom="0.75" header="0.5" footer="0.5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sqref="A1:IV65536"/>
    </sheetView>
  </sheetViews>
  <sheetFormatPr defaultColWidth="8.875" defaultRowHeight="15.95" customHeight="1" x14ac:dyDescent="0.2"/>
  <cols>
    <col min="1" max="1" width="9.875" style="3" customWidth="1"/>
    <col min="2" max="2" width="9" style="2" customWidth="1"/>
    <col min="3" max="3" width="6.875" style="3" customWidth="1"/>
    <col min="4" max="4" width="9" style="3" customWidth="1"/>
    <col min="5" max="5" width="7.125" style="3" customWidth="1"/>
    <col min="6" max="6" width="8.25" style="3" customWidth="1"/>
    <col min="7" max="7" width="5.875" style="3" customWidth="1"/>
    <col min="8" max="8" width="7.125" style="3" customWidth="1"/>
    <col min="9" max="9" width="7.25" style="3" customWidth="1"/>
    <col min="10" max="10" width="10.375" style="3" customWidth="1"/>
    <col min="11" max="11" width="6.75" style="3" customWidth="1"/>
    <col min="12" max="13" width="8.875" style="3"/>
    <col min="14" max="14" width="3.25" style="3" customWidth="1"/>
    <col min="15" max="16384" width="8.875" style="3"/>
  </cols>
  <sheetData>
    <row r="1" spans="1:13" ht="15.95" customHeight="1" x14ac:dyDescent="0.2">
      <c r="A1" s="1"/>
      <c r="E1" s="1"/>
      <c r="F1" s="4" t="s">
        <v>205</v>
      </c>
    </row>
    <row r="2" spans="1:13" ht="15.95" customHeight="1" x14ac:dyDescent="0.2">
      <c r="A2" s="1"/>
      <c r="C2" s="4" t="s">
        <v>225</v>
      </c>
      <c r="E2" s="4"/>
      <c r="F2" s="4"/>
      <c r="G2" s="4"/>
      <c r="H2" s="4"/>
      <c r="I2" s="4"/>
    </row>
    <row r="3" spans="1:13" ht="15.95" customHeight="1" x14ac:dyDescent="0.25">
      <c r="A3" s="5" t="s">
        <v>228</v>
      </c>
      <c r="D3" s="4"/>
      <c r="E3" s="4"/>
      <c r="G3" s="4"/>
      <c r="I3" s="4"/>
    </row>
    <row r="4" spans="1:13" ht="15.95" customHeight="1" x14ac:dyDescent="0.25">
      <c r="D4" s="6" t="s">
        <v>194</v>
      </c>
      <c r="E4" s="6"/>
      <c r="F4" s="6" t="s">
        <v>112</v>
      </c>
      <c r="G4" s="6"/>
      <c r="H4" s="6" t="s">
        <v>113</v>
      </c>
      <c r="I4" s="6"/>
      <c r="J4" s="6"/>
      <c r="K4" s="7" t="s">
        <v>189</v>
      </c>
    </row>
    <row r="5" spans="1:13" ht="15.95" customHeight="1" x14ac:dyDescent="0.25">
      <c r="D5" s="7" t="s">
        <v>8</v>
      </c>
      <c r="E5" s="7" t="s">
        <v>8</v>
      </c>
      <c r="F5" s="6" t="s">
        <v>114</v>
      </c>
      <c r="G5" s="7"/>
      <c r="H5" s="6" t="s">
        <v>115</v>
      </c>
      <c r="I5" s="7"/>
      <c r="J5" s="8" t="s">
        <v>193</v>
      </c>
      <c r="K5" s="8" t="s">
        <v>10</v>
      </c>
      <c r="L5" s="9" t="s">
        <v>195</v>
      </c>
      <c r="M5" s="9" t="s">
        <v>195</v>
      </c>
    </row>
    <row r="6" spans="1:13" ht="15.95" customHeight="1" x14ac:dyDescent="0.25">
      <c r="B6" s="7" t="s">
        <v>19</v>
      </c>
      <c r="C6" s="7" t="s">
        <v>20</v>
      </c>
      <c r="D6" s="8" t="s">
        <v>17</v>
      </c>
      <c r="E6" s="8" t="s">
        <v>17</v>
      </c>
      <c r="F6" s="6" t="s">
        <v>9</v>
      </c>
      <c r="G6" s="8"/>
      <c r="H6" s="6" t="s">
        <v>9</v>
      </c>
      <c r="I6" s="8"/>
      <c r="J6" s="7" t="s">
        <v>19</v>
      </c>
      <c r="K6" s="7" t="s">
        <v>20</v>
      </c>
      <c r="L6" s="10" t="s">
        <v>196</v>
      </c>
      <c r="M6" s="10" t="s">
        <v>196</v>
      </c>
    </row>
    <row r="7" spans="1:13" ht="15.95" customHeight="1" x14ac:dyDescent="0.25">
      <c r="B7" s="7" t="s">
        <v>27</v>
      </c>
      <c r="C7" s="7" t="s">
        <v>27</v>
      </c>
      <c r="D7" s="8" t="s">
        <v>26</v>
      </c>
      <c r="E7" s="8" t="s">
        <v>26</v>
      </c>
      <c r="F7" s="11" t="s">
        <v>18</v>
      </c>
      <c r="G7" s="8"/>
      <c r="H7" s="11" t="s">
        <v>18</v>
      </c>
      <c r="I7" s="8"/>
      <c r="J7" s="8" t="s">
        <v>27</v>
      </c>
      <c r="K7" s="8" t="s">
        <v>27</v>
      </c>
      <c r="L7" s="12" t="s">
        <v>54</v>
      </c>
      <c r="M7" s="12" t="s">
        <v>54</v>
      </c>
    </row>
    <row r="8" spans="1:13" ht="15.95" customHeight="1" x14ac:dyDescent="0.25">
      <c r="A8" s="13" t="s">
        <v>12</v>
      </c>
      <c r="B8" s="7" t="s">
        <v>31</v>
      </c>
      <c r="C8" s="7" t="s">
        <v>29</v>
      </c>
      <c r="D8" s="8" t="s">
        <v>31</v>
      </c>
      <c r="E8" s="8" t="s">
        <v>29</v>
      </c>
      <c r="F8" s="8" t="s">
        <v>31</v>
      </c>
      <c r="G8" s="8" t="s">
        <v>29</v>
      </c>
      <c r="H8" s="8" t="s">
        <v>31</v>
      </c>
      <c r="I8" s="8" t="s">
        <v>29</v>
      </c>
      <c r="J8" s="8" t="s">
        <v>31</v>
      </c>
      <c r="K8" s="8" t="s">
        <v>29</v>
      </c>
      <c r="L8" s="10" t="s">
        <v>31</v>
      </c>
      <c r="M8" s="10" t="s">
        <v>29</v>
      </c>
    </row>
    <row r="9" spans="1:13" ht="15.95" customHeight="1" x14ac:dyDescent="0.25">
      <c r="A9" s="13" t="s">
        <v>32</v>
      </c>
      <c r="B9" s="2" t="s">
        <v>33</v>
      </c>
      <c r="C9" s="2" t="s">
        <v>33</v>
      </c>
      <c r="D9" s="8" t="s">
        <v>33</v>
      </c>
      <c r="E9" s="8" t="s">
        <v>33</v>
      </c>
      <c r="F9" s="8" t="s">
        <v>33</v>
      </c>
      <c r="G9" s="8" t="s">
        <v>33</v>
      </c>
      <c r="H9" s="8" t="s">
        <v>33</v>
      </c>
      <c r="I9" s="8" t="s">
        <v>33</v>
      </c>
      <c r="J9" s="8" t="s">
        <v>33</v>
      </c>
      <c r="K9" s="8" t="s">
        <v>33</v>
      </c>
      <c r="L9" s="10" t="s">
        <v>33</v>
      </c>
      <c r="M9" s="10" t="s">
        <v>33</v>
      </c>
    </row>
    <row r="10" spans="1:13" ht="15.95" customHeight="1" x14ac:dyDescent="0.25">
      <c r="A10" s="14" t="s">
        <v>39</v>
      </c>
      <c r="B10" s="15">
        <v>170.90617722458603</v>
      </c>
      <c r="C10" s="16">
        <v>0.52821399170951022</v>
      </c>
      <c r="D10" s="16">
        <v>0</v>
      </c>
      <c r="E10" s="17">
        <f>SUM(D10/365)</f>
        <v>0</v>
      </c>
      <c r="F10" s="18">
        <v>83.6</v>
      </c>
      <c r="G10" s="19">
        <v>0.3634782608695652</v>
      </c>
      <c r="H10" s="16">
        <v>46</v>
      </c>
      <c r="I10" s="16">
        <v>0.17499999999999999</v>
      </c>
      <c r="J10" s="20">
        <v>5.5609215011575808</v>
      </c>
      <c r="K10" s="17">
        <v>1.5235401373034469E-2</v>
      </c>
      <c r="L10" s="21">
        <f>SUM(B10,D10,F10,H10,J10)</f>
        <v>306.06709872574362</v>
      </c>
      <c r="M10" s="21">
        <f>SUM(C10,E10,G10,I10,K10)</f>
        <v>1.0819276539521099</v>
      </c>
    </row>
    <row r="11" spans="1:13" ht="15.95" customHeight="1" x14ac:dyDescent="0.25">
      <c r="A11" s="14" t="s">
        <v>40</v>
      </c>
      <c r="B11" s="15">
        <v>124.94862576542774</v>
      </c>
      <c r="C11" s="16">
        <v>0.38617452830534571</v>
      </c>
      <c r="D11" s="16">
        <v>0</v>
      </c>
      <c r="E11" s="17">
        <f t="shared" ref="E11:E25" si="0">SUM(D11/365)</f>
        <v>0</v>
      </c>
      <c r="F11" s="18">
        <v>21.983637697970792</v>
      </c>
      <c r="G11" s="19">
        <v>9.5581033469438234E-2</v>
      </c>
      <c r="H11" s="16">
        <v>12.153334314158457</v>
      </c>
      <c r="I11" s="16">
        <v>4.6235510977776735E-2</v>
      </c>
      <c r="J11" s="20">
        <v>4.128019921980064</v>
      </c>
      <c r="K11" s="17">
        <v>1.1309643621863187E-2</v>
      </c>
      <c r="L11" s="21">
        <f t="shared" ref="L11:L23" si="1">SUM(B11,D11,F11,H11,J11)</f>
        <v>163.21361769953705</v>
      </c>
      <c r="M11" s="21">
        <f t="shared" ref="M11:M23" si="2">SUM(C11,E11,G11,I11,K11)</f>
        <v>0.53930071637442389</v>
      </c>
    </row>
    <row r="12" spans="1:13" ht="15.95" customHeight="1" x14ac:dyDescent="0.25">
      <c r="A12" s="14" t="s">
        <v>41</v>
      </c>
      <c r="B12" s="15">
        <v>309.31835461812364</v>
      </c>
      <c r="C12" s="16">
        <v>0.95599986761831712</v>
      </c>
      <c r="D12" s="16">
        <v>0.4</v>
      </c>
      <c r="E12" s="17">
        <f t="shared" si="0"/>
        <v>1.0958904109589042E-3</v>
      </c>
      <c r="F12" s="18">
        <v>56</v>
      </c>
      <c r="G12" s="19">
        <v>0.24347826086956523</v>
      </c>
      <c r="H12" s="16">
        <v>30.799999999999997</v>
      </c>
      <c r="I12" s="16">
        <v>0.11717391304347824</v>
      </c>
      <c r="J12" s="20">
        <v>6.016750361515399</v>
      </c>
      <c r="K12" s="17">
        <v>1.6484247565795612E-2</v>
      </c>
      <c r="L12" s="21">
        <f t="shared" si="1"/>
        <v>402.53510497963902</v>
      </c>
      <c r="M12" s="21">
        <f t="shared" si="2"/>
        <v>1.3342321795081151</v>
      </c>
    </row>
    <row r="13" spans="1:13" ht="15.95" customHeight="1" x14ac:dyDescent="0.25">
      <c r="A13" s="14" t="s">
        <v>42</v>
      </c>
      <c r="B13" s="15">
        <v>6.8666565680706118</v>
      </c>
      <c r="C13" s="16">
        <v>2.1222545225808992E-2</v>
      </c>
      <c r="D13" s="16">
        <v>0.3</v>
      </c>
      <c r="E13" s="17">
        <f t="shared" si="0"/>
        <v>8.2191780821917802E-4</v>
      </c>
      <c r="F13" s="18">
        <v>20.8</v>
      </c>
      <c r="G13" s="19">
        <v>9.0434782608695655E-2</v>
      </c>
      <c r="H13" s="16">
        <v>14.099999999999998</v>
      </c>
      <c r="I13" s="16">
        <v>5.3641304347826074E-2</v>
      </c>
      <c r="J13" s="20">
        <v>1.0232580218515483</v>
      </c>
      <c r="K13" s="17">
        <v>2.8034466352097214E-3</v>
      </c>
      <c r="L13" s="21">
        <f t="shared" si="1"/>
        <v>43.089914589922159</v>
      </c>
      <c r="M13" s="21">
        <f t="shared" si="2"/>
        <v>0.16892399662575963</v>
      </c>
    </row>
    <row r="14" spans="1:13" ht="15.95" customHeight="1" x14ac:dyDescent="0.25">
      <c r="A14" s="14" t="s">
        <v>43</v>
      </c>
      <c r="B14" s="15">
        <v>408.10011410451091</v>
      </c>
      <c r="C14" s="16">
        <v>1.2613013396524551</v>
      </c>
      <c r="D14" s="16">
        <v>0</v>
      </c>
      <c r="E14" s="17">
        <f t="shared" si="0"/>
        <v>0</v>
      </c>
      <c r="F14" s="18">
        <v>105.50000000000001</v>
      </c>
      <c r="G14" s="19">
        <v>0.45869565217391317</v>
      </c>
      <c r="H14" s="16">
        <v>58</v>
      </c>
      <c r="I14" s="16">
        <v>0.22065217391304345</v>
      </c>
      <c r="J14" s="20">
        <v>3.0742666668812513</v>
      </c>
      <c r="K14" s="17">
        <v>8.4226484024143879E-3</v>
      </c>
      <c r="L14" s="21">
        <f t="shared" si="1"/>
        <v>574.67438077139218</v>
      </c>
      <c r="M14" s="21">
        <f t="shared" si="2"/>
        <v>1.949071814141826</v>
      </c>
    </row>
    <row r="15" spans="1:13" ht="15.95" customHeight="1" x14ac:dyDescent="0.25">
      <c r="A15" s="14" t="s">
        <v>44</v>
      </c>
      <c r="B15" s="15">
        <v>87.304633508326347</v>
      </c>
      <c r="C15" s="16">
        <v>0.26982950358528573</v>
      </c>
      <c r="D15" s="16">
        <v>0</v>
      </c>
      <c r="E15" s="17">
        <f t="shared" si="0"/>
        <v>0</v>
      </c>
      <c r="F15" s="18">
        <v>20.9</v>
      </c>
      <c r="G15" s="19">
        <v>9.0869565217391299E-2</v>
      </c>
      <c r="H15" s="16">
        <v>14.099999999999998</v>
      </c>
      <c r="I15" s="16">
        <v>5.3641304347826074E-2</v>
      </c>
      <c r="J15" s="20">
        <v>1.1761426063902864</v>
      </c>
      <c r="K15" s="17">
        <v>3.2223085106583191E-3</v>
      </c>
      <c r="L15" s="21">
        <f t="shared" si="1"/>
        <v>123.48077611471662</v>
      </c>
      <c r="M15" s="21">
        <f t="shared" si="2"/>
        <v>0.41756268166116139</v>
      </c>
    </row>
    <row r="16" spans="1:13" ht="15.95" customHeight="1" x14ac:dyDescent="0.25">
      <c r="A16" s="14" t="s">
        <v>45</v>
      </c>
      <c r="B16" s="15">
        <v>256.54319413780951</v>
      </c>
      <c r="C16" s="16">
        <v>0.79288944859709942</v>
      </c>
      <c r="D16" s="16">
        <v>0</v>
      </c>
      <c r="E16" s="17">
        <f t="shared" si="0"/>
        <v>0</v>
      </c>
      <c r="F16" s="18">
        <v>52.9</v>
      </c>
      <c r="G16" s="19">
        <v>0.23</v>
      </c>
      <c r="H16" s="16">
        <v>29.2</v>
      </c>
      <c r="I16" s="16">
        <v>0.11108695652173912</v>
      </c>
      <c r="J16" s="20">
        <v>1.9726604006823798</v>
      </c>
      <c r="K16" s="17">
        <v>5.4045490429654244E-3</v>
      </c>
      <c r="L16" s="21">
        <f t="shared" si="1"/>
        <v>340.61585453849187</v>
      </c>
      <c r="M16" s="21">
        <f t="shared" si="2"/>
        <v>1.1393809541618041</v>
      </c>
    </row>
    <row r="17" spans="1:13" ht="15.95" customHeight="1" x14ac:dyDescent="0.25">
      <c r="A17" s="14" t="s">
        <v>46</v>
      </c>
      <c r="B17" s="15">
        <v>111.60769300460481</v>
      </c>
      <c r="C17" s="16">
        <v>0.34494215472377399</v>
      </c>
      <c r="D17" s="16">
        <v>0</v>
      </c>
      <c r="E17" s="17">
        <f t="shared" si="0"/>
        <v>0</v>
      </c>
      <c r="F17" s="18">
        <v>17.799999999999997</v>
      </c>
      <c r="G17" s="19">
        <v>7.7391304347826081E-2</v>
      </c>
      <c r="H17" s="16">
        <v>9.7000000000000011</v>
      </c>
      <c r="I17" s="16">
        <v>3.6902173913043478E-2</v>
      </c>
      <c r="J17" s="20">
        <v>1.4621715575175245</v>
      </c>
      <c r="K17" s="17">
        <v>4.0059494726507527E-3</v>
      </c>
      <c r="L17" s="21">
        <f t="shared" si="1"/>
        <v>140.56986456212235</v>
      </c>
      <c r="M17" s="21">
        <f t="shared" si="2"/>
        <v>0.4632415824572943</v>
      </c>
    </row>
    <row r="18" spans="1:13" ht="15.95" customHeight="1" x14ac:dyDescent="0.25">
      <c r="A18" s="14" t="s">
        <v>47</v>
      </c>
      <c r="B18" s="15">
        <v>769.38434467885452</v>
      </c>
      <c r="C18" s="16">
        <v>2.3779103977475198</v>
      </c>
      <c r="D18" s="16">
        <v>0</v>
      </c>
      <c r="E18" s="17">
        <f t="shared" si="0"/>
        <v>0</v>
      </c>
      <c r="F18" s="18">
        <v>231</v>
      </c>
      <c r="G18" s="19">
        <v>1.0043478260869565</v>
      </c>
      <c r="H18" s="16">
        <v>127.10000000000001</v>
      </c>
      <c r="I18" s="16">
        <v>0.48353260869565218</v>
      </c>
      <c r="J18" s="20">
        <v>4.6736667740114637</v>
      </c>
      <c r="K18" s="17">
        <v>1.2804566504140994E-2</v>
      </c>
      <c r="L18" s="21">
        <f t="shared" si="1"/>
        <v>1132.158011452866</v>
      </c>
      <c r="M18" s="21">
        <f t="shared" si="2"/>
        <v>3.8785953990342699</v>
      </c>
    </row>
    <row r="19" spans="1:13" ht="15.95" customHeight="1" x14ac:dyDescent="0.25">
      <c r="A19" s="14" t="s">
        <v>48</v>
      </c>
      <c r="B19" s="15">
        <v>3.9238037531832068</v>
      </c>
      <c r="C19" s="16">
        <v>1.2127168700462281E-2</v>
      </c>
      <c r="D19" s="16">
        <v>0.1</v>
      </c>
      <c r="E19" s="17">
        <f t="shared" si="0"/>
        <v>2.7397260273972606E-4</v>
      </c>
      <c r="F19" s="18">
        <v>18</v>
      </c>
      <c r="G19" s="19">
        <v>7.8260869565217397E-2</v>
      </c>
      <c r="H19" s="16">
        <v>12.099999999999998</v>
      </c>
      <c r="I19" s="16">
        <v>4.6032608695652157E-2</v>
      </c>
      <c r="J19" s="20">
        <v>2.8069909228067393</v>
      </c>
      <c r="K19" s="17">
        <v>7.6903860898814777E-3</v>
      </c>
      <c r="L19" s="21">
        <f t="shared" si="1"/>
        <v>36.930794675989944</v>
      </c>
      <c r="M19" s="21">
        <f t="shared" si="2"/>
        <v>0.14438500565395304</v>
      </c>
    </row>
    <row r="20" spans="1:13" ht="15.95" customHeight="1" x14ac:dyDescent="0.25">
      <c r="A20" s="14" t="s">
        <v>49</v>
      </c>
      <c r="B20" s="15">
        <v>425.75723099383526</v>
      </c>
      <c r="C20" s="16">
        <v>1.3158735988045354</v>
      </c>
      <c r="D20" s="16">
        <v>16.3</v>
      </c>
      <c r="E20" s="17">
        <f t="shared" si="0"/>
        <v>4.4657534246575342E-2</v>
      </c>
      <c r="F20" s="18">
        <v>101.5</v>
      </c>
      <c r="G20" s="19">
        <v>0.44130434782608696</v>
      </c>
      <c r="H20" s="16">
        <v>55.900000000000006</v>
      </c>
      <c r="I20" s="16">
        <v>0.21266304347826087</v>
      </c>
      <c r="J20" s="20">
        <v>1.4704760630000384</v>
      </c>
      <c r="K20" s="17">
        <v>4.0287015424658587E-3</v>
      </c>
      <c r="L20" s="21">
        <f t="shared" si="1"/>
        <v>600.92770705683529</v>
      </c>
      <c r="M20" s="21">
        <f t="shared" si="2"/>
        <v>2.0185272258979245</v>
      </c>
    </row>
    <row r="21" spans="1:13" ht="15.95" customHeight="1" x14ac:dyDescent="0.25">
      <c r="A21" s="14" t="s">
        <v>50</v>
      </c>
      <c r="B21" s="15">
        <v>259.80485600764308</v>
      </c>
      <c r="C21" s="16">
        <v>0.80297015757935886</v>
      </c>
      <c r="D21" s="16">
        <v>0</v>
      </c>
      <c r="E21" s="17">
        <f t="shared" si="0"/>
        <v>0</v>
      </c>
      <c r="F21" s="18">
        <v>82.399999999999991</v>
      </c>
      <c r="G21" s="19">
        <v>0.35826086956521741</v>
      </c>
      <c r="H21" s="16">
        <v>45.199999999999996</v>
      </c>
      <c r="I21" s="16">
        <v>0.1719565217391304</v>
      </c>
      <c r="J21" s="20">
        <v>3.6735184211051068</v>
      </c>
      <c r="K21" s="17">
        <v>1.006443403042495E-2</v>
      </c>
      <c r="L21" s="21">
        <f t="shared" si="1"/>
        <v>391.07837442874813</v>
      </c>
      <c r="M21" s="21">
        <f t="shared" si="2"/>
        <v>1.3432519829141316</v>
      </c>
    </row>
    <row r="22" spans="1:13" ht="15.95" customHeight="1" x14ac:dyDescent="0.25">
      <c r="A22" s="14" t="s">
        <v>51</v>
      </c>
      <c r="B22" s="15">
        <v>184.07544357120719</v>
      </c>
      <c r="C22" s="16">
        <v>0.56891580166043665</v>
      </c>
      <c r="D22" s="16">
        <v>385.9</v>
      </c>
      <c r="E22" s="17">
        <f t="shared" si="0"/>
        <v>1.0572602739726027</v>
      </c>
      <c r="F22" s="18">
        <v>60</v>
      </c>
      <c r="G22" s="19">
        <v>0.2608695652173913</v>
      </c>
      <c r="H22" s="16">
        <v>32.9</v>
      </c>
      <c r="I22" s="16">
        <v>0.12516304347826085</v>
      </c>
      <c r="J22" s="20">
        <v>3.359240537393908E-2</v>
      </c>
      <c r="K22" s="17">
        <v>9.2033987325860491E-5</v>
      </c>
      <c r="L22" s="21">
        <f t="shared" si="1"/>
        <v>662.90903597658109</v>
      </c>
      <c r="M22" s="21">
        <f t="shared" si="2"/>
        <v>2.0123007183160175</v>
      </c>
    </row>
    <row r="23" spans="1:13" ht="15.95" customHeight="1" x14ac:dyDescent="0.25">
      <c r="A23" s="14" t="s">
        <v>52</v>
      </c>
      <c r="B23" s="15">
        <v>510.63401092987948</v>
      </c>
      <c r="C23" s="16">
        <v>1.57819941675641</v>
      </c>
      <c r="D23" s="16">
        <v>0</v>
      </c>
      <c r="E23" s="17">
        <f t="shared" si="0"/>
        <v>0</v>
      </c>
      <c r="F23" s="18">
        <v>98.8</v>
      </c>
      <c r="G23" s="19">
        <v>0.42956521739130438</v>
      </c>
      <c r="H23" s="16">
        <v>54.4</v>
      </c>
      <c r="I23" s="16">
        <v>0.20695652173913043</v>
      </c>
      <c r="J23" s="20">
        <v>6.2803843757266771</v>
      </c>
      <c r="K23" s="17">
        <v>1.7206532536237468E-2</v>
      </c>
      <c r="L23" s="21">
        <f t="shared" si="1"/>
        <v>670.11439530560619</v>
      </c>
      <c r="M23" s="21">
        <f t="shared" si="2"/>
        <v>2.2319276884230823</v>
      </c>
    </row>
    <row r="24" spans="1:13" ht="15.95" customHeight="1" x14ac:dyDescent="0.25">
      <c r="A24" s="22"/>
      <c r="B24" s="15"/>
      <c r="C24" s="15"/>
      <c r="D24" s="23"/>
      <c r="E24" s="24"/>
      <c r="F24" s="23"/>
      <c r="G24" s="25"/>
      <c r="H24" s="23"/>
      <c r="I24" s="23"/>
      <c r="J24" s="26"/>
      <c r="K24" s="24"/>
      <c r="L24" s="21"/>
      <c r="M24" s="21"/>
    </row>
    <row r="25" spans="1:13" ht="15.95" customHeight="1" x14ac:dyDescent="0.25">
      <c r="A25" s="27" t="s">
        <v>53</v>
      </c>
      <c r="B25" s="21">
        <v>3629.1751388660628</v>
      </c>
      <c r="C25" s="28">
        <v>11.216569920666318</v>
      </c>
      <c r="D25" s="29">
        <f t="shared" ref="D25:M25" si="3">SUM(D10:D23)</f>
        <v>403</v>
      </c>
      <c r="E25" s="30">
        <f t="shared" si="0"/>
        <v>1.1041095890410959</v>
      </c>
      <c r="F25" s="29">
        <f>SUM(F10:F23)</f>
        <v>971.18363769797077</v>
      </c>
      <c r="G25" s="31">
        <f t="shared" si="3"/>
        <v>4.2225375552085689</v>
      </c>
      <c r="H25" s="29">
        <f t="shared" si="3"/>
        <v>541.65333431415843</v>
      </c>
      <c r="I25" s="31">
        <f t="shared" si="3"/>
        <v>2.0606376848908199</v>
      </c>
      <c r="J25" s="29">
        <f t="shared" si="3"/>
        <v>43.352819999999994</v>
      </c>
      <c r="K25" s="31">
        <f t="shared" si="3"/>
        <v>0.11877484931506849</v>
      </c>
      <c r="L25" s="32">
        <f t="shared" si="3"/>
        <v>5588.3649308781924</v>
      </c>
      <c r="M25" s="32">
        <f t="shared" si="3"/>
        <v>18.72262959912187</v>
      </c>
    </row>
    <row r="26" spans="1:13" ht="15.95" customHeight="1" x14ac:dyDescent="0.25">
      <c r="A26" s="22"/>
      <c r="B26" s="15"/>
      <c r="C26" s="33"/>
      <c r="D26" s="34"/>
      <c r="E26" s="35"/>
      <c r="F26" s="34"/>
      <c r="G26" s="36"/>
      <c r="H26" s="34"/>
      <c r="I26" s="36"/>
      <c r="J26" s="26"/>
      <c r="K26" s="24"/>
      <c r="L26" s="37"/>
      <c r="M26" s="38"/>
    </row>
    <row r="27" spans="1:13" ht="15.95" customHeight="1" x14ac:dyDescent="0.25">
      <c r="A27" s="22" t="s">
        <v>177</v>
      </c>
      <c r="B27" s="15">
        <v>3079.3024560767617</v>
      </c>
      <c r="C27" s="33">
        <v>9.5170968564102729</v>
      </c>
      <c r="D27" s="34">
        <f t="shared" ref="D27:M27" si="4">SUM(D10,D12,D13,D14,D18,D19,D20,D21,D22,D23)</f>
        <v>403</v>
      </c>
      <c r="E27" s="35">
        <f t="shared" si="4"/>
        <v>1.1041095890410959</v>
      </c>
      <c r="F27" s="34">
        <f t="shared" si="4"/>
        <v>857.6</v>
      </c>
      <c r="G27" s="36">
        <f t="shared" si="4"/>
        <v>3.7286956521739127</v>
      </c>
      <c r="H27" s="34">
        <f t="shared" si="4"/>
        <v>476.49999999999994</v>
      </c>
      <c r="I27" s="34">
        <f t="shared" si="4"/>
        <v>1.8127717391304345</v>
      </c>
      <c r="J27" s="34">
        <f t="shared" si="4"/>
        <v>34.613825513429745</v>
      </c>
      <c r="K27" s="36">
        <f t="shared" si="4"/>
        <v>9.4832398666930801E-2</v>
      </c>
      <c r="L27" s="34">
        <f t="shared" si="4"/>
        <v>4820.4848179633245</v>
      </c>
      <c r="M27" s="36">
        <f t="shared" si="4"/>
        <v>16.163143664467189</v>
      </c>
    </row>
    <row r="28" spans="1:13" ht="15.95" customHeight="1" x14ac:dyDescent="0.25">
      <c r="A28" s="22" t="s">
        <v>178</v>
      </c>
      <c r="B28" s="15">
        <v>584.26599408648804</v>
      </c>
      <c r="C28" s="33">
        <v>1.805771318323959</v>
      </c>
      <c r="D28" s="34">
        <f t="shared" ref="D28:M28" si="5">SUM(D11,D15,D16,D17)</f>
        <v>0</v>
      </c>
      <c r="E28" s="35">
        <f t="shared" si="5"/>
        <v>0</v>
      </c>
      <c r="F28" s="34">
        <f t="shared" si="5"/>
        <v>113.58363769797079</v>
      </c>
      <c r="G28" s="36">
        <f t="shared" si="5"/>
        <v>0.49384190303465564</v>
      </c>
      <c r="H28" s="34">
        <f t="shared" si="5"/>
        <v>65.153334314158457</v>
      </c>
      <c r="I28" s="36">
        <f t="shared" si="5"/>
        <v>0.24786594576038543</v>
      </c>
      <c r="J28" s="34">
        <f t="shared" si="5"/>
        <v>8.7389944865702542</v>
      </c>
      <c r="K28" s="36">
        <f t="shared" si="5"/>
        <v>2.3942450648137686E-2</v>
      </c>
      <c r="L28" s="34">
        <f t="shared" si="5"/>
        <v>767.88011291486782</v>
      </c>
      <c r="M28" s="36">
        <f t="shared" si="5"/>
        <v>2.5594859346546839</v>
      </c>
    </row>
    <row r="29" spans="1:13" ht="15.95" customHeight="1" x14ac:dyDescent="0.25">
      <c r="B29" s="3"/>
      <c r="I29" s="36"/>
    </row>
    <row r="31" spans="1:13" ht="15.95" customHeight="1" x14ac:dyDescent="0.2">
      <c r="F31" s="2" t="s">
        <v>210</v>
      </c>
    </row>
  </sheetData>
  <phoneticPr fontId="3" type="noConversion"/>
  <printOptions gridLines="1"/>
  <pageMargins left="1" right="0.75" top="0.5" bottom="0.25" header="0.5" footer="0.5"/>
  <pageSetup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tabSelected="1" workbookViewId="0">
      <selection activeCell="D12" sqref="D12"/>
    </sheetView>
  </sheetViews>
  <sheetFormatPr defaultColWidth="8.875" defaultRowHeight="18.600000000000001" customHeight="1" x14ac:dyDescent="0.2"/>
  <cols>
    <col min="1" max="1" width="7.875" style="118" customWidth="1"/>
    <col min="2" max="2" width="7" style="111" customWidth="1"/>
    <col min="3" max="3" width="6.625" style="111" customWidth="1"/>
    <col min="4" max="4" width="8.875" style="111"/>
    <col min="5" max="5" width="6.25" style="111" customWidth="1"/>
    <col min="6" max="7" width="8.875" style="111"/>
    <col min="8" max="8" width="9.5" style="111" customWidth="1"/>
    <col min="9" max="10" width="8.875" style="111"/>
    <col min="11" max="11" width="10.5" style="111" customWidth="1"/>
    <col min="12" max="12" width="8.875" style="111"/>
    <col min="13" max="13" width="11.625" style="111" customWidth="1"/>
    <col min="14" max="14" width="8.875" style="111"/>
    <col min="15" max="15" width="11.5" style="111" customWidth="1"/>
    <col min="16" max="16" width="8.875" style="111"/>
    <col min="17" max="17" width="11" style="111" customWidth="1"/>
    <col min="18" max="18" width="8.875" style="111"/>
    <col min="19" max="19" width="10.625" style="112" customWidth="1"/>
    <col min="20" max="20" width="8.875" style="112"/>
    <col min="21" max="16384" width="8.875" style="113"/>
  </cols>
  <sheetData>
    <row r="1" spans="1:20" s="108" customFormat="1" ht="15" x14ac:dyDescent="0.25">
      <c r="A1" s="106"/>
      <c r="B1" s="107"/>
      <c r="C1" s="107"/>
      <c r="D1" s="107"/>
      <c r="E1" s="107"/>
      <c r="F1" s="107"/>
      <c r="G1" s="107"/>
      <c r="I1" s="107"/>
      <c r="L1" s="107" t="s">
        <v>240</v>
      </c>
      <c r="M1" s="107"/>
      <c r="N1" s="107"/>
      <c r="O1" s="107"/>
      <c r="P1" s="107"/>
      <c r="Q1" s="107"/>
      <c r="R1" s="107"/>
      <c r="S1" s="107"/>
      <c r="T1" s="107"/>
    </row>
    <row r="2" spans="1:20" s="108" customFormat="1" ht="15" x14ac:dyDescent="0.25">
      <c r="A2" s="106"/>
      <c r="B2" s="107"/>
      <c r="C2" s="107"/>
      <c r="D2" s="107"/>
      <c r="E2" s="107"/>
      <c r="H2" s="106" t="s">
        <v>211</v>
      </c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</row>
    <row r="3" spans="1:20" ht="12" x14ac:dyDescent="0.2">
      <c r="A3" s="109" t="s">
        <v>241</v>
      </c>
      <c r="B3" s="110"/>
      <c r="C3" s="110"/>
      <c r="D3" s="110"/>
      <c r="E3" s="110"/>
      <c r="F3" s="110"/>
      <c r="O3" s="111" t="s">
        <v>242</v>
      </c>
    </row>
    <row r="4" spans="1:20" s="116" customFormat="1" ht="11.25" x14ac:dyDescent="0.2">
      <c r="A4" s="109"/>
      <c r="B4" s="109" t="s">
        <v>243</v>
      </c>
      <c r="C4" s="110"/>
      <c r="D4" s="110"/>
      <c r="E4" s="110"/>
      <c r="F4" s="110"/>
      <c r="G4" s="114"/>
      <c r="H4" s="114"/>
      <c r="I4" s="114"/>
      <c r="J4" s="114" t="s">
        <v>0</v>
      </c>
      <c r="K4" s="114" t="s">
        <v>1</v>
      </c>
      <c r="L4" s="114"/>
      <c r="M4" s="114" t="s">
        <v>2</v>
      </c>
      <c r="N4" s="114"/>
      <c r="O4" s="114" t="s">
        <v>55</v>
      </c>
      <c r="P4" s="114" t="s">
        <v>55</v>
      </c>
      <c r="Q4" s="114"/>
      <c r="R4" s="114"/>
      <c r="S4" s="115"/>
      <c r="T4" s="115"/>
    </row>
    <row r="5" spans="1:20" s="116" customFormat="1" ht="11.25" x14ac:dyDescent="0.2">
      <c r="A5" s="117"/>
      <c r="B5" s="114"/>
      <c r="C5" s="114"/>
      <c r="D5" s="114" t="s">
        <v>3</v>
      </c>
      <c r="E5" s="114"/>
      <c r="F5" s="114" t="s">
        <v>4</v>
      </c>
      <c r="G5" s="114" t="s">
        <v>204</v>
      </c>
      <c r="H5" s="114" t="s">
        <v>5</v>
      </c>
      <c r="I5" s="114" t="s">
        <v>5</v>
      </c>
      <c r="J5" s="114" t="s">
        <v>5</v>
      </c>
      <c r="K5" s="114"/>
      <c r="L5" s="114" t="s">
        <v>6</v>
      </c>
      <c r="M5" s="114" t="s">
        <v>7</v>
      </c>
      <c r="N5" s="114" t="s">
        <v>7</v>
      </c>
      <c r="O5" s="114" t="s">
        <v>244</v>
      </c>
      <c r="P5" s="114" t="s">
        <v>244</v>
      </c>
      <c r="Q5" s="114" t="s">
        <v>55</v>
      </c>
      <c r="R5" s="114" t="s">
        <v>55</v>
      </c>
      <c r="S5" s="115"/>
      <c r="T5" s="115"/>
    </row>
    <row r="6" spans="1:20" s="116" customFormat="1" ht="11.25" x14ac:dyDescent="0.2">
      <c r="A6" s="117" t="s">
        <v>11</v>
      </c>
      <c r="B6" s="114"/>
      <c r="C6" s="114"/>
      <c r="D6" s="114" t="s">
        <v>12</v>
      </c>
      <c r="E6" s="114"/>
      <c r="F6" s="114" t="s">
        <v>12</v>
      </c>
      <c r="G6" s="114" t="s">
        <v>12</v>
      </c>
      <c r="H6" s="114" t="s">
        <v>13</v>
      </c>
      <c r="I6" s="114" t="s">
        <v>13</v>
      </c>
      <c r="J6" s="114" t="s">
        <v>13</v>
      </c>
      <c r="K6" s="114" t="s">
        <v>14</v>
      </c>
      <c r="L6" s="114" t="s">
        <v>15</v>
      </c>
      <c r="M6" s="114" t="s">
        <v>16</v>
      </c>
      <c r="N6" s="114" t="s">
        <v>16</v>
      </c>
      <c r="O6" s="114" t="s">
        <v>245</v>
      </c>
      <c r="P6" s="114" t="s">
        <v>245</v>
      </c>
      <c r="Q6" s="114" t="s">
        <v>246</v>
      </c>
      <c r="R6" s="114" t="s">
        <v>246</v>
      </c>
      <c r="S6" s="115" t="s">
        <v>19</v>
      </c>
      <c r="T6" s="115" t="s">
        <v>20</v>
      </c>
    </row>
    <row r="7" spans="1:20" s="116" customFormat="1" ht="11.25" x14ac:dyDescent="0.2">
      <c r="A7" s="117"/>
      <c r="B7" s="114" t="s">
        <v>176</v>
      </c>
      <c r="C7" s="114" t="s">
        <v>21</v>
      </c>
      <c r="D7" s="114" t="s">
        <v>22</v>
      </c>
      <c r="E7" s="114"/>
      <c r="F7" s="114" t="s">
        <v>22</v>
      </c>
      <c r="G7" s="114" t="s">
        <v>22</v>
      </c>
      <c r="H7" s="114" t="s">
        <v>107</v>
      </c>
      <c r="I7" s="114" t="s">
        <v>109</v>
      </c>
      <c r="J7" s="114" t="s">
        <v>23</v>
      </c>
      <c r="K7" s="114" t="s">
        <v>24</v>
      </c>
      <c r="L7" s="114" t="s">
        <v>180</v>
      </c>
      <c r="M7" s="114" t="s">
        <v>24</v>
      </c>
      <c r="N7" s="114" t="s">
        <v>25</v>
      </c>
      <c r="O7" s="114" t="s">
        <v>247</v>
      </c>
      <c r="P7" s="114" t="s">
        <v>247</v>
      </c>
      <c r="Q7" s="114">
        <v>2820</v>
      </c>
      <c r="R7" s="114" t="s">
        <v>248</v>
      </c>
      <c r="S7" s="115" t="s">
        <v>27</v>
      </c>
      <c r="T7" s="115" t="s">
        <v>27</v>
      </c>
    </row>
    <row r="8" spans="1:20" s="116" customFormat="1" ht="11.25" x14ac:dyDescent="0.2">
      <c r="A8" s="117" t="s">
        <v>12</v>
      </c>
      <c r="B8" s="114">
        <v>2011</v>
      </c>
      <c r="C8" s="114" t="s">
        <v>28</v>
      </c>
      <c r="D8" s="114" t="s">
        <v>199</v>
      </c>
      <c r="E8" s="114" t="s">
        <v>28</v>
      </c>
      <c r="F8" s="114" t="s">
        <v>199</v>
      </c>
      <c r="G8" s="114" t="s">
        <v>199</v>
      </c>
      <c r="H8" s="114" t="s">
        <v>198</v>
      </c>
      <c r="I8" s="114" t="s">
        <v>110</v>
      </c>
      <c r="J8" s="114" t="s">
        <v>29</v>
      </c>
      <c r="K8" s="114" t="s">
        <v>30</v>
      </c>
      <c r="L8" s="114" t="s">
        <v>29</v>
      </c>
      <c r="M8" s="114" t="s">
        <v>108</v>
      </c>
      <c r="N8" s="114" t="s">
        <v>179</v>
      </c>
      <c r="O8" s="114" t="s">
        <v>249</v>
      </c>
      <c r="P8" s="114" t="s">
        <v>248</v>
      </c>
      <c r="Q8" s="114" t="s">
        <v>250</v>
      </c>
      <c r="R8" s="114" t="s">
        <v>29</v>
      </c>
      <c r="S8" s="115" t="s">
        <v>31</v>
      </c>
      <c r="T8" s="115" t="s">
        <v>29</v>
      </c>
    </row>
    <row r="9" spans="1:20" ht="12" x14ac:dyDescent="0.2">
      <c r="A9" s="118" t="s">
        <v>32</v>
      </c>
      <c r="B9" s="111" t="s">
        <v>33</v>
      </c>
      <c r="C9" s="111" t="s">
        <v>34</v>
      </c>
      <c r="D9" s="111" t="s">
        <v>34</v>
      </c>
      <c r="E9" s="111" t="s">
        <v>251</v>
      </c>
      <c r="F9" s="111" t="s">
        <v>34</v>
      </c>
      <c r="G9" s="111" t="s">
        <v>34</v>
      </c>
      <c r="H9" s="111" t="s">
        <v>34</v>
      </c>
      <c r="I9" s="111" t="s">
        <v>35</v>
      </c>
      <c r="J9" s="111" t="s">
        <v>35</v>
      </c>
      <c r="K9" s="111" t="s">
        <v>36</v>
      </c>
      <c r="L9" s="111" t="s">
        <v>37</v>
      </c>
      <c r="M9" s="111" t="s">
        <v>38</v>
      </c>
      <c r="N9" s="111" t="s">
        <v>33</v>
      </c>
      <c r="O9" s="111" t="s">
        <v>33</v>
      </c>
      <c r="P9" s="111" t="s">
        <v>33</v>
      </c>
      <c r="Q9" s="111" t="s">
        <v>33</v>
      </c>
      <c r="R9" s="111" t="s">
        <v>33</v>
      </c>
      <c r="S9" s="112" t="s">
        <v>33</v>
      </c>
      <c r="T9" s="112" t="s">
        <v>33</v>
      </c>
    </row>
    <row r="10" spans="1:20" ht="12" x14ac:dyDescent="0.2">
      <c r="A10" s="118" t="s">
        <v>39</v>
      </c>
      <c r="B10" s="111">
        <v>6969</v>
      </c>
      <c r="C10" s="119">
        <f>SUM(B10/147986)</f>
        <v>4.7092292514156746E-2</v>
      </c>
      <c r="D10" s="111">
        <v>130981</v>
      </c>
      <c r="E10" s="111">
        <v>4.7E-2</v>
      </c>
      <c r="F10" s="111">
        <v>33531</v>
      </c>
      <c r="G10" s="111">
        <v>364</v>
      </c>
      <c r="H10" s="111">
        <v>478.1</v>
      </c>
      <c r="I10" s="111">
        <v>95.62</v>
      </c>
      <c r="J10" s="111">
        <v>0.314</v>
      </c>
      <c r="K10" s="111">
        <v>65.489999999999995</v>
      </c>
      <c r="L10" s="111">
        <v>0.182</v>
      </c>
      <c r="M10" s="111">
        <v>9.8000000000000007</v>
      </c>
      <c r="N10" s="111">
        <v>3.2000000000000001E-2</v>
      </c>
      <c r="O10" s="111">
        <v>54</v>
      </c>
      <c r="P10" s="111">
        <v>0.15</v>
      </c>
      <c r="Q10" s="120">
        <f>SUM(C10*2820)</f>
        <v>132.80026488992203</v>
      </c>
      <c r="R10" s="111">
        <v>0.37</v>
      </c>
      <c r="S10" s="121">
        <f>SUM(I10,K10,M10,O10,Q10)</f>
        <v>357.71026488992209</v>
      </c>
      <c r="T10" s="122">
        <f>SUM(J10,L10,N10,P10,R10)</f>
        <v>1.048</v>
      </c>
    </row>
    <row r="11" spans="1:20" ht="12" x14ac:dyDescent="0.2">
      <c r="A11" s="118" t="s">
        <v>40</v>
      </c>
      <c r="B11" s="111">
        <v>5095</v>
      </c>
      <c r="C11" s="119">
        <f t="shared" ref="C11:C25" si="0">SUM(B11/147986)</f>
        <v>3.4428932466584676E-2</v>
      </c>
      <c r="D11" s="111">
        <v>95760</v>
      </c>
      <c r="E11" s="111">
        <v>3.4000000000000002E-2</v>
      </c>
      <c r="F11" s="111">
        <v>24515</v>
      </c>
      <c r="G11" s="111">
        <v>266</v>
      </c>
      <c r="H11" s="111">
        <v>349.5</v>
      </c>
      <c r="I11" s="111">
        <v>69.900000000000006</v>
      </c>
      <c r="J11" s="111">
        <v>0.22900000000000001</v>
      </c>
      <c r="K11" s="111">
        <v>47.88</v>
      </c>
      <c r="L11" s="111">
        <v>0.13300000000000001</v>
      </c>
      <c r="M11" s="111">
        <v>7.16</v>
      </c>
      <c r="N11" s="111">
        <v>2.4E-2</v>
      </c>
      <c r="O11" s="111">
        <v>39.5</v>
      </c>
      <c r="P11" s="111">
        <v>0.11</v>
      </c>
      <c r="Q11" s="120">
        <f t="shared" ref="Q11:Q25" si="1">SUM(C11*2820)</f>
        <v>97.089589555768782</v>
      </c>
      <c r="R11" s="111">
        <v>0.27</v>
      </c>
      <c r="S11" s="121">
        <f t="shared" ref="S11:T25" si="2">SUM(I11,K11,M11,O11,Q11)</f>
        <v>261.52958955576878</v>
      </c>
      <c r="T11" s="122">
        <f t="shared" si="2"/>
        <v>0.76600000000000001</v>
      </c>
    </row>
    <row r="12" spans="1:20" ht="12" x14ac:dyDescent="0.2">
      <c r="A12" s="118" t="s">
        <v>41</v>
      </c>
      <c r="B12" s="111">
        <v>12613</v>
      </c>
      <c r="C12" s="119">
        <f t="shared" si="0"/>
        <v>8.52310353682105E-2</v>
      </c>
      <c r="D12" s="111">
        <v>237060</v>
      </c>
      <c r="E12" s="111">
        <v>8.5000000000000006E-2</v>
      </c>
      <c r="F12" s="111">
        <v>60687</v>
      </c>
      <c r="G12" s="111">
        <v>660</v>
      </c>
      <c r="H12" s="111">
        <v>865.3</v>
      </c>
      <c r="I12" s="111">
        <v>173.05</v>
      </c>
      <c r="J12" s="111">
        <v>0.56799999999999995</v>
      </c>
      <c r="K12" s="111">
        <v>118.53</v>
      </c>
      <c r="L12" s="111">
        <v>0.33</v>
      </c>
      <c r="M12" s="111">
        <v>17.739999999999998</v>
      </c>
      <c r="N12" s="111">
        <v>5.8000000000000003E-2</v>
      </c>
      <c r="O12" s="111">
        <v>97.8</v>
      </c>
      <c r="P12" s="111">
        <v>0.27</v>
      </c>
      <c r="Q12" s="120">
        <f t="shared" si="1"/>
        <v>240.3515197383536</v>
      </c>
      <c r="R12" s="111">
        <v>0.67</v>
      </c>
      <c r="S12" s="121">
        <f t="shared" si="2"/>
        <v>647.47151973835366</v>
      </c>
      <c r="T12" s="122">
        <f t="shared" si="2"/>
        <v>1.8959999999999999</v>
      </c>
    </row>
    <row r="13" spans="1:20" ht="12" x14ac:dyDescent="0.2">
      <c r="A13" s="118" t="s">
        <v>42</v>
      </c>
      <c r="B13" s="111">
        <v>280</v>
      </c>
      <c r="C13" s="119">
        <f t="shared" si="0"/>
        <v>1.8920708715689323E-3</v>
      </c>
      <c r="D13" s="111">
        <v>5263</v>
      </c>
      <c r="E13" s="111">
        <v>2E-3</v>
      </c>
      <c r="F13" s="111">
        <v>1347</v>
      </c>
      <c r="G13" s="111">
        <v>15</v>
      </c>
      <c r="H13" s="111">
        <v>19.2</v>
      </c>
      <c r="I13" s="111">
        <v>3.84</v>
      </c>
      <c r="J13" s="111">
        <v>1.2999999999999999E-2</v>
      </c>
      <c r="K13" s="111">
        <v>2.63</v>
      </c>
      <c r="L13" s="111">
        <v>7.0000000000000001E-3</v>
      </c>
      <c r="M13" s="111">
        <v>0.39</v>
      </c>
      <c r="N13" s="111">
        <v>1E-3</v>
      </c>
      <c r="O13" s="111">
        <v>2.2000000000000002</v>
      </c>
      <c r="P13" s="111">
        <v>0.01</v>
      </c>
      <c r="Q13" s="120">
        <f t="shared" si="1"/>
        <v>5.3356398578243889</v>
      </c>
      <c r="R13" s="111">
        <v>0.01</v>
      </c>
      <c r="S13" s="121">
        <f t="shared" si="2"/>
        <v>14.395639857824388</v>
      </c>
      <c r="T13" s="122">
        <f t="shared" si="2"/>
        <v>4.1000000000000002E-2</v>
      </c>
    </row>
    <row r="14" spans="1:20" ht="12" x14ac:dyDescent="0.2">
      <c r="A14" s="118" t="s">
        <v>43</v>
      </c>
      <c r="B14" s="111">
        <v>16641</v>
      </c>
      <c r="C14" s="119">
        <f t="shared" si="0"/>
        <v>0.11244982633492358</v>
      </c>
      <c r="D14" s="111">
        <v>312765</v>
      </c>
      <c r="E14" s="111">
        <v>0.112</v>
      </c>
      <c r="F14" s="111">
        <v>80068</v>
      </c>
      <c r="G14" s="111">
        <v>870</v>
      </c>
      <c r="H14" s="111">
        <v>1141.5999999999999</v>
      </c>
      <c r="I14" s="111">
        <v>228.32</v>
      </c>
      <c r="J14" s="111">
        <v>0.749</v>
      </c>
      <c r="K14" s="111">
        <v>156.38</v>
      </c>
      <c r="L14" s="111">
        <v>0.435</v>
      </c>
      <c r="M14" s="111">
        <v>23.4</v>
      </c>
      <c r="N14" s="111">
        <v>7.6999999999999999E-2</v>
      </c>
      <c r="O14" s="111">
        <v>129</v>
      </c>
      <c r="P14" s="111">
        <v>0.36</v>
      </c>
      <c r="Q14" s="120">
        <f t="shared" si="1"/>
        <v>317.10851026448449</v>
      </c>
      <c r="R14" s="111">
        <v>0.88</v>
      </c>
      <c r="S14" s="121">
        <f t="shared" si="2"/>
        <v>854.2085102644844</v>
      </c>
      <c r="T14" s="122">
        <f t="shared" si="2"/>
        <v>2.5009999999999999</v>
      </c>
    </row>
    <row r="15" spans="1:20" ht="12" x14ac:dyDescent="0.2">
      <c r="A15" s="118" t="s">
        <v>44</v>
      </c>
      <c r="B15" s="111">
        <v>3560</v>
      </c>
      <c r="C15" s="119">
        <f t="shared" si="0"/>
        <v>2.4056329652804995E-2</v>
      </c>
      <c r="D15" s="111">
        <v>66910</v>
      </c>
      <c r="E15" s="111">
        <v>2.4E-2</v>
      </c>
      <c r="F15" s="111">
        <v>17129</v>
      </c>
      <c r="G15" s="111">
        <v>186</v>
      </c>
      <c r="H15" s="111">
        <v>244.2</v>
      </c>
      <c r="I15" s="111">
        <v>48.84</v>
      </c>
      <c r="J15" s="111">
        <v>0.16</v>
      </c>
      <c r="K15" s="111">
        <v>33.450000000000003</v>
      </c>
      <c r="L15" s="111">
        <v>9.2999999999999999E-2</v>
      </c>
      <c r="M15" s="111">
        <v>5.01</v>
      </c>
      <c r="N15" s="111">
        <v>1.6E-2</v>
      </c>
      <c r="O15" s="111">
        <v>27.6</v>
      </c>
      <c r="P15" s="111">
        <v>0.08</v>
      </c>
      <c r="Q15" s="120">
        <f t="shared" si="1"/>
        <v>67.838849620910082</v>
      </c>
      <c r="R15" s="111">
        <v>0.19</v>
      </c>
      <c r="S15" s="121">
        <f t="shared" si="2"/>
        <v>182.73884962091009</v>
      </c>
      <c r="T15" s="122">
        <f t="shared" si="2"/>
        <v>0.53900000000000003</v>
      </c>
    </row>
    <row r="16" spans="1:20" ht="12" x14ac:dyDescent="0.2">
      <c r="A16" s="118" t="s">
        <v>45</v>
      </c>
      <c r="B16" s="111">
        <v>10461</v>
      </c>
      <c r="C16" s="119">
        <f t="shared" si="0"/>
        <v>7.0689119241009291E-2</v>
      </c>
      <c r="D16" s="111">
        <v>196613</v>
      </c>
      <c r="E16" s="111">
        <v>7.0999999999999994E-2</v>
      </c>
      <c r="F16" s="111">
        <v>50333</v>
      </c>
      <c r="G16" s="111">
        <v>547</v>
      </c>
      <c r="H16" s="111">
        <v>717.6</v>
      </c>
      <c r="I16" s="111">
        <v>143.53</v>
      </c>
      <c r="J16" s="111">
        <v>0.47099999999999997</v>
      </c>
      <c r="K16" s="111">
        <v>98.31</v>
      </c>
      <c r="L16" s="111">
        <v>0.27400000000000002</v>
      </c>
      <c r="M16" s="111">
        <v>14.71</v>
      </c>
      <c r="N16" s="111">
        <v>4.8000000000000001E-2</v>
      </c>
      <c r="O16" s="111">
        <v>81.099999999999994</v>
      </c>
      <c r="P16" s="111">
        <v>0.23</v>
      </c>
      <c r="Q16" s="120">
        <f t="shared" si="1"/>
        <v>199.3433162596462</v>
      </c>
      <c r="R16" s="111">
        <v>0.55000000000000004</v>
      </c>
      <c r="S16" s="121">
        <f t="shared" si="2"/>
        <v>536.99331625964624</v>
      </c>
      <c r="T16" s="122">
        <f t="shared" si="2"/>
        <v>1.5730000000000002</v>
      </c>
    </row>
    <row r="17" spans="1:21" ht="18.600000000000001" customHeight="1" x14ac:dyDescent="0.2">
      <c r="A17" s="118" t="s">
        <v>46</v>
      </c>
      <c r="B17" s="111">
        <v>4551</v>
      </c>
      <c r="C17" s="119">
        <f t="shared" si="0"/>
        <v>3.0752909058965036E-2</v>
      </c>
      <c r="D17" s="111">
        <v>85535</v>
      </c>
      <c r="E17" s="111">
        <v>3.1E-2</v>
      </c>
      <c r="F17" s="111">
        <v>21897</v>
      </c>
      <c r="G17" s="111">
        <v>238</v>
      </c>
      <c r="H17" s="111">
        <v>312.2</v>
      </c>
      <c r="I17" s="111">
        <v>62.44</v>
      </c>
      <c r="J17" s="111">
        <v>0.20499999999999999</v>
      </c>
      <c r="K17" s="111">
        <v>42.77</v>
      </c>
      <c r="L17" s="111">
        <v>0.11899999999999999</v>
      </c>
      <c r="M17" s="111">
        <v>6.4</v>
      </c>
      <c r="N17" s="111">
        <v>2.1000000000000001E-2</v>
      </c>
      <c r="O17" s="111">
        <v>35.299999999999997</v>
      </c>
      <c r="P17" s="111">
        <v>0.1</v>
      </c>
      <c r="Q17" s="120">
        <f t="shared" si="1"/>
        <v>86.723203546281397</v>
      </c>
      <c r="R17" s="111">
        <v>0.24</v>
      </c>
      <c r="S17" s="121">
        <f t="shared" si="2"/>
        <v>233.63320354628144</v>
      </c>
      <c r="T17" s="122">
        <f t="shared" si="2"/>
        <v>0.68499999999999994</v>
      </c>
    </row>
    <row r="18" spans="1:21" ht="18.600000000000001" customHeight="1" x14ac:dyDescent="0.2">
      <c r="A18" s="118" t="s">
        <v>47</v>
      </c>
      <c r="B18" s="111">
        <v>31373</v>
      </c>
      <c r="C18" s="119">
        <f t="shared" si="0"/>
        <v>0.21199978376332895</v>
      </c>
      <c r="D18" s="111">
        <v>589651</v>
      </c>
      <c r="E18" s="111">
        <v>0.21199999999999999</v>
      </c>
      <c r="F18" s="111">
        <v>150951</v>
      </c>
      <c r="G18" s="111">
        <v>1641</v>
      </c>
      <c r="H18" s="111">
        <v>2152.1999999999998</v>
      </c>
      <c r="I18" s="111">
        <v>430.45</v>
      </c>
      <c r="J18" s="111">
        <v>1.413</v>
      </c>
      <c r="K18" s="111">
        <v>294.83</v>
      </c>
      <c r="L18" s="111">
        <v>0.82</v>
      </c>
      <c r="M18" s="111">
        <v>44.11</v>
      </c>
      <c r="N18" s="111">
        <v>0.14499999999999999</v>
      </c>
      <c r="O18" s="111">
        <v>243.2</v>
      </c>
      <c r="P18" s="111">
        <v>0.68</v>
      </c>
      <c r="Q18" s="120">
        <f t="shared" si="1"/>
        <v>597.83939021258766</v>
      </c>
      <c r="R18" s="111">
        <v>1.66</v>
      </c>
      <c r="S18" s="121">
        <f t="shared" si="2"/>
        <v>1610.4293902125876</v>
      </c>
      <c r="T18" s="122">
        <f t="shared" si="2"/>
        <v>4.718</v>
      </c>
    </row>
    <row r="19" spans="1:21" ht="18.600000000000001" customHeight="1" x14ac:dyDescent="0.2">
      <c r="A19" s="118" t="s">
        <v>48</v>
      </c>
      <c r="B19" s="111">
        <v>160</v>
      </c>
      <c r="C19" s="119">
        <f t="shared" si="0"/>
        <v>1.081183355182247E-3</v>
      </c>
      <c r="D19" s="111">
        <v>3007</v>
      </c>
      <c r="E19" s="111">
        <v>1E-3</v>
      </c>
      <c r="F19" s="111">
        <v>770</v>
      </c>
      <c r="G19" s="111">
        <v>8</v>
      </c>
      <c r="H19" s="111">
        <v>11</v>
      </c>
      <c r="I19" s="111">
        <v>2.2000000000000002</v>
      </c>
      <c r="J19" s="111">
        <v>7.0000000000000001E-3</v>
      </c>
      <c r="K19" s="111">
        <v>1.5</v>
      </c>
      <c r="L19" s="111">
        <v>4.0000000000000001E-3</v>
      </c>
      <c r="M19" s="111">
        <v>0.22</v>
      </c>
      <c r="N19" s="111">
        <v>1E-3</v>
      </c>
      <c r="O19" s="111">
        <v>1.2</v>
      </c>
      <c r="P19" s="111">
        <v>0</v>
      </c>
      <c r="Q19" s="120">
        <f t="shared" si="1"/>
        <v>3.0489370616139366</v>
      </c>
      <c r="R19" s="111">
        <v>0.01</v>
      </c>
      <c r="S19" s="121">
        <f t="shared" si="2"/>
        <v>8.1689370616139367</v>
      </c>
      <c r="T19" s="122">
        <f t="shared" si="2"/>
        <v>2.1999999999999999E-2</v>
      </c>
    </row>
    <row r="20" spans="1:21" ht="18.600000000000001" customHeight="1" x14ac:dyDescent="0.2">
      <c r="A20" s="118" t="s">
        <v>49</v>
      </c>
      <c r="B20" s="111">
        <v>17361</v>
      </c>
      <c r="C20" s="119">
        <f t="shared" si="0"/>
        <v>0.11731515143324368</v>
      </c>
      <c r="D20" s="111">
        <v>326298</v>
      </c>
      <c r="E20" s="111">
        <v>0.11700000000000001</v>
      </c>
      <c r="F20" s="111">
        <v>83532</v>
      </c>
      <c r="G20" s="111">
        <v>908</v>
      </c>
      <c r="H20" s="111">
        <v>1191</v>
      </c>
      <c r="I20" s="111">
        <v>238.2</v>
      </c>
      <c r="J20" s="111">
        <v>0.78200000000000003</v>
      </c>
      <c r="K20" s="111">
        <v>163.15</v>
      </c>
      <c r="L20" s="111">
        <v>0.45400000000000001</v>
      </c>
      <c r="M20" s="111">
        <v>24.41</v>
      </c>
      <c r="N20" s="111">
        <v>0.08</v>
      </c>
      <c r="O20" s="111">
        <v>134.6</v>
      </c>
      <c r="P20" s="111">
        <v>0.37</v>
      </c>
      <c r="Q20" s="120">
        <f t="shared" si="1"/>
        <v>330.82872704174719</v>
      </c>
      <c r="R20" s="111">
        <v>0.92</v>
      </c>
      <c r="S20" s="121">
        <f t="shared" si="2"/>
        <v>891.18872704174714</v>
      </c>
      <c r="T20" s="122">
        <f t="shared" si="2"/>
        <v>2.6059999999999999</v>
      </c>
    </row>
    <row r="21" spans="1:21" ht="18.600000000000001" customHeight="1" x14ac:dyDescent="0.2">
      <c r="A21" s="118" t="s">
        <v>50</v>
      </c>
      <c r="B21" s="111">
        <v>10594</v>
      </c>
      <c r="C21" s="119">
        <f t="shared" si="0"/>
        <v>7.1587852905004523E-2</v>
      </c>
      <c r="D21" s="111">
        <v>199113</v>
      </c>
      <c r="E21" s="111">
        <v>7.1999999999999995E-2</v>
      </c>
      <c r="F21" s="111">
        <v>50973</v>
      </c>
      <c r="G21" s="111">
        <v>554</v>
      </c>
      <c r="H21" s="111">
        <v>726.8</v>
      </c>
      <c r="I21" s="111">
        <v>145.35</v>
      </c>
      <c r="J21" s="111">
        <v>0.47699999999999998</v>
      </c>
      <c r="K21" s="111">
        <v>99.56</v>
      </c>
      <c r="L21" s="111">
        <v>0.27700000000000002</v>
      </c>
      <c r="M21" s="111">
        <v>14.9</v>
      </c>
      <c r="N21" s="111">
        <v>4.9000000000000002E-2</v>
      </c>
      <c r="O21" s="111">
        <v>82.1</v>
      </c>
      <c r="P21" s="111">
        <v>0.23</v>
      </c>
      <c r="Q21" s="120">
        <f t="shared" si="1"/>
        <v>201.87774519211277</v>
      </c>
      <c r="R21" s="111">
        <v>0.56000000000000005</v>
      </c>
      <c r="S21" s="121">
        <f t="shared" si="2"/>
        <v>543.78774519211277</v>
      </c>
      <c r="T21" s="122">
        <f t="shared" si="2"/>
        <v>1.5930000000000002</v>
      </c>
    </row>
    <row r="22" spans="1:21" ht="18.600000000000001" customHeight="1" x14ac:dyDescent="0.2">
      <c r="A22" s="118" t="s">
        <v>51</v>
      </c>
      <c r="B22" s="111">
        <v>7506</v>
      </c>
      <c r="C22" s="119">
        <f t="shared" si="0"/>
        <v>5.0721014149987163E-2</v>
      </c>
      <c r="D22" s="111">
        <v>141074</v>
      </c>
      <c r="E22" s="111">
        <v>5.0999999999999997E-2</v>
      </c>
      <c r="F22" s="111">
        <v>36115</v>
      </c>
      <c r="G22" s="111">
        <v>393</v>
      </c>
      <c r="H22" s="111">
        <v>514.9</v>
      </c>
      <c r="I22" s="111">
        <v>102.98</v>
      </c>
      <c r="J22" s="111">
        <v>0.33800000000000002</v>
      </c>
      <c r="K22" s="111">
        <v>70.540000000000006</v>
      </c>
      <c r="L22" s="111">
        <v>0.19600000000000001</v>
      </c>
      <c r="M22" s="111">
        <v>10.55</v>
      </c>
      <c r="N22" s="111">
        <v>3.5000000000000003E-2</v>
      </c>
      <c r="O22" s="111">
        <v>58.2</v>
      </c>
      <c r="P22" s="111">
        <v>0.16</v>
      </c>
      <c r="Q22" s="120">
        <f t="shared" si="1"/>
        <v>143.03325990296381</v>
      </c>
      <c r="R22" s="111">
        <v>0.4</v>
      </c>
      <c r="S22" s="121">
        <f t="shared" si="2"/>
        <v>385.30325990296387</v>
      </c>
      <c r="T22" s="122">
        <f t="shared" si="2"/>
        <v>1.129</v>
      </c>
    </row>
    <row r="23" spans="1:21" ht="18.600000000000001" customHeight="1" x14ac:dyDescent="0.2">
      <c r="A23" s="118" t="s">
        <v>52</v>
      </c>
      <c r="B23" s="111">
        <v>20822</v>
      </c>
      <c r="C23" s="119">
        <f t="shared" si="0"/>
        <v>0.14070249888502967</v>
      </c>
      <c r="D23" s="111">
        <v>391347</v>
      </c>
      <c r="E23" s="111">
        <v>0.14099999999999999</v>
      </c>
      <c r="F23" s="111">
        <v>100185</v>
      </c>
      <c r="G23" s="111">
        <v>1089</v>
      </c>
      <c r="H23" s="111">
        <v>1428.4</v>
      </c>
      <c r="I23" s="111">
        <v>285.68</v>
      </c>
      <c r="J23" s="111">
        <v>0.93799999999999994</v>
      </c>
      <c r="K23" s="111">
        <v>195.67</v>
      </c>
      <c r="L23" s="111">
        <v>0.54400000000000004</v>
      </c>
      <c r="M23" s="111">
        <v>29.28</v>
      </c>
      <c r="N23" s="111">
        <v>9.6000000000000002E-2</v>
      </c>
      <c r="O23" s="111">
        <v>161.4</v>
      </c>
      <c r="P23" s="111">
        <v>0.45</v>
      </c>
      <c r="Q23" s="120">
        <f t="shared" si="1"/>
        <v>396.78104685578364</v>
      </c>
      <c r="R23" s="111">
        <v>1.1000000000000001</v>
      </c>
      <c r="S23" s="121">
        <f t="shared" si="2"/>
        <v>1068.8110468557836</v>
      </c>
      <c r="T23" s="122">
        <f t="shared" si="2"/>
        <v>3.1280000000000001</v>
      </c>
    </row>
    <row r="24" spans="1:21" ht="18.600000000000001" customHeight="1" x14ac:dyDescent="0.2">
      <c r="C24" s="119"/>
      <c r="E24" s="111">
        <v>0</v>
      </c>
      <c r="Q24" s="120"/>
      <c r="S24" s="121"/>
      <c r="T24" s="122"/>
    </row>
    <row r="25" spans="1:21" ht="18.600000000000001" customHeight="1" x14ac:dyDescent="0.2">
      <c r="A25" s="118" t="s">
        <v>53</v>
      </c>
      <c r="B25" s="111">
        <f>SUM(B10:B23)</f>
        <v>147986</v>
      </c>
      <c r="C25" s="119">
        <f t="shared" si="0"/>
        <v>1</v>
      </c>
      <c r="D25" s="111">
        <f t="shared" ref="D25:R25" si="3">SUM(D10:D23)</f>
        <v>2781377</v>
      </c>
      <c r="E25" s="111">
        <f t="shared" si="3"/>
        <v>1</v>
      </c>
      <c r="F25" s="111">
        <f t="shared" si="3"/>
        <v>712033</v>
      </c>
      <c r="G25" s="111">
        <f t="shared" si="3"/>
        <v>7739</v>
      </c>
      <c r="H25" s="111">
        <f t="shared" si="3"/>
        <v>10151.999999999998</v>
      </c>
      <c r="I25" s="111">
        <f t="shared" si="3"/>
        <v>2030.4</v>
      </c>
      <c r="J25" s="111">
        <f t="shared" si="3"/>
        <v>6.6639999999999997</v>
      </c>
      <c r="K25" s="111">
        <f t="shared" si="3"/>
        <v>1390.69</v>
      </c>
      <c r="L25" s="111">
        <f t="shared" si="3"/>
        <v>3.8680000000000003</v>
      </c>
      <c r="M25" s="111">
        <f t="shared" si="3"/>
        <v>208.08000000000004</v>
      </c>
      <c r="N25" s="111">
        <f t="shared" si="3"/>
        <v>0.68300000000000005</v>
      </c>
      <c r="O25" s="111">
        <f t="shared" si="3"/>
        <v>1147.2000000000003</v>
      </c>
      <c r="P25" s="111">
        <f t="shared" si="3"/>
        <v>3.2000000000000006</v>
      </c>
      <c r="Q25" s="120">
        <f t="shared" si="1"/>
        <v>2820</v>
      </c>
      <c r="R25" s="111">
        <f t="shared" si="3"/>
        <v>7.83</v>
      </c>
      <c r="S25" s="121">
        <f t="shared" si="2"/>
        <v>7596.3700000000008</v>
      </c>
      <c r="T25" s="122">
        <f t="shared" si="2"/>
        <v>22.245000000000001</v>
      </c>
    </row>
    <row r="27" spans="1:21" ht="18.600000000000001" customHeight="1" x14ac:dyDescent="0.2">
      <c r="A27" s="118" t="s">
        <v>177</v>
      </c>
      <c r="B27" s="111">
        <v>124319</v>
      </c>
      <c r="C27" s="111">
        <v>0.84</v>
      </c>
      <c r="D27" s="111">
        <v>2336559</v>
      </c>
      <c r="I27" s="111">
        <f>SUM(I25-I28)</f>
        <v>1705.69</v>
      </c>
      <c r="J27" s="111">
        <f t="shared" ref="J27:T27" si="4">SUM(J25-J28)</f>
        <v>5.5990000000000002</v>
      </c>
      <c r="K27" s="111">
        <f t="shared" si="4"/>
        <v>1168.28</v>
      </c>
      <c r="L27" s="111">
        <f t="shared" si="4"/>
        <v>3.2490000000000006</v>
      </c>
      <c r="M27" s="111">
        <f t="shared" si="4"/>
        <v>174.80000000000004</v>
      </c>
      <c r="N27" s="111">
        <f t="shared" si="4"/>
        <v>0.57400000000000007</v>
      </c>
      <c r="O27" s="111">
        <f t="shared" si="4"/>
        <v>963.70000000000027</v>
      </c>
      <c r="P27" s="111">
        <f t="shared" si="4"/>
        <v>2.6800000000000006</v>
      </c>
      <c r="Q27" s="111">
        <f t="shared" si="4"/>
        <v>2369.0050410173935</v>
      </c>
      <c r="R27" s="111">
        <f t="shared" si="4"/>
        <v>6.58</v>
      </c>
      <c r="S27" s="111">
        <f t="shared" si="4"/>
        <v>6381.4750410173947</v>
      </c>
      <c r="T27" s="111">
        <f t="shared" si="4"/>
        <v>18.682000000000002</v>
      </c>
    </row>
    <row r="28" spans="1:21" ht="18.600000000000001" customHeight="1" x14ac:dyDescent="0.2">
      <c r="A28" s="118" t="s">
        <v>178</v>
      </c>
      <c r="B28" s="111">
        <v>23667</v>
      </c>
      <c r="C28" s="111">
        <v>0.16</v>
      </c>
      <c r="D28" s="111">
        <v>444818</v>
      </c>
      <c r="I28" s="111">
        <f>SUM(I11,I15,I16,I17)</f>
        <v>324.70999999999998</v>
      </c>
      <c r="J28" s="111">
        <f t="shared" ref="J28:T28" si="5">SUM(J11,J15,J16,J17)</f>
        <v>1.0649999999999999</v>
      </c>
      <c r="K28" s="111">
        <f t="shared" si="5"/>
        <v>222.41000000000003</v>
      </c>
      <c r="L28" s="111">
        <f t="shared" si="5"/>
        <v>0.61899999999999999</v>
      </c>
      <c r="M28" s="111">
        <f t="shared" si="5"/>
        <v>33.28</v>
      </c>
      <c r="N28" s="111">
        <f t="shared" si="5"/>
        <v>0.109</v>
      </c>
      <c r="O28" s="111">
        <f t="shared" si="5"/>
        <v>183.5</v>
      </c>
      <c r="P28" s="111">
        <f t="shared" si="5"/>
        <v>0.52</v>
      </c>
      <c r="Q28" s="111">
        <f t="shared" si="5"/>
        <v>450.99495898260648</v>
      </c>
      <c r="R28" s="111">
        <f t="shared" si="5"/>
        <v>1.25</v>
      </c>
      <c r="S28" s="111">
        <f t="shared" si="5"/>
        <v>1214.8949589826066</v>
      </c>
      <c r="T28" s="111">
        <f t="shared" si="5"/>
        <v>3.5630000000000002</v>
      </c>
      <c r="U28" s="111"/>
    </row>
    <row r="37" spans="11:11" ht="12" x14ac:dyDescent="0.2">
      <c r="K37" s="111" t="s">
        <v>213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gasdis11</vt:lpstr>
      <vt:lpstr>portvoc11</vt:lpstr>
      <vt:lpstr>PFC-Sum-EPA</vt:lpstr>
      <vt:lpstr>Aviation-Gasoline</vt:lpstr>
      <vt:lpstr>total-gas-dist</vt:lpstr>
      <vt:lpstr>Sheet1</vt:lpstr>
      <vt:lpstr>gasdis11!Print_Area</vt:lpstr>
      <vt:lpstr>gasdis11!Print_Area_MI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</dc:creator>
  <cp:lastModifiedBy>MWERT</cp:lastModifiedBy>
  <cp:lastPrinted>2015-05-04T18:03:12Z</cp:lastPrinted>
  <dcterms:created xsi:type="dcterms:W3CDTF">1999-06-03T19:07:25Z</dcterms:created>
  <dcterms:modified xsi:type="dcterms:W3CDTF">2018-02-08T22:25:48Z</dcterms:modified>
</cp:coreProperties>
</file>