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66925"/>
  <mc:AlternateContent xmlns:mc="http://schemas.openxmlformats.org/markup-compatibility/2006">
    <mc:Choice Requires="x15">
      <x15ac:absPath xmlns:x15ac="http://schemas.microsoft.com/office/spreadsheetml/2010/11/ac" url="https://massgov-my.sharepoint.com/personal/john_fischer_mass_gov/Documents/"/>
    </mc:Choice>
  </mc:AlternateContent>
  <xr:revisionPtr revIDLastSave="14" documentId="8_{4E043355-D20D-4885-9C41-C7DE5F389F56}" xr6:coauthVersionLast="47" xr6:coauthVersionMax="47" xr10:uidLastSave="{49D5070F-04F0-45C7-820E-8F44B1ED232B}"/>
  <bookViews>
    <workbookView xWindow="-120" yWindow="-120" windowWidth="29040" windowHeight="15840" activeTab="14" xr2:uid="{00000000-000D-0000-FFFF-FFFF00000000}"/>
  </bookViews>
  <sheets>
    <sheet name="Notes" sheetId="1" r:id="rId1"/>
    <sheet name="Casella Auburn CY 2022" sheetId="3" r:id="rId2"/>
    <sheet name="Casella Auburn CY 2023" sheetId="4" r:id="rId3"/>
    <sheet name="Casella Auburn Inbound 2022" sheetId="6" r:id="rId4"/>
    <sheet name="Casella Auburn Inbound 2023" sheetId="5" r:id="rId5"/>
    <sheet name="Casella Charlestown CY 2022" sheetId="11" r:id="rId6"/>
    <sheet name="Casella Charlestown CY 2023" sheetId="10" r:id="rId7"/>
    <sheet name="Charlestown Inbound 2022" sheetId="9" r:id="rId8"/>
    <sheet name="Charlestown Inbound 2023" sheetId="8" r:id="rId9"/>
    <sheet name="EL Harvey CY 2022" sheetId="12" r:id="rId10"/>
    <sheet name="EL Harvey CY 2023" sheetId="13" r:id="rId11"/>
    <sheet name="Republic Brockton CY 2022" sheetId="14" r:id="rId12"/>
    <sheet name="Republic Brockton CY 2023" sheetId="15" r:id="rId13"/>
    <sheet name="Republic Greenworks CY 2022" sheetId="16" r:id="rId14"/>
    <sheet name="Republic Greenworks CY 2023" sheetId="17" r:id="rId15"/>
    <sheet name="WM Avon CY 2022" sheetId="19" r:id="rId16"/>
    <sheet name="WM Avon CY 2023" sheetId="18" r:id="rId17"/>
    <sheet name="WM Avon Inbound" sheetId="25" r:id="rId18"/>
    <sheet name="WM Billerica CY 2022" sheetId="20" r:id="rId19"/>
    <sheet name="WM Billerica CY 2023" sheetId="21" r:id="rId20"/>
    <sheet name="WM Billerica Inbound" sheetId="26" r:id="rId21"/>
    <sheet name="WM Springfield CY 2022" sheetId="22" r:id="rId22"/>
    <sheet name="WM Springfield CY 2023" sheetId="7" r:id="rId23"/>
    <sheet name="WM Springfield Inbound" sheetId="27" r:id="rId24"/>
    <sheet name="ZWS Rochester CY 2022" sheetId="24" r:id="rId25"/>
    <sheet name="ZWS Rochester CY 2023" sheetId="23" r:id="rId26"/>
  </sheets>
  <externalReferences>
    <externalReference r:id="rId2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 l="1"/>
  <c r="B19" i="7"/>
  <c r="B18" i="7"/>
  <c r="B17" i="7"/>
  <c r="B15" i="7"/>
  <c r="B14" i="7"/>
  <c r="B13" i="7"/>
  <c r="B12" i="7"/>
  <c r="B11" i="7"/>
  <c r="B10" i="7"/>
  <c r="B9" i="7"/>
  <c r="B8" i="7"/>
  <c r="B7" i="7"/>
  <c r="B6" i="7"/>
  <c r="B5" i="7"/>
  <c r="B20" i="22"/>
  <c r="B19" i="22"/>
  <c r="B18" i="22"/>
  <c r="B17" i="22"/>
  <c r="B15" i="22"/>
  <c r="B14" i="22"/>
  <c r="B13" i="22"/>
  <c r="B12" i="22"/>
  <c r="B11" i="22"/>
  <c r="B10" i="22"/>
  <c r="B9" i="22"/>
  <c r="B8" i="22"/>
  <c r="B7" i="22"/>
  <c r="B6" i="22"/>
  <c r="B19" i="13"/>
  <c r="B15" i="13"/>
  <c r="B10" i="13"/>
  <c r="B19" i="12"/>
  <c r="B11" i="12"/>
  <c r="B10" i="12"/>
  <c r="B20" i="8"/>
  <c r="B15" i="8"/>
  <c r="B14" i="8"/>
  <c r="B13" i="8"/>
  <c r="B20" i="9"/>
  <c r="B16" i="9"/>
  <c r="B15" i="9"/>
  <c r="B14" i="9"/>
  <c r="B13" i="9"/>
  <c r="B13" i="11"/>
  <c r="B12" i="11"/>
  <c r="B9" i="11"/>
  <c r="B20" i="10"/>
  <c r="B13" i="10"/>
  <c r="B12" i="10"/>
  <c r="B7" i="10"/>
  <c r="B18" i="4"/>
  <c r="B17" i="4"/>
  <c r="B14" i="4"/>
  <c r="B13" i="4"/>
  <c r="B12" i="4"/>
  <c r="B11" i="4"/>
  <c r="B10" i="4"/>
  <c r="B8" i="4"/>
  <c r="B7" i="4"/>
  <c r="B5" i="4"/>
  <c r="B23" i="3"/>
  <c r="B18" i="3"/>
  <c r="B17" i="3"/>
  <c r="B14" i="3"/>
  <c r="B12" i="3"/>
  <c r="B11" i="3"/>
  <c r="B8" i="3"/>
  <c r="B7" i="3"/>
  <c r="B5" i="3"/>
</calcChain>
</file>

<file path=xl/sharedStrings.xml><?xml version="1.0" encoding="utf-8"?>
<sst xmlns="http://schemas.openxmlformats.org/spreadsheetml/2006/main" count="849" uniqueCount="182">
  <si>
    <t xml:space="preserve">The data in this spreadsheet was submitted by material recovery facility operators in response to a formal request for information from the Massachusetts Department of Environmental Protection.  The data reflects two time periods, calendar year 2022 and calendar year 2023.  Because of the specific information request, this data may vary slightly from data reported in each facility's annual report.  In cases where facilities accepted incoming materials other than mixed single stream recycling, that is reflected in tabs labeled "Inbound".  This data was submitted with certification statements which are posted with the data.  In some cases, these statements provide additional information on each facility.  </t>
  </si>
  <si>
    <t>This data for calendar years 2022 and 2023 was received in April 2024.</t>
  </si>
  <si>
    <t>Attachment C - MassDEP Request for Information</t>
  </si>
  <si>
    <t>Data on Outgoing  Tonnage - Calendar Year 2022</t>
  </si>
  <si>
    <t>Casella Waste - Auburn MRF</t>
  </si>
  <si>
    <t>Material Category</t>
  </si>
  <si>
    <t>Tons</t>
  </si>
  <si>
    <t>Receiving Country(ies) or  State(s)</t>
  </si>
  <si>
    <t>Type of Market Outlet (for glass only)</t>
  </si>
  <si>
    <t>Comments</t>
  </si>
  <si>
    <t>Mixed  Paper #54</t>
  </si>
  <si>
    <t>Canada, Thailand, Vietnam, India, NY, RI, WV</t>
  </si>
  <si>
    <t>Sorted Residential Paper #56</t>
  </si>
  <si>
    <t>PA</t>
  </si>
  <si>
    <t>Cardboard</t>
  </si>
  <si>
    <t>Canada, India, NY, MA, CT</t>
  </si>
  <si>
    <t>Glass - First Market Outlet Type</t>
  </si>
  <si>
    <t>MA</t>
  </si>
  <si>
    <t>Processed glass aggregate</t>
  </si>
  <si>
    <t>Regular and 3/8" Minus</t>
  </si>
  <si>
    <t>Glass - Second Market Outlet Type</t>
  </si>
  <si>
    <t>NC</t>
  </si>
  <si>
    <t>Bottle  Production</t>
  </si>
  <si>
    <t>via Willimantic Rail Transfer</t>
  </si>
  <si>
    <t>Aluminum UBC's</t>
  </si>
  <si>
    <t>AL, NY</t>
  </si>
  <si>
    <t>Steel/Tin Cans</t>
  </si>
  <si>
    <t>PET #1 Plastic</t>
  </si>
  <si>
    <t>GA, NC</t>
  </si>
  <si>
    <t>Natural HDPE #2 Plastic</t>
  </si>
  <si>
    <t>AL, MI, NC</t>
  </si>
  <si>
    <t>Colored HDPE #2 Plastic</t>
  </si>
  <si>
    <t>AL, PA, MI</t>
  </si>
  <si>
    <t>Polypropylene #5 Plastic</t>
  </si>
  <si>
    <t xml:space="preserve">Commingled Plastics </t>
  </si>
  <si>
    <t>Mixed Rigid Plastics</t>
  </si>
  <si>
    <t>Canada, SC, MO</t>
  </si>
  <si>
    <t>Scrap Metal</t>
  </si>
  <si>
    <t>MA, CT</t>
  </si>
  <si>
    <t>Sorted Office Paper</t>
  </si>
  <si>
    <t>Sorted White Ledger</t>
  </si>
  <si>
    <t>Canada</t>
  </si>
  <si>
    <t>LDPE Plastic</t>
  </si>
  <si>
    <t>NJ</t>
  </si>
  <si>
    <t>Wood Pallets</t>
  </si>
  <si>
    <t>RI</t>
  </si>
  <si>
    <t>Residue Sent for Solid Waste Disposal</t>
  </si>
  <si>
    <t>NY, VT, OH, VA</t>
  </si>
  <si>
    <t>Data on Outgoing  Tonnage - Calendar Year 2023</t>
  </si>
  <si>
    <t>Canada, Thailand, Vietnam, India, NY, OH, WV</t>
  </si>
  <si>
    <t>Regular and 3/8" minus</t>
  </si>
  <si>
    <t>via Willamantic Rail Transfer</t>
  </si>
  <si>
    <t>Aluminum</t>
  </si>
  <si>
    <t>AL, NY, KY</t>
  </si>
  <si>
    <t>AL, MI, NC, PA</t>
  </si>
  <si>
    <t>Canada, AL, PA, MI</t>
  </si>
  <si>
    <t>Canada, SC, MO, NY</t>
  </si>
  <si>
    <t>Canada, MA</t>
  </si>
  <si>
    <t>MassDEP Request for Information</t>
  </si>
  <si>
    <t>Data on Inbound Tonnage - Calendar  Year 2022</t>
  </si>
  <si>
    <t>Casella Auburn MRF</t>
  </si>
  <si>
    <t>HDPE - Color</t>
  </si>
  <si>
    <t>HDPE - Natural</t>
  </si>
  <si>
    <t>Commingle Recycling</t>
  </si>
  <si>
    <t>Commercial Single Stream</t>
  </si>
  <si>
    <t>Glass</t>
  </si>
  <si>
    <t>LDPE</t>
  </si>
  <si>
    <t>Mixed Paper</t>
  </si>
  <si>
    <t>PETE</t>
  </si>
  <si>
    <t>Tin/Steel Cans</t>
  </si>
  <si>
    <t>Residential Single Stream</t>
  </si>
  <si>
    <t>Data on Inbound Tonnage - Calendar  Year 2023</t>
  </si>
  <si>
    <t>Auburn MA, Willimantic CT, Billerica MA</t>
  </si>
  <si>
    <t>NEWS</t>
  </si>
  <si>
    <t>Thailand, Vietnam</t>
  </si>
  <si>
    <t>SOW</t>
  </si>
  <si>
    <t>Ma</t>
  </si>
  <si>
    <t>Roadbase</t>
  </si>
  <si>
    <t xml:space="preserve"> </t>
  </si>
  <si>
    <t>AL</t>
  </si>
  <si>
    <t>RIGID</t>
  </si>
  <si>
    <t>VT, OH</t>
  </si>
  <si>
    <t>Facility Name - Casella Charlestown</t>
  </si>
  <si>
    <t>Single Stream Transfer</t>
  </si>
  <si>
    <t>NH</t>
  </si>
  <si>
    <t>Daily cover/landfill-based use</t>
  </si>
  <si>
    <t>3/8 minus for pipe bed and berm construction</t>
  </si>
  <si>
    <t>Data on Inbound  Tonnage - Calendar Year 2022</t>
  </si>
  <si>
    <t>Residue/Reject Material</t>
  </si>
  <si>
    <t>Data on Inbound  Tonnage - Calendar Year 2023</t>
  </si>
  <si>
    <t>Facility Name - EL Harvey and Sons</t>
  </si>
  <si>
    <t>MA, CT, GA</t>
  </si>
  <si>
    <t>CT, Canada, FL, MA</t>
  </si>
  <si>
    <t>CT, NY, FL, MA, Canada</t>
  </si>
  <si>
    <t>NY</t>
  </si>
  <si>
    <t xml:space="preserve">MA, RI, CT </t>
  </si>
  <si>
    <t>CT, NY</t>
  </si>
  <si>
    <t>CT</t>
  </si>
  <si>
    <t>Other - please specify in comments</t>
  </si>
  <si>
    <t>RI, MA, CT</t>
  </si>
  <si>
    <t>Pallets</t>
  </si>
  <si>
    <t>Canada, NY</t>
  </si>
  <si>
    <t>Wood</t>
  </si>
  <si>
    <t>AL, NY, OH, VA, MA</t>
  </si>
  <si>
    <t>CT, Canada, FL, MA, NJ</t>
  </si>
  <si>
    <t>Staten Island NY</t>
  </si>
  <si>
    <t>Montvale CT</t>
  </si>
  <si>
    <t>Schnectedy NY</t>
  </si>
  <si>
    <t>West Mifflin PA</t>
  </si>
  <si>
    <t>Reading PA, Quebec Canada</t>
  </si>
  <si>
    <t>York PA</t>
  </si>
  <si>
    <t>Pandora Ohio</t>
  </si>
  <si>
    <t>USA</t>
  </si>
  <si>
    <t>Other - Single Stream</t>
  </si>
  <si>
    <t>transferred out</t>
  </si>
  <si>
    <t>Facility Name - Republic Brockton</t>
  </si>
  <si>
    <t>Troy Alabama</t>
  </si>
  <si>
    <t>Tranferred out</t>
  </si>
  <si>
    <t xml:space="preserve">sum </t>
  </si>
  <si>
    <t>Facility Name - Republic Greenworks</t>
  </si>
  <si>
    <t>Pandoro OH</t>
  </si>
  <si>
    <t>WAX</t>
  </si>
  <si>
    <t>Waxed Cardboard</t>
  </si>
  <si>
    <t>Facility Name: WM Avon</t>
  </si>
  <si>
    <t>Thailand, Vietnam, China, India, UAE</t>
  </si>
  <si>
    <t>MA, Canada,  India, Malayasia, China</t>
  </si>
  <si>
    <t>KY</t>
  </si>
  <si>
    <t>AL, GA,  NC</t>
  </si>
  <si>
    <t>NJ, India</t>
  </si>
  <si>
    <t>LDPE film</t>
  </si>
  <si>
    <t xml:space="preserve">AL  </t>
  </si>
  <si>
    <t>mixed rigids</t>
  </si>
  <si>
    <t>Thailand, Vietnam, China, India, UAE, OH</t>
  </si>
  <si>
    <t xml:space="preserve">      LDPE FILM - BALED</t>
  </si>
  <si>
    <t xml:space="preserve">      MIXED RIGID PLASTICS - BALED</t>
  </si>
  <si>
    <t>Response derived from WM Avon response letter. See letter for details.</t>
  </si>
  <si>
    <t>Incoming material other than mixed single stream recyclables accepted at the facility in 2022 and 
2023 are listed in the table below with their respective tonnage.</t>
  </si>
  <si>
    <t>Material</t>
  </si>
  <si>
    <t>Container Stream</t>
  </si>
  <si>
    <t>Film</t>
  </si>
  <si>
    <t>OCC</t>
  </si>
  <si>
    <t>Residue (Downgraded SS)</t>
  </si>
  <si>
    <t>Facility Name: WM Billerica MRF</t>
  </si>
  <si>
    <t>GA, India, Vietnam, China, Thailand, UAE</t>
  </si>
  <si>
    <t>NY, China, Vietnam, Thailand, India</t>
  </si>
  <si>
    <t>GA, NC, AL</t>
  </si>
  <si>
    <t>ONTARIO, CANADA</t>
  </si>
  <si>
    <t>SC</t>
  </si>
  <si>
    <t>Mixed Rigid plastics</t>
  </si>
  <si>
    <t>Single stream</t>
  </si>
  <si>
    <t>E-Scrap</t>
  </si>
  <si>
    <t>scrap steel</t>
  </si>
  <si>
    <t>sum</t>
  </si>
  <si>
    <t>scrap steele</t>
  </si>
  <si>
    <t>Response derived from WM Billerica response letter. See letter for details.</t>
  </si>
  <si>
    <t>Dry Waste</t>
  </si>
  <si>
    <t>Facility Name: WM RRT</t>
  </si>
  <si>
    <t>CT, MA</t>
  </si>
  <si>
    <t>Other-specify in comments column</t>
  </si>
  <si>
    <t>Building Materials and Metal Reconditioning</t>
  </si>
  <si>
    <t>Building Materials</t>
  </si>
  <si>
    <t>NY, Canada</t>
  </si>
  <si>
    <t>OH, AL</t>
  </si>
  <si>
    <t>AL, Canada</t>
  </si>
  <si>
    <t>Other 1- please specify in comments</t>
  </si>
  <si>
    <t>GABLETOPS</t>
  </si>
  <si>
    <t>Other 2 - please specify in comments</t>
  </si>
  <si>
    <t>MIXED RIGID PLASTICS</t>
  </si>
  <si>
    <t>Other 3 - please specify in comments</t>
  </si>
  <si>
    <t>MA, Canada</t>
  </si>
  <si>
    <t>All SNP was produced in 23Q1 and discontinued thereafter due to lack of market</t>
  </si>
  <si>
    <t>Response derived from WM Springfield response letter. See letter for details.</t>
  </si>
  <si>
    <t>Facility Name - ZWS Rochester</t>
  </si>
  <si>
    <t>CT,NY</t>
  </si>
  <si>
    <t>CT,NY, IL</t>
  </si>
  <si>
    <t>CT,MA,NY,IL</t>
  </si>
  <si>
    <t>Stockpiled on site over several years by previous owner</t>
  </si>
  <si>
    <t>MA,NY</t>
  </si>
  <si>
    <t>NY, NJ</t>
  </si>
  <si>
    <t>NY, IL, NJ</t>
  </si>
  <si>
    <t>CT, MA, NY</t>
  </si>
  <si>
    <t>MA,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</si>
</sst>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6">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font>
    <font>
      <sz val="11"/>
      <color rgb="FF000000"/>
      <name val="Calibri"/>
      <family val="2"/>
    </font>
    <font>
      <sz val="11"/>
      <color rgb="FF000000"/>
      <name val="Calibri"/>
      <family val="2"/>
      <scheme val="minor"/>
    </font>
  </fonts>
  <fills count="3">
    <fill>
      <patternFill patternType="none"/>
    </fill>
    <fill>
      <patternFill patternType="gray125"/>
    </fill>
    <fill>
      <patternFill patternType="solid">
        <fgColor theme="0" tint="-0.34998626667073579"/>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0" fillId="2" borderId="0" xfId="0" applyFill="1"/>
    <xf numFmtId="0" fontId="0" fillId="0" borderId="0" xfId="0" applyAlignment="1">
      <alignment horizontal="center"/>
    </xf>
    <xf numFmtId="0" fontId="2" fillId="0" borderId="0" xfId="0" applyFont="1" applyAlignment="1">
      <alignment horizontal="center"/>
    </xf>
    <xf numFmtId="1" fontId="0" fillId="0" borderId="0" xfId="0" applyNumberFormat="1" applyAlignment="1">
      <alignment horizontal="center"/>
    </xf>
    <xf numFmtId="4" fontId="0" fillId="0" borderId="0" xfId="0" applyNumberFormat="1"/>
    <xf numFmtId="43" fontId="0" fillId="0" borderId="0" xfId="1" applyFont="1" applyFill="1"/>
    <xf numFmtId="164" fontId="0" fillId="0" borderId="0" xfId="1" applyNumberFormat="1" applyFont="1" applyFill="1"/>
    <xf numFmtId="2" fontId="0" fillId="0" borderId="0" xfId="0" applyNumberFormat="1"/>
    <xf numFmtId="4" fontId="0" fillId="0" borderId="0" xfId="0" applyNumberFormat="1" applyAlignment="1">
      <alignment horizontal="center"/>
    </xf>
    <xf numFmtId="4" fontId="4" fillId="0" borderId="0" xfId="0" applyNumberFormat="1" applyFont="1"/>
    <xf numFmtId="4" fontId="3" fillId="0" borderId="0" xfId="0" applyNumberFormat="1" applyFont="1" applyAlignment="1">
      <alignment wrapText="1" readingOrder="1"/>
    </xf>
    <xf numFmtId="0" fontId="3" fillId="0" borderId="0" xfId="0" applyFont="1" applyAlignment="1">
      <alignment wrapText="1" readingOrder="1"/>
    </xf>
    <xf numFmtId="165" fontId="0" fillId="0" borderId="0" xfId="0" applyNumberFormat="1"/>
    <xf numFmtId="0" fontId="5" fillId="0" borderId="0" xfId="0" applyFont="1"/>
    <xf numFmtId="164" fontId="0" fillId="0" borderId="0" xfId="1" applyNumberFormat="1" applyFont="1"/>
    <xf numFmtId="164" fontId="2" fillId="0" borderId="0" xfId="1" applyNumberFormat="1" applyFont="1"/>
    <xf numFmtId="166" fontId="0" fillId="0" borderId="0" xfId="2" applyNumberFormat="1" applyFont="1"/>
    <xf numFmtId="43" fontId="0" fillId="0" borderId="0" xfId="0" applyNumberFormat="1"/>
    <xf numFmtId="43" fontId="0" fillId="0" borderId="0" xfId="1" applyFont="1"/>
    <xf numFmtId="9" fontId="0" fillId="0" borderId="0" xfId="1" applyNumberFormat="1" applyFont="1"/>
    <xf numFmtId="43" fontId="0" fillId="0" borderId="0" xfId="1" applyFont="1" applyAlignment="1">
      <alignment horizontal="center"/>
    </xf>
    <xf numFmtId="1" fontId="2" fillId="0" borderId="0" xfId="0" applyNumberFormat="1" applyFont="1" applyAlignment="1">
      <alignment horizontal="center"/>
    </xf>
    <xf numFmtId="43" fontId="3" fillId="0" borderId="0" xfId="1" applyFont="1" applyAlignment="1">
      <alignment horizontal="right" vertical="top" wrapText="1" readingOrder="1"/>
    </xf>
    <xf numFmtId="0" fontId="4" fillId="0" borderId="0" xfId="0" applyFont="1" applyFill="1" applyBorder="1" applyAlignment="1">
      <alignment horizontal="center" vertical="center"/>
    </xf>
    <xf numFmtId="0" fontId="4" fillId="0" borderId="0"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ssgov.sharepoint.com/sites/DEP-BAW/BAW_Main/SWM/MRFs/MRF_List/MRF%20RFIs/Responses%202023/WM%20Springfield/Attachment%20C%20-%20MRF%20RFI_RRT.xlsx" TargetMode="External"/><Relationship Id="rId1" Type="http://schemas.openxmlformats.org/officeDocument/2006/relationships/externalLinkPath" Target="https://massgov.sharepoint.com/sites/DEP-BAW/BAW_Main/SWM/MRFs/MRF_List/MRF%20RFIs/Responses%202023/WM%20Springfield/Attachment%20C%20-%20MRF%20RFI_R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lgQILGQ9kqMxc2zkgDwzHKcOqY75HdAu9H-DNiL6LAzNINMllE-QrxeEucOeKBe" itemId="01FDSKZ3ESV7XMNA6PF5D25H2257U32E53">
      <xxl21:absoluteUrl r:id="rId2"/>
    </xxl21:alternateUrls>
    <sheetNames>
      <sheetName val="2022 Pivot"/>
      <sheetName val="Daily Tonnage 2022"/>
      <sheetName val="Calendar Year 2022"/>
      <sheetName val="Category Table"/>
      <sheetName val="Calendar Year 2023"/>
      <sheetName val="2023 Pivot"/>
      <sheetName val="Daily Tonnage 2023"/>
    </sheetNames>
    <sheetDataSet>
      <sheetData sheetId="0">
        <row r="4">
          <cell r="D4" t="str">
            <v>Aluminum</v>
          </cell>
          <cell r="E4">
            <v>275.40999999999997</v>
          </cell>
        </row>
        <row r="5">
          <cell r="D5" t="str">
            <v>Cardboard</v>
          </cell>
          <cell r="E5">
            <v>5781.6129999999957</v>
          </cell>
        </row>
        <row r="6">
          <cell r="D6" t="str">
            <v>Colored HDPE #2 Plastic</v>
          </cell>
          <cell r="E6">
            <v>230.27</v>
          </cell>
        </row>
        <row r="7">
          <cell r="D7" t="str">
            <v>Glass - First Market Outlet Type</v>
          </cell>
          <cell r="E7">
            <v>2405.46</v>
          </cell>
        </row>
        <row r="8">
          <cell r="D8" t="str">
            <v>Glass - Second Market Outlet Type</v>
          </cell>
          <cell r="E8">
            <v>965.45000000000016</v>
          </cell>
        </row>
        <row r="9">
          <cell r="D9" t="str">
            <v>Natural HDPE #2 Plastic</v>
          </cell>
          <cell r="E9">
            <v>195.6</v>
          </cell>
        </row>
        <row r="10">
          <cell r="D10" t="str">
            <v>Other 1- please specify in comments</v>
          </cell>
          <cell r="E10">
            <v>39.980000000000004</v>
          </cell>
        </row>
        <row r="11">
          <cell r="D11" t="str">
            <v>Other 2 - please specify in comments</v>
          </cell>
          <cell r="E11">
            <v>68.02000000000001</v>
          </cell>
        </row>
        <row r="12">
          <cell r="D12" t="str">
            <v>PET #1 Plastic</v>
          </cell>
          <cell r="E12">
            <v>1035.9099999999999</v>
          </cell>
        </row>
        <row r="13">
          <cell r="D13" t="str">
            <v>Polypropylene #5 Plastic</v>
          </cell>
          <cell r="E13">
            <v>184.89999999999998</v>
          </cell>
        </row>
        <row r="14">
          <cell r="D14" t="str">
            <v>Residue Sent for Solid Waste Disposal</v>
          </cell>
          <cell r="E14">
            <v>1027.9499999999996</v>
          </cell>
        </row>
        <row r="15">
          <cell r="D15" t="str">
            <v>Sorted Residential Paper #56</v>
          </cell>
          <cell r="E15">
            <v>4535.0169999999962</v>
          </cell>
        </row>
        <row r="16">
          <cell r="D16" t="str">
            <v>Steel/Tin Cans</v>
          </cell>
          <cell r="E16">
            <v>607.87</v>
          </cell>
        </row>
        <row r="17">
          <cell r="D17" t="str">
            <v>Other 3 - please specify in comments</v>
          </cell>
          <cell r="E17">
            <v>79.009999999999991</v>
          </cell>
        </row>
      </sheetData>
      <sheetData sheetId="1"/>
      <sheetData sheetId="2"/>
      <sheetData sheetId="3"/>
      <sheetData sheetId="4"/>
      <sheetData sheetId="5">
        <row r="4">
          <cell r="E4" t="str">
            <v>Aluminum</v>
          </cell>
          <cell r="F4">
            <v>274.63</v>
          </cell>
        </row>
        <row r="5">
          <cell r="E5" t="str">
            <v>Cardboard</v>
          </cell>
          <cell r="F5">
            <v>6126.409999999998</v>
          </cell>
        </row>
        <row r="6">
          <cell r="E6" t="str">
            <v>Colored HDPE #2 Plastic</v>
          </cell>
          <cell r="F6">
            <v>296.14999999999998</v>
          </cell>
        </row>
        <row r="7">
          <cell r="E7" t="str">
            <v>Glass - First Market Outlet Type</v>
          </cell>
          <cell r="F7">
            <v>2297.7200000000007</v>
          </cell>
        </row>
        <row r="8">
          <cell r="E8" t="str">
            <v>Glass - Second Market Outlet Type</v>
          </cell>
          <cell r="F8">
            <v>1044.3330000000001</v>
          </cell>
        </row>
        <row r="9">
          <cell r="E9" t="str">
            <v>Mixed  Paper #54</v>
          </cell>
          <cell r="F9">
            <v>4129.0800000000008</v>
          </cell>
        </row>
        <row r="10">
          <cell r="E10" t="str">
            <v>Natural HDPE #2 Plastic</v>
          </cell>
          <cell r="F10">
            <v>213.19</v>
          </cell>
        </row>
        <row r="11">
          <cell r="E11" t="str">
            <v>Other 1- please specify in comments</v>
          </cell>
          <cell r="F11">
            <v>68.45</v>
          </cell>
        </row>
        <row r="12">
          <cell r="E12" t="str">
            <v>Other 2 - please specify in comments</v>
          </cell>
          <cell r="F12">
            <v>65.205000000000013</v>
          </cell>
        </row>
        <row r="13">
          <cell r="E13" t="str">
            <v>Other 3 - please specify in comments</v>
          </cell>
          <cell r="F13">
            <v>105.72</v>
          </cell>
        </row>
        <row r="14">
          <cell r="E14" t="str">
            <v>PET #1 Plastic</v>
          </cell>
          <cell r="F14">
            <v>1090.2599999999998</v>
          </cell>
        </row>
        <row r="15">
          <cell r="E15" t="str">
            <v>Polypropylene #5 Plastic</v>
          </cell>
          <cell r="F15">
            <v>231.1</v>
          </cell>
        </row>
        <row r="16">
          <cell r="E16" t="str">
            <v>Residue Sent for Solid Waste Disposal</v>
          </cell>
          <cell r="F16">
            <v>948.6099999999999</v>
          </cell>
        </row>
        <row r="17">
          <cell r="E17" t="str">
            <v>Sorted Residential Paper #56</v>
          </cell>
          <cell r="F17">
            <v>252.55</v>
          </cell>
        </row>
        <row r="18">
          <cell r="E18" t="str">
            <v>Steel/Tin Cans</v>
          </cell>
          <cell r="F18">
            <v>600.54000000000019</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workbookViewId="0">
      <selection activeCell="A3" sqref="A3"/>
    </sheetView>
  </sheetViews>
  <sheetFormatPr defaultRowHeight="15"/>
  <cols>
    <col min="1" max="1" width="134.5703125" customWidth="1"/>
    <col min="2" max="3" width="11.85546875" customWidth="1"/>
    <col min="4" max="4" width="12.42578125" customWidth="1"/>
    <col min="5" max="5" width="11.85546875" customWidth="1"/>
    <col min="7" max="7" width="9.7109375" customWidth="1"/>
    <col min="8" max="8" width="11" customWidth="1"/>
  </cols>
  <sheetData>
    <row r="1" spans="1:8" ht="75">
      <c r="A1" s="1" t="s">
        <v>0</v>
      </c>
    </row>
    <row r="3" spans="1:8">
      <c r="A3" t="s">
        <v>1</v>
      </c>
    </row>
    <row r="4" spans="1:8">
      <c r="H4"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0C56-B5EE-4975-9593-BE7BAD0F2650}">
  <dimension ref="A1:E19"/>
  <sheetViews>
    <sheetView workbookViewId="0">
      <selection activeCell="C18" sqref="C18"/>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90</v>
      </c>
      <c r="B3" s="2"/>
    </row>
    <row r="4" spans="1:5" ht="30">
      <c r="A4" s="2" t="s">
        <v>5</v>
      </c>
      <c r="B4" s="2" t="s">
        <v>6</v>
      </c>
      <c r="C4" s="2" t="s">
        <v>7</v>
      </c>
      <c r="D4" s="3" t="s">
        <v>8</v>
      </c>
      <c r="E4" s="2" t="s">
        <v>9</v>
      </c>
    </row>
    <row r="5" spans="1:5">
      <c r="A5" t="s">
        <v>10</v>
      </c>
      <c r="B5" s="22">
        <v>628.32000000000005</v>
      </c>
      <c r="C5" t="s">
        <v>91</v>
      </c>
      <c r="D5" s="4"/>
    </row>
    <row r="6" spans="1:5">
      <c r="A6" t="s">
        <v>12</v>
      </c>
      <c r="B6" s="22">
        <v>17883.39</v>
      </c>
      <c r="C6" t="s">
        <v>92</v>
      </c>
      <c r="D6" s="4"/>
    </row>
    <row r="7" spans="1:5">
      <c r="A7" t="s">
        <v>14</v>
      </c>
      <c r="B7" s="22">
        <v>29243.390000000003</v>
      </c>
      <c r="C7" t="s">
        <v>93</v>
      </c>
      <c r="D7" s="4"/>
    </row>
    <row r="8" spans="1:5">
      <c r="A8" t="s">
        <v>16</v>
      </c>
      <c r="B8" s="22">
        <v>2423</v>
      </c>
      <c r="C8" t="s">
        <v>17</v>
      </c>
      <c r="D8" t="s">
        <v>85</v>
      </c>
    </row>
    <row r="9" spans="1:5">
      <c r="A9" t="s">
        <v>20</v>
      </c>
      <c r="B9" s="22">
        <v>271</v>
      </c>
      <c r="C9" t="s">
        <v>94</v>
      </c>
      <c r="D9" t="s">
        <v>85</v>
      </c>
    </row>
    <row r="10" spans="1:5">
      <c r="A10" t="s">
        <v>52</v>
      </c>
      <c r="B10" s="22">
        <f>116+361</f>
        <v>477</v>
      </c>
      <c r="C10" t="s">
        <v>95</v>
      </c>
      <c r="D10" s="4"/>
    </row>
    <row r="11" spans="1:5">
      <c r="A11" t="s">
        <v>26</v>
      </c>
      <c r="B11" s="22">
        <f>18+779+36+11</f>
        <v>844</v>
      </c>
      <c r="C11" t="s">
        <v>94</v>
      </c>
      <c r="D11" s="4"/>
    </row>
    <row r="12" spans="1:5">
      <c r="A12" t="s">
        <v>27</v>
      </c>
      <c r="B12" s="22">
        <v>1851.28</v>
      </c>
      <c r="C12" t="s">
        <v>96</v>
      </c>
      <c r="D12" s="4"/>
    </row>
    <row r="13" spans="1:5">
      <c r="A13" t="s">
        <v>29</v>
      </c>
      <c r="B13" s="22">
        <v>420.16999999999996</v>
      </c>
      <c r="C13" t="s">
        <v>96</v>
      </c>
      <c r="D13" s="4"/>
    </row>
    <row r="14" spans="1:5">
      <c r="A14" t="s">
        <v>31</v>
      </c>
      <c r="B14" s="22">
        <v>493.08</v>
      </c>
      <c r="C14" t="s">
        <v>96</v>
      </c>
      <c r="D14" s="4"/>
    </row>
    <row r="15" spans="1:5">
      <c r="A15" t="s">
        <v>33</v>
      </c>
      <c r="B15" s="22">
        <v>630</v>
      </c>
      <c r="C15" t="s">
        <v>97</v>
      </c>
      <c r="D15" s="4"/>
    </row>
    <row r="16" spans="1:5">
      <c r="A16" t="s">
        <v>34</v>
      </c>
      <c r="B16" s="22">
        <v>453.04000000000008</v>
      </c>
      <c r="C16" t="s">
        <v>94</v>
      </c>
      <c r="D16" s="4"/>
    </row>
    <row r="17" spans="1:5">
      <c r="A17" t="s">
        <v>98</v>
      </c>
      <c r="B17" s="22">
        <v>112</v>
      </c>
      <c r="C17" t="s">
        <v>99</v>
      </c>
      <c r="D17" s="4"/>
      <c r="E17" t="s">
        <v>100</v>
      </c>
    </row>
    <row r="18" spans="1:5">
      <c r="A18" t="s">
        <v>98</v>
      </c>
      <c r="B18" s="22">
        <v>53</v>
      </c>
      <c r="C18" t="s">
        <v>101</v>
      </c>
      <c r="D18" s="4"/>
      <c r="E18" t="s">
        <v>102</v>
      </c>
    </row>
    <row r="19" spans="1:5">
      <c r="A19" t="s">
        <v>46</v>
      </c>
      <c r="B19" s="22">
        <f>45784-34719</f>
        <v>11065</v>
      </c>
      <c r="C19" t="s">
        <v>103</v>
      </c>
      <c r="D19" s="4"/>
    </row>
  </sheetData>
  <dataValidations count="1">
    <dataValidation type="list" allowBlank="1" showInputMessage="1" showErrorMessage="1" sqref="D8:D9" xr:uid="{5A456D1D-1231-42CD-8399-790D9A7E186A}">
      <formula1>"Bottle  Production,Fiberglass production,Processed glass aggregate,Daily cover/landfill-based use, Other-specify in comments column"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8394-958D-4F4A-91BD-CA6ABF38E221}">
  <dimension ref="A1:E21"/>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90</v>
      </c>
      <c r="B3" s="2"/>
    </row>
    <row r="4" spans="1:5" ht="30">
      <c r="A4" s="2" t="s">
        <v>5</v>
      </c>
      <c r="B4" s="2" t="s">
        <v>6</v>
      </c>
      <c r="C4" s="2" t="s">
        <v>7</v>
      </c>
      <c r="D4" s="3" t="s">
        <v>8</v>
      </c>
      <c r="E4" s="2" t="s">
        <v>9</v>
      </c>
    </row>
    <row r="5" spans="1:5">
      <c r="A5" t="s">
        <v>10</v>
      </c>
      <c r="B5" s="9">
        <v>2869.0950000000003</v>
      </c>
      <c r="C5" t="s">
        <v>91</v>
      </c>
      <c r="D5" s="4"/>
    </row>
    <row r="6" spans="1:5">
      <c r="A6" t="s">
        <v>12</v>
      </c>
      <c r="B6" s="9">
        <v>24288.203999999991</v>
      </c>
      <c r="C6" t="s">
        <v>104</v>
      </c>
      <c r="D6" s="4"/>
    </row>
    <row r="7" spans="1:5">
      <c r="A7" t="s">
        <v>14</v>
      </c>
      <c r="B7" s="9">
        <v>40762.375</v>
      </c>
      <c r="C7" t="s">
        <v>93</v>
      </c>
      <c r="D7" s="4"/>
    </row>
    <row r="8" spans="1:5">
      <c r="A8" t="s">
        <v>16</v>
      </c>
      <c r="B8" s="9">
        <v>1129</v>
      </c>
      <c r="C8" t="s">
        <v>17</v>
      </c>
      <c r="D8" t="s">
        <v>85</v>
      </c>
    </row>
    <row r="9" spans="1:5">
      <c r="A9" t="s">
        <v>20</v>
      </c>
      <c r="B9" s="9"/>
    </row>
    <row r="10" spans="1:5">
      <c r="A10" t="s">
        <v>52</v>
      </c>
      <c r="B10" s="9">
        <f>475.97+102.34+202.66+46.51</f>
        <v>827.48</v>
      </c>
      <c r="C10" t="s">
        <v>95</v>
      </c>
      <c r="D10" s="4"/>
    </row>
    <row r="11" spans="1:5">
      <c r="A11" t="s">
        <v>26</v>
      </c>
      <c r="B11" s="9">
        <v>659.11500000000012</v>
      </c>
      <c r="C11" t="s">
        <v>94</v>
      </c>
      <c r="D11" s="4"/>
    </row>
    <row r="12" spans="1:5">
      <c r="A12" t="s">
        <v>27</v>
      </c>
      <c r="B12" s="9">
        <v>142.09000000000003</v>
      </c>
      <c r="C12" t="s">
        <v>96</v>
      </c>
      <c r="D12" s="4"/>
    </row>
    <row r="13" spans="1:5">
      <c r="A13" t="s">
        <v>29</v>
      </c>
      <c r="B13" s="9">
        <v>438.02</v>
      </c>
      <c r="C13" t="s">
        <v>96</v>
      </c>
      <c r="D13" s="4"/>
    </row>
    <row r="14" spans="1:5">
      <c r="A14" t="s">
        <v>31</v>
      </c>
      <c r="B14" s="9">
        <v>401.3</v>
      </c>
      <c r="C14" t="s">
        <v>96</v>
      </c>
      <c r="D14" s="4"/>
    </row>
    <row r="15" spans="1:5">
      <c r="A15" t="s">
        <v>33</v>
      </c>
      <c r="B15" s="9">
        <f>76.05+7.1</f>
        <v>83.149999999999991</v>
      </c>
      <c r="C15" t="s">
        <v>97</v>
      </c>
      <c r="D15" s="4"/>
    </row>
    <row r="16" spans="1:5">
      <c r="A16" t="s">
        <v>34</v>
      </c>
      <c r="B16" s="9">
        <v>547.42999999999995</v>
      </c>
      <c r="C16" t="s">
        <v>94</v>
      </c>
      <c r="D16" s="4"/>
    </row>
    <row r="17" spans="1:4">
      <c r="A17" t="s">
        <v>98</v>
      </c>
      <c r="B17" s="9"/>
      <c r="D17" s="4"/>
    </row>
    <row r="18" spans="1:4">
      <c r="A18" t="s">
        <v>98</v>
      </c>
      <c r="B18" s="9"/>
      <c r="D18" s="4"/>
    </row>
    <row r="19" spans="1:4">
      <c r="A19" t="s">
        <v>46</v>
      </c>
      <c r="B19" s="10">
        <f>31529-14337</f>
        <v>17192</v>
      </c>
      <c r="C19" t="s">
        <v>103</v>
      </c>
      <c r="D19" s="4"/>
    </row>
    <row r="21" spans="1:4">
      <c r="B21" s="21"/>
    </row>
  </sheetData>
  <dataValidations count="1">
    <dataValidation type="list" allowBlank="1" showInputMessage="1" showErrorMessage="1" sqref="D8:D9" xr:uid="{59B9FE1E-75E4-4AA4-9F40-5733FA80C538}">
      <formula1>"Bottle  Production,Fiberglass production,Processed glass aggregate,Daily cover/landfill-based use, Other-specify in comments column"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FB107-22AA-43D2-8882-ADFE4DC60FC3}">
  <dimension ref="A1:E21"/>
  <sheetViews>
    <sheetView workbookViewId="0">
      <selection activeCell="I15" sqref="I15"/>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c r="B3" s="2"/>
    </row>
    <row r="4" spans="1:5" ht="30">
      <c r="A4" s="2" t="s">
        <v>5</v>
      </c>
      <c r="B4" s="2" t="s">
        <v>6</v>
      </c>
      <c r="C4" s="2" t="s">
        <v>7</v>
      </c>
      <c r="D4" s="3" t="s">
        <v>8</v>
      </c>
      <c r="E4" s="2" t="s">
        <v>9</v>
      </c>
    </row>
    <row r="5" spans="1:5">
      <c r="A5" t="s">
        <v>10</v>
      </c>
      <c r="B5" s="8">
        <v>3938.71</v>
      </c>
      <c r="C5" s="5" t="s">
        <v>105</v>
      </c>
      <c r="D5" s="4"/>
    </row>
    <row r="6" spans="1:5">
      <c r="A6" t="s">
        <v>12</v>
      </c>
      <c r="C6" s="5"/>
      <c r="D6" s="4"/>
    </row>
    <row r="7" spans="1:5">
      <c r="A7" t="s">
        <v>14</v>
      </c>
      <c r="B7" s="8">
        <v>16038.35</v>
      </c>
      <c r="C7" s="5" t="s">
        <v>106</v>
      </c>
      <c r="D7" s="4"/>
    </row>
    <row r="8" spans="1:5">
      <c r="A8" t="s">
        <v>16</v>
      </c>
      <c r="C8" s="5"/>
    </row>
    <row r="9" spans="1:5">
      <c r="A9" t="s">
        <v>20</v>
      </c>
      <c r="C9" s="5"/>
    </row>
    <row r="10" spans="1:5">
      <c r="A10" t="s">
        <v>52</v>
      </c>
      <c r="B10">
        <v>58.05</v>
      </c>
      <c r="C10" s="27" t="s">
        <v>107</v>
      </c>
      <c r="D10" s="4"/>
    </row>
    <row r="11" spans="1:5">
      <c r="A11" t="s">
        <v>26</v>
      </c>
      <c r="B11">
        <v>115.79</v>
      </c>
      <c r="C11" s="27" t="s">
        <v>108</v>
      </c>
      <c r="D11" s="4"/>
    </row>
    <row r="12" spans="1:5">
      <c r="A12" t="s">
        <v>27</v>
      </c>
      <c r="B12">
        <v>264.07</v>
      </c>
      <c r="C12" s="27" t="s">
        <v>109</v>
      </c>
      <c r="D12" s="4"/>
    </row>
    <row r="13" spans="1:5">
      <c r="A13" t="s">
        <v>29</v>
      </c>
      <c r="B13">
        <v>63.69</v>
      </c>
      <c r="C13" s="27" t="s">
        <v>110</v>
      </c>
      <c r="D13" s="4"/>
    </row>
    <row r="14" spans="1:5">
      <c r="A14" t="s">
        <v>31</v>
      </c>
      <c r="B14">
        <v>73.33</v>
      </c>
      <c r="C14" s="27" t="s">
        <v>111</v>
      </c>
      <c r="D14" s="4"/>
    </row>
    <row r="15" spans="1:5">
      <c r="A15" t="s">
        <v>33</v>
      </c>
      <c r="C15" s="27"/>
      <c r="D15" s="4"/>
    </row>
    <row r="16" spans="1:5">
      <c r="A16" t="s">
        <v>34</v>
      </c>
      <c r="B16">
        <v>186.32</v>
      </c>
      <c r="C16" s="27" t="s">
        <v>112</v>
      </c>
      <c r="D16" s="4"/>
    </row>
    <row r="17" spans="1:4">
      <c r="A17" t="s">
        <v>113</v>
      </c>
      <c r="B17" s="8">
        <v>10843.05</v>
      </c>
      <c r="C17" s="27" t="s">
        <v>112</v>
      </c>
      <c r="D17" s="4" t="s">
        <v>114</v>
      </c>
    </row>
    <row r="18" spans="1:4">
      <c r="A18" t="s">
        <v>98</v>
      </c>
      <c r="C18" s="27"/>
      <c r="D18" s="4"/>
    </row>
    <row r="19" spans="1:4">
      <c r="A19" t="s">
        <v>46</v>
      </c>
      <c r="B19" s="8">
        <v>1222.33</v>
      </c>
      <c r="C19" s="27" t="s">
        <v>112</v>
      </c>
      <c r="D19" s="4"/>
    </row>
    <row r="20" spans="1:4">
      <c r="B20" t="s">
        <v>78</v>
      </c>
    </row>
    <row r="21" spans="1:4">
      <c r="B21" s="8"/>
    </row>
  </sheetData>
  <dataValidations count="1">
    <dataValidation type="list" allowBlank="1" showInputMessage="1" showErrorMessage="1" sqref="D8:D9" xr:uid="{0926C54F-A232-4D67-8494-93AC1F7E0D6C}">
      <formula1>"Bottle  Production,Fiberglass production,Processed glass aggregate,Daily cover/landfill-based use, Other-specify in comments column"</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D109-2805-4C17-AC02-D921FD7BDC22}">
  <dimension ref="A1:E22"/>
  <sheetViews>
    <sheetView workbookViewId="0">
      <selection activeCell="C23" sqref="C2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115</v>
      </c>
      <c r="B3" s="2"/>
    </row>
    <row r="4" spans="1:5" ht="30">
      <c r="A4" s="2" t="s">
        <v>5</v>
      </c>
      <c r="B4" s="2" t="s">
        <v>6</v>
      </c>
      <c r="C4" s="2" t="s">
        <v>7</v>
      </c>
      <c r="D4" s="3" t="s">
        <v>8</v>
      </c>
      <c r="E4" s="2" t="s">
        <v>9</v>
      </c>
    </row>
    <row r="5" spans="1:5">
      <c r="A5" t="s">
        <v>10</v>
      </c>
      <c r="B5" s="8">
        <v>4396.34</v>
      </c>
      <c r="C5" s="28" t="s">
        <v>105</v>
      </c>
      <c r="D5" s="4"/>
    </row>
    <row r="6" spans="1:5">
      <c r="A6" t="s">
        <v>12</v>
      </c>
      <c r="C6" s="28"/>
      <c r="D6" s="4"/>
    </row>
    <row r="7" spans="1:5">
      <c r="A7" t="s">
        <v>14</v>
      </c>
      <c r="B7" s="8">
        <v>16671.64</v>
      </c>
      <c r="C7" s="28" t="s">
        <v>106</v>
      </c>
      <c r="D7" s="4"/>
    </row>
    <row r="8" spans="1:5">
      <c r="A8" t="s">
        <v>16</v>
      </c>
      <c r="C8" s="28"/>
    </row>
    <row r="9" spans="1:5">
      <c r="A9" t="s">
        <v>20</v>
      </c>
      <c r="B9" t="s">
        <v>78</v>
      </c>
      <c r="C9" s="28"/>
      <c r="D9" s="4"/>
    </row>
    <row r="10" spans="1:5">
      <c r="A10" t="s">
        <v>52</v>
      </c>
      <c r="B10">
        <v>34.1</v>
      </c>
      <c r="C10" s="28" t="s">
        <v>107</v>
      </c>
      <c r="D10" s="4"/>
    </row>
    <row r="11" spans="1:5">
      <c r="A11" t="s">
        <v>26</v>
      </c>
      <c r="B11">
        <v>118.59</v>
      </c>
      <c r="C11" s="28" t="s">
        <v>108</v>
      </c>
      <c r="D11" s="4"/>
    </row>
    <row r="12" spans="1:5">
      <c r="A12" t="s">
        <v>27</v>
      </c>
      <c r="B12">
        <v>214.25</v>
      </c>
      <c r="C12" s="28" t="s">
        <v>109</v>
      </c>
      <c r="D12" s="4"/>
    </row>
    <row r="13" spans="1:5">
      <c r="A13" t="s">
        <v>29</v>
      </c>
      <c r="B13">
        <v>34.89</v>
      </c>
      <c r="C13" s="28" t="s">
        <v>110</v>
      </c>
      <c r="D13" s="4"/>
    </row>
    <row r="14" spans="1:5">
      <c r="A14" t="s">
        <v>31</v>
      </c>
      <c r="B14">
        <v>27.41</v>
      </c>
      <c r="C14" s="28" t="s">
        <v>111</v>
      </c>
      <c r="D14" s="4"/>
    </row>
    <row r="15" spans="1:5">
      <c r="A15" t="s">
        <v>33</v>
      </c>
      <c r="B15">
        <v>122.22</v>
      </c>
      <c r="C15" s="28" t="s">
        <v>116</v>
      </c>
      <c r="D15" s="4"/>
    </row>
    <row r="16" spans="1:5">
      <c r="A16" t="s">
        <v>34</v>
      </c>
      <c r="C16" s="28"/>
      <c r="D16" s="4"/>
    </row>
    <row r="17" spans="1:4">
      <c r="A17" t="s">
        <v>98</v>
      </c>
      <c r="C17" s="28"/>
      <c r="D17" s="4"/>
    </row>
    <row r="18" spans="1:4">
      <c r="A18" t="s">
        <v>113</v>
      </c>
      <c r="B18" s="8">
        <v>9708.33</v>
      </c>
      <c r="C18" s="28" t="s">
        <v>112</v>
      </c>
      <c r="D18" s="4" t="s">
        <v>117</v>
      </c>
    </row>
    <row r="19" spans="1:4">
      <c r="A19" t="s">
        <v>46</v>
      </c>
      <c r="B19" s="8">
        <v>1560.3</v>
      </c>
      <c r="C19" s="28" t="s">
        <v>112</v>
      </c>
      <c r="D19" s="4"/>
    </row>
    <row r="20" spans="1:4">
      <c r="C20" s="28"/>
    </row>
    <row r="21" spans="1:4">
      <c r="A21" t="s">
        <v>118</v>
      </c>
      <c r="B21" s="8"/>
    </row>
    <row r="22" spans="1:4">
      <c r="B22" s="8"/>
    </row>
  </sheetData>
  <dataValidations count="1">
    <dataValidation type="list" allowBlank="1" showInputMessage="1" showErrorMessage="1" sqref="D8:D9" xr:uid="{6828D90A-6092-4DB1-8DE9-1D2DD14CBD0B}">
      <formula1>"Bottle  Production,Fiberglass production,Processed glass aggregate,Daily cover/landfill-based use, Other-specify in comments column"</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0791-15DD-4ADE-8999-4A8F3CAD0747}">
  <dimension ref="A1:E21"/>
  <sheetViews>
    <sheetView workbookViewId="0">
      <selection activeCell="C5" sqref="C5:C19"/>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119</v>
      </c>
      <c r="B3" s="2"/>
    </row>
    <row r="4" spans="1:5" ht="30">
      <c r="A4" s="2" t="s">
        <v>5</v>
      </c>
      <c r="B4" s="2" t="s">
        <v>6</v>
      </c>
      <c r="C4" s="2" t="s">
        <v>7</v>
      </c>
      <c r="D4" s="3" t="s">
        <v>8</v>
      </c>
      <c r="E4" s="2" t="s">
        <v>9</v>
      </c>
    </row>
    <row r="5" spans="1:5">
      <c r="A5" t="s">
        <v>10</v>
      </c>
      <c r="B5" s="8">
        <v>12076.63</v>
      </c>
      <c r="C5" s="28" t="s">
        <v>105</v>
      </c>
      <c r="D5" s="4"/>
    </row>
    <row r="6" spans="1:5">
      <c r="A6" t="s">
        <v>12</v>
      </c>
      <c r="C6" s="28"/>
      <c r="D6" s="4"/>
    </row>
    <row r="7" spans="1:5">
      <c r="A7" t="s">
        <v>14</v>
      </c>
      <c r="B7" s="8">
        <v>18951.12</v>
      </c>
      <c r="C7" s="28" t="s">
        <v>106</v>
      </c>
      <c r="D7" s="4"/>
    </row>
    <row r="8" spans="1:5">
      <c r="A8" t="s">
        <v>16</v>
      </c>
      <c r="B8" s="11">
        <v>1843.56</v>
      </c>
      <c r="C8" s="28" t="s">
        <v>112</v>
      </c>
      <c r="D8" t="s">
        <v>85</v>
      </c>
    </row>
    <row r="9" spans="1:5">
      <c r="A9" t="s">
        <v>20</v>
      </c>
      <c r="C9" s="28"/>
    </row>
    <row r="10" spans="1:5">
      <c r="A10" t="s">
        <v>52</v>
      </c>
      <c r="B10">
        <v>145.53</v>
      </c>
      <c r="C10" s="28" t="s">
        <v>107</v>
      </c>
      <c r="D10" s="4"/>
    </row>
    <row r="11" spans="1:5">
      <c r="A11" t="s">
        <v>26</v>
      </c>
      <c r="B11">
        <v>522.89</v>
      </c>
      <c r="C11" s="28" t="s">
        <v>108</v>
      </c>
      <c r="D11" s="4"/>
    </row>
    <row r="12" spans="1:5">
      <c r="A12" t="s">
        <v>27</v>
      </c>
      <c r="B12">
        <v>761.36</v>
      </c>
      <c r="C12" s="28" t="s">
        <v>109</v>
      </c>
      <c r="D12" s="4"/>
    </row>
    <row r="13" spans="1:5">
      <c r="A13" t="s">
        <v>29</v>
      </c>
      <c r="B13">
        <v>101.94</v>
      </c>
      <c r="C13" s="28" t="s">
        <v>110</v>
      </c>
      <c r="D13" s="4"/>
    </row>
    <row r="14" spans="1:5">
      <c r="A14" t="s">
        <v>31</v>
      </c>
      <c r="B14">
        <v>268.47000000000003</v>
      </c>
      <c r="C14" s="28" t="s">
        <v>120</v>
      </c>
      <c r="D14" s="4"/>
    </row>
    <row r="15" spans="1:5">
      <c r="A15" t="s">
        <v>33</v>
      </c>
      <c r="C15" s="28" t="s">
        <v>116</v>
      </c>
      <c r="D15" s="4"/>
    </row>
    <row r="16" spans="1:5">
      <c r="A16" t="s">
        <v>34</v>
      </c>
      <c r="C16" s="28"/>
      <c r="D16" s="4"/>
    </row>
    <row r="17" spans="1:5">
      <c r="A17" t="s">
        <v>98</v>
      </c>
      <c r="B17">
        <v>51.46</v>
      </c>
      <c r="C17" s="28" t="s">
        <v>112</v>
      </c>
      <c r="D17" s="4"/>
      <c r="E17" t="s">
        <v>121</v>
      </c>
    </row>
    <row r="18" spans="1:5">
      <c r="A18" t="s">
        <v>98</v>
      </c>
      <c r="B18">
        <v>41.46</v>
      </c>
      <c r="C18" s="28" t="s">
        <v>112</v>
      </c>
      <c r="D18" s="4"/>
      <c r="E18" t="s">
        <v>39</v>
      </c>
    </row>
    <row r="19" spans="1:5">
      <c r="A19" t="s">
        <v>46</v>
      </c>
      <c r="B19" s="8">
        <v>9547.0499999999993</v>
      </c>
      <c r="C19" s="28" t="s">
        <v>112</v>
      </c>
      <c r="D19" s="4"/>
    </row>
    <row r="21" spans="1:5">
      <c r="B21" s="8"/>
    </row>
  </sheetData>
  <dataValidations count="1">
    <dataValidation type="list" allowBlank="1" showInputMessage="1" showErrorMessage="1" sqref="D8:D9" xr:uid="{6BD80059-BB32-4501-9819-D638743642FB}">
      <formula1>"Bottle  Production,Fiberglass production,Processed glass aggregate,Daily cover/landfill-based use, Other-specify in comments column"</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7F14-F1AA-46D5-B551-83C1148905F5}">
  <dimension ref="A1:E21"/>
  <sheetViews>
    <sheetView tabSelected="1" workbookViewId="0">
      <selection activeCell="C22" sqref="C22"/>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119</v>
      </c>
      <c r="B3" s="2"/>
    </row>
    <row r="4" spans="1:5" ht="30">
      <c r="A4" s="2" t="s">
        <v>5</v>
      </c>
      <c r="B4" s="2" t="s">
        <v>6</v>
      </c>
      <c r="C4" s="2" t="s">
        <v>7</v>
      </c>
      <c r="D4" s="3" t="s">
        <v>8</v>
      </c>
      <c r="E4" s="2" t="s">
        <v>9</v>
      </c>
    </row>
    <row r="5" spans="1:5">
      <c r="A5" t="s">
        <v>10</v>
      </c>
      <c r="B5" s="12">
        <v>22621.79</v>
      </c>
      <c r="C5" s="28" t="s">
        <v>105</v>
      </c>
      <c r="D5" s="4"/>
    </row>
    <row r="6" spans="1:5">
      <c r="A6" t="s">
        <v>12</v>
      </c>
      <c r="B6" s="5"/>
      <c r="C6" s="28"/>
      <c r="D6" s="4"/>
    </row>
    <row r="7" spans="1:5">
      <c r="A7" t="s">
        <v>14</v>
      </c>
      <c r="B7" s="12">
        <v>22689.88</v>
      </c>
      <c r="C7" s="28" t="s">
        <v>106</v>
      </c>
      <c r="D7" s="4"/>
    </row>
    <row r="8" spans="1:5">
      <c r="A8" t="s">
        <v>16</v>
      </c>
      <c r="B8" s="12">
        <v>6257.35</v>
      </c>
      <c r="C8" s="28" t="s">
        <v>112</v>
      </c>
      <c r="D8" t="s">
        <v>85</v>
      </c>
    </row>
    <row r="9" spans="1:5">
      <c r="A9" t="s">
        <v>20</v>
      </c>
      <c r="B9" s="5">
        <v>59.27</v>
      </c>
      <c r="C9" s="28"/>
      <c r="D9" t="s">
        <v>18</v>
      </c>
    </row>
    <row r="10" spans="1:5">
      <c r="A10" t="s">
        <v>52</v>
      </c>
      <c r="B10" s="5">
        <v>446.08</v>
      </c>
      <c r="C10" s="28" t="s">
        <v>107</v>
      </c>
      <c r="D10" s="4"/>
    </row>
    <row r="11" spans="1:5">
      <c r="A11" t="s">
        <v>26</v>
      </c>
      <c r="B11" s="5">
        <v>541.24</v>
      </c>
      <c r="C11" s="28" t="s">
        <v>108</v>
      </c>
      <c r="D11" s="4"/>
    </row>
    <row r="12" spans="1:5">
      <c r="A12" t="s">
        <v>27</v>
      </c>
      <c r="B12" s="12">
        <v>1608.94</v>
      </c>
      <c r="C12" s="28" t="s">
        <v>109</v>
      </c>
      <c r="D12" s="4"/>
    </row>
    <row r="13" spans="1:5">
      <c r="A13" t="s">
        <v>29</v>
      </c>
      <c r="B13" s="5">
        <v>375</v>
      </c>
      <c r="C13" s="28" t="s">
        <v>110</v>
      </c>
      <c r="D13" s="4"/>
    </row>
    <row r="14" spans="1:5">
      <c r="A14" t="s">
        <v>31</v>
      </c>
      <c r="B14" s="5">
        <v>659.5</v>
      </c>
      <c r="C14" s="28" t="s">
        <v>120</v>
      </c>
      <c r="D14" s="4"/>
    </row>
    <row r="15" spans="1:5">
      <c r="A15" t="s">
        <v>33</v>
      </c>
      <c r="B15" s="5"/>
      <c r="C15" s="28"/>
      <c r="D15" s="4"/>
    </row>
    <row r="16" spans="1:5">
      <c r="A16" t="s">
        <v>34</v>
      </c>
      <c r="B16" s="5"/>
      <c r="C16" s="28"/>
      <c r="D16" s="4"/>
    </row>
    <row r="17" spans="1:5">
      <c r="A17" t="s">
        <v>98</v>
      </c>
      <c r="B17" s="5">
        <v>152.46</v>
      </c>
      <c r="C17" s="28" t="s">
        <v>112</v>
      </c>
      <c r="D17" s="4"/>
      <c r="E17" t="s">
        <v>122</v>
      </c>
    </row>
    <row r="18" spans="1:5">
      <c r="A18" t="s">
        <v>98</v>
      </c>
      <c r="B18" s="5">
        <v>21.71</v>
      </c>
      <c r="C18" s="28" t="s">
        <v>112</v>
      </c>
      <c r="D18" s="4"/>
      <c r="E18" t="s">
        <v>39</v>
      </c>
    </row>
    <row r="19" spans="1:5">
      <c r="A19" t="s">
        <v>46</v>
      </c>
      <c r="B19" s="12">
        <v>13092.04</v>
      </c>
      <c r="C19" s="28" t="s">
        <v>112</v>
      </c>
      <c r="D19" s="4"/>
    </row>
    <row r="21" spans="1:5">
      <c r="B21" s="8"/>
    </row>
  </sheetData>
  <dataValidations count="1">
    <dataValidation type="list" allowBlank="1" showInputMessage="1" showErrorMessage="1" sqref="D8:D9" xr:uid="{05E1D9E2-D03E-4276-8838-E9E8264E6D08}">
      <formula1>"Bottle  Production,Fiberglass production,Processed glass aggregate,Daily cover/landfill-based use, Other-specify in comments column"</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3636-DFC7-4320-A371-757E8425A221}">
  <dimension ref="A1:E19"/>
  <sheetViews>
    <sheetView workbookViewId="0">
      <selection activeCell="C19" sqref="C19"/>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123</v>
      </c>
      <c r="B3" s="2"/>
    </row>
    <row r="4" spans="1:5" ht="30">
      <c r="A4" s="2" t="s">
        <v>5</v>
      </c>
      <c r="B4" s="2" t="s">
        <v>6</v>
      </c>
      <c r="C4" s="2" t="s">
        <v>7</v>
      </c>
      <c r="D4" s="3" t="s">
        <v>8</v>
      </c>
      <c r="E4" s="2" t="s">
        <v>9</v>
      </c>
    </row>
    <row r="5" spans="1:5">
      <c r="A5" t="s">
        <v>10</v>
      </c>
      <c r="B5" s="22">
        <v>27305.73</v>
      </c>
      <c r="C5" t="s">
        <v>124</v>
      </c>
      <c r="D5" s="4"/>
    </row>
    <row r="6" spans="1:5">
      <c r="A6" t="s">
        <v>12</v>
      </c>
      <c r="B6" s="22"/>
      <c r="D6" s="4"/>
    </row>
    <row r="7" spans="1:5">
      <c r="A7" t="s">
        <v>14</v>
      </c>
      <c r="B7" s="22">
        <v>45478.17</v>
      </c>
      <c r="C7" t="s">
        <v>125</v>
      </c>
      <c r="D7" s="4"/>
    </row>
    <row r="8" spans="1:5">
      <c r="A8" t="s">
        <v>16</v>
      </c>
      <c r="B8" s="26">
        <v>14394.333500000001</v>
      </c>
      <c r="C8" s="17" t="s">
        <v>17</v>
      </c>
      <c r="D8" t="s">
        <v>18</v>
      </c>
    </row>
    <row r="9" spans="1:5">
      <c r="A9" t="s">
        <v>20</v>
      </c>
      <c r="B9" s="22"/>
    </row>
    <row r="10" spans="1:5">
      <c r="A10" t="s">
        <v>52</v>
      </c>
      <c r="B10" s="22">
        <v>816.78</v>
      </c>
      <c r="C10" t="s">
        <v>126</v>
      </c>
      <c r="D10" s="4"/>
    </row>
    <row r="11" spans="1:5">
      <c r="A11" t="s">
        <v>26</v>
      </c>
      <c r="B11" s="22">
        <v>1504.54</v>
      </c>
      <c r="C11" t="s">
        <v>17</v>
      </c>
      <c r="D11" s="4"/>
    </row>
    <row r="12" spans="1:5">
      <c r="A12" t="s">
        <v>27</v>
      </c>
      <c r="B12" s="26">
        <v>3422.9054999999998</v>
      </c>
      <c r="C12" t="s">
        <v>127</v>
      </c>
      <c r="D12" s="4"/>
    </row>
    <row r="13" spans="1:5">
      <c r="A13" t="s">
        <v>29</v>
      </c>
      <c r="B13" s="22">
        <v>429.68</v>
      </c>
      <c r="C13" t="s">
        <v>21</v>
      </c>
      <c r="D13" s="4"/>
    </row>
    <row r="14" spans="1:5">
      <c r="A14" t="s">
        <v>31</v>
      </c>
      <c r="B14" s="22">
        <v>1026.71</v>
      </c>
      <c r="C14" t="s">
        <v>13</v>
      </c>
      <c r="D14" s="4"/>
    </row>
    <row r="15" spans="1:5">
      <c r="A15" t="s">
        <v>33</v>
      </c>
      <c r="B15" s="26">
        <v>844.31600000000003</v>
      </c>
      <c r="C15" t="s">
        <v>41</v>
      </c>
      <c r="D15" s="4"/>
    </row>
    <row r="16" spans="1:5">
      <c r="A16" t="s">
        <v>34</v>
      </c>
      <c r="B16" s="26">
        <v>357.875</v>
      </c>
      <c r="C16" t="s">
        <v>128</v>
      </c>
      <c r="D16" s="4"/>
    </row>
    <row r="17" spans="1:5">
      <c r="A17" t="s">
        <v>98</v>
      </c>
      <c r="B17" s="22">
        <v>29.81</v>
      </c>
      <c r="D17" s="4"/>
      <c r="E17" t="s">
        <v>129</v>
      </c>
    </row>
    <row r="18" spans="1:5">
      <c r="A18" t="s">
        <v>98</v>
      </c>
      <c r="B18" s="22">
        <v>106.11</v>
      </c>
      <c r="C18" t="s">
        <v>130</v>
      </c>
      <c r="D18" s="4"/>
      <c r="E18" t="s">
        <v>131</v>
      </c>
    </row>
    <row r="19" spans="1:5">
      <c r="A19" t="s">
        <v>46</v>
      </c>
      <c r="B19" s="22">
        <v>9188.58</v>
      </c>
      <c r="C19" t="s">
        <v>17</v>
      </c>
      <c r="D19" s="4"/>
    </row>
  </sheetData>
  <dataValidations count="1">
    <dataValidation type="list" allowBlank="1" showInputMessage="1" showErrorMessage="1" sqref="D8:D9" xr:uid="{12B8EF6B-F4CF-43CB-9058-F4AC483EAA88}">
      <formula1>"Bottle  Production,Fiberglass production,Processed glass aggregate,Daily cover/landfill-based use, Other-specify in comments column"</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4E2B-CA50-432F-9310-785989239BC0}">
  <dimension ref="A1:E21"/>
  <sheetViews>
    <sheetView workbookViewId="0">
      <selection activeCell="C17" sqref="C17"/>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123</v>
      </c>
      <c r="B3" s="2"/>
    </row>
    <row r="4" spans="1:5" ht="30">
      <c r="A4" s="2" t="s">
        <v>5</v>
      </c>
      <c r="B4" s="2" t="s">
        <v>6</v>
      </c>
      <c r="C4" s="2" t="s">
        <v>7</v>
      </c>
      <c r="D4" s="3" t="s">
        <v>8</v>
      </c>
      <c r="E4" s="2" t="s">
        <v>9</v>
      </c>
    </row>
    <row r="5" spans="1:5">
      <c r="A5" t="s">
        <v>10</v>
      </c>
      <c r="B5" s="13">
        <v>22255.01</v>
      </c>
      <c r="C5" t="s">
        <v>132</v>
      </c>
      <c r="D5" s="4"/>
    </row>
    <row r="6" spans="1:5">
      <c r="A6" t="s">
        <v>12</v>
      </c>
      <c r="D6" s="4"/>
    </row>
    <row r="7" spans="1:5">
      <c r="A7" t="s">
        <v>14</v>
      </c>
      <c r="B7" s="13">
        <v>45314.220500000003</v>
      </c>
      <c r="C7" t="s">
        <v>125</v>
      </c>
      <c r="D7" s="4"/>
    </row>
    <row r="8" spans="1:5">
      <c r="A8" t="s">
        <v>16</v>
      </c>
      <c r="B8" s="14">
        <v>12981.37</v>
      </c>
      <c r="C8" s="17" t="s">
        <v>17</v>
      </c>
      <c r="D8" t="s">
        <v>18</v>
      </c>
    </row>
    <row r="9" spans="1:5">
      <c r="A9" t="s">
        <v>20</v>
      </c>
    </row>
    <row r="10" spans="1:5">
      <c r="A10" t="s">
        <v>52</v>
      </c>
      <c r="B10" s="15">
        <v>695.2</v>
      </c>
      <c r="C10" t="s">
        <v>126</v>
      </c>
      <c r="D10" s="4"/>
    </row>
    <row r="11" spans="1:5">
      <c r="A11" t="s">
        <v>26</v>
      </c>
      <c r="B11">
        <v>1369.99</v>
      </c>
      <c r="C11" t="s">
        <v>17</v>
      </c>
      <c r="D11" s="4"/>
    </row>
    <row r="12" spans="1:5">
      <c r="A12" t="s">
        <v>27</v>
      </c>
      <c r="B12">
        <v>3000.74</v>
      </c>
      <c r="C12" t="s">
        <v>127</v>
      </c>
      <c r="D12" s="4"/>
    </row>
    <row r="13" spans="1:5">
      <c r="A13" t="s">
        <v>29</v>
      </c>
      <c r="B13">
        <v>307.72000000000003</v>
      </c>
      <c r="C13" t="s">
        <v>21</v>
      </c>
      <c r="D13" s="4"/>
    </row>
    <row r="14" spans="1:5">
      <c r="A14" t="s">
        <v>31</v>
      </c>
      <c r="B14">
        <v>844.19</v>
      </c>
      <c r="C14" t="s">
        <v>13</v>
      </c>
      <c r="D14" s="4"/>
    </row>
    <row r="15" spans="1:5">
      <c r="A15" t="s">
        <v>33</v>
      </c>
      <c r="B15">
        <v>794.9</v>
      </c>
      <c r="C15" t="s">
        <v>41</v>
      </c>
      <c r="D15" s="4"/>
    </row>
    <row r="16" spans="1:5">
      <c r="A16" t="s">
        <v>34</v>
      </c>
      <c r="B16">
        <v>321</v>
      </c>
      <c r="C16" t="s">
        <v>128</v>
      </c>
      <c r="D16" s="4"/>
    </row>
    <row r="17" spans="1:5">
      <c r="A17" t="s">
        <v>98</v>
      </c>
      <c r="B17">
        <v>24.53</v>
      </c>
      <c r="D17" s="4"/>
      <c r="E17" s="15" t="s">
        <v>133</v>
      </c>
    </row>
    <row r="18" spans="1:5">
      <c r="A18" t="s">
        <v>98</v>
      </c>
      <c r="B18">
        <v>123.54</v>
      </c>
      <c r="C18" t="s">
        <v>130</v>
      </c>
      <c r="D18" s="4"/>
      <c r="E18" s="15" t="s">
        <v>134</v>
      </c>
    </row>
    <row r="19" spans="1:5">
      <c r="A19" t="s">
        <v>46</v>
      </c>
      <c r="B19" s="14">
        <v>9336.8700000000008</v>
      </c>
      <c r="C19" t="s">
        <v>17</v>
      </c>
      <c r="D19" s="4"/>
    </row>
    <row r="20" spans="1:5">
      <c r="B20" s="8"/>
    </row>
    <row r="21" spans="1:5">
      <c r="B21" s="8"/>
    </row>
  </sheetData>
  <dataValidations count="1">
    <dataValidation type="list" allowBlank="1" showInputMessage="1" showErrorMessage="1" sqref="D8:D9" xr:uid="{B4763740-D937-4E5D-B808-4A29AB559BB9}">
      <formula1>"Bottle  Production,Fiberglass production,Processed glass aggregate,Daily cover/landfill-based use, Other-specify in comments column"</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A60D-7946-4528-8D06-22ABD1C85F87}">
  <dimension ref="A1:C11"/>
  <sheetViews>
    <sheetView workbookViewId="0">
      <selection activeCell="B6" sqref="B6:C11"/>
    </sheetView>
  </sheetViews>
  <sheetFormatPr defaultRowHeight="15"/>
  <cols>
    <col min="1" max="1" width="26.140625" customWidth="1"/>
    <col min="2" max="3" width="10.5703125" bestFit="1" customWidth="1"/>
  </cols>
  <sheetData>
    <row r="1" spans="1:3">
      <c r="A1" t="s">
        <v>135</v>
      </c>
    </row>
    <row r="3" spans="1:3">
      <c r="A3" t="s">
        <v>136</v>
      </c>
    </row>
    <row r="5" spans="1:3">
      <c r="A5" s="2" t="s">
        <v>137</v>
      </c>
      <c r="B5" s="2">
        <v>2022</v>
      </c>
      <c r="C5" s="2">
        <v>2023</v>
      </c>
    </row>
    <row r="6" spans="1:3">
      <c r="A6" t="s">
        <v>64</v>
      </c>
      <c r="B6" s="22">
        <v>10751.5</v>
      </c>
      <c r="C6" s="22">
        <v>11911.9</v>
      </c>
    </row>
    <row r="7" spans="1:3">
      <c r="A7" t="s">
        <v>138</v>
      </c>
      <c r="B7" s="22">
        <v>444.5</v>
      </c>
      <c r="C7" s="22">
        <v>564.6</v>
      </c>
    </row>
    <row r="8" spans="1:3">
      <c r="A8" t="s">
        <v>139</v>
      </c>
      <c r="B8" s="22">
        <v>25.3</v>
      </c>
      <c r="C8" s="22">
        <v>15.5</v>
      </c>
    </row>
    <row r="9" spans="1:3">
      <c r="A9" t="s">
        <v>67</v>
      </c>
      <c r="B9" s="22">
        <v>18.2</v>
      </c>
      <c r="C9" s="22">
        <v>54.1</v>
      </c>
    </row>
    <row r="10" spans="1:3">
      <c r="A10" t="s">
        <v>140</v>
      </c>
      <c r="B10" s="22">
        <v>24475.599999999999</v>
      </c>
      <c r="C10" s="22">
        <v>25444.9</v>
      </c>
    </row>
    <row r="11" spans="1:3">
      <c r="A11" t="s">
        <v>141</v>
      </c>
      <c r="B11" s="22">
        <v>27.9</v>
      </c>
      <c r="C11" s="22">
        <v>17.100000000000001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29A8-D28C-42AF-8652-6B1328A80922}">
  <dimension ref="A1:E23"/>
  <sheetViews>
    <sheetView workbookViewId="0">
      <selection activeCell="C29" sqref="C29"/>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142</v>
      </c>
      <c r="B3" s="2"/>
    </row>
    <row r="4" spans="1:5" ht="30">
      <c r="A4" s="2" t="s">
        <v>5</v>
      </c>
      <c r="B4" s="2" t="s">
        <v>6</v>
      </c>
      <c r="C4" s="2" t="s">
        <v>7</v>
      </c>
      <c r="D4" s="3" t="s">
        <v>8</v>
      </c>
      <c r="E4" s="2" t="s">
        <v>9</v>
      </c>
    </row>
    <row r="5" spans="1:5">
      <c r="A5" t="s">
        <v>10</v>
      </c>
      <c r="B5" s="22">
        <v>26835.15</v>
      </c>
      <c r="C5" s="1" t="s">
        <v>143</v>
      </c>
      <c r="D5" s="4"/>
    </row>
    <row r="6" spans="1:5">
      <c r="A6" t="s">
        <v>12</v>
      </c>
      <c r="B6" s="22">
        <v>0</v>
      </c>
      <c r="D6" s="4"/>
    </row>
    <row r="7" spans="1:5">
      <c r="A7" t="s">
        <v>14</v>
      </c>
      <c r="B7" s="22">
        <v>24640.76</v>
      </c>
      <c r="C7" t="s">
        <v>144</v>
      </c>
      <c r="D7" s="4"/>
    </row>
    <row r="8" spans="1:5">
      <c r="A8" t="s">
        <v>16</v>
      </c>
      <c r="B8" s="22">
        <v>8608.68</v>
      </c>
      <c r="C8" t="s">
        <v>17</v>
      </c>
      <c r="D8" t="s">
        <v>18</v>
      </c>
    </row>
    <row r="9" spans="1:5">
      <c r="A9" t="s">
        <v>20</v>
      </c>
      <c r="B9" s="22">
        <v>6945.06</v>
      </c>
      <c r="C9" t="s">
        <v>84</v>
      </c>
      <c r="D9" t="s">
        <v>85</v>
      </c>
    </row>
    <row r="10" spans="1:5">
      <c r="A10" t="s">
        <v>52</v>
      </c>
      <c r="B10" s="22">
        <v>973.7</v>
      </c>
      <c r="C10" t="s">
        <v>126</v>
      </c>
      <c r="D10" s="4"/>
    </row>
    <row r="11" spans="1:5">
      <c r="A11" t="s">
        <v>26</v>
      </c>
      <c r="B11" s="22">
        <v>1457.55</v>
      </c>
      <c r="C11" t="s">
        <v>13</v>
      </c>
      <c r="D11" s="4"/>
    </row>
    <row r="12" spans="1:5">
      <c r="A12" t="s">
        <v>27</v>
      </c>
      <c r="B12" s="22">
        <v>2869.05</v>
      </c>
      <c r="C12" t="s">
        <v>145</v>
      </c>
      <c r="D12" s="4"/>
    </row>
    <row r="13" spans="1:5">
      <c r="A13" t="s">
        <v>29</v>
      </c>
      <c r="B13" s="22">
        <v>239.93</v>
      </c>
      <c r="C13" t="s">
        <v>21</v>
      </c>
      <c r="D13" s="4"/>
    </row>
    <row r="14" spans="1:5">
      <c r="A14" t="s">
        <v>31</v>
      </c>
      <c r="B14" s="22">
        <v>1289.1500000000001</v>
      </c>
      <c r="C14" t="s">
        <v>13</v>
      </c>
      <c r="D14" s="4"/>
    </row>
    <row r="15" spans="1:5">
      <c r="A15" t="s">
        <v>33</v>
      </c>
      <c r="B15" s="22">
        <v>349.03</v>
      </c>
      <c r="C15" t="s">
        <v>146</v>
      </c>
      <c r="D15" s="4"/>
    </row>
    <row r="16" spans="1:5">
      <c r="A16" t="s">
        <v>34</v>
      </c>
      <c r="B16" s="22">
        <v>0</v>
      </c>
      <c r="D16" s="4"/>
    </row>
    <row r="17" spans="1:5">
      <c r="A17" t="s">
        <v>98</v>
      </c>
      <c r="B17" s="22">
        <v>521.98</v>
      </c>
      <c r="C17" t="s">
        <v>147</v>
      </c>
      <c r="D17" s="4"/>
      <c r="E17" t="s">
        <v>148</v>
      </c>
    </row>
    <row r="18" spans="1:5">
      <c r="A18" t="s">
        <v>98</v>
      </c>
      <c r="B18" s="22">
        <v>271.58999999999997</v>
      </c>
      <c r="C18" t="s">
        <v>94</v>
      </c>
      <c r="D18" s="4"/>
      <c r="E18" t="s">
        <v>149</v>
      </c>
    </row>
    <row r="19" spans="1:5">
      <c r="A19" t="s">
        <v>98</v>
      </c>
      <c r="B19" s="22">
        <v>59.87</v>
      </c>
      <c r="C19" t="s">
        <v>84</v>
      </c>
      <c r="D19" s="4"/>
      <c r="E19" t="s">
        <v>150</v>
      </c>
    </row>
    <row r="20" spans="1:5">
      <c r="A20" t="s">
        <v>98</v>
      </c>
      <c r="B20" s="22">
        <v>365.2</v>
      </c>
      <c r="C20" t="s">
        <v>17</v>
      </c>
      <c r="D20" s="4"/>
      <c r="E20" t="s">
        <v>151</v>
      </c>
    </row>
    <row r="21" spans="1:5">
      <c r="A21" t="s">
        <v>46</v>
      </c>
      <c r="B21" s="22">
        <v>15294.91</v>
      </c>
      <c r="C21" t="s">
        <v>84</v>
      </c>
      <c r="D21" s="4"/>
    </row>
    <row r="23" spans="1:5">
      <c r="A23" t="s">
        <v>152</v>
      </c>
    </row>
  </sheetData>
  <dataValidations count="1">
    <dataValidation type="list" allowBlank="1" showInputMessage="1" showErrorMessage="1" sqref="D8:D9" xr:uid="{62E68211-C2FB-4F20-859A-678F13310ED4}">
      <formula1>"Bottle  Production,Fiberglass production,Processed glass aggregate,Daily cover/landfill-based use, Other-specify in comments column"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A4D4-15CF-4BA8-A9A6-BFADDB0C07D3}">
  <dimension ref="A1:E23"/>
  <sheetViews>
    <sheetView workbookViewId="0">
      <selection activeCell="A25" sqref="A25"/>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4</v>
      </c>
      <c r="B3" s="2"/>
    </row>
    <row r="4" spans="1:5" ht="30">
      <c r="A4" s="2" t="s">
        <v>5</v>
      </c>
      <c r="B4" s="2" t="s">
        <v>6</v>
      </c>
      <c r="C4" s="2" t="s">
        <v>7</v>
      </c>
      <c r="D4" s="3" t="s">
        <v>8</v>
      </c>
      <c r="E4" s="2" t="s">
        <v>9</v>
      </c>
    </row>
    <row r="5" spans="1:5">
      <c r="A5" t="s">
        <v>10</v>
      </c>
      <c r="B5" s="22">
        <f>SUM(1176.59+569.15+134.83+419.04+6109.34+832.9+150.78+186.79+3260.88+1714.59+130.84+106.76)</f>
        <v>14792.490000000003</v>
      </c>
      <c r="C5" t="s">
        <v>11</v>
      </c>
      <c r="D5" s="4"/>
    </row>
    <row r="6" spans="1:5">
      <c r="A6" t="s">
        <v>12</v>
      </c>
      <c r="B6" s="22">
        <v>3218.08</v>
      </c>
      <c r="C6" t="s">
        <v>13</v>
      </c>
      <c r="D6" s="4"/>
    </row>
    <row r="7" spans="1:5">
      <c r="A7" t="s">
        <v>14</v>
      </c>
      <c r="B7" s="22">
        <f>SUM(12498.04+1127.65+10294.19+1448.04+2968.24+4862.86+197.71+619.38+385.98+9538.57+307.36+2319.67)</f>
        <v>46567.69</v>
      </c>
      <c r="C7" t="s">
        <v>15</v>
      </c>
      <c r="D7" s="4"/>
    </row>
    <row r="8" spans="1:5">
      <c r="A8" t="s">
        <v>16</v>
      </c>
      <c r="B8" s="22">
        <f>SUM(2410.7+3851.25)</f>
        <v>6261.95</v>
      </c>
      <c r="C8" t="s">
        <v>17</v>
      </c>
      <c r="D8" t="s">
        <v>18</v>
      </c>
      <c r="E8" t="s">
        <v>19</v>
      </c>
    </row>
    <row r="9" spans="1:5">
      <c r="A9" t="s">
        <v>20</v>
      </c>
      <c r="B9" s="22">
        <v>5970.93</v>
      </c>
      <c r="C9" t="s">
        <v>21</v>
      </c>
      <c r="D9" t="s">
        <v>22</v>
      </c>
      <c r="E9" t="s">
        <v>23</v>
      </c>
    </row>
    <row r="10" spans="1:5">
      <c r="A10" t="s">
        <v>24</v>
      </c>
      <c r="B10" s="22">
        <v>886.35</v>
      </c>
      <c r="C10" t="s">
        <v>25</v>
      </c>
      <c r="D10" s="4"/>
    </row>
    <row r="11" spans="1:5">
      <c r="A11" t="s">
        <v>26</v>
      </c>
      <c r="B11" s="22">
        <f>SUM(715.04+1302.6)</f>
        <v>2017.6399999999999</v>
      </c>
      <c r="C11" t="s">
        <v>13</v>
      </c>
      <c r="D11" s="4"/>
    </row>
    <row r="12" spans="1:5">
      <c r="A12" t="s">
        <v>27</v>
      </c>
      <c r="B12" s="22">
        <f>SUM(2326+76.79+2693.7+139.36+61.02)</f>
        <v>5296.87</v>
      </c>
      <c r="C12" t="s">
        <v>28</v>
      </c>
      <c r="D12" s="4"/>
    </row>
    <row r="13" spans="1:5">
      <c r="A13" t="s">
        <v>29</v>
      </c>
      <c r="B13" s="22">
        <v>1200.57</v>
      </c>
      <c r="C13" t="s">
        <v>30</v>
      </c>
      <c r="D13" s="4"/>
    </row>
    <row r="14" spans="1:5">
      <c r="A14" t="s">
        <v>31</v>
      </c>
      <c r="B14" s="22">
        <f>SUM(175.82+18.23+1173.03+5.61)</f>
        <v>1372.6899999999998</v>
      </c>
      <c r="C14" t="s">
        <v>32</v>
      </c>
      <c r="D14" s="4"/>
    </row>
    <row r="15" spans="1:5">
      <c r="A15" t="s">
        <v>33</v>
      </c>
      <c r="B15" s="22">
        <v>0</v>
      </c>
      <c r="D15" s="4"/>
    </row>
    <row r="16" spans="1:5">
      <c r="A16" t="s">
        <v>34</v>
      </c>
      <c r="B16" s="22">
        <v>0</v>
      </c>
      <c r="D16" s="4"/>
    </row>
    <row r="17" spans="1:4">
      <c r="A17" t="s">
        <v>35</v>
      </c>
      <c r="B17" s="22">
        <f>SUM(13.38+0.25+39.21+94.75+382.3+231.18)</f>
        <v>761.06999999999994</v>
      </c>
      <c r="C17" t="s">
        <v>36</v>
      </c>
      <c r="D17" s="4"/>
    </row>
    <row r="18" spans="1:4">
      <c r="A18" t="s">
        <v>37</v>
      </c>
      <c r="B18" s="22">
        <f>SUM(7.02+712.23+49.04+133.42)</f>
        <v>901.70999999999992</v>
      </c>
      <c r="C18" t="s">
        <v>38</v>
      </c>
      <c r="D18" s="4"/>
    </row>
    <row r="19" spans="1:4">
      <c r="A19" t="s">
        <v>39</v>
      </c>
      <c r="B19" s="22">
        <v>489.69</v>
      </c>
      <c r="C19" t="s">
        <v>17</v>
      </c>
      <c r="D19" s="4"/>
    </row>
    <row r="20" spans="1:4">
      <c r="A20" t="s">
        <v>40</v>
      </c>
      <c r="B20" s="22">
        <v>24.73</v>
      </c>
      <c r="C20" t="s">
        <v>41</v>
      </c>
      <c r="D20" s="4"/>
    </row>
    <row r="21" spans="1:4">
      <c r="A21" t="s">
        <v>42</v>
      </c>
      <c r="B21" s="22">
        <v>61.58</v>
      </c>
      <c r="C21" t="s">
        <v>43</v>
      </c>
      <c r="D21" s="4"/>
    </row>
    <row r="22" spans="1:4">
      <c r="A22" t="s">
        <v>44</v>
      </c>
      <c r="B22" s="22">
        <v>72.64</v>
      </c>
      <c r="C22" t="s">
        <v>45</v>
      </c>
      <c r="D22" s="4"/>
    </row>
    <row r="23" spans="1:4">
      <c r="A23" t="s">
        <v>46</v>
      </c>
      <c r="B23" s="22">
        <f>SUM(2116.06+6438.8+6657.82+27.25)</f>
        <v>15239.93</v>
      </c>
      <c r="C23" t="s">
        <v>47</v>
      </c>
      <c r="D23" s="4"/>
    </row>
  </sheetData>
  <dataValidations count="1">
    <dataValidation type="list" allowBlank="1" showInputMessage="1" showErrorMessage="1" sqref="D8:D9" xr:uid="{90EE899B-6D3C-4ED8-A691-8BA2BF831DB7}">
      <formula1>"Bottle  Production,Fiberglass production,Processed glass aggregate,Daily cover/landfill-based use, Other-specify in comments column"</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FEC6-0EFD-42A5-B64B-8E15F2D4BB4F}">
  <dimension ref="A1:E23"/>
  <sheetViews>
    <sheetView workbookViewId="0">
      <selection activeCell="D28" sqref="D28"/>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142</v>
      </c>
      <c r="B3" s="2"/>
    </row>
    <row r="4" spans="1:5" ht="30">
      <c r="A4" s="2" t="s">
        <v>5</v>
      </c>
      <c r="B4" s="2" t="s">
        <v>6</v>
      </c>
      <c r="C4" s="2" t="s">
        <v>7</v>
      </c>
      <c r="D4" s="3" t="s">
        <v>8</v>
      </c>
      <c r="E4" s="2" t="s">
        <v>9</v>
      </c>
    </row>
    <row r="5" spans="1:5">
      <c r="A5" t="s">
        <v>10</v>
      </c>
      <c r="B5" s="22">
        <v>30442.53</v>
      </c>
      <c r="C5" s="1" t="s">
        <v>143</v>
      </c>
      <c r="D5" s="4"/>
    </row>
    <row r="6" spans="1:5">
      <c r="A6" t="s">
        <v>12</v>
      </c>
      <c r="B6" s="22">
        <v>0</v>
      </c>
      <c r="D6" s="4"/>
    </row>
    <row r="7" spans="1:5">
      <c r="A7" t="s">
        <v>14</v>
      </c>
      <c r="B7" s="22">
        <v>21816.959999999999</v>
      </c>
      <c r="C7" t="s">
        <v>144</v>
      </c>
      <c r="D7" s="4"/>
    </row>
    <row r="8" spans="1:5">
      <c r="A8" t="s">
        <v>16</v>
      </c>
      <c r="B8" s="22">
        <v>9309.6299999999992</v>
      </c>
      <c r="C8" t="s">
        <v>17</v>
      </c>
      <c r="D8" t="s">
        <v>18</v>
      </c>
    </row>
    <row r="9" spans="1:5">
      <c r="A9" t="s">
        <v>20</v>
      </c>
      <c r="B9" s="22">
        <v>7975.52</v>
      </c>
      <c r="C9" t="s">
        <v>84</v>
      </c>
      <c r="D9" t="s">
        <v>85</v>
      </c>
    </row>
    <row r="10" spans="1:5">
      <c r="A10" t="s">
        <v>52</v>
      </c>
      <c r="B10" s="22">
        <v>1207.82</v>
      </c>
      <c r="C10" t="s">
        <v>126</v>
      </c>
      <c r="D10" s="4"/>
    </row>
    <row r="11" spans="1:5">
      <c r="A11" t="s">
        <v>26</v>
      </c>
      <c r="B11" s="22">
        <v>1615.33</v>
      </c>
      <c r="C11" t="s">
        <v>13</v>
      </c>
      <c r="D11" s="4"/>
    </row>
    <row r="12" spans="1:5">
      <c r="A12" t="s">
        <v>27</v>
      </c>
      <c r="B12" s="22">
        <v>3537.24</v>
      </c>
      <c r="C12" t="s">
        <v>145</v>
      </c>
      <c r="D12" s="4"/>
    </row>
    <row r="13" spans="1:5">
      <c r="A13" t="s">
        <v>29</v>
      </c>
      <c r="B13" s="22">
        <v>459.47</v>
      </c>
      <c r="C13" t="s">
        <v>21</v>
      </c>
      <c r="D13" s="4"/>
    </row>
    <row r="14" spans="1:5">
      <c r="A14" t="s">
        <v>31</v>
      </c>
      <c r="B14" s="22">
        <v>1366.36</v>
      </c>
      <c r="C14" t="s">
        <v>13</v>
      </c>
      <c r="D14" s="4"/>
    </row>
    <row r="15" spans="1:5">
      <c r="A15" t="s">
        <v>33</v>
      </c>
      <c r="B15" s="22">
        <v>330.63</v>
      </c>
      <c r="C15" t="s">
        <v>146</v>
      </c>
      <c r="D15" s="4"/>
    </row>
    <row r="16" spans="1:5">
      <c r="A16" t="s">
        <v>34</v>
      </c>
      <c r="B16" s="22">
        <v>0</v>
      </c>
      <c r="D16" s="4"/>
    </row>
    <row r="17" spans="1:5">
      <c r="A17" t="s">
        <v>98</v>
      </c>
      <c r="B17" s="22">
        <v>540.51</v>
      </c>
      <c r="C17" t="s">
        <v>147</v>
      </c>
      <c r="D17" s="4"/>
      <c r="E17" t="s">
        <v>148</v>
      </c>
    </row>
    <row r="18" spans="1:5">
      <c r="A18" t="s">
        <v>98</v>
      </c>
      <c r="B18" s="22">
        <v>50.62</v>
      </c>
      <c r="C18" t="s">
        <v>84</v>
      </c>
      <c r="D18" s="4"/>
      <c r="E18" t="s">
        <v>150</v>
      </c>
    </row>
    <row r="19" spans="1:5">
      <c r="A19" t="s">
        <v>98</v>
      </c>
      <c r="B19" s="22">
        <v>453.05</v>
      </c>
      <c r="C19" t="s">
        <v>17</v>
      </c>
      <c r="D19" s="4"/>
      <c r="E19" t="s">
        <v>153</v>
      </c>
    </row>
    <row r="20" spans="1:5">
      <c r="A20" t="s">
        <v>46</v>
      </c>
      <c r="B20" s="22">
        <v>18144.95</v>
      </c>
      <c r="C20" t="s">
        <v>84</v>
      </c>
      <c r="D20" s="4"/>
    </row>
    <row r="23" spans="1:5">
      <c r="A23" t="s">
        <v>152</v>
      </c>
    </row>
  </sheetData>
  <dataValidations count="1">
    <dataValidation type="list" allowBlank="1" showInputMessage="1" showErrorMessage="1" sqref="D8:D9" xr:uid="{DA43EFFB-4F0C-4CCA-9201-C23FE3516BE1}">
      <formula1>"Bottle  Production,Fiberglass production,Processed glass aggregate,Daily cover/landfill-based use, Other-specify in comments column"</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7113C-4F7F-4315-86BD-3500D63B807F}">
  <dimension ref="A1:C14"/>
  <sheetViews>
    <sheetView workbookViewId="0">
      <selection activeCell="G18" sqref="G18"/>
    </sheetView>
  </sheetViews>
  <sheetFormatPr defaultRowHeight="15"/>
  <cols>
    <col min="1" max="1" width="25" customWidth="1"/>
    <col min="2" max="3" width="10.5703125" bestFit="1" customWidth="1"/>
  </cols>
  <sheetData>
    <row r="1" spans="1:3">
      <c r="A1" t="s">
        <v>154</v>
      </c>
    </row>
    <row r="3" spans="1:3">
      <c r="A3" t="s">
        <v>136</v>
      </c>
    </row>
    <row r="5" spans="1:3">
      <c r="A5" s="2" t="s">
        <v>137</v>
      </c>
      <c r="B5" s="2">
        <v>2022</v>
      </c>
      <c r="C5" s="2">
        <v>2023</v>
      </c>
    </row>
    <row r="6" spans="1:3">
      <c r="A6" t="s">
        <v>64</v>
      </c>
      <c r="B6" s="22">
        <v>11748.68</v>
      </c>
      <c r="C6" s="22">
        <v>11948.83</v>
      </c>
    </row>
    <row r="7" spans="1:3">
      <c r="A7" t="s">
        <v>138</v>
      </c>
      <c r="B7" s="22">
        <v>774.09</v>
      </c>
      <c r="C7" s="22">
        <v>751.47500000000002</v>
      </c>
    </row>
    <row r="8" spans="1:3">
      <c r="A8" t="s">
        <v>155</v>
      </c>
      <c r="B8" s="22">
        <v>152.26</v>
      </c>
      <c r="C8" s="22">
        <v>139.1</v>
      </c>
    </row>
    <row r="9" spans="1:3">
      <c r="A9" t="s">
        <v>150</v>
      </c>
      <c r="B9" s="22">
        <v>37.51</v>
      </c>
      <c r="C9" s="22">
        <v>24.06</v>
      </c>
    </row>
    <row r="10" spans="1:3">
      <c r="A10" t="s">
        <v>65</v>
      </c>
      <c r="B10" s="22">
        <v>199.5</v>
      </c>
      <c r="C10" s="22">
        <v>201.26</v>
      </c>
    </row>
    <row r="11" spans="1:3">
      <c r="A11" t="s">
        <v>67</v>
      </c>
      <c r="B11" s="22">
        <v>539.89049999999997</v>
      </c>
      <c r="C11" s="22">
        <v>609.26049999999998</v>
      </c>
    </row>
    <row r="12" spans="1:3">
      <c r="A12" t="s">
        <v>140</v>
      </c>
      <c r="B12" s="22">
        <v>1670.48</v>
      </c>
      <c r="C12" s="22">
        <v>2296.2600000000002</v>
      </c>
    </row>
    <row r="13" spans="1:3">
      <c r="A13" t="s">
        <v>141</v>
      </c>
      <c r="B13" s="22">
        <v>74.984999999999999</v>
      </c>
      <c r="C13" s="22">
        <v>25.669499999999999</v>
      </c>
    </row>
    <row r="14" spans="1:3">
      <c r="A14" t="s">
        <v>26</v>
      </c>
      <c r="B14" s="22">
        <v>55.03</v>
      </c>
      <c r="C14" s="22">
        <v>63.41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2B47-3B9C-4678-BD27-E0061501529F}">
  <dimension ref="A1:E22"/>
  <sheetViews>
    <sheetView workbookViewId="0">
      <selection activeCell="B20" sqref="B5:B20"/>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3</v>
      </c>
    </row>
    <row r="3" spans="1:5">
      <c r="A3" s="2" t="s">
        <v>156</v>
      </c>
      <c r="B3" s="2"/>
    </row>
    <row r="4" spans="1:5" ht="30">
      <c r="A4" s="2" t="s">
        <v>5</v>
      </c>
      <c r="B4" s="2" t="s">
        <v>6</v>
      </c>
      <c r="C4" s="2" t="s">
        <v>7</v>
      </c>
      <c r="D4" s="3" t="s">
        <v>8</v>
      </c>
      <c r="E4" s="2" t="s">
        <v>9</v>
      </c>
    </row>
    <row r="5" spans="1:5">
      <c r="A5" t="s">
        <v>10</v>
      </c>
      <c r="B5" s="22">
        <v>0</v>
      </c>
      <c r="C5" s="17" t="s">
        <v>17</v>
      </c>
      <c r="D5" s="4"/>
    </row>
    <row r="6" spans="1:5">
      <c r="A6" t="s">
        <v>12</v>
      </c>
      <c r="B6" s="22">
        <f>VLOOKUP(A6,'[1]2022 Pivot'!D:E,2,FALSE)</f>
        <v>4535.0169999999962</v>
      </c>
      <c r="C6" s="17" t="s">
        <v>17</v>
      </c>
      <c r="D6" s="4"/>
    </row>
    <row r="7" spans="1:5">
      <c r="A7" t="s">
        <v>14</v>
      </c>
      <c r="B7" s="22">
        <f>VLOOKUP(A7,'[1]2022 Pivot'!D:E,2,FALSE)</f>
        <v>5781.6129999999957</v>
      </c>
      <c r="C7" s="17" t="s">
        <v>157</v>
      </c>
      <c r="D7" s="4"/>
    </row>
    <row r="8" spans="1:5">
      <c r="A8" t="s">
        <v>16</v>
      </c>
      <c r="B8" s="22">
        <f>VLOOKUP(A8,'[1]2022 Pivot'!D:E,2,FALSE)</f>
        <v>2405.46</v>
      </c>
      <c r="C8" s="17" t="s">
        <v>13</v>
      </c>
      <c r="D8" t="s">
        <v>158</v>
      </c>
      <c r="E8" s="17" t="s">
        <v>159</v>
      </c>
    </row>
    <row r="9" spans="1:5">
      <c r="A9" t="s">
        <v>20</v>
      </c>
      <c r="B9" s="22">
        <f>VLOOKUP(A9,'[1]2022 Pivot'!D:E,2,FALSE)</f>
        <v>965.45000000000016</v>
      </c>
      <c r="C9" s="17" t="s">
        <v>97</v>
      </c>
      <c r="D9" t="s">
        <v>158</v>
      </c>
      <c r="E9" s="17" t="s">
        <v>160</v>
      </c>
    </row>
    <row r="10" spans="1:5">
      <c r="A10" t="s">
        <v>52</v>
      </c>
      <c r="B10" s="22">
        <f>VLOOKUP(A10,'[1]2022 Pivot'!D:E,2,FALSE)</f>
        <v>275.40999999999997</v>
      </c>
      <c r="C10" s="17" t="s">
        <v>13</v>
      </c>
      <c r="D10" s="4"/>
    </row>
    <row r="11" spans="1:5">
      <c r="A11" t="s">
        <v>26</v>
      </c>
      <c r="B11" s="22">
        <f>VLOOKUP(A11,'[1]2022 Pivot'!D:E,2,FALSE)</f>
        <v>607.87</v>
      </c>
      <c r="C11" s="17" t="s">
        <v>161</v>
      </c>
      <c r="D11" s="4"/>
    </row>
    <row r="12" spans="1:5">
      <c r="A12" t="s">
        <v>27</v>
      </c>
      <c r="B12" s="22">
        <f>VLOOKUP(A12,'[1]2022 Pivot'!D:E,2,FALSE)</f>
        <v>1035.9099999999999</v>
      </c>
      <c r="C12" s="17" t="s">
        <v>79</v>
      </c>
      <c r="D12" s="4"/>
    </row>
    <row r="13" spans="1:5">
      <c r="A13" t="s">
        <v>29</v>
      </c>
      <c r="B13" s="22">
        <f>VLOOKUP(A13,'[1]2022 Pivot'!D:E,2,FALSE)</f>
        <v>195.6</v>
      </c>
      <c r="C13" s="17" t="s">
        <v>21</v>
      </c>
      <c r="D13" s="4"/>
    </row>
    <row r="14" spans="1:5">
      <c r="A14" t="s">
        <v>31</v>
      </c>
      <c r="B14" s="22">
        <f>VLOOKUP(A14,'[1]2022 Pivot'!D:E,2,FALSE)</f>
        <v>230.27</v>
      </c>
      <c r="C14" s="17" t="s">
        <v>162</v>
      </c>
      <c r="D14" s="4"/>
    </row>
    <row r="15" spans="1:5">
      <c r="A15" t="s">
        <v>33</v>
      </c>
      <c r="B15" s="22">
        <f>VLOOKUP(A15,'[1]2022 Pivot'!D:E,2,FALSE)</f>
        <v>184.89999999999998</v>
      </c>
      <c r="C15" s="17" t="s">
        <v>163</v>
      </c>
      <c r="D15" s="4"/>
    </row>
    <row r="16" spans="1:5">
      <c r="A16" t="s">
        <v>34</v>
      </c>
      <c r="B16" s="22">
        <v>0</v>
      </c>
      <c r="C16" s="17"/>
      <c r="D16" s="4"/>
    </row>
    <row r="17" spans="1:5">
      <c r="A17" t="s">
        <v>164</v>
      </c>
      <c r="B17" s="22">
        <f>VLOOKUP(A17,'[1]2022 Pivot'!D:E,2,FALSE)</f>
        <v>39.980000000000004</v>
      </c>
      <c r="C17" s="17" t="s">
        <v>97</v>
      </c>
      <c r="D17" s="4"/>
      <c r="E17" t="s">
        <v>165</v>
      </c>
    </row>
    <row r="18" spans="1:5">
      <c r="A18" t="s">
        <v>166</v>
      </c>
      <c r="B18" s="22">
        <f>VLOOKUP(A18,'[1]2022 Pivot'!D:E,2,FALSE)</f>
        <v>68.02000000000001</v>
      </c>
      <c r="C18" s="17" t="s">
        <v>79</v>
      </c>
      <c r="D18" s="4"/>
      <c r="E18" t="s">
        <v>167</v>
      </c>
    </row>
    <row r="19" spans="1:5">
      <c r="A19" t="s">
        <v>168</v>
      </c>
      <c r="B19" s="22">
        <f>VLOOKUP(A19,'[1]2022 Pivot'!D:E,2,FALSE)</f>
        <v>79.009999999999991</v>
      </c>
      <c r="C19" s="17" t="s">
        <v>169</v>
      </c>
      <c r="D19" s="4"/>
      <c r="E19" s="17" t="s">
        <v>37</v>
      </c>
    </row>
    <row r="20" spans="1:5">
      <c r="A20" t="s">
        <v>46</v>
      </c>
      <c r="B20" s="22">
        <f>VLOOKUP(A20,'[1]2022 Pivot'!D:E,2,FALSE)</f>
        <v>1027.9499999999996</v>
      </c>
      <c r="C20" s="17" t="s">
        <v>17</v>
      </c>
      <c r="D20" s="4"/>
    </row>
    <row r="22" spans="1:5">
      <c r="A22" t="s">
        <v>152</v>
      </c>
    </row>
  </sheetData>
  <dataValidations count="1">
    <dataValidation type="list" allowBlank="1" showInputMessage="1" showErrorMessage="1" sqref="D8:D9" xr:uid="{E7BEE00C-2262-4399-A01A-CFDAD3E1742E}">
      <formula1>"Bottle  Production,Fiberglass production,Processed glass aggregate,Daily cover/landfill-based use, Other-specify in comments column"</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ACE1-E39E-4E61-B18C-6816F36FF976}">
  <dimension ref="A1:F22"/>
  <sheetViews>
    <sheetView workbookViewId="0">
      <selection activeCell="F5" sqref="F5:F20"/>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6">
      <c r="A1" s="2" t="s">
        <v>2</v>
      </c>
    </row>
    <row r="2" spans="1:6">
      <c r="A2" s="2" t="s">
        <v>48</v>
      </c>
    </row>
    <row r="3" spans="1:6">
      <c r="A3" s="2" t="s">
        <v>156</v>
      </c>
      <c r="B3" s="2"/>
    </row>
    <row r="4" spans="1:6" ht="30">
      <c r="A4" s="2" t="s">
        <v>5</v>
      </c>
      <c r="B4" s="2" t="s">
        <v>6</v>
      </c>
      <c r="C4" s="2" t="s">
        <v>7</v>
      </c>
      <c r="D4" s="3" t="s">
        <v>8</v>
      </c>
      <c r="E4" s="2" t="s">
        <v>9</v>
      </c>
    </row>
    <row r="5" spans="1:6">
      <c r="A5" t="s">
        <v>10</v>
      </c>
      <c r="B5" s="22">
        <f>VLOOKUP(A5,'[1]2023 Pivot'!E:F,2,FALSE)</f>
        <v>4129.0800000000008</v>
      </c>
      <c r="C5" s="17" t="s">
        <v>17</v>
      </c>
      <c r="D5" s="4"/>
      <c r="F5" s="16"/>
    </row>
    <row r="6" spans="1:6">
      <c r="A6" t="s">
        <v>12</v>
      </c>
      <c r="B6" s="22">
        <f>VLOOKUP(A6,'[1]2023 Pivot'!E:F,2,FALSE)</f>
        <v>252.55</v>
      </c>
      <c r="C6" s="17" t="s">
        <v>17</v>
      </c>
      <c r="D6" s="4"/>
      <c r="E6" t="s">
        <v>170</v>
      </c>
      <c r="F6" s="16"/>
    </row>
    <row r="7" spans="1:6">
      <c r="A7" t="s">
        <v>14</v>
      </c>
      <c r="B7" s="22">
        <f>VLOOKUP(A7,'[1]2023 Pivot'!E:F,2,FALSE)</f>
        <v>6126.409999999998</v>
      </c>
      <c r="C7" s="17" t="s">
        <v>157</v>
      </c>
      <c r="D7" s="4"/>
      <c r="F7" s="16"/>
    </row>
    <row r="8" spans="1:6">
      <c r="A8" t="s">
        <v>16</v>
      </c>
      <c r="B8" s="22">
        <f>VLOOKUP(A8,'[1]2023 Pivot'!E:F,2,FALSE)</f>
        <v>2297.7200000000007</v>
      </c>
      <c r="C8" s="17" t="s">
        <v>13</v>
      </c>
      <c r="D8" t="s">
        <v>158</v>
      </c>
      <c r="E8" s="17" t="s">
        <v>159</v>
      </c>
      <c r="F8" s="16"/>
    </row>
    <row r="9" spans="1:6">
      <c r="A9" t="s">
        <v>20</v>
      </c>
      <c r="B9" s="22">
        <f>VLOOKUP(A9,'[1]2023 Pivot'!E:F,2,FALSE)</f>
        <v>1044.3330000000001</v>
      </c>
      <c r="C9" s="17" t="s">
        <v>97</v>
      </c>
      <c r="D9" t="s">
        <v>158</v>
      </c>
      <c r="E9" s="17" t="s">
        <v>160</v>
      </c>
      <c r="F9" s="16"/>
    </row>
    <row r="10" spans="1:6">
      <c r="A10" t="s">
        <v>52</v>
      </c>
      <c r="B10" s="22">
        <f>VLOOKUP(A10,'[1]2023 Pivot'!E:F,2,FALSE)</f>
        <v>274.63</v>
      </c>
      <c r="C10" s="17" t="s">
        <v>13</v>
      </c>
      <c r="D10" s="4"/>
      <c r="F10" s="16"/>
    </row>
    <row r="11" spans="1:6">
      <c r="A11" t="s">
        <v>26</v>
      </c>
      <c r="B11" s="22">
        <f>VLOOKUP(A11,'[1]2023 Pivot'!E:F,2,FALSE)</f>
        <v>600.54000000000019</v>
      </c>
      <c r="C11" s="17" t="s">
        <v>161</v>
      </c>
      <c r="D11" s="4"/>
      <c r="F11" s="16"/>
    </row>
    <row r="12" spans="1:6">
      <c r="A12" t="s">
        <v>27</v>
      </c>
      <c r="B12" s="22">
        <f>VLOOKUP(A12,'[1]2023 Pivot'!E:F,2,FALSE)</f>
        <v>1090.2599999999998</v>
      </c>
      <c r="C12" s="17" t="s">
        <v>79</v>
      </c>
      <c r="D12" s="4"/>
      <c r="F12" s="16"/>
    </row>
    <row r="13" spans="1:6">
      <c r="A13" t="s">
        <v>29</v>
      </c>
      <c r="B13" s="22">
        <f>VLOOKUP(A13,'[1]2023 Pivot'!E:F,2,FALSE)</f>
        <v>213.19</v>
      </c>
      <c r="C13" s="17" t="s">
        <v>21</v>
      </c>
      <c r="D13" s="4"/>
      <c r="F13" s="16"/>
    </row>
    <row r="14" spans="1:6">
      <c r="A14" t="s">
        <v>31</v>
      </c>
      <c r="B14" s="22">
        <f>VLOOKUP(A14,'[1]2023 Pivot'!E:F,2,FALSE)</f>
        <v>296.14999999999998</v>
      </c>
      <c r="C14" s="17" t="s">
        <v>162</v>
      </c>
      <c r="D14" s="4"/>
      <c r="F14" s="16"/>
    </row>
    <row r="15" spans="1:6">
      <c r="A15" t="s">
        <v>33</v>
      </c>
      <c r="B15" s="22">
        <f>VLOOKUP(A15,'[1]2023 Pivot'!E:F,2,FALSE)</f>
        <v>231.1</v>
      </c>
      <c r="C15" s="17" t="s">
        <v>163</v>
      </c>
      <c r="D15" s="4"/>
      <c r="F15" s="16"/>
    </row>
    <row r="16" spans="1:6">
      <c r="A16" t="s">
        <v>34</v>
      </c>
      <c r="B16" s="22">
        <v>0</v>
      </c>
      <c r="C16" s="17"/>
      <c r="D16" s="4"/>
      <c r="F16" s="16"/>
    </row>
    <row r="17" spans="1:6">
      <c r="A17" t="s">
        <v>164</v>
      </c>
      <c r="B17" s="22">
        <f>VLOOKUP(A17,'[1]2023 Pivot'!E:F,2,FALSE)</f>
        <v>68.45</v>
      </c>
      <c r="C17" s="17" t="s">
        <v>97</v>
      </c>
      <c r="D17" s="4"/>
      <c r="E17" t="s">
        <v>165</v>
      </c>
      <c r="F17" s="16"/>
    </row>
    <row r="18" spans="1:6">
      <c r="A18" t="s">
        <v>166</v>
      </c>
      <c r="B18" s="22">
        <f>VLOOKUP(A18,'[1]2023 Pivot'!E:F,2,FALSE)</f>
        <v>65.205000000000013</v>
      </c>
      <c r="C18" s="17" t="s">
        <v>79</v>
      </c>
      <c r="D18" s="4"/>
      <c r="E18" t="s">
        <v>167</v>
      </c>
      <c r="F18" s="16"/>
    </row>
    <row r="19" spans="1:6">
      <c r="A19" t="s">
        <v>168</v>
      </c>
      <c r="B19" s="22">
        <f>VLOOKUP(A19,'[1]2023 Pivot'!E:F,2,FALSE)</f>
        <v>105.72</v>
      </c>
      <c r="C19" s="17" t="s">
        <v>169</v>
      </c>
      <c r="D19" s="4"/>
      <c r="E19" s="17" t="s">
        <v>37</v>
      </c>
      <c r="F19" s="16"/>
    </row>
    <row r="20" spans="1:6">
      <c r="A20" t="s">
        <v>46</v>
      </c>
      <c r="B20" s="22">
        <f>VLOOKUP(A20,'[1]2023 Pivot'!E:F,2,FALSE)</f>
        <v>948.6099999999999</v>
      </c>
      <c r="C20" s="17" t="s">
        <v>17</v>
      </c>
      <c r="D20" s="4"/>
      <c r="F20" s="16"/>
    </row>
    <row r="22" spans="1:6">
      <c r="A22" t="s">
        <v>152</v>
      </c>
      <c r="B22" s="16"/>
    </row>
  </sheetData>
  <dataValidations count="1">
    <dataValidation type="list" allowBlank="1" showInputMessage="1" showErrorMessage="1" sqref="D8:D9" xr:uid="{958BF771-7635-4D84-8D14-963EB53C24E2}">
      <formula1>"Bottle  Production,Fiberglass production,Processed glass aggregate,Daily cover/landfill-based use, Other-specify in comments column"</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93EB-5FA6-40E0-A5A0-61174084A0F0}">
  <dimension ref="A1:C9"/>
  <sheetViews>
    <sheetView workbookViewId="0">
      <selection activeCell="C9" sqref="B6:C9"/>
    </sheetView>
  </sheetViews>
  <sheetFormatPr defaultRowHeight="15"/>
  <cols>
    <col min="1" max="1" width="22.7109375" customWidth="1"/>
    <col min="2" max="3" width="10.5703125" bestFit="1" customWidth="1"/>
  </cols>
  <sheetData>
    <row r="1" spans="1:3">
      <c r="A1" t="s">
        <v>171</v>
      </c>
    </row>
    <row r="3" spans="1:3">
      <c r="A3" t="s">
        <v>136</v>
      </c>
    </row>
    <row r="5" spans="1:3">
      <c r="A5" s="2" t="s">
        <v>137</v>
      </c>
      <c r="B5" s="2">
        <v>2022</v>
      </c>
      <c r="C5" s="2">
        <v>2023</v>
      </c>
    </row>
    <row r="6" spans="1:3">
      <c r="A6" t="s">
        <v>138</v>
      </c>
      <c r="B6" s="22">
        <v>7372.88</v>
      </c>
      <c r="C6" s="22">
        <v>7468.87</v>
      </c>
    </row>
    <row r="7" spans="1:3">
      <c r="A7" t="s">
        <v>65</v>
      </c>
      <c r="B7" s="22">
        <v>41.52</v>
      </c>
      <c r="C7" s="22">
        <v>38.83</v>
      </c>
    </row>
    <row r="8" spans="1:3">
      <c r="A8" t="s">
        <v>67</v>
      </c>
      <c r="B8" s="22">
        <v>10237.870000000001</v>
      </c>
      <c r="C8" s="22">
        <v>10183.629999999999</v>
      </c>
    </row>
    <row r="9" spans="1:3">
      <c r="A9" t="s">
        <v>140</v>
      </c>
      <c r="B9" s="22">
        <v>254.59</v>
      </c>
      <c r="C9" s="22">
        <v>373.41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76F2F-C5D5-4930-9915-95865F25F6BF}">
  <dimension ref="A1:E22"/>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c r="B1" s="18"/>
    </row>
    <row r="2" spans="1:5">
      <c r="A2" s="2" t="s">
        <v>3</v>
      </c>
      <c r="B2" s="18"/>
    </row>
    <row r="3" spans="1:5">
      <c r="A3" s="2" t="s">
        <v>172</v>
      </c>
      <c r="B3" s="19"/>
    </row>
    <row r="4" spans="1:5" ht="30">
      <c r="A4" s="2" t="s">
        <v>5</v>
      </c>
      <c r="B4" s="19" t="s">
        <v>6</v>
      </c>
      <c r="C4" s="2" t="s">
        <v>7</v>
      </c>
      <c r="D4" s="3" t="s">
        <v>8</v>
      </c>
      <c r="E4" s="2" t="s">
        <v>9</v>
      </c>
    </row>
    <row r="5" spans="1:5">
      <c r="A5" t="s">
        <v>10</v>
      </c>
      <c r="B5" s="18">
        <v>2170.27</v>
      </c>
      <c r="C5" t="s">
        <v>173</v>
      </c>
      <c r="D5" s="4"/>
    </row>
    <row r="6" spans="1:5">
      <c r="A6" t="s">
        <v>12</v>
      </c>
      <c r="B6" s="18">
        <v>4701.47</v>
      </c>
      <c r="C6" t="s">
        <v>174</v>
      </c>
      <c r="D6" s="4"/>
    </row>
    <row r="7" spans="1:5">
      <c r="A7" t="s">
        <v>14</v>
      </c>
      <c r="B7" s="18">
        <v>14599.3</v>
      </c>
      <c r="C7" t="s">
        <v>175</v>
      </c>
      <c r="D7" s="4"/>
    </row>
    <row r="8" spans="1:5">
      <c r="A8" t="s">
        <v>16</v>
      </c>
      <c r="B8" s="18">
        <v>11937.18</v>
      </c>
      <c r="C8" t="s">
        <v>17</v>
      </c>
      <c r="D8" s="4" t="s">
        <v>18</v>
      </c>
      <c r="E8" t="s">
        <v>176</v>
      </c>
    </row>
    <row r="9" spans="1:5">
      <c r="A9" t="s">
        <v>20</v>
      </c>
      <c r="B9" s="18">
        <v>0</v>
      </c>
      <c r="D9" s="4"/>
    </row>
    <row r="10" spans="1:5">
      <c r="A10" t="s">
        <v>52</v>
      </c>
      <c r="B10" s="18">
        <v>310.39999999999998</v>
      </c>
      <c r="C10" t="s">
        <v>94</v>
      </c>
      <c r="D10" s="4"/>
    </row>
    <row r="11" spans="1:5">
      <c r="A11" t="s">
        <v>26</v>
      </c>
      <c r="B11" s="18">
        <v>895.93</v>
      </c>
      <c r="C11" t="s">
        <v>177</v>
      </c>
      <c r="D11" s="4"/>
    </row>
    <row r="12" spans="1:5">
      <c r="A12" t="s">
        <v>27</v>
      </c>
      <c r="B12" s="18">
        <v>1862.29</v>
      </c>
      <c r="C12" t="s">
        <v>173</v>
      </c>
      <c r="D12" s="4"/>
    </row>
    <row r="13" spans="1:5">
      <c r="A13" t="s">
        <v>29</v>
      </c>
      <c r="B13" s="18">
        <v>428.84</v>
      </c>
      <c r="C13" t="s">
        <v>178</v>
      </c>
      <c r="D13" s="4"/>
    </row>
    <row r="14" spans="1:5">
      <c r="A14" t="s">
        <v>31</v>
      </c>
      <c r="B14" s="18">
        <v>494.71</v>
      </c>
      <c r="C14" t="s">
        <v>179</v>
      </c>
      <c r="D14" s="4"/>
    </row>
    <row r="15" spans="1:5">
      <c r="A15" t="s">
        <v>33</v>
      </c>
      <c r="B15" s="18">
        <v>98.77</v>
      </c>
      <c r="C15" t="s">
        <v>94</v>
      </c>
      <c r="D15" s="4"/>
    </row>
    <row r="16" spans="1:5">
      <c r="A16" t="s">
        <v>34</v>
      </c>
      <c r="B16" s="18"/>
      <c r="D16" s="4"/>
    </row>
    <row r="17" spans="1:4">
      <c r="A17" t="s">
        <v>98</v>
      </c>
      <c r="B17" s="18"/>
      <c r="D17" s="4"/>
    </row>
    <row r="18" spans="1:4">
      <c r="A18" t="s">
        <v>98</v>
      </c>
      <c r="B18" s="18"/>
      <c r="D18" s="4"/>
    </row>
    <row r="19" spans="1:4">
      <c r="A19" t="s">
        <v>46</v>
      </c>
      <c r="B19" s="18">
        <v>6082</v>
      </c>
      <c r="C19" t="s">
        <v>17</v>
      </c>
      <c r="D19" s="4"/>
    </row>
    <row r="20" spans="1:4">
      <c r="B20" s="18"/>
    </row>
    <row r="21" spans="1:4">
      <c r="B21" s="18"/>
    </row>
    <row r="22" spans="1:4">
      <c r="B22" s="23"/>
    </row>
  </sheetData>
  <dataValidations count="1">
    <dataValidation type="list" allowBlank="1" showInputMessage="1" showErrorMessage="1" sqref="D8:D9" xr:uid="{9E60042E-5135-4555-956B-1F07D2D39DB8}">
      <formula1>"Bottle  Production,Fiberglass production,Processed glass aggregate,Daily cover/landfill-based use, Other-specify in comments column"</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0BEF-E4B9-44A8-A708-23AE97CE8D11}">
  <dimension ref="A1:E25"/>
  <sheetViews>
    <sheetView topLeftCell="A2" workbookViewId="0">
      <selection activeCell="C19" sqref="C19"/>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c r="B1" s="18"/>
    </row>
    <row r="2" spans="1:5">
      <c r="A2" s="2" t="s">
        <v>48</v>
      </c>
      <c r="B2" s="18"/>
    </row>
    <row r="3" spans="1:5">
      <c r="A3" s="2" t="s">
        <v>172</v>
      </c>
      <c r="B3" s="19"/>
    </row>
    <row r="4" spans="1:5" ht="30">
      <c r="A4" s="2" t="s">
        <v>5</v>
      </c>
      <c r="B4" s="19" t="s">
        <v>6</v>
      </c>
      <c r="C4" s="2" t="s">
        <v>7</v>
      </c>
      <c r="D4" s="3" t="s">
        <v>8</v>
      </c>
      <c r="E4" s="2" t="s">
        <v>9</v>
      </c>
    </row>
    <row r="5" spans="1:5">
      <c r="A5" t="s">
        <v>10</v>
      </c>
      <c r="B5" s="18">
        <v>8404.9</v>
      </c>
      <c r="C5" t="s">
        <v>180</v>
      </c>
      <c r="D5" s="4"/>
    </row>
    <row r="6" spans="1:5">
      <c r="A6" t="s">
        <v>12</v>
      </c>
      <c r="B6" s="18">
        <v>633.26</v>
      </c>
      <c r="C6" t="s">
        <v>94</v>
      </c>
      <c r="D6" s="4"/>
    </row>
    <row r="7" spans="1:5">
      <c r="A7" t="s">
        <v>14</v>
      </c>
      <c r="B7" s="18">
        <v>21522.06</v>
      </c>
      <c r="C7" t="s">
        <v>177</v>
      </c>
      <c r="D7" s="4"/>
    </row>
    <row r="8" spans="1:5">
      <c r="A8" t="s">
        <v>16</v>
      </c>
      <c r="B8" s="18">
        <v>762.14</v>
      </c>
      <c r="C8" t="s">
        <v>17</v>
      </c>
      <c r="D8" s="4" t="s">
        <v>18</v>
      </c>
    </row>
    <row r="9" spans="1:5">
      <c r="A9" t="s">
        <v>20</v>
      </c>
      <c r="B9" s="18">
        <v>216.33</v>
      </c>
      <c r="C9" t="s">
        <v>17</v>
      </c>
      <c r="D9" s="4" t="s">
        <v>85</v>
      </c>
    </row>
    <row r="10" spans="1:5">
      <c r="A10" t="s">
        <v>52</v>
      </c>
      <c r="B10" s="18">
        <v>289.32</v>
      </c>
      <c r="C10" t="s">
        <v>94</v>
      </c>
      <c r="D10" s="4"/>
    </row>
    <row r="11" spans="1:5">
      <c r="A11" t="s">
        <v>26</v>
      </c>
      <c r="B11" s="18">
        <v>1242.1500000000001</v>
      </c>
      <c r="C11" t="s">
        <v>181</v>
      </c>
      <c r="D11" s="4"/>
    </row>
    <row r="12" spans="1:5">
      <c r="A12" t="s">
        <v>27</v>
      </c>
      <c r="B12" s="18">
        <v>1955.46</v>
      </c>
      <c r="C12" t="s">
        <v>94</v>
      </c>
      <c r="D12" s="4"/>
    </row>
    <row r="13" spans="1:5">
      <c r="A13" t="s">
        <v>29</v>
      </c>
      <c r="B13" s="18">
        <v>373.07</v>
      </c>
      <c r="C13" t="s">
        <v>94</v>
      </c>
      <c r="D13" s="4"/>
    </row>
    <row r="14" spans="1:5">
      <c r="A14" t="s">
        <v>31</v>
      </c>
      <c r="B14" s="18">
        <v>496.12</v>
      </c>
      <c r="C14" t="s">
        <v>94</v>
      </c>
      <c r="D14" s="4"/>
    </row>
    <row r="15" spans="1:5">
      <c r="A15" t="s">
        <v>33</v>
      </c>
      <c r="B15" s="18"/>
      <c r="D15" s="4"/>
    </row>
    <row r="16" spans="1:5">
      <c r="A16" t="s">
        <v>34</v>
      </c>
      <c r="B16" s="18"/>
      <c r="D16" s="4"/>
    </row>
    <row r="17" spans="1:4">
      <c r="A17" t="s">
        <v>98</v>
      </c>
      <c r="B17" s="18"/>
      <c r="D17" s="4"/>
    </row>
    <row r="18" spans="1:4">
      <c r="A18" t="s">
        <v>98</v>
      </c>
      <c r="B18" s="18"/>
      <c r="D18" s="4"/>
    </row>
    <row r="19" spans="1:4">
      <c r="A19" t="s">
        <v>46</v>
      </c>
      <c r="B19" s="10">
        <v>15634</v>
      </c>
      <c r="D19" s="4"/>
    </row>
    <row r="20" spans="1:4">
      <c r="B20" s="18"/>
    </row>
    <row r="21" spans="1:4">
      <c r="B21" s="18"/>
    </row>
    <row r="22" spans="1:4">
      <c r="B22" s="23"/>
    </row>
    <row r="23" spans="1:4">
      <c r="B23" s="18"/>
      <c r="C23" s="20"/>
    </row>
    <row r="24" spans="1:4">
      <c r="B24" s="18"/>
    </row>
    <row r="25" spans="1:4">
      <c r="B25" s="18"/>
    </row>
  </sheetData>
  <dataValidations count="1">
    <dataValidation type="list" allowBlank="1" showInputMessage="1" showErrorMessage="1" sqref="D8:D9" xr:uid="{A505A173-91CA-47B2-A150-70984D4F0880}">
      <formula1>"Bottle  Production,Fiberglass production,Processed glass aggregate,Daily cover/landfill-based use, Other-specify in comments column"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39A6-1ADD-4431-A4E4-504575C8D58E}">
  <dimension ref="A1:E23"/>
  <sheetViews>
    <sheetView workbookViewId="0">
      <selection activeCell="A25" sqref="A25"/>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48</v>
      </c>
    </row>
    <row r="3" spans="1:5">
      <c r="A3" s="2" t="s">
        <v>4</v>
      </c>
      <c r="B3" s="2"/>
    </row>
    <row r="4" spans="1:5" ht="30">
      <c r="A4" s="2" t="s">
        <v>5</v>
      </c>
      <c r="B4" s="2" t="s">
        <v>6</v>
      </c>
      <c r="C4" s="2" t="s">
        <v>7</v>
      </c>
      <c r="D4" s="3" t="s">
        <v>8</v>
      </c>
      <c r="E4" s="2" t="s">
        <v>9</v>
      </c>
    </row>
    <row r="5" spans="1:5">
      <c r="A5" t="s">
        <v>10</v>
      </c>
      <c r="B5" s="22">
        <f>SUM(281.87+259.53+85.94+130.4+4316.71+11421.75+3602.73+886.82+1234.21+619.99+68.45+20.19)</f>
        <v>22928.59</v>
      </c>
      <c r="C5" t="s">
        <v>49</v>
      </c>
      <c r="D5" s="4"/>
    </row>
    <row r="6" spans="1:5">
      <c r="A6" t="s">
        <v>12</v>
      </c>
      <c r="B6" s="22">
        <v>773.02</v>
      </c>
      <c r="C6" t="s">
        <v>13</v>
      </c>
      <c r="D6" s="4"/>
    </row>
    <row r="7" spans="1:5">
      <c r="A7" t="s">
        <v>14</v>
      </c>
      <c r="B7" s="22">
        <f>SUM(10696.08+978.37+4106.89+166.73+128.41+314.77+10190.5+3030.7+644.48+4751.06+203.52+1223.49+9655.3+103.52)</f>
        <v>46193.819999999985</v>
      </c>
      <c r="C7" t="s">
        <v>15</v>
      </c>
      <c r="D7" s="4"/>
    </row>
    <row r="8" spans="1:5">
      <c r="A8" t="s">
        <v>16</v>
      </c>
      <c r="B8" s="22">
        <f>SUM(3759.64+4249.72+112.88)</f>
        <v>8122.2400000000007</v>
      </c>
      <c r="C8" t="s">
        <v>17</v>
      </c>
      <c r="D8" t="s">
        <v>18</v>
      </c>
      <c r="E8" t="s">
        <v>50</v>
      </c>
    </row>
    <row r="9" spans="1:5">
      <c r="A9" t="s">
        <v>20</v>
      </c>
      <c r="B9" s="22">
        <v>8461.49</v>
      </c>
      <c r="C9" t="s">
        <v>21</v>
      </c>
      <c r="D9" t="s">
        <v>22</v>
      </c>
      <c r="E9" t="s">
        <v>51</v>
      </c>
    </row>
    <row r="10" spans="1:5">
      <c r="A10" t="s">
        <v>52</v>
      </c>
      <c r="B10" s="22">
        <f>SUM(88+39.87+889.48+8.13+22.01)</f>
        <v>1047.49</v>
      </c>
      <c r="C10" t="s">
        <v>53</v>
      </c>
      <c r="D10" s="4"/>
    </row>
    <row r="11" spans="1:5">
      <c r="A11" t="s">
        <v>26</v>
      </c>
      <c r="B11" s="22">
        <f>SUM(1036.9+1180.74)</f>
        <v>2217.6400000000003</v>
      </c>
      <c r="C11" t="s">
        <v>13</v>
      </c>
      <c r="D11" s="4"/>
    </row>
    <row r="12" spans="1:5">
      <c r="A12" t="s">
        <v>27</v>
      </c>
      <c r="B12" s="22">
        <f>SUM(2888.86+293.07+3342.23+42.21+20.26)</f>
        <v>6586.63</v>
      </c>
      <c r="C12" t="s">
        <v>28</v>
      </c>
      <c r="D12" s="4"/>
    </row>
    <row r="13" spans="1:5">
      <c r="A13" t="s">
        <v>29</v>
      </c>
      <c r="B13" s="22">
        <f>SUM(396.29+20.89+240.96+20.34+639.99)</f>
        <v>1318.47</v>
      </c>
      <c r="C13" t="s">
        <v>54</v>
      </c>
      <c r="D13" s="4"/>
    </row>
    <row r="14" spans="1:5">
      <c r="A14" t="s">
        <v>31</v>
      </c>
      <c r="B14" s="22">
        <f>SUM(119.07+108.08+1081.46+60.71+148.33)</f>
        <v>1517.65</v>
      </c>
      <c r="C14" t="s">
        <v>55</v>
      </c>
      <c r="D14" s="4"/>
    </row>
    <row r="15" spans="1:5">
      <c r="A15" t="s">
        <v>33</v>
      </c>
      <c r="B15" s="22">
        <v>0</v>
      </c>
      <c r="D15" s="4"/>
    </row>
    <row r="16" spans="1:5">
      <c r="A16" t="s">
        <v>34</v>
      </c>
      <c r="B16" s="22">
        <v>0</v>
      </c>
      <c r="D16" s="4"/>
    </row>
    <row r="17" spans="1:4">
      <c r="A17" t="s">
        <v>35</v>
      </c>
      <c r="B17" s="22">
        <f>SUM(221.06+468.98+366.99)</f>
        <v>1057.03</v>
      </c>
      <c r="C17" t="s">
        <v>56</v>
      </c>
      <c r="D17" s="4"/>
    </row>
    <row r="18" spans="1:4">
      <c r="A18" t="s">
        <v>37</v>
      </c>
      <c r="B18" s="22">
        <f>SUM(897.59+236.4)</f>
        <v>1133.99</v>
      </c>
      <c r="C18" t="s">
        <v>38</v>
      </c>
      <c r="D18" s="4"/>
    </row>
    <row r="19" spans="1:4">
      <c r="A19" t="s">
        <v>39</v>
      </c>
      <c r="B19" s="22">
        <v>527.44000000000005</v>
      </c>
      <c r="C19" t="s">
        <v>17</v>
      </c>
      <c r="D19" s="4"/>
    </row>
    <row r="20" spans="1:4">
      <c r="A20" t="s">
        <v>40</v>
      </c>
      <c r="B20" s="22">
        <v>24.28</v>
      </c>
      <c r="C20" t="s">
        <v>57</v>
      </c>
      <c r="D20" s="4"/>
    </row>
    <row r="21" spans="1:4">
      <c r="A21" t="s">
        <v>42</v>
      </c>
      <c r="B21" s="22">
        <v>93.93</v>
      </c>
      <c r="C21" t="s">
        <v>43</v>
      </c>
      <c r="D21" s="4"/>
    </row>
    <row r="22" spans="1:4">
      <c r="A22" t="s">
        <v>44</v>
      </c>
      <c r="B22" s="22">
        <v>37.979999999999997</v>
      </c>
      <c r="C22" t="s">
        <v>17</v>
      </c>
      <c r="D22" s="4"/>
    </row>
    <row r="23" spans="1:4">
      <c r="A23" t="s">
        <v>46</v>
      </c>
      <c r="B23" s="22">
        <v>19160.37</v>
      </c>
      <c r="C23" t="s">
        <v>47</v>
      </c>
      <c r="D23" s="4"/>
    </row>
  </sheetData>
  <dataValidations count="1">
    <dataValidation type="list" allowBlank="1" showInputMessage="1" showErrorMessage="1" sqref="D8:D9" xr:uid="{B66385D6-9B52-48C4-82E7-EACBAF681B61}">
      <formula1>"Bottle  Production,Fiberglass production,Processed glass aggregate,Daily cover/landfill-based use, Other-specify in comments column"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FE506-01EE-4B4F-B2A9-E1CE9A3F2CD0}">
  <dimension ref="A1:E20"/>
  <sheetViews>
    <sheetView workbookViewId="0">
      <selection activeCell="B6" sqref="B6:B20"/>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58</v>
      </c>
    </row>
    <row r="2" spans="1:5">
      <c r="A2" s="2" t="s">
        <v>59</v>
      </c>
    </row>
    <row r="3" spans="1:5">
      <c r="A3" s="2" t="s">
        <v>60</v>
      </c>
      <c r="B3" s="2"/>
    </row>
    <row r="4" spans="1:5">
      <c r="A4" s="2"/>
      <c r="B4" s="2"/>
      <c r="C4" s="2"/>
      <c r="D4" s="3"/>
      <c r="E4" s="2"/>
    </row>
    <row r="5" spans="1:5">
      <c r="A5" s="2" t="s">
        <v>5</v>
      </c>
      <c r="B5" s="2" t="s">
        <v>6</v>
      </c>
    </row>
    <row r="6" spans="1:5">
      <c r="A6" s="2" t="s">
        <v>52</v>
      </c>
      <c r="B6" s="22">
        <v>4.95</v>
      </c>
    </row>
    <row r="7" spans="1:5">
      <c r="A7" s="2" t="s">
        <v>61</v>
      </c>
      <c r="B7" s="22">
        <v>22.26</v>
      </c>
    </row>
    <row r="8" spans="1:5">
      <c r="A8" s="2" t="s">
        <v>62</v>
      </c>
      <c r="B8" s="22">
        <v>183.37</v>
      </c>
    </row>
    <row r="9" spans="1:5">
      <c r="A9" s="2" t="s">
        <v>63</v>
      </c>
      <c r="B9" s="22">
        <v>3814.22</v>
      </c>
    </row>
    <row r="10" spans="1:5">
      <c r="A10" s="2" t="s">
        <v>64</v>
      </c>
      <c r="B10" s="22">
        <v>14006.12</v>
      </c>
    </row>
    <row r="11" spans="1:5">
      <c r="A11" s="2" t="s">
        <v>65</v>
      </c>
      <c r="B11" s="22">
        <v>158.44</v>
      </c>
    </row>
    <row r="12" spans="1:5">
      <c r="A12" s="2" t="s">
        <v>66</v>
      </c>
      <c r="B12" s="22">
        <v>49.72</v>
      </c>
    </row>
    <row r="13" spans="1:5">
      <c r="A13" s="2" t="s">
        <v>40</v>
      </c>
      <c r="B13" s="22">
        <v>33.700000000000003</v>
      </c>
    </row>
    <row r="14" spans="1:5">
      <c r="A14" s="2" t="s">
        <v>39</v>
      </c>
      <c r="B14" s="22">
        <v>512.08000000000004</v>
      </c>
    </row>
    <row r="15" spans="1:5">
      <c r="A15" s="2" t="s">
        <v>67</v>
      </c>
      <c r="B15" s="22">
        <v>3481.58</v>
      </c>
    </row>
    <row r="16" spans="1:5">
      <c r="A16" s="2" t="s">
        <v>14</v>
      </c>
      <c r="B16" s="22">
        <v>9492.67</v>
      </c>
    </row>
    <row r="17" spans="1:2">
      <c r="A17" s="2" t="s">
        <v>68</v>
      </c>
      <c r="B17" s="22">
        <v>80.25</v>
      </c>
    </row>
    <row r="18" spans="1:2">
      <c r="A18" s="2" t="s">
        <v>35</v>
      </c>
      <c r="B18" s="22">
        <v>95.7</v>
      </c>
    </row>
    <row r="19" spans="1:2">
      <c r="A19" s="2" t="s">
        <v>69</v>
      </c>
      <c r="B19" s="22">
        <v>6.56</v>
      </c>
    </row>
    <row r="20" spans="1:2">
      <c r="A20" s="2" t="s">
        <v>70</v>
      </c>
      <c r="B20" s="22">
        <v>75464.320000000007</v>
      </c>
    </row>
  </sheetData>
  <dataValidations count="1">
    <dataValidation type="list" allowBlank="1" showInputMessage="1" showErrorMessage="1" sqref="D8:D9" xr:uid="{0B69DD4F-D609-42F0-81E7-98F120BB7F88}">
      <formula1>"Bottle  Production,Fiberglass production,Processed glass aggregate,Daily cover/landfill-based use, Other-specify in comments column"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D9E4-62E5-4AFF-A740-DDB57075B8E1}">
  <dimension ref="A1:E20"/>
  <sheetViews>
    <sheetView workbookViewId="0">
      <selection activeCell="C19" sqref="C19"/>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58</v>
      </c>
    </row>
    <row r="2" spans="1:5">
      <c r="A2" s="2" t="s">
        <v>71</v>
      </c>
    </row>
    <row r="3" spans="1:5">
      <c r="A3" s="2" t="s">
        <v>60</v>
      </c>
      <c r="B3" s="2"/>
    </row>
    <row r="4" spans="1:5">
      <c r="A4" s="2"/>
      <c r="B4" s="2"/>
      <c r="D4" s="3"/>
      <c r="E4" s="2"/>
    </row>
    <row r="5" spans="1:5">
      <c r="A5" s="2" t="s">
        <v>5</v>
      </c>
      <c r="B5" s="2" t="s">
        <v>6</v>
      </c>
      <c r="C5" s="2"/>
    </row>
    <row r="6" spans="1:5">
      <c r="A6" s="2" t="s">
        <v>52</v>
      </c>
      <c r="B6" s="22">
        <v>22.27</v>
      </c>
    </row>
    <row r="7" spans="1:5">
      <c r="A7" s="2" t="s">
        <v>61</v>
      </c>
      <c r="B7" s="22">
        <v>14.65</v>
      </c>
    </row>
    <row r="8" spans="1:5">
      <c r="A8" s="2" t="s">
        <v>62</v>
      </c>
      <c r="B8" s="22">
        <v>169.51</v>
      </c>
    </row>
    <row r="9" spans="1:5">
      <c r="A9" s="2" t="s">
        <v>63</v>
      </c>
      <c r="B9" s="22">
        <v>3075.33</v>
      </c>
    </row>
    <row r="10" spans="1:5">
      <c r="A10" s="2" t="s">
        <v>64</v>
      </c>
      <c r="B10" s="22">
        <v>13481.32</v>
      </c>
    </row>
    <row r="11" spans="1:5">
      <c r="A11" s="2" t="s">
        <v>65</v>
      </c>
      <c r="B11" s="22">
        <v>83.88</v>
      </c>
    </row>
    <row r="12" spans="1:5">
      <c r="A12" s="2" t="s">
        <v>66</v>
      </c>
      <c r="B12" s="22">
        <v>40.130000000000003</v>
      </c>
    </row>
    <row r="13" spans="1:5">
      <c r="A13" s="2" t="s">
        <v>40</v>
      </c>
      <c r="B13" s="22">
        <v>32.94</v>
      </c>
    </row>
    <row r="14" spans="1:5">
      <c r="A14" s="2" t="s">
        <v>39</v>
      </c>
      <c r="B14" s="22">
        <v>522.75</v>
      </c>
    </row>
    <row r="15" spans="1:5">
      <c r="A15" s="2" t="s">
        <v>67</v>
      </c>
      <c r="B15" s="22">
        <v>2913.06</v>
      </c>
    </row>
    <row r="16" spans="1:5">
      <c r="A16" s="2" t="s">
        <v>14</v>
      </c>
      <c r="B16" s="22">
        <v>8724.66</v>
      </c>
    </row>
    <row r="17" spans="1:2">
      <c r="A17" s="2" t="s">
        <v>68</v>
      </c>
      <c r="B17" s="22">
        <v>54.75</v>
      </c>
    </row>
    <row r="18" spans="1:2">
      <c r="A18" s="2" t="s">
        <v>35</v>
      </c>
      <c r="B18" s="22">
        <v>217.18</v>
      </c>
    </row>
    <row r="19" spans="1:2">
      <c r="A19" s="2" t="s">
        <v>69</v>
      </c>
      <c r="B19" s="22">
        <v>23.55</v>
      </c>
    </row>
    <row r="20" spans="1:2">
      <c r="A20" s="2" t="s">
        <v>70</v>
      </c>
      <c r="B20" s="22">
        <v>94490.48</v>
      </c>
    </row>
  </sheetData>
  <dataValidations count="1">
    <dataValidation type="list" allowBlank="1" showInputMessage="1" showErrorMessage="1" sqref="D8:D9" xr:uid="{BC46C1A5-3A09-4F8B-B2E3-1AE13685F163}">
      <formula1>"Bottle  Production,Fiberglass production,Processed glass aggregate,Daily cover/landfill-based use, Other-specify in comments column"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AFCC-4B58-4C0A-B5C4-6597CA60C17F}">
  <dimension ref="A1:E24"/>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c r="B1" s="5"/>
    </row>
    <row r="2" spans="1:5">
      <c r="A2" s="2" t="s">
        <v>3</v>
      </c>
      <c r="B2" s="5"/>
    </row>
    <row r="3" spans="1:5">
      <c r="A3" s="2"/>
      <c r="B3" s="6"/>
    </row>
    <row r="4" spans="1:5" ht="30">
      <c r="A4" s="2" t="s">
        <v>5</v>
      </c>
      <c r="B4" s="6" t="s">
        <v>6</v>
      </c>
      <c r="C4" s="2" t="s">
        <v>7</v>
      </c>
      <c r="D4" s="3" t="s">
        <v>8</v>
      </c>
      <c r="E4" s="2" t="s">
        <v>9</v>
      </c>
    </row>
    <row r="5" spans="1:5">
      <c r="A5" t="s">
        <v>10</v>
      </c>
      <c r="B5" s="24">
        <v>46728.12</v>
      </c>
      <c r="C5" t="s">
        <v>49</v>
      </c>
      <c r="D5" s="4"/>
    </row>
    <row r="6" spans="1:5">
      <c r="A6" t="s">
        <v>12</v>
      </c>
      <c r="B6" s="24">
        <v>0</v>
      </c>
      <c r="C6" t="s">
        <v>72</v>
      </c>
      <c r="D6" s="4"/>
    </row>
    <row r="7" spans="1:5">
      <c r="A7" t="s">
        <v>14</v>
      </c>
      <c r="B7" s="24">
        <v>51683.99</v>
      </c>
      <c r="C7" t="s">
        <v>15</v>
      </c>
      <c r="D7" s="4"/>
    </row>
    <row r="8" spans="1:5">
      <c r="A8" t="s">
        <v>73</v>
      </c>
      <c r="B8" s="24">
        <v>65.47</v>
      </c>
      <c r="C8" t="s">
        <v>74</v>
      </c>
      <c r="D8" s="4"/>
    </row>
    <row r="9" spans="1:5">
      <c r="A9" t="s">
        <v>75</v>
      </c>
      <c r="B9" s="24">
        <f>380.42+98</f>
        <v>478.42</v>
      </c>
      <c r="C9" t="s">
        <v>76</v>
      </c>
      <c r="D9" s="4"/>
    </row>
    <row r="10" spans="1:5">
      <c r="A10" t="s">
        <v>16</v>
      </c>
      <c r="B10" s="24">
        <v>26756</v>
      </c>
      <c r="C10" t="s">
        <v>17</v>
      </c>
      <c r="D10" t="s">
        <v>18</v>
      </c>
      <c r="E10" t="s">
        <v>77</v>
      </c>
    </row>
    <row r="11" spans="1:5">
      <c r="A11" t="s">
        <v>20</v>
      </c>
      <c r="B11" s="24">
        <v>0</v>
      </c>
      <c r="C11" t="s">
        <v>78</v>
      </c>
    </row>
    <row r="12" spans="1:5">
      <c r="A12" t="s">
        <v>52</v>
      </c>
      <c r="B12" s="24">
        <f>1358.43+110.68</f>
        <v>1469.1100000000001</v>
      </c>
      <c r="C12" t="s">
        <v>53</v>
      </c>
      <c r="D12" s="4"/>
    </row>
    <row r="13" spans="1:5">
      <c r="A13" t="s">
        <v>26</v>
      </c>
      <c r="B13" s="24">
        <f>2570.88+967.52</f>
        <v>3538.4</v>
      </c>
      <c r="C13" t="s">
        <v>13</v>
      </c>
      <c r="D13" s="4"/>
    </row>
    <row r="14" spans="1:5">
      <c r="A14" t="s">
        <v>27</v>
      </c>
      <c r="B14" s="24">
        <v>4700.41</v>
      </c>
      <c r="C14" t="s">
        <v>28</v>
      </c>
      <c r="D14" s="4"/>
    </row>
    <row r="15" spans="1:5">
      <c r="A15" t="s">
        <v>29</v>
      </c>
      <c r="B15" s="24">
        <v>764.8</v>
      </c>
      <c r="C15" t="s">
        <v>54</v>
      </c>
      <c r="D15" s="4"/>
    </row>
    <row r="16" spans="1:5">
      <c r="A16" t="s">
        <v>31</v>
      </c>
      <c r="B16" s="24">
        <v>1215.42</v>
      </c>
      <c r="C16" t="s">
        <v>55</v>
      </c>
      <c r="D16" s="4"/>
    </row>
    <row r="17" spans="1:4">
      <c r="A17" t="s">
        <v>33</v>
      </c>
      <c r="B17" s="24">
        <v>321.77999999999997</v>
      </c>
      <c r="C17" t="s">
        <v>79</v>
      </c>
      <c r="D17" s="4"/>
    </row>
    <row r="18" spans="1:4">
      <c r="A18" t="s">
        <v>80</v>
      </c>
      <c r="B18" s="24">
        <v>480.29</v>
      </c>
      <c r="C18" t="s">
        <v>56</v>
      </c>
      <c r="D18" s="4"/>
    </row>
    <row r="19" spans="1:4">
      <c r="A19" t="s">
        <v>37</v>
      </c>
      <c r="B19" s="24">
        <v>968</v>
      </c>
      <c r="C19" t="s">
        <v>17</v>
      </c>
      <c r="D19" s="4"/>
    </row>
    <row r="20" spans="1:4">
      <c r="A20" t="s">
        <v>46</v>
      </c>
      <c r="B20" s="24">
        <v>33050.080000000002</v>
      </c>
      <c r="C20" t="s">
        <v>81</v>
      </c>
      <c r="D20" s="4"/>
    </row>
    <row r="21" spans="1:4">
      <c r="B21" s="7"/>
    </row>
    <row r="22" spans="1:4">
      <c r="B22" s="25"/>
    </row>
    <row r="23" spans="1:4">
      <c r="B23" s="5"/>
    </row>
    <row r="24" spans="1:4">
      <c r="B24" s="5"/>
    </row>
  </sheetData>
  <dataValidations count="1">
    <dataValidation type="list" allowBlank="1" showInputMessage="1" showErrorMessage="1" sqref="D10:D11" xr:uid="{C0ACF39D-EB78-4A57-A67B-47F04929DC36}">
      <formula1>"Bottle  Production,Fiberglass production,Processed glass aggregate,Daily cover/landfill-based use, Other-specify in comments column"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DB02-D895-4B8B-9397-EB124653C12B}">
  <dimension ref="A1:E22"/>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c r="B1" s="5"/>
    </row>
    <row r="2" spans="1:5">
      <c r="A2" s="2" t="s">
        <v>48</v>
      </c>
      <c r="B2" s="5"/>
    </row>
    <row r="3" spans="1:5">
      <c r="A3" s="2" t="s">
        <v>82</v>
      </c>
      <c r="B3" s="6"/>
    </row>
    <row r="4" spans="1:5" ht="30">
      <c r="A4" s="2" t="s">
        <v>5</v>
      </c>
      <c r="B4" s="6" t="s">
        <v>6</v>
      </c>
      <c r="C4" s="2" t="s">
        <v>7</v>
      </c>
      <c r="D4" s="3" t="s">
        <v>8</v>
      </c>
      <c r="E4" s="2" t="s">
        <v>9</v>
      </c>
    </row>
    <row r="5" spans="1:5">
      <c r="A5" t="s">
        <v>10</v>
      </c>
      <c r="B5" s="24">
        <v>19939.45</v>
      </c>
      <c r="C5" t="s">
        <v>49</v>
      </c>
      <c r="D5" s="4"/>
    </row>
    <row r="6" spans="1:5">
      <c r="A6" t="s">
        <v>83</v>
      </c>
      <c r="B6" s="24">
        <v>24931.9</v>
      </c>
      <c r="C6" t="s">
        <v>72</v>
      </c>
      <c r="D6" s="4"/>
    </row>
    <row r="7" spans="1:5">
      <c r="A7" t="s">
        <v>14</v>
      </c>
      <c r="B7" s="24">
        <f>51026.14+742.05</f>
        <v>51768.19</v>
      </c>
      <c r="C7" t="s">
        <v>15</v>
      </c>
      <c r="D7" s="4"/>
    </row>
    <row r="8" spans="1:5">
      <c r="A8" t="s">
        <v>73</v>
      </c>
      <c r="B8" s="24">
        <v>698.62</v>
      </c>
      <c r="C8" t="s">
        <v>74</v>
      </c>
      <c r="D8" s="4"/>
    </row>
    <row r="9" spans="1:5">
      <c r="A9" t="s">
        <v>75</v>
      </c>
      <c r="B9" s="24">
        <v>319.52</v>
      </c>
      <c r="C9" t="s">
        <v>76</v>
      </c>
      <c r="D9" s="4"/>
    </row>
    <row r="10" spans="1:5">
      <c r="A10" t="s">
        <v>16</v>
      </c>
      <c r="B10" s="24">
        <v>8377.32</v>
      </c>
      <c r="C10" t="s">
        <v>84</v>
      </c>
      <c r="D10" t="s">
        <v>85</v>
      </c>
      <c r="E10" t="s">
        <v>86</v>
      </c>
    </row>
    <row r="11" spans="1:5">
      <c r="A11" t="s">
        <v>20</v>
      </c>
      <c r="B11" s="24">
        <v>4274.2700000000004</v>
      </c>
      <c r="C11" t="s">
        <v>17</v>
      </c>
      <c r="D11" t="s">
        <v>18</v>
      </c>
      <c r="E11" t="s">
        <v>77</v>
      </c>
    </row>
    <row r="12" spans="1:5">
      <c r="A12" t="s">
        <v>52</v>
      </c>
      <c r="B12" s="24">
        <f>701.01+32.74</f>
        <v>733.75</v>
      </c>
      <c r="C12" t="s">
        <v>53</v>
      </c>
      <c r="D12" s="4"/>
    </row>
    <row r="13" spans="1:5">
      <c r="A13" t="s">
        <v>26</v>
      </c>
      <c r="B13" s="24">
        <f>765.42+922.44+681.23</f>
        <v>2369.09</v>
      </c>
      <c r="C13" t="s">
        <v>13</v>
      </c>
      <c r="D13" s="4"/>
    </row>
    <row r="14" spans="1:5">
      <c r="A14" t="s">
        <v>27</v>
      </c>
      <c r="B14" s="24">
        <v>3617.24</v>
      </c>
      <c r="C14" t="s">
        <v>28</v>
      </c>
      <c r="D14" s="4"/>
    </row>
    <row r="15" spans="1:5">
      <c r="A15" t="s">
        <v>29</v>
      </c>
      <c r="B15" s="24">
        <v>444.28</v>
      </c>
      <c r="C15" t="s">
        <v>54</v>
      </c>
      <c r="D15" s="4"/>
    </row>
    <row r="16" spans="1:5">
      <c r="A16" t="s">
        <v>31</v>
      </c>
      <c r="B16" s="24">
        <v>799.25</v>
      </c>
      <c r="C16" t="s">
        <v>55</v>
      </c>
      <c r="D16" s="4"/>
    </row>
    <row r="17" spans="1:4">
      <c r="A17" t="s">
        <v>33</v>
      </c>
      <c r="B17" s="24">
        <v>607.57000000000005</v>
      </c>
      <c r="C17" t="s">
        <v>79</v>
      </c>
      <c r="D17" s="4"/>
    </row>
    <row r="18" spans="1:4">
      <c r="A18" t="s">
        <v>80</v>
      </c>
      <c r="B18" s="24">
        <v>133.69</v>
      </c>
      <c r="C18" t="s">
        <v>56</v>
      </c>
      <c r="D18" s="4"/>
    </row>
    <row r="19" spans="1:4">
      <c r="A19" t="s">
        <v>37</v>
      </c>
      <c r="B19" s="24">
        <v>922</v>
      </c>
      <c r="C19" t="s">
        <v>17</v>
      </c>
      <c r="D19" s="4"/>
    </row>
    <row r="20" spans="1:4">
      <c r="A20" t="s">
        <v>46</v>
      </c>
      <c r="B20" s="24">
        <f>22610.11+1717.33</f>
        <v>24327.440000000002</v>
      </c>
      <c r="C20" t="s">
        <v>81</v>
      </c>
    </row>
    <row r="21" spans="1:4">
      <c r="B21" s="7"/>
    </row>
    <row r="22" spans="1:4">
      <c r="B22" s="25"/>
    </row>
  </sheetData>
  <dataValidations count="1">
    <dataValidation type="list" allowBlank="1" showInputMessage="1" showErrorMessage="1" sqref="D8:D11" xr:uid="{61302CE3-861A-411D-A1E2-38A1EA12FE26}">
      <formula1>"Bottle  Production,Fiberglass production,Processed glass aggregate,Daily cover/landfill-based use, Other-specify in comments column"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A9FA-E740-4EBE-99B9-F31D36244D80}">
  <dimension ref="A1:E20"/>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5">
      <c r="A1" s="2" t="s">
        <v>2</v>
      </c>
    </row>
    <row r="2" spans="1:5">
      <c r="A2" s="2" t="s">
        <v>87</v>
      </c>
    </row>
    <row r="3" spans="1:5">
      <c r="A3" s="2" t="s">
        <v>82</v>
      </c>
      <c r="B3" s="2"/>
    </row>
    <row r="4" spans="1:5">
      <c r="A4" s="2" t="s">
        <v>5</v>
      </c>
      <c r="B4" s="2" t="s">
        <v>6</v>
      </c>
      <c r="E4" s="2"/>
    </row>
    <row r="5" spans="1:5">
      <c r="A5" s="2" t="s">
        <v>52</v>
      </c>
      <c r="B5" s="22">
        <v>141.44999999999999</v>
      </c>
    </row>
    <row r="6" spans="1:5">
      <c r="A6" s="2" t="s">
        <v>61</v>
      </c>
      <c r="B6" s="22">
        <v>54.91</v>
      </c>
    </row>
    <row r="7" spans="1:5">
      <c r="A7" s="2" t="s">
        <v>62</v>
      </c>
      <c r="B7" s="22">
        <v>50.08</v>
      </c>
    </row>
    <row r="8" spans="1:5">
      <c r="A8" s="2" t="s">
        <v>63</v>
      </c>
      <c r="B8" s="22">
        <v>1270.9000000000001</v>
      </c>
    </row>
    <row r="9" spans="1:5">
      <c r="A9" s="2" t="s">
        <v>64</v>
      </c>
      <c r="B9" s="22">
        <v>34049.1</v>
      </c>
    </row>
    <row r="10" spans="1:5">
      <c r="A10" s="2" t="s">
        <v>65</v>
      </c>
      <c r="B10" s="22">
        <v>7.01</v>
      </c>
    </row>
    <row r="11" spans="1:5">
      <c r="A11" s="2" t="s">
        <v>66</v>
      </c>
      <c r="B11" s="22">
        <v>5.68</v>
      </c>
    </row>
    <row r="12" spans="1:5">
      <c r="A12" s="2" t="s">
        <v>40</v>
      </c>
      <c r="B12" s="22"/>
    </row>
    <row r="13" spans="1:5">
      <c r="A13" s="2" t="s">
        <v>39</v>
      </c>
      <c r="B13" s="22">
        <f>530.63+31.96</f>
        <v>562.59</v>
      </c>
    </row>
    <row r="14" spans="1:5">
      <c r="A14" s="2" t="s">
        <v>67</v>
      </c>
      <c r="B14" s="22">
        <f>68.75+4.03+82.36</f>
        <v>155.13999999999999</v>
      </c>
    </row>
    <row r="15" spans="1:5">
      <c r="A15" s="2" t="s">
        <v>14</v>
      </c>
      <c r="B15" s="22">
        <f>2.54+8953.19+112.9+150.37</f>
        <v>9219.0000000000018</v>
      </c>
    </row>
    <row r="16" spans="1:5">
      <c r="A16" s="2" t="s">
        <v>68</v>
      </c>
      <c r="B16" s="22">
        <f>370.18</f>
        <v>370.18</v>
      </c>
    </row>
    <row r="17" spans="1:2">
      <c r="A17" s="2" t="s">
        <v>35</v>
      </c>
      <c r="B17" s="22">
        <v>158.09</v>
      </c>
    </row>
    <row r="18" spans="1:2">
      <c r="A18" s="2" t="s">
        <v>69</v>
      </c>
      <c r="B18" s="22">
        <v>11.33</v>
      </c>
    </row>
    <row r="19" spans="1:2">
      <c r="A19" s="2" t="s">
        <v>70</v>
      </c>
      <c r="B19" s="22">
        <v>128408.28</v>
      </c>
    </row>
    <row r="20" spans="1:2">
      <c r="A20" s="2" t="s">
        <v>88</v>
      </c>
      <c r="B20" s="22">
        <f>298.74+1.64</f>
        <v>300.38</v>
      </c>
    </row>
  </sheetData>
  <dataValidations count="1">
    <dataValidation type="list" allowBlank="1" showInputMessage="1" showErrorMessage="1" sqref="D8:D9" xr:uid="{00AC6192-801A-4726-A1F0-82C3A091B53D}">
      <formula1>"Bottle  Production,Fiberglass production,Processed glass aggregate,Daily cover/landfill-based use, Other-specify in comments column"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E85C-687A-490F-B244-6035D9E53C54}">
  <dimension ref="A1:B20"/>
  <sheetViews>
    <sheetView workbookViewId="0">
      <selection activeCell="A3" sqref="A3"/>
    </sheetView>
  </sheetViews>
  <sheetFormatPr defaultRowHeight="15"/>
  <cols>
    <col min="1" max="1" width="45.42578125" customWidth="1"/>
    <col min="2" max="2" width="15" customWidth="1"/>
    <col min="3" max="3" width="55.7109375" customWidth="1"/>
    <col min="4" max="4" width="31.5703125" customWidth="1"/>
    <col min="5" max="5" width="32" customWidth="1"/>
  </cols>
  <sheetData>
    <row r="1" spans="1:2">
      <c r="A1" s="2" t="s">
        <v>2</v>
      </c>
    </row>
    <row r="2" spans="1:2">
      <c r="A2" s="2" t="s">
        <v>89</v>
      </c>
    </row>
    <row r="3" spans="1:2">
      <c r="A3" s="2" t="s">
        <v>82</v>
      </c>
      <c r="B3" s="2"/>
    </row>
    <row r="4" spans="1:2">
      <c r="A4" s="2" t="s">
        <v>5</v>
      </c>
    </row>
    <row r="5" spans="1:2">
      <c r="A5" s="2" t="s">
        <v>52</v>
      </c>
      <c r="B5">
        <v>118.43</v>
      </c>
    </row>
    <row r="6" spans="1:2">
      <c r="A6" s="2" t="s">
        <v>61</v>
      </c>
      <c r="B6">
        <v>24.15</v>
      </c>
    </row>
    <row r="7" spans="1:2">
      <c r="A7" s="2" t="s">
        <v>62</v>
      </c>
      <c r="B7">
        <v>97.12</v>
      </c>
    </row>
    <row r="8" spans="1:2">
      <c r="A8" s="2" t="s">
        <v>63</v>
      </c>
      <c r="B8">
        <v>1420.66</v>
      </c>
    </row>
    <row r="9" spans="1:2">
      <c r="A9" s="2" t="s">
        <v>64</v>
      </c>
      <c r="B9">
        <v>36655.050000000003</v>
      </c>
    </row>
    <row r="10" spans="1:2">
      <c r="A10" s="2" t="s">
        <v>65</v>
      </c>
      <c r="B10">
        <v>0</v>
      </c>
    </row>
    <row r="11" spans="1:2">
      <c r="A11" s="2" t="s">
        <v>66</v>
      </c>
      <c r="B11">
        <v>4.8499999999999996</v>
      </c>
    </row>
    <row r="12" spans="1:2">
      <c r="A12" s="2" t="s">
        <v>40</v>
      </c>
      <c r="B12">
        <v>0</v>
      </c>
    </row>
    <row r="13" spans="1:2">
      <c r="A13" s="2" t="s">
        <v>39</v>
      </c>
      <c r="B13">
        <f>7.63+423.85</f>
        <v>431.48</v>
      </c>
    </row>
    <row r="14" spans="1:2">
      <c r="A14" s="2" t="s">
        <v>67</v>
      </c>
      <c r="B14">
        <f>43.23+6.19+66.81</f>
        <v>116.22999999999999</v>
      </c>
    </row>
    <row r="15" spans="1:2">
      <c r="A15" s="2" t="s">
        <v>14</v>
      </c>
      <c r="B15">
        <f>8417.79+117.91+70.66</f>
        <v>8606.36</v>
      </c>
    </row>
    <row r="16" spans="1:2">
      <c r="A16" s="2" t="s">
        <v>68</v>
      </c>
      <c r="B16">
        <v>292.22000000000003</v>
      </c>
    </row>
    <row r="17" spans="1:2">
      <c r="A17" s="2" t="s">
        <v>35</v>
      </c>
      <c r="B17">
        <v>19.52</v>
      </c>
    </row>
    <row r="18" spans="1:2">
      <c r="A18" s="2" t="s">
        <v>69</v>
      </c>
      <c r="B18">
        <v>0</v>
      </c>
    </row>
    <row r="19" spans="1:2">
      <c r="A19" s="2" t="s">
        <v>70</v>
      </c>
      <c r="B19">
        <v>98470.24</v>
      </c>
    </row>
    <row r="20" spans="1:2">
      <c r="A20" s="2" t="s">
        <v>88</v>
      </c>
      <c r="B20">
        <f>23.58+608.94</f>
        <v>632.5200000000001</v>
      </c>
    </row>
  </sheetData>
  <dataValidations count="1">
    <dataValidation type="list" allowBlank="1" showInputMessage="1" showErrorMessage="1" sqref="D8:D9" xr:uid="{156369E3-EB7C-4731-9575-FA67B4F0F318}">
      <formula1>"Bottle  Production,Fiberglass production,Processed glass aggregate,Daily cover/landfill-based use, Other-specify in comments column"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833433-5196-423e-bc5e-12e70e78a05e">
      <Terms xmlns="http://schemas.microsoft.com/office/infopath/2007/PartnerControls"/>
    </lcf76f155ced4ddcb4097134ff3c332f>
    <TaxCatchAll xmlns="a63a9c72-e43b-4077-bbd1-fe0cd88be8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6" ma:contentTypeDescription="Create a new document." ma:contentTypeScope="" ma:versionID="58de173bd05dcdfda881bd5f98d8a53f">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20b9c5068d3ee56ef26dfd7e2cab2b44"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0B1A-26E7-418E-AB75-84BE66543FE0}"/>
</file>

<file path=customXml/itemProps2.xml><?xml version="1.0" encoding="utf-8"?>
<ds:datastoreItem xmlns:ds="http://schemas.openxmlformats.org/officeDocument/2006/customXml" ds:itemID="{6FD452F8-FD9E-459A-BAA6-2FF3D7633F11}"/>
</file>

<file path=customXml/itemProps3.xml><?xml version="1.0" encoding="utf-8"?>
<ds:datastoreItem xmlns:ds="http://schemas.openxmlformats.org/officeDocument/2006/customXml" ds:itemID="{455C6CB7-6F2B-4DAB-BD72-0DFEE3F524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Lai, Joann E (DEP)</cp:lastModifiedBy>
  <cp:revision/>
  <dcterms:created xsi:type="dcterms:W3CDTF">2024-04-08T15:44:31Z</dcterms:created>
  <dcterms:modified xsi:type="dcterms:W3CDTF">2024-06-07T13:07:57Z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0x010100C4D0C3021FA97D4C83490FBFBBDDEB2D</vt:lpwstr>
  </property>
  <property fmtid="{D5CDD505-2E9C-101B-9397-08002B2CF9AE}" pid="3" name="MediaServiceImageTags">
    <vt:lpwstr/>
  </property>
</Properties>
</file>