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fileSharing readOnlyRecommended="1"/>
  <workbookPr filterPrivacy="1"/>
  <xr:revisionPtr revIDLastSave="0" documentId="13_ncr:1_{8A2C239F-3FC2-4B28-83F0-EAE4E1BDB91B}" xr6:coauthVersionLast="47" xr6:coauthVersionMax="47" xr10:uidLastSave="{00000000-0000-0000-0000-000000000000}"/>
  <workbookProtection lockStructure="1"/>
  <bookViews>
    <workbookView xWindow="-110" yWindow="-110" windowWidth="19420" windowHeight="10420" xr2:uid="{00000000-000D-0000-FFFF-FFFF00000000}"/>
  </bookViews>
  <sheets>
    <sheet name="Introduction" sheetId="4" r:id="rId1"/>
    <sheet name="Toxicity" sheetId="1" r:id="rId2"/>
    <sheet name="Target Risk" sheetId="3" r:id="rId3"/>
    <sheet name="PQLs" sheetId="5" r:id="rId4"/>
    <sheet name="BW" sheetId="6" r:id="rId5"/>
    <sheet name="Skin Surface Area" sheetId="7" r:id="rId6"/>
    <sheet name="References" sheetId="2" r:id="rId7"/>
  </sheets>
  <externalReferences>
    <externalReference r:id="rId8"/>
  </externalReferences>
  <definedNames>
    <definedName name="_xlnm._FilterDatabase" localSheetId="6" hidden="1">References!$A$4:$B$4</definedName>
    <definedName name="_xlnm._FilterDatabase" localSheetId="1" hidden="1">Toxicity!$A$2:$CC$125</definedName>
    <definedName name="PQL">PQLs!$A$3:$E$130</definedName>
    <definedName name="_xlnm.Print_Area" localSheetId="4">BW!$A$1:$L$53</definedName>
    <definedName name="_xlnm.Print_Area" localSheetId="0">Introduction!$B$1:$G$53</definedName>
    <definedName name="_xlnm.Print_Area" localSheetId="3">PQLs!$A$1:$E$129</definedName>
    <definedName name="_xlnm.Print_Area" localSheetId="6">References!$A$1:$B$184</definedName>
    <definedName name="_xlnm.Print_Area" localSheetId="2">'Target Risk'!$A$1:$F$15</definedName>
    <definedName name="_xlnm.Print_Area" localSheetId="1">Toxicity!$B$3:$CC$125</definedName>
    <definedName name="_xlnm.Print_Titles" localSheetId="4">BW!$2:$7</definedName>
    <definedName name="_xlnm.Print_Titles" localSheetId="3">PQLs!$3:$6</definedName>
    <definedName name="_xlnm.Print_Titles" localSheetId="6">References!$1:$5</definedName>
    <definedName name="_xlnm.Print_Titles" localSheetId="1">Toxicity!$A:$A,Toxicity!$1:$2</definedName>
    <definedName name="TOX">Toxicity!$A$1:$CC$125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O125" i="1" l="1"/>
  <c r="AO124" i="1"/>
  <c r="AO123" i="1"/>
  <c r="AO122" i="1"/>
  <c r="AO121" i="1"/>
  <c r="AO120" i="1"/>
  <c r="AO119" i="1"/>
  <c r="AO118" i="1"/>
  <c r="AO117" i="1"/>
  <c r="AO116" i="1"/>
  <c r="AO115" i="1"/>
  <c r="AO114" i="1"/>
  <c r="AO113" i="1"/>
  <c r="AO112" i="1"/>
  <c r="AO111" i="1"/>
  <c r="AO110" i="1"/>
  <c r="AO109" i="1"/>
  <c r="AO108" i="1"/>
  <c r="AO107" i="1"/>
  <c r="AO106" i="1"/>
  <c r="AO105" i="1"/>
  <c r="AO104" i="1"/>
  <c r="AO103" i="1"/>
  <c r="AO102" i="1"/>
  <c r="AO101" i="1"/>
  <c r="AO100" i="1"/>
  <c r="AO99" i="1"/>
  <c r="AO98" i="1"/>
  <c r="AO97" i="1"/>
  <c r="AO96" i="1"/>
  <c r="AO95" i="1"/>
  <c r="AO94" i="1"/>
  <c r="AO86" i="1"/>
  <c r="AO85" i="1"/>
  <c r="AO84" i="1"/>
  <c r="AO83" i="1"/>
  <c r="AO82" i="1"/>
  <c r="AO81" i="1"/>
  <c r="AO80" i="1"/>
  <c r="AO79" i="1"/>
  <c r="AO78" i="1"/>
  <c r="AO77" i="1"/>
  <c r="AO76" i="1"/>
  <c r="AO75" i="1"/>
  <c r="AO74" i="1"/>
  <c r="AO73" i="1"/>
  <c r="AO72" i="1"/>
  <c r="AO71" i="1"/>
  <c r="AO70" i="1"/>
  <c r="AO69" i="1"/>
  <c r="AO68" i="1"/>
  <c r="AO67" i="1"/>
  <c r="AO66" i="1"/>
  <c r="AO65" i="1"/>
  <c r="AO64" i="1"/>
  <c r="AO63" i="1"/>
  <c r="AO62" i="1"/>
  <c r="AO61" i="1"/>
  <c r="AO60" i="1"/>
  <c r="AO59" i="1"/>
  <c r="AO58" i="1"/>
  <c r="AO57" i="1"/>
  <c r="AO56" i="1"/>
  <c r="AO55" i="1"/>
  <c r="AO54" i="1"/>
  <c r="AO53" i="1"/>
  <c r="AO52" i="1"/>
  <c r="AO51" i="1"/>
  <c r="AO50" i="1"/>
  <c r="AO49" i="1"/>
  <c r="AO48" i="1"/>
  <c r="AO47" i="1"/>
  <c r="AO46" i="1"/>
  <c r="AO45" i="1"/>
  <c r="AO44" i="1"/>
  <c r="AO43" i="1"/>
  <c r="AO42" i="1"/>
  <c r="AO41" i="1"/>
  <c r="AO40" i="1"/>
  <c r="AO39" i="1"/>
  <c r="AO38" i="1"/>
  <c r="AO37" i="1"/>
  <c r="AO36" i="1"/>
  <c r="AO35" i="1"/>
  <c r="AO34" i="1"/>
  <c r="AO33" i="1"/>
  <c r="AO32" i="1"/>
  <c r="AO31" i="1"/>
  <c r="AO30" i="1"/>
  <c r="AO29" i="1"/>
  <c r="AO28" i="1"/>
  <c r="AO27" i="1"/>
  <c r="AO26" i="1"/>
  <c r="AO25" i="1"/>
  <c r="AO24" i="1"/>
  <c r="AO23" i="1"/>
  <c r="AO22" i="1"/>
  <c r="AO21" i="1"/>
  <c r="AO20" i="1"/>
  <c r="AO19" i="1"/>
  <c r="AO18" i="1"/>
  <c r="AO17" i="1"/>
  <c r="AO16" i="1"/>
  <c r="AO15" i="1"/>
  <c r="AO14" i="1"/>
  <c r="AO13" i="1"/>
  <c r="AO12" i="1"/>
  <c r="AO11" i="1"/>
  <c r="AO10" i="1"/>
  <c r="AO9" i="1"/>
  <c r="AO8" i="1"/>
  <c r="AO7" i="1"/>
  <c r="AO6" i="1"/>
  <c r="AO5" i="1"/>
  <c r="AO4" i="1"/>
  <c r="AO3" i="1"/>
  <c r="B129" i="5"/>
  <c r="B128" i="5"/>
  <c r="B127" i="5"/>
  <c r="B126" i="5"/>
  <c r="B125" i="5"/>
  <c r="B124" i="5"/>
  <c r="B123" i="5"/>
  <c r="B122" i="5"/>
  <c r="B121" i="5"/>
  <c r="B120" i="5"/>
  <c r="B119" i="5"/>
  <c r="B118" i="5"/>
  <c r="B117" i="5"/>
  <c r="B116" i="5"/>
  <c r="B115" i="5"/>
  <c r="B114" i="5"/>
  <c r="B113" i="5"/>
  <c r="B112" i="5"/>
  <c r="B111" i="5"/>
  <c r="B110" i="5"/>
  <c r="B109" i="5"/>
  <c r="B108" i="5"/>
  <c r="B107" i="5"/>
  <c r="B106" i="5"/>
  <c r="B105" i="5"/>
  <c r="B104" i="5"/>
  <c r="B103" i="5"/>
  <c r="B102" i="5"/>
  <c r="B101" i="5"/>
  <c r="B100" i="5"/>
  <c r="B99" i="5"/>
  <c r="B98" i="5"/>
  <c r="B97" i="5"/>
  <c r="B96" i="5"/>
  <c r="B95" i="5"/>
  <c r="B94" i="5"/>
  <c r="B93" i="5"/>
  <c r="B92" i="5"/>
  <c r="B91" i="5"/>
  <c r="B90" i="5"/>
  <c r="B89" i="5"/>
  <c r="B88" i="5"/>
  <c r="B87" i="5"/>
  <c r="B86" i="5"/>
  <c r="B85" i="5"/>
  <c r="B84" i="5"/>
  <c r="B83" i="5"/>
  <c r="B82" i="5"/>
  <c r="B81" i="5"/>
  <c r="B80" i="5"/>
  <c r="B79" i="5"/>
  <c r="B78" i="5"/>
  <c r="B77" i="5"/>
  <c r="B76" i="5"/>
  <c r="B75" i="5"/>
  <c r="B74" i="5"/>
  <c r="B73" i="5"/>
  <c r="B72" i="5"/>
  <c r="B71" i="5"/>
  <c r="B70" i="5"/>
  <c r="B69" i="5"/>
  <c r="B68" i="5"/>
  <c r="B67" i="5"/>
  <c r="B66" i="5"/>
  <c r="B65" i="5"/>
  <c r="B64" i="5"/>
  <c r="B63" i="5"/>
  <c r="B62" i="5"/>
  <c r="B61" i="5"/>
  <c r="B60" i="5"/>
  <c r="B59" i="5"/>
  <c r="B58" i="5"/>
  <c r="B57" i="5"/>
  <c r="B56" i="5"/>
  <c r="B55" i="5"/>
  <c r="B54" i="5"/>
  <c r="B53" i="5"/>
  <c r="B52" i="5"/>
  <c r="B51" i="5"/>
  <c r="B50" i="5"/>
  <c r="B49" i="5"/>
  <c r="B48" i="5"/>
  <c r="B47" i="5"/>
  <c r="B46" i="5"/>
  <c r="B45" i="5"/>
  <c r="B44" i="5"/>
  <c r="B43" i="5"/>
  <c r="B42" i="5"/>
  <c r="B41" i="5"/>
  <c r="B40" i="5"/>
  <c r="B39" i="5"/>
  <c r="B38" i="5"/>
  <c r="B37" i="5"/>
  <c r="B36" i="5"/>
  <c r="B35" i="5"/>
  <c r="B34" i="5"/>
  <c r="B33" i="5"/>
  <c r="B32" i="5"/>
  <c r="B31" i="5"/>
  <c r="B30" i="5"/>
  <c r="B29" i="5"/>
  <c r="B28" i="5"/>
  <c r="B27" i="5"/>
  <c r="B26" i="5"/>
  <c r="B25" i="5"/>
  <c r="B24" i="5"/>
  <c r="B23" i="5"/>
  <c r="B22" i="5"/>
  <c r="B21" i="5"/>
  <c r="B20" i="5"/>
  <c r="B19" i="5"/>
  <c r="B18" i="5"/>
  <c r="B17" i="5"/>
  <c r="B16" i="5"/>
  <c r="B15" i="5"/>
  <c r="B14" i="5"/>
  <c r="B13" i="5"/>
  <c r="B12" i="5"/>
  <c r="B11" i="5"/>
  <c r="B10" i="5"/>
  <c r="B9" i="5"/>
  <c r="B8" i="5"/>
  <c r="B7" i="5"/>
  <c r="BY88" i="1" l="1"/>
  <c r="BV88" i="1"/>
  <c r="BS88" i="1"/>
  <c r="AX88" i="1"/>
  <c r="BZ88" i="1" l="1"/>
  <c r="BT88" i="1"/>
  <c r="BW88" i="1"/>
  <c r="AX87" i="1"/>
  <c r="BY87" i="1" l="1"/>
  <c r="BV87" i="1"/>
  <c r="BS87" i="1"/>
  <c r="BW87" i="1" l="1"/>
  <c r="BT87" i="1"/>
  <c r="BZ87" i="1"/>
  <c r="AX121" i="1"/>
  <c r="AX122" i="1"/>
  <c r="AX123" i="1"/>
  <c r="AX124" i="1"/>
  <c r="AX125" i="1"/>
  <c r="AY89" i="1"/>
  <c r="AY90" i="1"/>
  <c r="AY91" i="1"/>
  <c r="AY92" i="1"/>
  <c r="AY93" i="1"/>
  <c r="AY95" i="1"/>
  <c r="AX89" i="1"/>
  <c r="AX90" i="1"/>
  <c r="AX91" i="1"/>
  <c r="AX92" i="1"/>
  <c r="AX93" i="1"/>
  <c r="AX95" i="1"/>
  <c r="P15" i="6" l="1"/>
  <c r="C8" i="6" l="1"/>
  <c r="C27" i="6" l="1"/>
  <c r="C10" i="6"/>
  <c r="C11" i="6"/>
  <c r="C12" i="6"/>
  <c r="C13" i="6"/>
  <c r="C14" i="6"/>
  <c r="C15" i="6"/>
  <c r="C16" i="6"/>
  <c r="C17" i="6"/>
  <c r="C18" i="6"/>
  <c r="C19" i="6"/>
  <c r="C20" i="6"/>
  <c r="C21" i="6"/>
  <c r="C22" i="6"/>
  <c r="C23" i="6"/>
  <c r="C24" i="6"/>
  <c r="C25" i="6"/>
  <c r="C26" i="6"/>
  <c r="C9" i="6"/>
  <c r="BY89" i="1" l="1"/>
  <c r="BY90" i="1"/>
  <c r="BY91" i="1"/>
  <c r="BY92" i="1"/>
  <c r="BY93" i="1"/>
  <c r="BV89" i="1"/>
  <c r="BV90" i="1"/>
  <c r="BV91" i="1"/>
  <c r="BV92" i="1"/>
  <c r="BV93" i="1"/>
  <c r="BS89" i="1"/>
  <c r="BS90" i="1"/>
  <c r="BS91" i="1"/>
  <c r="BS92" i="1"/>
  <c r="BS93" i="1"/>
  <c r="BW89" i="1" l="1"/>
  <c r="BZ90" i="1"/>
  <c r="BW93" i="1"/>
  <c r="BW92" i="1"/>
  <c r="BT89" i="1"/>
  <c r="BZ93" i="1"/>
  <c r="BZ89" i="1"/>
  <c r="BT90" i="1"/>
  <c r="BT93" i="1"/>
  <c r="BW91" i="1"/>
  <c r="BT92" i="1"/>
  <c r="BT91" i="1"/>
  <c r="BW90" i="1"/>
  <c r="BZ92" i="1"/>
  <c r="BZ91" i="1"/>
  <c r="I11" i="6"/>
  <c r="I38" i="6" l="1"/>
  <c r="I17" i="6"/>
  <c r="I14" i="6"/>
  <c r="F13" i="6"/>
  <c r="F15" i="6"/>
  <c r="J110" i="1" l="1"/>
  <c r="H110" i="1"/>
  <c r="F20" i="6"/>
  <c r="F36" i="6"/>
  <c r="F31" i="6"/>
  <c r="I38" i="7" l="1"/>
  <c r="O61" i="7" l="1"/>
  <c r="P61" i="7" s="1"/>
  <c r="E56" i="7"/>
  <c r="L56" i="7" s="1"/>
  <c r="N58" i="7" s="1"/>
  <c r="O58" i="7" s="1"/>
  <c r="H23" i="7" s="1"/>
  <c r="I23" i="7" s="1"/>
  <c r="E51" i="7"/>
  <c r="L51" i="7" s="1"/>
  <c r="E46" i="7"/>
  <c r="L46" i="7" s="1"/>
  <c r="E43" i="7"/>
  <c r="L43" i="7" s="1"/>
  <c r="J42" i="7"/>
  <c r="O42" i="7" s="1"/>
  <c r="H7" i="7" s="1"/>
  <c r="J41" i="7"/>
  <c r="O41" i="7" s="1"/>
  <c r="J38" i="7"/>
  <c r="I37" i="7"/>
  <c r="J37" i="7" s="1"/>
  <c r="I36" i="7"/>
  <c r="J36" i="7" s="1"/>
  <c r="I35" i="7"/>
  <c r="J35" i="7" s="1"/>
  <c r="F23" i="7"/>
  <c r="D23" i="7"/>
  <c r="F6" i="7"/>
  <c r="D6" i="7"/>
  <c r="F5" i="7"/>
  <c r="D5" i="7"/>
  <c r="N44" i="7" l="1"/>
  <c r="O44" i="7" s="1"/>
  <c r="H9" i="7" s="1"/>
  <c r="N45" i="7"/>
  <c r="O45" i="7" s="1"/>
  <c r="H10" i="7" s="1"/>
  <c r="M10" i="7" s="1"/>
  <c r="H6" i="7"/>
  <c r="P41" i="7"/>
  <c r="J40" i="7"/>
  <c r="O40" i="7" s="1"/>
  <c r="L7" i="7"/>
  <c r="I7" i="7"/>
  <c r="P58" i="7"/>
  <c r="P42" i="7"/>
  <c r="J23" i="7"/>
  <c r="M23" i="7"/>
  <c r="L23" i="7"/>
  <c r="K23" i="7"/>
  <c r="N54" i="7"/>
  <c r="O54" i="7" s="1"/>
  <c r="N52" i="7"/>
  <c r="O52" i="7" s="1"/>
  <c r="N56" i="7"/>
  <c r="O56" i="7" s="1"/>
  <c r="N49" i="7"/>
  <c r="O49" i="7" s="1"/>
  <c r="N47" i="7"/>
  <c r="O47" i="7" s="1"/>
  <c r="N51" i="7"/>
  <c r="O51" i="7" s="1"/>
  <c r="N55" i="7"/>
  <c r="O55" i="7" s="1"/>
  <c r="N46" i="7"/>
  <c r="O46" i="7" s="1"/>
  <c r="N50" i="7"/>
  <c r="O50" i="7" s="1"/>
  <c r="J7" i="7"/>
  <c r="N48" i="7"/>
  <c r="O48" i="7" s="1"/>
  <c r="K7" i="7"/>
  <c r="L6" i="7"/>
  <c r="N43" i="7"/>
  <c r="O43" i="7" s="1"/>
  <c r="J6" i="7"/>
  <c r="M7" i="7"/>
  <c r="K6" i="7"/>
  <c r="N53" i="7"/>
  <c r="O53" i="7" s="1"/>
  <c r="N59" i="7"/>
  <c r="O59" i="7" s="1"/>
  <c r="P59" i="7" s="1"/>
  <c r="N57" i="7"/>
  <c r="O57" i="7" s="1"/>
  <c r="N60" i="7"/>
  <c r="O60" i="7" s="1"/>
  <c r="P60" i="7" s="1"/>
  <c r="P45" i="7" l="1"/>
  <c r="I10" i="7"/>
  <c r="L10" i="7"/>
  <c r="I9" i="7"/>
  <c r="L9" i="7"/>
  <c r="M9" i="7"/>
  <c r="P44" i="7"/>
  <c r="J10" i="7"/>
  <c r="N10" i="7" s="1"/>
  <c r="O10" i="7" s="1"/>
  <c r="K10" i="7"/>
  <c r="J9" i="7"/>
  <c r="K9" i="7"/>
  <c r="N7" i="7"/>
  <c r="O7" i="7" s="1"/>
  <c r="H19" i="7"/>
  <c r="I19" i="7" s="1"/>
  <c r="P54" i="7"/>
  <c r="H12" i="7"/>
  <c r="I12" i="7" s="1"/>
  <c r="P47" i="7"/>
  <c r="H11" i="7"/>
  <c r="I11" i="7" s="1"/>
  <c r="P46" i="7"/>
  <c r="H14" i="7"/>
  <c r="I14" i="7" s="1"/>
  <c r="P49" i="7"/>
  <c r="I6" i="7"/>
  <c r="M6" i="7"/>
  <c r="H15" i="7"/>
  <c r="I15" i="7" s="1"/>
  <c r="P50" i="7"/>
  <c r="H18" i="7"/>
  <c r="I18" i="7" s="1"/>
  <c r="P53" i="7"/>
  <c r="H13" i="7"/>
  <c r="I13" i="7" s="1"/>
  <c r="P48" i="7"/>
  <c r="H20" i="7"/>
  <c r="I20" i="7" s="1"/>
  <c r="P55" i="7"/>
  <c r="H21" i="7"/>
  <c r="I21" i="7" s="1"/>
  <c r="P56" i="7"/>
  <c r="H5" i="7"/>
  <c r="P40" i="7"/>
  <c r="R41" i="7" s="1"/>
  <c r="H22" i="7"/>
  <c r="I22" i="7" s="1"/>
  <c r="P57" i="7"/>
  <c r="H8" i="7"/>
  <c r="I8" i="7" s="1"/>
  <c r="P43" i="7"/>
  <c r="H16" i="7"/>
  <c r="I16" i="7" s="1"/>
  <c r="P51" i="7"/>
  <c r="H17" i="7"/>
  <c r="I17" i="7" s="1"/>
  <c r="P52" i="7"/>
  <c r="K20" i="7"/>
  <c r="M20" i="7"/>
  <c r="J20" i="7"/>
  <c r="L8" i="7"/>
  <c r="L17" i="7"/>
  <c r="J17" i="7"/>
  <c r="K15" i="7"/>
  <c r="L19" i="7"/>
  <c r="K19" i="7"/>
  <c r="M19" i="7"/>
  <c r="J19" i="7"/>
  <c r="N23" i="7"/>
  <c r="O23" i="7" s="1"/>
  <c r="J14" i="7"/>
  <c r="L20" i="7" l="1"/>
  <c r="J16" i="7"/>
  <c r="M16" i="7"/>
  <c r="N9" i="7"/>
  <c r="O9" i="7" s="1"/>
  <c r="K16" i="7"/>
  <c r="K13" i="7"/>
  <c r="M14" i="7"/>
  <c r="J22" i="7"/>
  <c r="J18" i="7"/>
  <c r="M22" i="7"/>
  <c r="L16" i="7"/>
  <c r="M18" i="7"/>
  <c r="R45" i="7"/>
  <c r="N6" i="7"/>
  <c r="O6" i="7" s="1"/>
  <c r="K18" i="7"/>
  <c r="N18" i="7" s="1"/>
  <c r="O18" i="7" s="1"/>
  <c r="K14" i="7"/>
  <c r="L14" i="7"/>
  <c r="M11" i="7"/>
  <c r="K22" i="7"/>
  <c r="L22" i="7"/>
  <c r="L18" i="7"/>
  <c r="R61" i="7"/>
  <c r="J12" i="7"/>
  <c r="R47" i="7"/>
  <c r="M12" i="7"/>
  <c r="M8" i="7"/>
  <c r="R52" i="7"/>
  <c r="K21" i="7"/>
  <c r="K12" i="7"/>
  <c r="M17" i="7"/>
  <c r="N17" i="7" s="1"/>
  <c r="O17" i="7" s="1"/>
  <c r="J8" i="7"/>
  <c r="N8" i="7" s="1"/>
  <c r="O8" i="7" s="1"/>
  <c r="L12" i="7"/>
  <c r="K17" i="7"/>
  <c r="K8" i="7"/>
  <c r="R59" i="7"/>
  <c r="R54" i="7"/>
  <c r="K11" i="7"/>
  <c r="J15" i="7"/>
  <c r="L15" i="7"/>
  <c r="L21" i="7"/>
  <c r="L13" i="7"/>
  <c r="L11" i="7"/>
  <c r="M15" i="7"/>
  <c r="J21" i="7"/>
  <c r="J13" i="7"/>
  <c r="I5" i="7"/>
  <c r="K5" i="7"/>
  <c r="M5" i="7"/>
  <c r="L5" i="7"/>
  <c r="J5" i="7"/>
  <c r="J11" i="7"/>
  <c r="M21" i="7"/>
  <c r="M13" i="7"/>
  <c r="N14" i="7"/>
  <c r="O14" i="7" s="1"/>
  <c r="N19" i="7"/>
  <c r="O19" i="7" s="1"/>
  <c r="N20" i="7"/>
  <c r="O20" i="7" s="1"/>
  <c r="N16" i="7"/>
  <c r="O16" i="7" s="1"/>
  <c r="N22" i="7" l="1"/>
  <c r="O22" i="7" s="1"/>
  <c r="N12" i="7"/>
  <c r="O12" i="7" s="1"/>
  <c r="N5" i="7"/>
  <c r="O5" i="7" s="1"/>
  <c r="N21" i="7"/>
  <c r="O21" i="7" s="1"/>
  <c r="N15" i="7"/>
  <c r="O15" i="7" s="1"/>
  <c r="N13" i="7"/>
  <c r="O13" i="7" s="1"/>
  <c r="N11" i="7"/>
  <c r="O11" i="7" s="1"/>
  <c r="F38" i="6"/>
  <c r="F52" i="6" l="1"/>
  <c r="F33" i="6"/>
  <c r="F22" i="6" l="1"/>
  <c r="AY32" i="1" l="1"/>
  <c r="BO99" i="1"/>
  <c r="BY106" i="1"/>
  <c r="BY94" i="1"/>
  <c r="BY74" i="1"/>
  <c r="BV106" i="1"/>
  <c r="BV94" i="1"/>
  <c r="BV74" i="1"/>
  <c r="BS106" i="1"/>
  <c r="BS94" i="1"/>
  <c r="BS74" i="1"/>
  <c r="AY123" i="1" l="1"/>
  <c r="AY124" i="1"/>
  <c r="AY125" i="1"/>
  <c r="AY122" i="1"/>
  <c r="AY119" i="1"/>
  <c r="AY120" i="1"/>
  <c r="AY121" i="1"/>
  <c r="AY116" i="1"/>
  <c r="AY117" i="1"/>
  <c r="AY118" i="1"/>
  <c r="AY114" i="1"/>
  <c r="AY115" i="1"/>
  <c r="AY112" i="1"/>
  <c r="AY113" i="1"/>
  <c r="AY110" i="1"/>
  <c r="AY111" i="1"/>
  <c r="AY108" i="1"/>
  <c r="AY109" i="1"/>
  <c r="AY107" i="1"/>
  <c r="AY106" i="1"/>
  <c r="AY102" i="1"/>
  <c r="AY103" i="1"/>
  <c r="AY104" i="1"/>
  <c r="AY105" i="1"/>
  <c r="AY96" i="1"/>
  <c r="AY97" i="1"/>
  <c r="AY98" i="1"/>
  <c r="AY99" i="1"/>
  <c r="AY100" i="1"/>
  <c r="AY101" i="1"/>
  <c r="AY85" i="1"/>
  <c r="AY86" i="1"/>
  <c r="AY94" i="1"/>
  <c r="AY82" i="1"/>
  <c r="AY83" i="1"/>
  <c r="AY84" i="1"/>
  <c r="AY81" i="1"/>
  <c r="AY79" i="1"/>
  <c r="AY80" i="1"/>
  <c r="AY77" i="1"/>
  <c r="AY78" i="1"/>
  <c r="AY75" i="1"/>
  <c r="AY76" i="1"/>
  <c r="AY72" i="1"/>
  <c r="AY73" i="1"/>
  <c r="AY74" i="1"/>
  <c r="AY69" i="1"/>
  <c r="AY70" i="1"/>
  <c r="AY71" i="1"/>
  <c r="AY66" i="1"/>
  <c r="AY67" i="1"/>
  <c r="AY68" i="1"/>
  <c r="AY64" i="1"/>
  <c r="AY65" i="1"/>
  <c r="AY62" i="1"/>
  <c r="AY63" i="1"/>
  <c r="AY61" i="1"/>
  <c r="AY59" i="1"/>
  <c r="AY60" i="1"/>
  <c r="AY57" i="1"/>
  <c r="AY58" i="1"/>
  <c r="AY55" i="1"/>
  <c r="AY56" i="1"/>
  <c r="AY53" i="1"/>
  <c r="AY54" i="1"/>
  <c r="AY51" i="1"/>
  <c r="AY52" i="1"/>
  <c r="AY49" i="1"/>
  <c r="AY50" i="1"/>
  <c r="AY47" i="1"/>
  <c r="AY48" i="1"/>
  <c r="AY45" i="1"/>
  <c r="AY46" i="1"/>
  <c r="AY43" i="1"/>
  <c r="AY44" i="1"/>
  <c r="AY41" i="1"/>
  <c r="AY42" i="1"/>
  <c r="AY39" i="1"/>
  <c r="AY40" i="1"/>
  <c r="AY38" i="1"/>
  <c r="AY37" i="1"/>
  <c r="AY36" i="1"/>
  <c r="AY35" i="1"/>
  <c r="AY34" i="1"/>
  <c r="AY33" i="1"/>
  <c r="AY30" i="1"/>
  <c r="AY31" i="1"/>
  <c r="AY28" i="1"/>
  <c r="AY29" i="1"/>
  <c r="AY26" i="1"/>
  <c r="AY27" i="1"/>
  <c r="AY24" i="1"/>
  <c r="AY25" i="1"/>
  <c r="AY22" i="1"/>
  <c r="AY23" i="1"/>
  <c r="AY21" i="1"/>
  <c r="AY19" i="1"/>
  <c r="AY20" i="1"/>
  <c r="AY17" i="1"/>
  <c r="AY18" i="1"/>
  <c r="AY15" i="1"/>
  <c r="AY16" i="1"/>
  <c r="AY13" i="1"/>
  <c r="AY14" i="1"/>
  <c r="AY11" i="1"/>
  <c r="AY12" i="1"/>
  <c r="AY10" i="1"/>
  <c r="AY8" i="1"/>
  <c r="AY9" i="1"/>
  <c r="AY7" i="1"/>
  <c r="AY6" i="1"/>
  <c r="AY5" i="1"/>
  <c r="AY4" i="1"/>
  <c r="AY3" i="1"/>
  <c r="AX10" i="1"/>
  <c r="AX11" i="1"/>
  <c r="AX12" i="1"/>
  <c r="AX13" i="1"/>
  <c r="AX14" i="1"/>
  <c r="AX15" i="1"/>
  <c r="AX16" i="1"/>
  <c r="AX17" i="1"/>
  <c r="AX18" i="1"/>
  <c r="AX19" i="1"/>
  <c r="AX20" i="1"/>
  <c r="AX21" i="1"/>
  <c r="AX22" i="1"/>
  <c r="AX23" i="1"/>
  <c r="AX24" i="1"/>
  <c r="AX25" i="1"/>
  <c r="AX26" i="1"/>
  <c r="AX27" i="1"/>
  <c r="AX28" i="1"/>
  <c r="AX29" i="1"/>
  <c r="AX30" i="1"/>
  <c r="AX31" i="1"/>
  <c r="AX32" i="1"/>
  <c r="AX33" i="1"/>
  <c r="AX34" i="1"/>
  <c r="AX35" i="1"/>
  <c r="AX36" i="1"/>
  <c r="AX37" i="1"/>
  <c r="AX38" i="1"/>
  <c r="AX39" i="1"/>
  <c r="AX40" i="1"/>
  <c r="AX41" i="1"/>
  <c r="AX42" i="1"/>
  <c r="AX43" i="1"/>
  <c r="AX44" i="1"/>
  <c r="AX45" i="1"/>
  <c r="AX46" i="1"/>
  <c r="AX47" i="1"/>
  <c r="AX48" i="1"/>
  <c r="AX49" i="1"/>
  <c r="AX50" i="1"/>
  <c r="AX51" i="1"/>
  <c r="AX52" i="1"/>
  <c r="AX53" i="1"/>
  <c r="AX54" i="1"/>
  <c r="AX55" i="1"/>
  <c r="AX56" i="1"/>
  <c r="AX57" i="1"/>
  <c r="AX58" i="1"/>
  <c r="AX59" i="1"/>
  <c r="AX60" i="1"/>
  <c r="AX61" i="1"/>
  <c r="AX62" i="1"/>
  <c r="AX63" i="1"/>
  <c r="AX64" i="1"/>
  <c r="AX65" i="1"/>
  <c r="AX66" i="1"/>
  <c r="AX67" i="1"/>
  <c r="AX68" i="1"/>
  <c r="AX69" i="1"/>
  <c r="AX70" i="1"/>
  <c r="AX71" i="1"/>
  <c r="AX72" i="1"/>
  <c r="AX73" i="1"/>
  <c r="AX74" i="1"/>
  <c r="AX75" i="1"/>
  <c r="AX76" i="1"/>
  <c r="AX77" i="1"/>
  <c r="AX78" i="1"/>
  <c r="AX79" i="1"/>
  <c r="AX80" i="1"/>
  <c r="AX81" i="1"/>
  <c r="AX82" i="1"/>
  <c r="AX83" i="1"/>
  <c r="AX84" i="1"/>
  <c r="AX85" i="1"/>
  <c r="AX86" i="1"/>
  <c r="AX94" i="1"/>
  <c r="AX96" i="1"/>
  <c r="AX97" i="1"/>
  <c r="AX98" i="1"/>
  <c r="AX99" i="1"/>
  <c r="AX100" i="1"/>
  <c r="AX101" i="1"/>
  <c r="AX102" i="1"/>
  <c r="AX103" i="1"/>
  <c r="AX104" i="1"/>
  <c r="AX105" i="1"/>
  <c r="AX106" i="1"/>
  <c r="AX107" i="1"/>
  <c r="AX108" i="1"/>
  <c r="AX109" i="1"/>
  <c r="AX110" i="1"/>
  <c r="AX111" i="1"/>
  <c r="AX112" i="1"/>
  <c r="AX113" i="1"/>
  <c r="AX114" i="1"/>
  <c r="AX115" i="1"/>
  <c r="AX116" i="1"/>
  <c r="AX117" i="1"/>
  <c r="AX118" i="1"/>
  <c r="AX119" i="1"/>
  <c r="AX120" i="1"/>
  <c r="AX6" i="1"/>
  <c r="AX7" i="1"/>
  <c r="AX8" i="1"/>
  <c r="AX9" i="1"/>
  <c r="AX5" i="1"/>
  <c r="AX4" i="1"/>
  <c r="AX3" i="1"/>
  <c r="AW125" i="1" l="1"/>
  <c r="AU125" i="1"/>
  <c r="BO124" i="1"/>
  <c r="BJ124" i="1"/>
  <c r="AU124" i="1"/>
  <c r="AW124" i="1" s="1"/>
  <c r="AQ124" i="1"/>
  <c r="BO123" i="1"/>
  <c r="AU123" i="1"/>
  <c r="AW123" i="1" s="1"/>
  <c r="AW122" i="1"/>
  <c r="AU122" i="1"/>
  <c r="BO121" i="1"/>
  <c r="AU121" i="1"/>
  <c r="AW121" i="1" s="1"/>
  <c r="BO120" i="1"/>
  <c r="AW120" i="1"/>
  <c r="AU120" i="1"/>
  <c r="BO119" i="1"/>
  <c r="AU119" i="1"/>
  <c r="AW119" i="1" s="1"/>
  <c r="BO118" i="1"/>
  <c r="AW118" i="1"/>
  <c r="AU118" i="1"/>
  <c r="AQ118" i="1"/>
  <c r="AP118" i="1"/>
  <c r="BO117" i="1"/>
  <c r="AU117" i="1"/>
  <c r="AW117" i="1" s="1"/>
  <c r="AQ117" i="1"/>
  <c r="BO116" i="1"/>
  <c r="AU116" i="1"/>
  <c r="AW116" i="1" s="1"/>
  <c r="BO115" i="1"/>
  <c r="AU115" i="1"/>
  <c r="AW115" i="1" s="1"/>
  <c r="AW114" i="1"/>
  <c r="AU114" i="1"/>
  <c r="BO113" i="1"/>
  <c r="AU113" i="1"/>
  <c r="AW113" i="1" s="1"/>
  <c r="BO112" i="1"/>
  <c r="AU112" i="1"/>
  <c r="AW112" i="1" s="1"/>
  <c r="BO111" i="1"/>
  <c r="AW111" i="1"/>
  <c r="AU111" i="1"/>
  <c r="BO110" i="1"/>
  <c r="AW110" i="1"/>
  <c r="AU110" i="1"/>
  <c r="BO109" i="1"/>
  <c r="AU109" i="1"/>
  <c r="AW109" i="1" s="1"/>
  <c r="AW108" i="1"/>
  <c r="AU108" i="1"/>
  <c r="AW107" i="1"/>
  <c r="AU107" i="1"/>
  <c r="BZ106" i="1"/>
  <c r="BW106" i="1"/>
  <c r="BT106" i="1"/>
  <c r="BO106" i="1"/>
  <c r="BJ106" i="1"/>
  <c r="BO105" i="1"/>
  <c r="AW105" i="1"/>
  <c r="AU105" i="1"/>
  <c r="BO104" i="1"/>
  <c r="AW104" i="1"/>
  <c r="AU104" i="1"/>
  <c r="BO103" i="1"/>
  <c r="AU103" i="1"/>
  <c r="AW103" i="1" s="1"/>
  <c r="BO102" i="1"/>
  <c r="AU102" i="1"/>
  <c r="AW102" i="1" s="1"/>
  <c r="BO101" i="1"/>
  <c r="AW101" i="1"/>
  <c r="AU101" i="1"/>
  <c r="BO100" i="1"/>
  <c r="AW100" i="1"/>
  <c r="AU100" i="1"/>
  <c r="BW99" i="1"/>
  <c r="BT99" i="1"/>
  <c r="AZ99" i="1"/>
  <c r="AW99" i="1"/>
  <c r="BO98" i="1"/>
  <c r="AW98" i="1"/>
  <c r="AU98" i="1"/>
  <c r="BO97" i="1"/>
  <c r="AW97" i="1"/>
  <c r="AU97" i="1"/>
  <c r="BO96" i="1"/>
  <c r="AW96" i="1"/>
  <c r="AU96" i="1"/>
  <c r="AW95" i="1"/>
  <c r="BZ94" i="1"/>
  <c r="BW94" i="1"/>
  <c r="BT94" i="1"/>
  <c r="BO94" i="1"/>
  <c r="BO86" i="1"/>
  <c r="AW86" i="1"/>
  <c r="AU86" i="1"/>
  <c r="AW85" i="1"/>
  <c r="AU85" i="1"/>
  <c r="BO84" i="1"/>
  <c r="AU84" i="1"/>
  <c r="AW84" i="1" s="1"/>
  <c r="BO83" i="1"/>
  <c r="AU83" i="1"/>
  <c r="AW83" i="1" s="1"/>
  <c r="BO82" i="1"/>
  <c r="BJ82" i="1"/>
  <c r="AW82" i="1"/>
  <c r="AU82" i="1"/>
  <c r="AW81" i="1"/>
  <c r="AU81" i="1"/>
  <c r="BO80" i="1"/>
  <c r="BJ80" i="1"/>
  <c r="AU80" i="1"/>
  <c r="AW80" i="1" s="1"/>
  <c r="BO79" i="1"/>
  <c r="BJ79" i="1"/>
  <c r="AU79" i="1"/>
  <c r="AW79" i="1" s="1"/>
  <c r="BO78" i="1"/>
  <c r="AW78" i="1"/>
  <c r="AU78" i="1"/>
  <c r="AW77" i="1"/>
  <c r="AU77" i="1"/>
  <c r="AW76" i="1"/>
  <c r="AU76" i="1"/>
  <c r="BO75" i="1"/>
  <c r="AW75" i="1"/>
  <c r="AU75" i="1"/>
  <c r="BZ74" i="1"/>
  <c r="BW74" i="1"/>
  <c r="BT74" i="1"/>
  <c r="BO74" i="1"/>
  <c r="BJ74" i="1"/>
  <c r="BO73" i="1"/>
  <c r="AW73" i="1"/>
  <c r="AU73" i="1"/>
  <c r="BO72" i="1"/>
  <c r="AW72" i="1"/>
  <c r="AU72" i="1"/>
  <c r="BO71" i="1"/>
  <c r="AU71" i="1"/>
  <c r="AW71" i="1" s="1"/>
  <c r="BO70" i="1"/>
  <c r="AW70" i="1"/>
  <c r="AU70" i="1"/>
  <c r="BO69" i="1"/>
  <c r="AU69" i="1"/>
  <c r="AW69" i="1" s="1"/>
  <c r="BO68" i="1"/>
  <c r="AU68" i="1"/>
  <c r="AW68" i="1" s="1"/>
  <c r="BO67" i="1"/>
  <c r="AW67" i="1"/>
  <c r="AU67" i="1"/>
  <c r="BO66" i="1"/>
  <c r="AW66" i="1"/>
  <c r="AU66" i="1"/>
  <c r="BO65" i="1"/>
  <c r="AU65" i="1"/>
  <c r="AW65" i="1" s="1"/>
  <c r="BO64" i="1"/>
  <c r="AU64" i="1"/>
  <c r="AW64" i="1" s="1"/>
  <c r="BO63" i="1"/>
  <c r="AW63" i="1"/>
  <c r="AU63" i="1"/>
  <c r="BO62" i="1"/>
  <c r="AW62" i="1"/>
  <c r="AU62" i="1"/>
  <c r="BO61" i="1"/>
  <c r="AW61" i="1"/>
  <c r="BO60" i="1"/>
  <c r="AW60" i="1"/>
  <c r="AU60" i="1"/>
  <c r="BO59" i="1"/>
  <c r="AW59" i="1"/>
  <c r="AU59" i="1"/>
  <c r="BO58" i="1"/>
  <c r="AU58" i="1"/>
  <c r="AW58" i="1" s="1"/>
  <c r="BO57" i="1"/>
  <c r="BJ57" i="1"/>
  <c r="AW57" i="1"/>
  <c r="AU57" i="1"/>
  <c r="BO56" i="1"/>
  <c r="AW56" i="1"/>
  <c r="AU56" i="1"/>
  <c r="BO55" i="1"/>
  <c r="AW55" i="1"/>
  <c r="AU55" i="1"/>
  <c r="BO54" i="1"/>
  <c r="AU54" i="1"/>
  <c r="AW54" i="1" s="1"/>
  <c r="BO53" i="1"/>
  <c r="BJ53" i="1"/>
  <c r="AU53" i="1"/>
  <c r="AW53" i="1" s="1"/>
  <c r="BO52" i="1"/>
  <c r="AU52" i="1"/>
  <c r="AW52" i="1" s="1"/>
  <c r="BO51" i="1"/>
  <c r="AU51" i="1"/>
  <c r="AW51" i="1" s="1"/>
  <c r="BO50" i="1"/>
  <c r="AU50" i="1"/>
  <c r="AW50" i="1" s="1"/>
  <c r="BO49" i="1"/>
  <c r="AW49" i="1"/>
  <c r="AU49" i="1"/>
  <c r="BO48" i="1"/>
  <c r="AU48" i="1"/>
  <c r="AW48" i="1" s="1"/>
  <c r="BO47" i="1"/>
  <c r="AU47" i="1"/>
  <c r="AW47" i="1" s="1"/>
  <c r="BO46" i="1"/>
  <c r="AU46" i="1"/>
  <c r="AW46" i="1" s="1"/>
  <c r="BO45" i="1"/>
  <c r="AW45" i="1"/>
  <c r="AU45" i="1"/>
  <c r="BO44" i="1"/>
  <c r="AW44" i="1"/>
  <c r="AU44" i="1"/>
  <c r="BO43" i="1"/>
  <c r="AW43" i="1"/>
  <c r="AU43" i="1"/>
  <c r="BO42" i="1"/>
  <c r="AW42" i="1"/>
  <c r="AU42" i="1"/>
  <c r="BO41" i="1"/>
  <c r="AU41" i="1"/>
  <c r="AW41" i="1" s="1"/>
  <c r="BO40" i="1"/>
  <c r="AW40" i="1"/>
  <c r="AU40" i="1"/>
  <c r="BO39" i="1"/>
  <c r="AU39" i="1"/>
  <c r="AW39" i="1" s="1"/>
  <c r="AQ39" i="1"/>
  <c r="BO38" i="1"/>
  <c r="AW38" i="1"/>
  <c r="AU38" i="1"/>
  <c r="BO37" i="1"/>
  <c r="AW37" i="1"/>
  <c r="AU37" i="1"/>
  <c r="AU36" i="1"/>
  <c r="AW36" i="1" s="1"/>
  <c r="BO35" i="1"/>
  <c r="AW35" i="1"/>
  <c r="AU35" i="1"/>
  <c r="AW34" i="1"/>
  <c r="AU34" i="1"/>
  <c r="AW33" i="1"/>
  <c r="AU33" i="1"/>
  <c r="AW32" i="1"/>
  <c r="BO31" i="1"/>
  <c r="AU31" i="1"/>
  <c r="AW31" i="1" s="1"/>
  <c r="BO30" i="1"/>
  <c r="AU30" i="1"/>
  <c r="AW30" i="1" s="1"/>
  <c r="BO29" i="1"/>
  <c r="AU29" i="1"/>
  <c r="AW29" i="1" s="1"/>
  <c r="BO28" i="1"/>
  <c r="AW28" i="1"/>
  <c r="AU28" i="1"/>
  <c r="BO27" i="1"/>
  <c r="AU27" i="1"/>
  <c r="AW27" i="1" s="1"/>
  <c r="BO26" i="1"/>
  <c r="AU26" i="1"/>
  <c r="AW26" i="1" s="1"/>
  <c r="AW25" i="1"/>
  <c r="AU25" i="1"/>
  <c r="BJ24" i="1"/>
  <c r="AU24" i="1"/>
  <c r="AW24" i="1" s="1"/>
  <c r="BO23" i="1"/>
  <c r="AU23" i="1"/>
  <c r="AW23" i="1" s="1"/>
  <c r="BO22" i="1"/>
  <c r="AW22" i="1"/>
  <c r="AU22" i="1"/>
  <c r="BO21" i="1"/>
  <c r="AW21" i="1"/>
  <c r="AU21" i="1"/>
  <c r="BO20" i="1"/>
  <c r="AU20" i="1"/>
  <c r="AW20" i="1" s="1"/>
  <c r="BO19" i="1"/>
  <c r="AU19" i="1"/>
  <c r="AW19" i="1" s="1"/>
  <c r="BO18" i="1"/>
  <c r="AU18" i="1"/>
  <c r="AW18" i="1" s="1"/>
  <c r="AW17" i="1"/>
  <c r="AU17" i="1"/>
  <c r="BO16" i="1"/>
  <c r="AW16" i="1"/>
  <c r="AU16" i="1"/>
  <c r="BO15" i="1"/>
  <c r="AW15" i="1"/>
  <c r="AU15" i="1"/>
  <c r="BO14" i="1"/>
  <c r="AW14" i="1"/>
  <c r="AU14" i="1"/>
  <c r="BO13" i="1"/>
  <c r="AW13" i="1"/>
  <c r="AU13" i="1"/>
  <c r="BO12" i="1"/>
  <c r="AW12" i="1"/>
  <c r="BS12" i="1" s="1"/>
  <c r="AU12" i="1"/>
  <c r="BO11" i="1"/>
  <c r="AU11" i="1"/>
  <c r="AW11" i="1" s="1"/>
  <c r="AW10" i="1"/>
  <c r="AU10" i="1"/>
  <c r="AW9" i="1"/>
  <c r="AU9" i="1"/>
  <c r="AW8" i="1"/>
  <c r="AU8" i="1"/>
  <c r="BO7" i="1"/>
  <c r="AW7" i="1"/>
  <c r="AU7" i="1"/>
  <c r="BO6" i="1"/>
  <c r="AU6" i="1"/>
  <c r="AW6" i="1" s="1"/>
  <c r="BO5" i="1"/>
  <c r="AU5" i="1"/>
  <c r="AW5" i="1" s="1"/>
  <c r="BO4" i="1"/>
  <c r="AW4" i="1"/>
  <c r="AU4" i="1"/>
  <c r="BO3" i="1"/>
  <c r="AW3" i="1"/>
  <c r="AU3" i="1"/>
  <c r="BY32" i="1" l="1"/>
  <c r="BS32" i="1"/>
  <c r="BV32" i="1"/>
  <c r="BS68" i="1"/>
  <c r="BV68" i="1"/>
  <c r="BY68" i="1"/>
  <c r="BZ68" i="1" s="1"/>
  <c r="BY113" i="1"/>
  <c r="BS113" i="1"/>
  <c r="BV113" i="1"/>
  <c r="BY24" i="1"/>
  <c r="BZ24" i="1" s="1"/>
  <c r="BS24" i="1"/>
  <c r="BT24" i="1" s="1"/>
  <c r="BV24" i="1"/>
  <c r="BV25" i="1"/>
  <c r="BY25" i="1"/>
  <c r="BS25" i="1"/>
  <c r="BT25" i="1" s="1"/>
  <c r="BY37" i="1"/>
  <c r="BS37" i="1"/>
  <c r="BV37" i="1"/>
  <c r="BV38" i="1"/>
  <c r="BW38" i="1" s="1"/>
  <c r="BY38" i="1"/>
  <c r="BS38" i="1"/>
  <c r="BY41" i="1"/>
  <c r="BZ41" i="1" s="1"/>
  <c r="BS41" i="1"/>
  <c r="BT41" i="1" s="1"/>
  <c r="BV41" i="1"/>
  <c r="BV46" i="1"/>
  <c r="BW46" i="1" s="1"/>
  <c r="BY46" i="1"/>
  <c r="BS46" i="1"/>
  <c r="BT46" i="1" s="1"/>
  <c r="BV9" i="1"/>
  <c r="BY9" i="1"/>
  <c r="BS9" i="1"/>
  <c r="BS10" i="1"/>
  <c r="BV10" i="1"/>
  <c r="BY10" i="1"/>
  <c r="BS19" i="1"/>
  <c r="BT19" i="1" s="1"/>
  <c r="BV19" i="1"/>
  <c r="BY19" i="1"/>
  <c r="BZ19" i="1" s="1"/>
  <c r="BS30" i="1"/>
  <c r="BT30" i="1" s="1"/>
  <c r="BV30" i="1"/>
  <c r="BW30" i="1" s="1"/>
  <c r="BY30" i="1"/>
  <c r="BV34" i="1"/>
  <c r="BY34" i="1"/>
  <c r="BS34" i="1"/>
  <c r="BT34" i="1" s="1"/>
  <c r="BS47" i="1"/>
  <c r="BT47" i="1" s="1"/>
  <c r="BV47" i="1"/>
  <c r="BY47" i="1"/>
  <c r="BS52" i="1"/>
  <c r="BT52" i="1" s="1"/>
  <c r="BV52" i="1"/>
  <c r="BY52" i="1"/>
  <c r="BY65" i="1"/>
  <c r="BS65" i="1"/>
  <c r="BV65" i="1"/>
  <c r="BW65" i="1" s="1"/>
  <c r="BV66" i="1"/>
  <c r="BY66" i="1"/>
  <c r="BS66" i="1"/>
  <c r="BS67" i="1"/>
  <c r="BT67" i="1" s="1"/>
  <c r="BV67" i="1"/>
  <c r="BY67" i="1"/>
  <c r="BY77" i="1"/>
  <c r="BS77" i="1"/>
  <c r="BT77" i="1" s="1"/>
  <c r="BV77" i="1"/>
  <c r="BS96" i="1"/>
  <c r="BV96" i="1"/>
  <c r="BY96" i="1"/>
  <c r="BZ96" i="1" s="1"/>
  <c r="BY97" i="1"/>
  <c r="BS97" i="1"/>
  <c r="BT97" i="1" s="1"/>
  <c r="BV97" i="1"/>
  <c r="BV98" i="1"/>
  <c r="BY98" i="1"/>
  <c r="BS98" i="1"/>
  <c r="BT98" i="1" s="1"/>
  <c r="BY109" i="1"/>
  <c r="BZ109" i="1" s="1"/>
  <c r="BS109" i="1"/>
  <c r="BT109" i="1" s="1"/>
  <c r="BV109" i="1"/>
  <c r="BY110" i="1"/>
  <c r="BS110" i="1"/>
  <c r="BV110" i="1"/>
  <c r="BW110" i="1" s="1"/>
  <c r="BV111" i="1"/>
  <c r="BY111" i="1"/>
  <c r="BS111" i="1"/>
  <c r="BS116" i="1"/>
  <c r="BT116" i="1" s="1"/>
  <c r="BV116" i="1"/>
  <c r="BW116" i="1" s="1"/>
  <c r="BY116" i="1"/>
  <c r="BZ116" i="1" s="1"/>
  <c r="BY117" i="1"/>
  <c r="BS117" i="1"/>
  <c r="BV117" i="1"/>
  <c r="BW117" i="1" s="1"/>
  <c r="BY121" i="1"/>
  <c r="BS121" i="1"/>
  <c r="BT121" i="1" s="1"/>
  <c r="BV121" i="1"/>
  <c r="BY122" i="1"/>
  <c r="BS122" i="1"/>
  <c r="BT122" i="1" s="1"/>
  <c r="BV122" i="1"/>
  <c r="BW122" i="1" s="1"/>
  <c r="BS3" i="1"/>
  <c r="BV3" i="1"/>
  <c r="BY3" i="1"/>
  <c r="BY4" i="1"/>
  <c r="BS4" i="1"/>
  <c r="BV4" i="1"/>
  <c r="BS11" i="1"/>
  <c r="BV11" i="1"/>
  <c r="BY11" i="1"/>
  <c r="BY12" i="1"/>
  <c r="BV12" i="1"/>
  <c r="BV13" i="1"/>
  <c r="BW13" i="1" s="1"/>
  <c r="BY13" i="1"/>
  <c r="BS13" i="1"/>
  <c r="BS14" i="1"/>
  <c r="BV14" i="1"/>
  <c r="BY14" i="1"/>
  <c r="BZ14" i="1" s="1"/>
  <c r="BS15" i="1"/>
  <c r="BT15" i="1" s="1"/>
  <c r="BV15" i="1"/>
  <c r="BY15" i="1"/>
  <c r="BY16" i="1"/>
  <c r="BS16" i="1"/>
  <c r="BT16" i="1" s="1"/>
  <c r="BV16" i="1"/>
  <c r="BW16" i="1" s="1"/>
  <c r="BV17" i="1"/>
  <c r="BY17" i="1"/>
  <c r="BS17" i="1"/>
  <c r="BY20" i="1"/>
  <c r="BZ20" i="1" s="1"/>
  <c r="BS20" i="1"/>
  <c r="BT20" i="1" s="1"/>
  <c r="BV20" i="1"/>
  <c r="BW20" i="1" s="1"/>
  <c r="BV21" i="1"/>
  <c r="BW21" i="1" s="1"/>
  <c r="BY21" i="1"/>
  <c r="BS21" i="1"/>
  <c r="BS22" i="1"/>
  <c r="BV22" i="1"/>
  <c r="BY22" i="1"/>
  <c r="BZ22" i="1" s="1"/>
  <c r="BS26" i="1"/>
  <c r="BV26" i="1"/>
  <c r="BW26" i="1" s="1"/>
  <c r="BY26" i="1"/>
  <c r="BS31" i="1"/>
  <c r="BV31" i="1"/>
  <c r="BY31" i="1"/>
  <c r="BZ31" i="1" s="1"/>
  <c r="BS35" i="1"/>
  <c r="BV35" i="1"/>
  <c r="BW35" i="1" s="1"/>
  <c r="BY35" i="1"/>
  <c r="BS48" i="1"/>
  <c r="BV48" i="1"/>
  <c r="BW48" i="1" s="1"/>
  <c r="BY48" i="1"/>
  <c r="BY49" i="1"/>
  <c r="BZ49" i="1" s="1"/>
  <c r="BS49" i="1"/>
  <c r="BV49" i="1"/>
  <c r="BY53" i="1"/>
  <c r="BZ53" i="1" s="1"/>
  <c r="BS53" i="1"/>
  <c r="BT53" i="1" s="1"/>
  <c r="BV53" i="1"/>
  <c r="BV54" i="1"/>
  <c r="BY54" i="1"/>
  <c r="BS54" i="1"/>
  <c r="BT54" i="1" s="1"/>
  <c r="BS55" i="1"/>
  <c r="BT55" i="1" s="1"/>
  <c r="BV55" i="1"/>
  <c r="BY55" i="1"/>
  <c r="BS56" i="1"/>
  <c r="BV56" i="1"/>
  <c r="BW56" i="1" s="1"/>
  <c r="BY56" i="1"/>
  <c r="BY57" i="1"/>
  <c r="BS57" i="1"/>
  <c r="BV57" i="1"/>
  <c r="BW57" i="1" s="1"/>
  <c r="BV58" i="1"/>
  <c r="BY58" i="1"/>
  <c r="BZ58" i="1" s="1"/>
  <c r="BS58" i="1"/>
  <c r="BT58" i="1" s="1"/>
  <c r="BS59" i="1"/>
  <c r="BV59" i="1"/>
  <c r="BY59" i="1"/>
  <c r="BS60" i="1"/>
  <c r="BT60" i="1" s="1"/>
  <c r="BV60" i="1"/>
  <c r="BY60" i="1"/>
  <c r="BZ60" i="1" s="1"/>
  <c r="BY69" i="1"/>
  <c r="BS69" i="1"/>
  <c r="BT69" i="1" s="1"/>
  <c r="BV69" i="1"/>
  <c r="BW69" i="1" s="1"/>
  <c r="BV70" i="1"/>
  <c r="BY70" i="1"/>
  <c r="BS70" i="1"/>
  <c r="BS71" i="1"/>
  <c r="BT71" i="1" s="1"/>
  <c r="BV71" i="1"/>
  <c r="BY71" i="1"/>
  <c r="BS72" i="1"/>
  <c r="BT72" i="1" s="1"/>
  <c r="BV72" i="1"/>
  <c r="BY72" i="1"/>
  <c r="BY73" i="1"/>
  <c r="BS73" i="1"/>
  <c r="BV73" i="1"/>
  <c r="BV78" i="1"/>
  <c r="BY78" i="1"/>
  <c r="BZ78" i="1" s="1"/>
  <c r="BS78" i="1"/>
  <c r="BT78" i="1" s="1"/>
  <c r="BY81" i="1"/>
  <c r="BS81" i="1"/>
  <c r="BT81" i="1" s="1"/>
  <c r="BV81" i="1"/>
  <c r="BW81" i="1" s="1"/>
  <c r="BY99" i="1"/>
  <c r="BV107" i="1"/>
  <c r="BW107" i="1" s="1"/>
  <c r="BY107" i="1"/>
  <c r="BS107" i="1"/>
  <c r="BT107" i="1" s="1"/>
  <c r="BS112" i="1"/>
  <c r="BT112" i="1" s="1"/>
  <c r="BV112" i="1"/>
  <c r="BY112" i="1"/>
  <c r="BY114" i="1"/>
  <c r="BZ114" i="1" s="1"/>
  <c r="BS114" i="1"/>
  <c r="BV114" i="1"/>
  <c r="BW114" i="1" s="1"/>
  <c r="BY125" i="1"/>
  <c r="BS125" i="1"/>
  <c r="BV125" i="1"/>
  <c r="BW125" i="1" s="1"/>
  <c r="BV5" i="1"/>
  <c r="BY5" i="1"/>
  <c r="BS5" i="1"/>
  <c r="BS23" i="1"/>
  <c r="BV23" i="1"/>
  <c r="BW23" i="1" s="1"/>
  <c r="BY23" i="1"/>
  <c r="BS27" i="1"/>
  <c r="BT27" i="1" s="1"/>
  <c r="BV27" i="1"/>
  <c r="BY27" i="1"/>
  <c r="BZ27" i="1" s="1"/>
  <c r="BY28" i="1"/>
  <c r="BS28" i="1"/>
  <c r="BT28" i="1" s="1"/>
  <c r="BV28" i="1"/>
  <c r="BS36" i="1"/>
  <c r="BV36" i="1"/>
  <c r="BY36" i="1"/>
  <c r="BS44" i="1"/>
  <c r="BV44" i="1"/>
  <c r="BW44" i="1" s="1"/>
  <c r="BY44" i="1"/>
  <c r="BY45" i="1"/>
  <c r="BS45" i="1"/>
  <c r="BV45" i="1"/>
  <c r="BW45" i="1" s="1"/>
  <c r="BV50" i="1"/>
  <c r="BY50" i="1"/>
  <c r="BS50" i="1"/>
  <c r="BT50" i="1" s="1"/>
  <c r="BY61" i="1"/>
  <c r="BZ61" i="1" s="1"/>
  <c r="BS61" i="1"/>
  <c r="BV61" i="1"/>
  <c r="BV62" i="1"/>
  <c r="BW62" i="1" s="1"/>
  <c r="BY62" i="1"/>
  <c r="BS62" i="1"/>
  <c r="BS63" i="1"/>
  <c r="BV63" i="1"/>
  <c r="BY63" i="1"/>
  <c r="BZ63" i="1" s="1"/>
  <c r="BS79" i="1"/>
  <c r="BV79" i="1"/>
  <c r="BW79" i="1" s="1"/>
  <c r="BY79" i="1"/>
  <c r="BS80" i="1"/>
  <c r="BT80" i="1" s="1"/>
  <c r="BV80" i="1"/>
  <c r="BY80" i="1"/>
  <c r="BV82" i="1"/>
  <c r="BW82" i="1" s="1"/>
  <c r="BY82" i="1"/>
  <c r="BS82" i="1"/>
  <c r="BS83" i="1"/>
  <c r="BV83" i="1"/>
  <c r="BY83" i="1"/>
  <c r="BS100" i="1"/>
  <c r="BT100" i="1" s="1"/>
  <c r="BV100" i="1"/>
  <c r="BY100" i="1"/>
  <c r="BZ100" i="1" s="1"/>
  <c r="BY101" i="1"/>
  <c r="BZ101" i="1" s="1"/>
  <c r="BS101" i="1"/>
  <c r="BV101" i="1"/>
  <c r="BY102" i="1"/>
  <c r="BS102" i="1"/>
  <c r="BT102" i="1" s="1"/>
  <c r="BV102" i="1"/>
  <c r="BS108" i="1"/>
  <c r="BV108" i="1"/>
  <c r="BY108" i="1"/>
  <c r="BY118" i="1"/>
  <c r="BS118" i="1"/>
  <c r="BV118" i="1"/>
  <c r="BV123" i="1"/>
  <c r="BY123" i="1"/>
  <c r="BZ123" i="1" s="1"/>
  <c r="BS123" i="1"/>
  <c r="BS124" i="1"/>
  <c r="BV124" i="1"/>
  <c r="BW124" i="1" s="1"/>
  <c r="BY124" i="1"/>
  <c r="BS6" i="1"/>
  <c r="BV6" i="1"/>
  <c r="BY6" i="1"/>
  <c r="BS7" i="1"/>
  <c r="BV7" i="1"/>
  <c r="BY7" i="1"/>
  <c r="BY8" i="1"/>
  <c r="BZ8" i="1" s="1"/>
  <c r="BS8" i="1"/>
  <c r="BV8" i="1"/>
  <c r="BS18" i="1"/>
  <c r="BV18" i="1"/>
  <c r="BY18" i="1"/>
  <c r="BV29" i="1"/>
  <c r="BY29" i="1"/>
  <c r="BZ29" i="1" s="1"/>
  <c r="BS29" i="1"/>
  <c r="BY33" i="1"/>
  <c r="BS33" i="1"/>
  <c r="BV33" i="1"/>
  <c r="BS39" i="1"/>
  <c r="BT39" i="1" s="1"/>
  <c r="BV39" i="1"/>
  <c r="BY39" i="1"/>
  <c r="BS40" i="1"/>
  <c r="BV40" i="1"/>
  <c r="BY40" i="1"/>
  <c r="BV42" i="1"/>
  <c r="BY42" i="1"/>
  <c r="BS42" i="1"/>
  <c r="BT42" i="1" s="1"/>
  <c r="BS43" i="1"/>
  <c r="BV43" i="1"/>
  <c r="BY43" i="1"/>
  <c r="BS51" i="1"/>
  <c r="BV51" i="1"/>
  <c r="BY51" i="1"/>
  <c r="BS64" i="1"/>
  <c r="BT64" i="1" s="1"/>
  <c r="BV64" i="1"/>
  <c r="BY64" i="1"/>
  <c r="BS75" i="1"/>
  <c r="BV75" i="1"/>
  <c r="BY75" i="1"/>
  <c r="BS76" i="1"/>
  <c r="BV76" i="1"/>
  <c r="BY76" i="1"/>
  <c r="BS84" i="1"/>
  <c r="BV84" i="1"/>
  <c r="BW84" i="1" s="1"/>
  <c r="BY84" i="1"/>
  <c r="BZ84" i="1" s="1"/>
  <c r="BY85" i="1"/>
  <c r="BS85" i="1"/>
  <c r="BV85" i="1"/>
  <c r="BW85" i="1" s="1"/>
  <c r="BV86" i="1"/>
  <c r="BW86" i="1" s="1"/>
  <c r="BY86" i="1"/>
  <c r="BS86" i="1"/>
  <c r="BV103" i="1"/>
  <c r="BY103" i="1"/>
  <c r="BS103" i="1"/>
  <c r="BS104" i="1"/>
  <c r="BV104" i="1"/>
  <c r="BY104" i="1"/>
  <c r="BY105" i="1"/>
  <c r="BS105" i="1"/>
  <c r="BV105" i="1"/>
  <c r="BV115" i="1"/>
  <c r="BY115" i="1"/>
  <c r="BS115" i="1"/>
  <c r="BV119" i="1"/>
  <c r="BY119" i="1"/>
  <c r="BS119" i="1"/>
  <c r="BS120" i="1"/>
  <c r="BV120" i="1"/>
  <c r="BY120" i="1"/>
  <c r="BT44" i="1"/>
  <c r="BW17" i="1"/>
  <c r="BT12" i="1"/>
  <c r="BW63" i="1" l="1"/>
  <c r="BT119" i="1"/>
  <c r="BZ75" i="1"/>
  <c r="BT115" i="1"/>
  <c r="BW108" i="1"/>
  <c r="BW76" i="1"/>
  <c r="BW33" i="1"/>
  <c r="BT22" i="1"/>
  <c r="BW5" i="1"/>
  <c r="BW113" i="1"/>
  <c r="BZ59" i="1"/>
  <c r="BZ45" i="1"/>
  <c r="BZ4" i="1"/>
  <c r="BT110" i="1"/>
  <c r="BW73" i="1"/>
  <c r="BZ25" i="1"/>
  <c r="BZ115" i="1"/>
  <c r="BZ79" i="1"/>
  <c r="BW53" i="1"/>
  <c r="BT23" i="1"/>
  <c r="BW121" i="1"/>
  <c r="BZ83" i="1"/>
  <c r="BW72" i="1"/>
  <c r="BT104" i="1"/>
  <c r="BW68" i="1"/>
  <c r="BW11" i="1"/>
  <c r="BZ21" i="1"/>
  <c r="BZ47" i="1"/>
  <c r="BW31" i="1"/>
  <c r="BT125" i="1"/>
  <c r="BT57" i="1"/>
  <c r="BW64" i="1"/>
  <c r="BT120" i="1"/>
  <c r="BZ7" i="1"/>
  <c r="BZ6" i="1"/>
  <c r="BT123" i="1"/>
  <c r="BT84" i="1"/>
  <c r="BT66" i="1"/>
  <c r="BT37" i="1"/>
  <c r="BW118" i="1"/>
  <c r="BZ111" i="1"/>
  <c r="BZ73" i="1"/>
  <c r="BT48" i="1"/>
  <c r="BZ36" i="1"/>
  <c r="BT5" i="1"/>
  <c r="BT117" i="1"/>
  <c r="BZ105" i="1"/>
  <c r="BZ66" i="1"/>
  <c r="BZ42" i="1"/>
  <c r="BZ15" i="1"/>
  <c r="BW112" i="1"/>
  <c r="BZ71" i="1"/>
  <c r="BZ69" i="1"/>
  <c r="BZ102" i="1"/>
  <c r="BT124" i="1"/>
  <c r="BZ121" i="1"/>
  <c r="BW83" i="1"/>
  <c r="BT26" i="1"/>
  <c r="BZ65" i="1"/>
  <c r="BW40" i="1"/>
  <c r="BW18" i="1"/>
  <c r="BT96" i="1"/>
  <c r="BT3" i="1"/>
  <c r="BW28" i="1"/>
  <c r="BZ11" i="1"/>
  <c r="BT36" i="1"/>
  <c r="BT31" i="1"/>
  <c r="BT38" i="1"/>
  <c r="BT70" i="1"/>
  <c r="BW14" i="1"/>
  <c r="BZ51" i="1"/>
  <c r="BW7" i="1"/>
  <c r="BT75" i="1"/>
  <c r="BZ119" i="1"/>
  <c r="BT118" i="1"/>
  <c r="BZ80" i="1"/>
  <c r="BT33" i="1"/>
  <c r="BT103" i="1"/>
  <c r="BZ86" i="1"/>
  <c r="BZ85" i="1"/>
  <c r="BZ76" i="1"/>
  <c r="BW75" i="1"/>
  <c r="BZ43" i="1"/>
  <c r="BT40" i="1"/>
  <c r="BT18" i="1"/>
  <c r="BW6" i="1"/>
  <c r="BT45" i="1"/>
  <c r="BW27" i="1"/>
  <c r="BT114" i="1"/>
  <c r="BZ99" i="1"/>
  <c r="BT73" i="1"/>
  <c r="BT56" i="1"/>
  <c r="BZ35" i="1"/>
  <c r="BT21" i="1"/>
  <c r="BZ117" i="1"/>
  <c r="BT111" i="1"/>
  <c r="BW97" i="1"/>
  <c r="BW96" i="1"/>
  <c r="BZ77" i="1"/>
  <c r="BT65" i="1"/>
  <c r="BT9" i="1"/>
  <c r="BZ46" i="1"/>
  <c r="BW37" i="1"/>
  <c r="BT32" i="1"/>
  <c r="BZ120" i="1"/>
  <c r="BW42" i="1"/>
  <c r="BW101" i="1"/>
  <c r="BW100" i="1"/>
  <c r="BT63" i="1"/>
  <c r="BW61" i="1"/>
  <c r="BZ50" i="1"/>
  <c r="BZ70" i="1"/>
  <c r="BZ57" i="1"/>
  <c r="BZ55" i="1"/>
  <c r="BZ54" i="1"/>
  <c r="BZ48" i="1"/>
  <c r="BW15" i="1"/>
  <c r="BT14" i="1"/>
  <c r="BW12" i="1"/>
  <c r="BT11" i="1"/>
  <c r="BZ3" i="1"/>
  <c r="BZ110" i="1"/>
  <c r="BZ67" i="1"/>
  <c r="BZ34" i="1"/>
  <c r="BZ10" i="1"/>
  <c r="BZ9" i="1"/>
  <c r="BW25" i="1"/>
  <c r="BZ32" i="1"/>
  <c r="BW8" i="1"/>
  <c r="BW43" i="1"/>
  <c r="BZ103" i="1"/>
  <c r="BW120" i="1"/>
  <c r="BW119" i="1"/>
  <c r="BW105" i="1"/>
  <c r="BW104" i="1"/>
  <c r="BW103" i="1"/>
  <c r="BT76" i="1"/>
  <c r="BZ64" i="1"/>
  <c r="BW51" i="1"/>
  <c r="BT43" i="1"/>
  <c r="BZ40" i="1"/>
  <c r="BW39" i="1"/>
  <c r="BZ33" i="1"/>
  <c r="BZ18" i="1"/>
  <c r="BT8" i="1"/>
  <c r="BT7" i="1"/>
  <c r="BZ124" i="1"/>
  <c r="BZ118" i="1"/>
  <c r="BW102" i="1"/>
  <c r="BT101" i="1"/>
  <c r="BT82" i="1"/>
  <c r="BW80" i="1"/>
  <c r="BT79" i="1"/>
  <c r="BT62" i="1"/>
  <c r="BT61" i="1"/>
  <c r="BW50" i="1"/>
  <c r="BZ44" i="1"/>
  <c r="BW36" i="1"/>
  <c r="BZ28" i="1"/>
  <c r="BZ23" i="1"/>
  <c r="BZ5" i="1"/>
  <c r="BZ125" i="1"/>
  <c r="BZ112" i="1"/>
  <c r="BZ107" i="1"/>
  <c r="BW78" i="1"/>
  <c r="BZ72" i="1"/>
  <c r="BW71" i="1"/>
  <c r="BW70" i="1"/>
  <c r="BW59" i="1"/>
  <c r="BW58" i="1"/>
  <c r="BZ56" i="1"/>
  <c r="BW55" i="1"/>
  <c r="BW54" i="1"/>
  <c r="BW49" i="1"/>
  <c r="BT35" i="1"/>
  <c r="BZ26" i="1"/>
  <c r="BW22" i="1"/>
  <c r="BT17" i="1"/>
  <c r="BT13" i="1"/>
  <c r="BZ12" i="1"/>
  <c r="BW4" i="1"/>
  <c r="BW3" i="1"/>
  <c r="BZ122" i="1"/>
  <c r="BW111" i="1"/>
  <c r="BW109" i="1"/>
  <c r="BZ98" i="1"/>
  <c r="BZ97" i="1"/>
  <c r="BW77" i="1"/>
  <c r="BW67" i="1"/>
  <c r="BW66" i="1"/>
  <c r="BZ52" i="1"/>
  <c r="BW47" i="1"/>
  <c r="BW34" i="1"/>
  <c r="BW10" i="1"/>
  <c r="BW9" i="1"/>
  <c r="BW41" i="1"/>
  <c r="BZ38" i="1"/>
  <c r="BZ37" i="1"/>
  <c r="BW24" i="1"/>
  <c r="BT113" i="1"/>
  <c r="BT68" i="1"/>
  <c r="BZ104" i="1"/>
  <c r="BT6" i="1"/>
  <c r="BW115" i="1"/>
  <c r="BT83" i="1"/>
  <c r="BZ39" i="1"/>
  <c r="BT108" i="1"/>
  <c r="BW29" i="1"/>
  <c r="BT105" i="1"/>
  <c r="BT86" i="1"/>
  <c r="BT85" i="1"/>
  <c r="BT51" i="1"/>
  <c r="BT29" i="1"/>
  <c r="BW123" i="1"/>
  <c r="BZ108" i="1"/>
  <c r="BZ82" i="1"/>
  <c r="BZ62" i="1"/>
  <c r="BZ81" i="1"/>
  <c r="BW60" i="1"/>
  <c r="BT59" i="1"/>
  <c r="BT49" i="1"/>
  <c r="BZ17" i="1"/>
  <c r="BZ16" i="1"/>
  <c r="BZ13" i="1"/>
  <c r="BT4" i="1"/>
  <c r="BW98" i="1"/>
  <c r="BW52" i="1"/>
  <c r="BZ30" i="1"/>
  <c r="BW19" i="1"/>
  <c r="BT10" i="1"/>
  <c r="BZ113" i="1"/>
  <c r="BW3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E37" authorId="0" shapeId="0" xr:uid="{2845A14B-91D4-44D2-BF67-DDDAED2CD972}">
      <text>
        <r>
          <rPr>
            <sz val="9"/>
            <color indexed="81"/>
            <rFont val="Tahoma"/>
            <charset val="1"/>
          </rPr>
          <t xml:space="preserve">M3CLs were refeered to as UCL in the previous versions of the MCP regulations and Method 1 spreadsheets.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1" authorId="0" shapeId="0" xr:uid="{00000000-0006-0000-0100-000001000000}">
      <text>
        <r>
          <rPr>
            <sz val="8"/>
            <color indexed="81"/>
            <rFont val="Tahoma"/>
            <family val="2"/>
          </rPr>
          <t>All data on this spreadsheet are protected to prevent inadvertent changes to this information.
To unprotect the sheet to make changes, use the "Tools" "Protection" commands on the Main menu.</t>
        </r>
      </text>
    </comment>
    <comment ref="C2" authorId="0" shapeId="0" xr:uid="{00000000-0006-0000-0100-000002000000}">
      <text>
        <r>
          <rPr>
            <b/>
            <sz val="8"/>
            <color indexed="81"/>
            <rFont val="Tahoma"/>
            <family val="2"/>
          </rPr>
          <t xml:space="preserve">plocke:
</t>
        </r>
        <r>
          <rPr>
            <sz val="8"/>
            <color indexed="81"/>
            <rFont val="Tahoma"/>
            <family val="2"/>
          </rPr>
          <t>Date indicates the last time the chemical-specific file were reviewed for regulations.
The IRIS "Recent Additions" page is checked monthly to determine the need to review individual chemicals.
See http://www.epa.gov/IRIS/recent.htm</t>
        </r>
      </text>
    </comment>
    <comment ref="AI2" authorId="0" shapeId="0" xr:uid="{00000000-0006-0000-0100-000003000000}">
      <text>
        <r>
          <rPr>
            <sz val="8"/>
            <color indexed="81"/>
            <rFont val="Tahoma"/>
            <family val="2"/>
          </rPr>
          <t xml:space="preserve">From MassDEP Technical Update: Background Levels of Polycyclic Aromatic Hydrocarbons and Metals in Soil. For soils Containing Coal Ash or Wood Ash Associated with Fill Material.
</t>
        </r>
      </text>
    </comment>
    <comment ref="AM2" authorId="0" shapeId="0" xr:uid="{00000000-0006-0000-0100-000004000000}">
      <text>
        <r>
          <rPr>
            <sz val="8"/>
            <color indexed="81"/>
            <rFont val="Tahoma"/>
            <family val="2"/>
          </rPr>
          <t xml:space="preserve">From DEP "Guidance for Disposal Site Rick Characterization", 1995.  Table 21. (page2-33) Non-urban background levels.
</t>
        </r>
      </text>
    </comment>
    <comment ref="AN2" authorId="0" shapeId="0" xr:uid="{00000000-0006-0000-0100-000005000000}">
      <text>
        <r>
          <rPr>
            <sz val="8"/>
            <color indexed="81"/>
            <rFont val="Tahoma"/>
            <family val="2"/>
          </rPr>
          <t xml:space="preserve">From the MA DEP "Risk Assessment ShortForm - Residential Scenario" (10/92).  Table 6-7, page 36.
</t>
        </r>
      </text>
    </comment>
    <comment ref="AO2" authorId="0" shapeId="0" xr:uid="{00000000-0006-0000-0100-000006000000}">
      <text>
        <r>
          <rPr>
            <sz val="8"/>
            <color indexed="81"/>
            <rFont val="Tahoma"/>
            <family val="2"/>
          </rPr>
          <t xml:space="preserve">See MCP GW.xlsx Indoor Air Tab for references.
</t>
        </r>
      </text>
    </comment>
    <comment ref="AP2" authorId="0" shapeId="0" xr:uid="{00000000-0006-0000-0100-000007000000}">
      <text>
        <r>
          <rPr>
            <sz val="8"/>
            <color indexed="81"/>
            <rFont val="Tahoma"/>
            <family val="2"/>
          </rPr>
          <t xml:space="preserve">The 90th percentile value from Stolwijk (Risk Analysis, vol 10, no. 1, 1990), unless otherwise noted.
</t>
        </r>
      </text>
    </comment>
    <comment ref="AQ2" authorId="0" shapeId="0" xr:uid="{00000000-0006-0000-0100-000008000000}">
      <text>
        <r>
          <rPr>
            <b/>
            <sz val="8"/>
            <color indexed="81"/>
            <rFont val="Tahoma"/>
            <family val="2"/>
          </rPr>
          <t>Upper Quartile (75th percentile) value from USEPA National Ambient Volatile Organic Compounds (VOCs) Database Update, 2/88, EPA/600/3-88/010(a) (Table V-2, page 40), unless otherwise noted</t>
        </r>
      </text>
    </comment>
    <comment ref="AW2" authorId="0" shapeId="0" xr:uid="{00000000-0006-0000-0100-000009000000}">
      <text>
        <r>
          <rPr>
            <sz val="8"/>
            <color indexed="81"/>
            <rFont val="Tahoma"/>
            <family val="2"/>
          </rPr>
          <t xml:space="preserve">Odor Index = Vapor Pressure/Odor Threshold
</t>
        </r>
      </text>
    </comment>
    <comment ref="AZ2" authorId="0" shapeId="0" xr:uid="{00000000-0006-0000-0100-00000A000000}">
      <text>
        <r>
          <rPr>
            <b/>
            <sz val="8"/>
            <color indexed="81"/>
            <rFont val="Tahoma"/>
            <family val="2"/>
          </rPr>
          <t>Author:</t>
        </r>
        <r>
          <rPr>
            <sz val="8"/>
            <color indexed="81"/>
            <rFont val="Tahoma"/>
            <family val="2"/>
          </rPr>
          <t xml:space="preserve">
Ref 22, at 20 - 25 C unless noted</t>
        </r>
      </text>
    </comment>
    <comment ref="BB2" authorId="0" shapeId="0" xr:uid="{00000000-0006-0000-0100-00000B000000}">
      <text>
        <r>
          <rPr>
            <b/>
            <sz val="8"/>
            <color indexed="81"/>
            <rFont val="Tahoma"/>
            <family val="2"/>
          </rPr>
          <t>Author:</t>
        </r>
        <r>
          <rPr>
            <sz val="8"/>
            <color indexed="81"/>
            <rFont val="Tahoma"/>
            <family val="2"/>
          </rPr>
          <t xml:space="preserve">
Ref 22, at 20 - 25 C unless noted</t>
        </r>
      </text>
    </comment>
    <comment ref="BD2" authorId="0" shapeId="0" xr:uid="{00000000-0006-0000-0100-00000C000000}">
      <text>
        <r>
          <rPr>
            <b/>
            <sz val="8"/>
            <color indexed="81"/>
            <rFont val="Tahoma"/>
            <family val="2"/>
          </rPr>
          <t>Author:</t>
        </r>
        <r>
          <rPr>
            <sz val="8"/>
            <color indexed="81"/>
            <rFont val="Tahoma"/>
            <family val="2"/>
          </rPr>
          <t xml:space="preserve">
=HLC(atm-m3/mol)/(298*0.000082)</t>
        </r>
      </text>
    </comment>
    <comment ref="BH2" authorId="0" shapeId="0" xr:uid="{00000000-0006-0000-0100-00000D000000}">
      <text>
        <r>
          <rPr>
            <sz val="8"/>
            <color indexed="81"/>
            <rFont val="Tahoma"/>
            <family val="2"/>
          </rPr>
          <t xml:space="preserve">Ref 22
</t>
        </r>
      </text>
    </comment>
    <comment ref="BJ2" authorId="0" shapeId="0" xr:uid="{00000000-0006-0000-0100-00000E000000}">
      <text>
        <r>
          <rPr>
            <sz val="8"/>
            <color indexed="81"/>
            <rFont val="Tahoma"/>
            <family val="2"/>
          </rPr>
          <t>Measured values were used, when available, otherwise a calculated value is given.
Calculation:
Lyman (1982), Handbook of Chemical Property Estimation Methods, Table 4-1, Equation 4-10:
log Koc = 1.00 * log Kow - 0.21</t>
        </r>
      </text>
    </comment>
    <comment ref="BO2" authorId="0" shapeId="0" xr:uid="{00000000-0006-0000-0100-00000F000000}">
      <text>
        <r>
          <rPr>
            <sz val="8"/>
            <color indexed="81"/>
            <rFont val="Tahoma"/>
            <family val="2"/>
          </rPr>
          <t xml:space="preserve">Kp values for organics are calculated values using equation 3.7 in EPA RAGS Part E 1998, which is based on a modified Potts &amp; Guy 1992 equation.  Values for inorganics are either measured or a default value (1E-3 cm/hr) as specified in EPA 1998. Measured values represent the highest reported Kp for various valence states.
</t>
        </r>
      </text>
    </comment>
    <comment ref="BP2" authorId="0" shapeId="0" xr:uid="{00000000-0006-0000-0100-000010000000}">
      <text>
        <r>
          <rPr>
            <b/>
            <sz val="8"/>
            <color indexed="81"/>
            <rFont val="Tahoma"/>
            <family val="2"/>
          </rPr>
          <t>Author:</t>
        </r>
        <r>
          <rPr>
            <sz val="8"/>
            <color indexed="81"/>
            <rFont val="Tahoma"/>
            <family val="2"/>
          </rPr>
          <t xml:space="preserve">
More specifically, the units are:
((mg-OHM)/(kg-plant)) / ((mg-OHM)/(kg-soil))
in other words, this is the ratio of the concentration in the plant to that in the soil. </t>
        </r>
        <r>
          <rPr>
            <b/>
            <sz val="8"/>
            <color indexed="81"/>
            <rFont val="Tahoma"/>
            <family val="2"/>
          </rPr>
          <t>All results are in DRY WEIGHT</t>
        </r>
        <r>
          <rPr>
            <sz val="8"/>
            <color indexed="81"/>
            <rFont val="Tahoma"/>
            <family val="2"/>
          </rPr>
          <t>.</t>
        </r>
      </text>
    </comment>
    <comment ref="H8" authorId="0" shapeId="0" xr:uid="{00000000-0006-0000-0100-000011000000}">
      <text>
        <r>
          <rPr>
            <sz val="9"/>
            <color indexed="81"/>
            <rFont val="Tahoma"/>
            <family val="2"/>
          </rPr>
          <t>Antimony Trioxide</t>
        </r>
      </text>
    </comment>
    <comment ref="J8" authorId="0" shapeId="0" xr:uid="{00000000-0006-0000-0100-000012000000}">
      <text>
        <r>
          <rPr>
            <sz val="9"/>
            <color indexed="81"/>
            <rFont val="Tahoma"/>
            <family val="2"/>
          </rPr>
          <t>Antimony Trioxide</t>
        </r>
      </text>
    </comment>
    <comment ref="G11" authorId="0" shapeId="0" xr:uid="{00000000-0006-0000-0100-000013000000}">
      <text>
        <r>
          <rPr>
            <b/>
            <sz val="8"/>
            <color indexed="81"/>
            <rFont val="Tahoma"/>
            <family val="2"/>
          </rPr>
          <t>Author:</t>
        </r>
        <r>
          <rPr>
            <sz val="8"/>
            <color indexed="81"/>
            <rFont val="Tahoma"/>
            <family val="2"/>
          </rPr>
          <t xml:space="preserve">
Also reference #6, PPRTV.</t>
        </r>
      </text>
    </comment>
    <comment ref="L11" authorId="0" shapeId="0" xr:uid="{00000000-0006-0000-0100-000014000000}">
      <text>
        <r>
          <rPr>
            <sz val="8"/>
            <color indexed="81"/>
            <rFont val="Tahoma"/>
            <family val="2"/>
          </rPr>
          <t>IRIS presents a range of 1.5E-2 to 5.5E-2 per (mg/kg)/day.  The value chosen here is the upper end of the range.</t>
        </r>
      </text>
    </comment>
    <comment ref="A12" authorId="0" shapeId="0" xr:uid="{00000000-0006-0000-0100-000015000000}">
      <text>
        <r>
          <rPr>
            <sz val="8"/>
            <color indexed="81"/>
            <rFont val="Tahoma"/>
            <family val="2"/>
          </rPr>
          <t>Benz(a)anthracene</t>
        </r>
      </text>
    </comment>
    <comment ref="L12" authorId="0" shapeId="0" xr:uid="{00000000-0006-0000-0100-000016000000}">
      <text>
        <r>
          <rPr>
            <sz val="8"/>
            <color indexed="81"/>
            <rFont val="Tahoma"/>
            <family val="2"/>
          </rPr>
          <t>Incorporates a 0.1 Relative (to BaP) Potency Factor</t>
        </r>
      </text>
    </comment>
    <comment ref="O12" authorId="0" shapeId="0" xr:uid="{00000000-0006-0000-0100-000017000000}">
      <text>
        <r>
          <rPr>
            <b/>
            <sz val="9"/>
            <color indexed="81"/>
            <rFont val="Tahoma"/>
            <family val="2"/>
          </rPr>
          <t>Author:</t>
        </r>
        <r>
          <rPr>
            <sz val="9"/>
            <color indexed="81"/>
            <rFont val="Tahoma"/>
            <family val="2"/>
          </rPr>
          <t xml:space="preserve">
Incorporates a 0.1 Relative (to BaP) Potency Factor
</t>
        </r>
      </text>
    </comment>
    <comment ref="L14" authorId="0" shapeId="0" xr:uid="{00000000-0006-0000-0100-000018000000}">
      <text>
        <r>
          <rPr>
            <sz val="8"/>
            <color indexed="81"/>
            <rFont val="Tahoma"/>
            <family val="2"/>
          </rPr>
          <t>Incorporates a 0.1 Relative (to BaP) Potency Factor</t>
        </r>
      </text>
    </comment>
    <comment ref="O14" authorId="0" shapeId="0" xr:uid="{00000000-0006-0000-0100-000019000000}">
      <text>
        <r>
          <rPr>
            <b/>
            <sz val="9"/>
            <color indexed="81"/>
            <rFont val="Tahoma"/>
            <family val="2"/>
          </rPr>
          <t>Author:</t>
        </r>
        <r>
          <rPr>
            <sz val="9"/>
            <color indexed="81"/>
            <rFont val="Tahoma"/>
            <family val="2"/>
          </rPr>
          <t xml:space="preserve">
Incorporates a 0.1 Relative (to BaP) Potency Factor
</t>
        </r>
      </text>
    </comment>
    <comment ref="L16" authorId="0" shapeId="0" xr:uid="{00000000-0006-0000-0100-00001A000000}">
      <text>
        <r>
          <rPr>
            <sz val="8"/>
            <color indexed="81"/>
            <rFont val="Tahoma"/>
            <family val="2"/>
          </rPr>
          <t>Incorporates a 0.01 Relative (to BaP) Potency Factor</t>
        </r>
      </text>
    </comment>
    <comment ref="O16" authorId="0" shapeId="0" xr:uid="{00000000-0006-0000-0100-00001B000000}">
      <text>
        <r>
          <rPr>
            <b/>
            <sz val="9"/>
            <color indexed="81"/>
            <rFont val="Tahoma"/>
            <family val="2"/>
          </rPr>
          <t>Author:</t>
        </r>
        <r>
          <rPr>
            <sz val="9"/>
            <color indexed="81"/>
            <rFont val="Tahoma"/>
            <family val="2"/>
          </rPr>
          <t xml:space="preserve">
Incorporates a 0.01 Relative (to BaP) Potency Factor</t>
        </r>
      </text>
    </comment>
    <comment ref="A21" authorId="0" shapeId="0" xr:uid="{00000000-0006-0000-0100-00001C000000}">
      <text>
        <r>
          <rPr>
            <sz val="8"/>
            <color indexed="81"/>
            <rFont val="Tahoma"/>
            <family val="2"/>
          </rPr>
          <t>Di (2-ethylhexyl)phthalate (DEHP)</t>
        </r>
      </text>
    </comment>
    <comment ref="K23" authorId="0" shapeId="0" xr:uid="{00000000-0006-0000-0100-00001D000000}">
      <text>
        <r>
          <rPr>
            <b/>
            <sz val="8"/>
            <color indexed="81"/>
            <rFont val="Tahoma"/>
            <family val="2"/>
          </rPr>
          <t>Author:</t>
        </r>
        <r>
          <rPr>
            <sz val="8"/>
            <color indexed="81"/>
            <rFont val="Tahoma"/>
            <family val="2"/>
          </rPr>
          <t xml:space="preserve">
 Conversion of ScRfD, 
#47, PPRTV.</t>
        </r>
      </text>
    </comment>
    <comment ref="AP26" authorId="0" shapeId="0" xr:uid="{00000000-0006-0000-0100-00001E000000}">
      <text>
        <r>
          <rPr>
            <sz val="8"/>
            <color indexed="81"/>
            <rFont val="Tahoma"/>
            <family val="2"/>
          </rPr>
          <t>50th percentile value - 90th percentile not presented</t>
        </r>
      </text>
    </comment>
    <comment ref="A27" authorId="0" shapeId="0" xr:uid="{00000000-0006-0000-0100-00001F000000}">
      <text>
        <r>
          <rPr>
            <sz val="8"/>
            <color indexed="81"/>
            <rFont val="Tahoma"/>
            <family val="2"/>
          </rPr>
          <t xml:space="preserve">technical grade chlordane,  as defined by EPA </t>
        </r>
      </text>
    </comment>
    <comment ref="L30" authorId="0" shapeId="0" xr:uid="{00000000-0006-0000-0100-000020000000}">
      <text>
        <r>
          <rPr>
            <b/>
            <sz val="8"/>
            <color indexed="81"/>
            <rFont val="Tahoma"/>
            <family val="2"/>
          </rPr>
          <t>Author:</t>
        </r>
        <r>
          <rPr>
            <sz val="8"/>
            <color indexed="81"/>
            <rFont val="Tahoma"/>
            <family val="2"/>
          </rPr>
          <t xml:space="preserve">
Not Applicable - see IRIS text</t>
        </r>
      </text>
    </comment>
    <comment ref="AP30" authorId="0" shapeId="0" xr:uid="{00000000-0006-0000-0100-000021000000}">
      <text>
        <r>
          <rPr>
            <sz val="8"/>
            <color indexed="81"/>
            <rFont val="Tahoma"/>
            <family val="2"/>
          </rPr>
          <t>50th percentile - 90th percentile not presented</t>
        </r>
      </text>
    </comment>
    <comment ref="BJ31" authorId="0" shapeId="0" xr:uid="{00000000-0006-0000-0100-000022000000}">
      <text>
        <r>
          <rPr>
            <sz val="8"/>
            <color indexed="81"/>
            <rFont val="Tahoma"/>
            <family val="2"/>
          </rPr>
          <t xml:space="preserve">pH=8.0
</t>
        </r>
      </text>
    </comment>
    <comment ref="AJ34" authorId="0" shapeId="0" xr:uid="{00000000-0006-0000-0100-000023000000}">
      <text>
        <r>
          <rPr>
            <b/>
            <sz val="9"/>
            <color indexed="81"/>
            <rFont val="Tahoma"/>
            <family val="2"/>
          </rPr>
          <t>Author:</t>
        </r>
        <r>
          <rPr>
            <sz val="9"/>
            <color indexed="81"/>
            <rFont val="Tahoma"/>
            <family val="2"/>
          </rPr>
          <t xml:space="preserve">
This had been marked as mutagenic.  I checked the EPA current list, and spoke with Tom.  The ShortForms do not have it as Mutagenic.  So, I removed the "M".  The chane did not affect the standards, as expected.</t>
        </r>
      </text>
    </comment>
    <comment ref="L35" authorId="0" shapeId="0" xr:uid="{00000000-0006-0000-0100-000024000000}">
      <text>
        <r>
          <rPr>
            <sz val="8"/>
            <color indexed="81"/>
            <rFont val="Tahoma"/>
            <family val="2"/>
          </rPr>
          <t>Incorporates a 0.001 Relative (to BaP) Potency Factor</t>
        </r>
      </text>
    </comment>
    <comment ref="O35" authorId="0" shapeId="0" xr:uid="{00000000-0006-0000-0100-000025000000}">
      <text>
        <r>
          <rPr>
            <sz val="8"/>
            <color indexed="81"/>
            <rFont val="Tahoma"/>
            <family val="2"/>
          </rPr>
          <t>Incorporates a 0.001 Relative (to BaP) Potency Factor</t>
        </r>
      </text>
    </comment>
    <comment ref="L37" authorId="0" shapeId="0" xr:uid="{00000000-0006-0000-0100-000026000000}">
      <text>
        <r>
          <rPr>
            <sz val="8"/>
            <color indexed="81"/>
            <rFont val="Tahoma"/>
            <family val="2"/>
          </rPr>
          <t>Incorporates a 1 Relative (to BaP) Potency Factor</t>
        </r>
      </text>
    </comment>
    <comment ref="O37" authorId="0" shapeId="0" xr:uid="{00000000-0006-0000-0100-000027000000}">
      <text>
        <r>
          <rPr>
            <b/>
            <sz val="9"/>
            <color indexed="81"/>
            <rFont val="Tahoma"/>
            <family val="2"/>
          </rPr>
          <t>Author:</t>
        </r>
        <r>
          <rPr>
            <sz val="9"/>
            <color indexed="81"/>
            <rFont val="Tahoma"/>
            <family val="2"/>
          </rPr>
          <t xml:space="preserve">
Incorporates a 1 Relative (to BaP) Potency Factor
</t>
        </r>
      </text>
    </comment>
    <comment ref="AQ39" authorId="0" shapeId="0" xr:uid="{00000000-0006-0000-0100-000028000000}">
      <text>
        <r>
          <rPr>
            <sz val="8"/>
            <color indexed="81"/>
            <rFont val="Tahoma"/>
            <family val="2"/>
          </rPr>
          <t xml:space="preserve">Taken as the value listed for "Dichlorobenzene" minus the reported values for 1,3- and 1,4-dichlorobenzene
</t>
        </r>
      </text>
    </comment>
    <comment ref="P46" authorId="0" shapeId="0" xr:uid="{00000000-0006-0000-0100-000029000000}">
      <text>
        <r>
          <rPr>
            <b/>
            <sz val="8"/>
            <color indexed="81"/>
            <rFont val="Tahoma"/>
            <family val="2"/>
          </rPr>
          <t>Author:</t>
        </r>
        <r>
          <rPr>
            <sz val="8"/>
            <color indexed="81"/>
            <rFont val="Tahoma"/>
            <family val="2"/>
          </rPr>
          <t xml:space="preserve">
The US EPA Johnson &amp; Ettinger Model documentation lists an Inhalation Unit Risk value of 0.5 per ug/m3.  This value has not been adopted here as (a) 1,1-DCA is a Class C carcinogen per EPA and EPA has not published in IRIS or HEAST a unit risk or slope factor for this chemical.</t>
        </r>
      </text>
    </comment>
    <comment ref="G49" authorId="0" shapeId="0" xr:uid="{00000000-0006-0000-0100-00002A000000}">
      <text>
        <r>
          <rPr>
            <b/>
            <sz val="8"/>
            <color indexed="81"/>
            <rFont val="Tahoma"/>
            <family val="2"/>
          </rPr>
          <t>Author:</t>
        </r>
        <r>
          <rPr>
            <sz val="8"/>
            <color indexed="81"/>
            <rFont val="Tahoma"/>
            <family val="2"/>
          </rPr>
          <t xml:space="preserve">
The same value is also reference 1k, IRIS multiple of RfD.</t>
        </r>
      </text>
    </comment>
    <comment ref="A51" authorId="0" shapeId="0" xr:uid="{00000000-0006-0000-0100-00002B000000}">
      <text>
        <r>
          <rPr>
            <sz val="8"/>
            <color indexed="81"/>
            <rFont val="Tahoma"/>
            <family val="2"/>
          </rPr>
          <t>Methylene Chloride</t>
        </r>
      </text>
    </comment>
    <comment ref="BJ52" authorId="0" shapeId="0" xr:uid="{00000000-0006-0000-0100-00002C000000}">
      <text>
        <r>
          <rPr>
            <sz val="8"/>
            <color indexed="81"/>
            <rFont val="Tahoma"/>
            <family val="2"/>
          </rPr>
          <t>pH=8.0</t>
        </r>
      </text>
    </comment>
    <comment ref="N54" authorId="0" shapeId="0" xr:uid="{00000000-0006-0000-0100-00002D000000}">
      <text>
        <r>
          <rPr>
            <sz val="8"/>
            <color indexed="81"/>
            <rFont val="Tahoma"/>
            <family val="2"/>
          </rPr>
          <t>Several Slope Factors are presented in the IRIS file (10/11/00) and the most conservative was chosen, as recommended in IRIS.  The least conservative is 5E-2, 50% less than that used here.</t>
        </r>
      </text>
    </comment>
    <comment ref="BJ59" authorId="0" shapeId="0" xr:uid="{00000000-0006-0000-0100-00002E000000}">
      <text>
        <r>
          <rPr>
            <sz val="8"/>
            <color indexed="81"/>
            <rFont val="Tahoma"/>
            <family val="2"/>
          </rPr>
          <t xml:space="preserve">pH=6.8-8.0
</t>
        </r>
      </text>
    </comment>
    <comment ref="A65" authorId="0" shapeId="0" xr:uid="{00000000-0006-0000-0100-00002F000000}">
      <text>
        <r>
          <rPr>
            <sz val="8"/>
            <color indexed="81"/>
            <rFont val="Tahoma"/>
            <family val="2"/>
          </rPr>
          <t>1,2-Dibromoethane</t>
        </r>
      </text>
    </comment>
    <comment ref="A74" authorId="0" shapeId="0" xr:uid="{00000000-0006-0000-0100-000030000000}">
      <text>
        <r>
          <rPr>
            <sz val="8"/>
            <color indexed="81"/>
            <rFont val="Tahoma"/>
            <family val="2"/>
          </rPr>
          <t>Octahydro-1,3,5,7-tetranitro-1,3,5,7-tetrazocine</t>
        </r>
      </text>
    </comment>
    <comment ref="BG74" authorId="0" shapeId="0" xr:uid="{00000000-0006-0000-0100-000031000000}">
      <text>
        <r>
          <rPr>
            <sz val="8"/>
            <color indexed="81"/>
            <rFont val="Tahoma"/>
            <family val="2"/>
          </rPr>
          <t>@ 25 C</t>
        </r>
      </text>
    </comment>
    <comment ref="L75" authorId="0" shapeId="0" xr:uid="{00000000-0006-0000-0100-000032000000}">
      <text>
        <r>
          <rPr>
            <sz val="8"/>
            <color indexed="81"/>
            <rFont val="Tahoma"/>
            <family val="2"/>
          </rPr>
          <t>Incorporates a 0.1 Relative (to BaP) Potency Factor</t>
        </r>
      </text>
    </comment>
    <comment ref="O75" authorId="0" shapeId="0" xr:uid="{00000000-0006-0000-0100-000033000000}">
      <text>
        <r>
          <rPr>
            <b/>
            <sz val="9"/>
            <color indexed="81"/>
            <rFont val="Tahoma"/>
            <family val="2"/>
          </rPr>
          <t>Author:</t>
        </r>
        <r>
          <rPr>
            <sz val="9"/>
            <color indexed="81"/>
            <rFont val="Tahoma"/>
            <family val="2"/>
          </rPr>
          <t xml:space="preserve">
Incorporates a 0.1 Relative (to BaP) Potency Factor
</t>
        </r>
      </text>
    </comment>
    <comment ref="AM76" authorId="0" shapeId="0" xr:uid="{00000000-0006-0000-0100-000034000000}">
      <text>
        <r>
          <rPr>
            <sz val="8"/>
            <color indexed="81"/>
            <rFont val="Tahoma"/>
            <family val="2"/>
          </rPr>
          <t>95th percentile value.</t>
        </r>
      </text>
    </comment>
    <comment ref="D85" authorId="0" shapeId="0" xr:uid="{00000000-0006-0000-0100-000035000000}">
      <text>
        <r>
          <rPr>
            <sz val="8"/>
            <color indexed="81"/>
            <rFont val="Tahoma"/>
            <family val="2"/>
          </rPr>
          <t>IRIS value for Nickel (Soluble Salts).</t>
        </r>
        <r>
          <rPr>
            <sz val="8"/>
            <color indexed="81"/>
            <rFont val="Tahoma"/>
            <family val="2"/>
          </rPr>
          <t xml:space="preserve">
</t>
        </r>
      </text>
    </comment>
    <comment ref="O85" authorId="0" shapeId="0" xr:uid="{00000000-0006-0000-0100-000036000000}">
      <text>
        <r>
          <rPr>
            <sz val="8"/>
            <color indexed="81"/>
            <rFont val="Tahoma"/>
            <family val="2"/>
          </rPr>
          <t>Value is for Nickel Subsulfide.  IRIS also lists UR for Nickel Refinery Dust as 2.4E-4 per (ug/m3)</t>
        </r>
      </text>
    </comment>
    <comment ref="BJ86" authorId="0" shapeId="0" xr:uid="{00000000-0006-0000-0100-000037000000}">
      <text>
        <r>
          <rPr>
            <sz val="8"/>
            <color indexed="81"/>
            <rFont val="Tahoma"/>
            <family val="2"/>
          </rPr>
          <t>pH=8.0</t>
        </r>
      </text>
    </comment>
    <comment ref="B94" authorId="0" shapeId="0" xr:uid="{00000000-0006-0000-0100-000038000000}">
      <text>
        <r>
          <rPr>
            <b/>
            <sz val="8"/>
            <color indexed="81"/>
            <rFont val="Tahoma"/>
            <family val="2"/>
          </rPr>
          <t>Author:</t>
        </r>
        <r>
          <rPr>
            <sz val="8"/>
            <color indexed="81"/>
            <rFont val="Tahoma"/>
            <family val="2"/>
          </rPr>
          <t xml:space="preserve">
for perchlorate anion (ClO4-), including ammonium perchlorate [CASRN 7790-98-9], sodium perchlorate [CASRN 7601-89-0], potassium perchlorate [CASRN 7778-74-7], and lithium perchlorate [CASRN 7791-03-9]. </t>
        </r>
      </text>
    </comment>
    <comment ref="H99" authorId="0" shapeId="0" xr:uid="{00000000-0006-0000-0100-000039000000}">
      <text>
        <r>
          <rPr>
            <b/>
            <sz val="8"/>
            <color indexed="81"/>
            <rFont val="Tahoma"/>
            <family val="2"/>
          </rPr>
          <t>Author:</t>
        </r>
        <r>
          <rPr>
            <sz val="8"/>
            <color indexed="81"/>
            <rFont val="Tahoma"/>
            <family val="2"/>
          </rPr>
          <t xml:space="preserve">
"Not Determined" - assumed to have low potential for vaporization</t>
        </r>
      </text>
    </comment>
    <comment ref="BR99" authorId="0" shapeId="0" xr:uid="{00000000-0006-0000-0100-00003A000000}">
      <text>
        <r>
          <rPr>
            <b/>
            <sz val="8"/>
            <color indexed="81"/>
            <rFont val="Tahoma"/>
            <family val="2"/>
          </rPr>
          <t>Author:</t>
        </r>
        <r>
          <rPr>
            <sz val="8"/>
            <color indexed="81"/>
            <rFont val="Tahoma"/>
            <family val="2"/>
          </rPr>
          <t xml:space="preserve">
Long-chain hydrocarbons assigned a higher default ceiling level due to relatively low toxicity, mobility and odor.</t>
        </r>
      </text>
    </comment>
    <comment ref="BS99" authorId="0" shapeId="0" xr:uid="{00000000-0006-0000-0100-00003B000000}">
      <text>
        <r>
          <rPr>
            <b/>
            <sz val="8"/>
            <color indexed="81"/>
            <rFont val="Tahoma"/>
            <family val="2"/>
          </rPr>
          <t>Author:</t>
        </r>
        <r>
          <rPr>
            <sz val="8"/>
            <color indexed="81"/>
            <rFont val="Tahoma"/>
            <family val="2"/>
          </rPr>
          <t xml:space="preserve">
Long-chain hydrocarbons assigned a higher default ceiling level due to relatively low toxicity, mobility and odor.</t>
        </r>
      </text>
    </comment>
    <comment ref="BU99" authorId="0" shapeId="0" xr:uid="{00000000-0006-0000-0100-00003C000000}">
      <text>
        <r>
          <rPr>
            <b/>
            <sz val="8"/>
            <color indexed="81"/>
            <rFont val="Tahoma"/>
            <family val="2"/>
          </rPr>
          <t>Author:</t>
        </r>
        <r>
          <rPr>
            <sz val="8"/>
            <color indexed="81"/>
            <rFont val="Tahoma"/>
            <family val="2"/>
          </rPr>
          <t xml:space="preserve">
Long-chain hydrocarbons assigned a higher default ceiling level due to relatively low toxicity, mobility and odor.</t>
        </r>
      </text>
    </comment>
    <comment ref="BV99" authorId="0" shapeId="0" xr:uid="{00000000-0006-0000-0100-00003D000000}">
      <text>
        <r>
          <rPr>
            <b/>
            <sz val="8"/>
            <color indexed="81"/>
            <rFont val="Tahoma"/>
            <family val="2"/>
          </rPr>
          <t>Author:</t>
        </r>
        <r>
          <rPr>
            <sz val="8"/>
            <color indexed="81"/>
            <rFont val="Tahoma"/>
            <family val="2"/>
          </rPr>
          <t xml:space="preserve">
Long-chain hydrocarbons assigned a higher default ceiling level due to relatively low toxicity, mobility and odor.</t>
        </r>
      </text>
    </comment>
    <comment ref="D104" authorId="0" shapeId="0" xr:uid="{00000000-0006-0000-0100-00003E000000}">
      <text>
        <r>
          <rPr>
            <sz val="8"/>
            <color indexed="81"/>
            <rFont val="Tahoma"/>
            <family val="2"/>
          </rPr>
          <t>RfD for Aroclor 1254</t>
        </r>
      </text>
    </comment>
    <comment ref="L104" authorId="0" shapeId="0" xr:uid="{00000000-0006-0000-0100-00003F000000}">
      <text>
        <r>
          <rPr>
            <sz val="8"/>
            <color indexed="81"/>
            <rFont val="Tahoma"/>
            <family val="2"/>
          </rPr>
          <t>Upper bound Slope Factor for high risk and persistence.  IRIS 10/11/00</t>
        </r>
      </text>
    </comment>
    <comment ref="O104" authorId="0" shapeId="0" xr:uid="{00000000-0006-0000-0100-000040000000}">
      <text>
        <r>
          <rPr>
            <sz val="8"/>
            <color indexed="81"/>
            <rFont val="Tahoma"/>
            <family val="2"/>
          </rPr>
          <t>Represents the middle tier slope factor (low persistence and risk, 0.4 1/(mg/kg/day)) converted to a unit risk.  IRIS 10/11/00</t>
        </r>
      </text>
    </comment>
    <comment ref="BE104" authorId="0" shapeId="0" xr:uid="{00000000-0006-0000-0100-000041000000}">
      <text>
        <r>
          <rPr>
            <b/>
            <sz val="8"/>
            <color indexed="81"/>
            <rFont val="Tahoma"/>
            <family val="2"/>
          </rPr>
          <t>Author:</t>
        </r>
        <r>
          <rPr>
            <sz val="8"/>
            <color indexed="81"/>
            <rFont val="Tahoma"/>
            <family val="2"/>
          </rPr>
          <t xml:space="preserve">
Aroclor 1254</t>
        </r>
      </text>
    </comment>
    <comment ref="BG104" authorId="0" shapeId="0" xr:uid="{00000000-0006-0000-0100-000042000000}">
      <text>
        <r>
          <rPr>
            <b/>
            <sz val="8"/>
            <color indexed="81"/>
            <rFont val="Tahoma"/>
            <family val="2"/>
          </rPr>
          <t>Author:</t>
        </r>
        <r>
          <rPr>
            <sz val="8"/>
            <color indexed="81"/>
            <rFont val="Tahoma"/>
            <family val="2"/>
          </rPr>
          <t xml:space="preserve">
Aroclor 1254
</t>
        </r>
      </text>
    </comment>
    <comment ref="A106" authorId="0" shapeId="0" xr:uid="{00000000-0006-0000-0100-000043000000}">
      <text>
        <r>
          <rPr>
            <sz val="8"/>
            <color indexed="81"/>
            <rFont val="Tahoma"/>
            <family val="2"/>
          </rPr>
          <t>hexahydro-1,3,5-trinitro-1,3,5 triazine</t>
        </r>
      </text>
    </comment>
    <comment ref="AY106" authorId="0" shapeId="0" xr:uid="{00000000-0006-0000-0100-000044000000}">
      <text>
        <r>
          <rPr>
            <b/>
            <sz val="8"/>
            <color indexed="81"/>
            <rFont val="Tahoma"/>
            <family val="2"/>
          </rPr>
          <t>Author:</t>
        </r>
        <r>
          <rPr>
            <sz val="8"/>
            <color indexed="81"/>
            <rFont val="Tahoma"/>
            <family val="2"/>
          </rPr>
          <t xml:space="preserve">
"Low-Level" EQL - Method 8330, SW846</t>
        </r>
      </text>
    </comment>
    <comment ref="A109" authorId="0" shapeId="0" xr:uid="{00000000-0006-0000-0100-000045000000}">
      <text>
        <r>
          <rPr>
            <sz val="8"/>
            <color indexed="81"/>
            <rFont val="Tahoma"/>
            <family val="2"/>
          </rPr>
          <t>ETHENYLBENZENE</t>
        </r>
      </text>
    </comment>
    <comment ref="AI110" authorId="0" shapeId="0" xr:uid="{00000000-0006-0000-0100-000046000000}">
      <text>
        <r>
          <rPr>
            <b/>
            <sz val="8"/>
            <color indexed="81"/>
            <rFont val="Tahoma"/>
            <family val="2"/>
          </rPr>
          <t>Author:</t>
        </r>
        <r>
          <rPr>
            <sz val="8"/>
            <color indexed="81"/>
            <rFont val="Tahoma"/>
            <family val="2"/>
          </rPr>
          <t xml:space="preserve">
Estimated 90th percentile value for US soil, as reported by G. Henningsen, USEPA Region 8, 12/99.  N=95, mean = 8 +/- 6 ppt</t>
        </r>
      </text>
    </comment>
    <comment ref="AL110" authorId="0" shapeId="0" xr:uid="{00000000-0006-0000-0100-000047000000}">
      <text>
        <r>
          <rPr>
            <b/>
            <sz val="8"/>
            <color indexed="81"/>
            <rFont val="Tahoma"/>
            <family val="2"/>
          </rPr>
          <t>Author:</t>
        </r>
        <r>
          <rPr>
            <sz val="8"/>
            <color indexed="81"/>
            <rFont val="Tahoma"/>
            <family val="2"/>
          </rPr>
          <t xml:space="preserve">
Estimated 90th percentile value for US soil, as reported by G. Henningsen, USEPA Region 8, 12/99.  N=95, mean = 8 +/- 6 ppt</t>
        </r>
      </text>
    </comment>
    <comment ref="AM110" authorId="0" shapeId="0" xr:uid="{00000000-0006-0000-0100-000048000000}">
      <text>
        <r>
          <rPr>
            <b/>
            <sz val="8"/>
            <color indexed="81"/>
            <rFont val="Tahoma"/>
            <family val="2"/>
          </rPr>
          <t>Author:</t>
        </r>
        <r>
          <rPr>
            <sz val="8"/>
            <color indexed="81"/>
            <rFont val="Tahoma"/>
            <family val="2"/>
          </rPr>
          <t xml:space="preserve">
Estimated 90th percentile value for US soil, as reported by G. Henningsen, USEPA Region 8, 12/99.  N=95, mean = 8 +/- 6 ppt</t>
        </r>
      </text>
    </comment>
    <comment ref="M113" authorId="0" shapeId="0" xr:uid="{00000000-0006-0000-0100-000049000000}">
      <text>
        <r>
          <rPr>
            <sz val="9"/>
            <color indexed="81"/>
            <rFont val="Tahoma"/>
            <family val="2"/>
          </rPr>
          <t xml:space="preserve">Weight of Evidence approach "Likely to be carcinogenic in humans by all routes of exposure" equivalent to B1 under the 1986 guidelines.
</t>
        </r>
      </text>
    </comment>
    <comment ref="D114" authorId="0" shapeId="0" xr:uid="{00000000-0006-0000-0100-00004A000000}">
      <text>
        <r>
          <rPr>
            <sz val="8"/>
            <color indexed="81"/>
            <rFont val="Tahoma"/>
            <family val="2"/>
          </rPr>
          <t xml:space="preserve">IRIS lists RfDs for Thallium Acetate and Thallium Nitrate as 9E-5 mg/kg/day; 8E-5 mg/kg/day for Thallium Carbonate, Thallium(I) Sulfate and Thallium Chloride; </t>
        </r>
      </text>
    </comment>
    <comment ref="AQ115" authorId="0" shapeId="0" xr:uid="{00000000-0006-0000-0100-00004B000000}">
      <text>
        <r>
          <rPr>
            <sz val="8"/>
            <color indexed="81"/>
            <rFont val="Tahoma"/>
            <family val="2"/>
          </rPr>
          <t>As reported in Shah &amp; Singh, ES&amp;T vol 22, no. 12 (1988)</t>
        </r>
      </text>
    </comment>
    <comment ref="AQ116" authorId="0" shapeId="0" xr:uid="{00000000-0006-0000-0100-00004C000000}">
      <text>
        <r>
          <rPr>
            <sz val="8"/>
            <color indexed="81"/>
            <rFont val="Tahoma"/>
            <family val="2"/>
          </rPr>
          <t>Reported as just "Trichlorobenzene", not specific to 1,2,4-Trichlorobenzene</t>
        </r>
      </text>
    </comment>
    <comment ref="AQ117" authorId="0" shapeId="0" xr:uid="{00000000-0006-0000-0100-00004D000000}">
      <text>
        <r>
          <rPr>
            <sz val="8"/>
            <color indexed="81"/>
            <rFont val="Tahoma"/>
            <family val="2"/>
          </rPr>
          <t>Reported as "Trichloroethane", so the total value was divided among the two forms according to the ratio observed in Stolwijk (1990)</t>
        </r>
      </text>
    </comment>
    <comment ref="AP118" authorId="0" shapeId="0" xr:uid="{00000000-0006-0000-0100-00004E000000}">
      <text>
        <r>
          <rPr>
            <sz val="8"/>
            <color indexed="81"/>
            <rFont val="Tahoma"/>
            <family val="2"/>
          </rPr>
          <t>Presented as 30 (total TCA) minus specific value for 1,1,1-TCA</t>
        </r>
      </text>
    </comment>
    <comment ref="AQ118" authorId="0" shapeId="0" xr:uid="{00000000-0006-0000-0100-00004F000000}">
      <text>
        <r>
          <rPr>
            <sz val="8"/>
            <color indexed="81"/>
            <rFont val="Tahoma"/>
            <family val="2"/>
          </rPr>
          <t>Reported as "Trichloroethane", so the total value was divided among the two forms according to the ratio observed in Stolwijk (1990)</t>
        </r>
      </text>
    </comment>
    <comment ref="L119" authorId="0" shapeId="0" xr:uid="{00000000-0006-0000-0100-000050000000}">
      <text>
        <r>
          <rPr>
            <b/>
            <sz val="8"/>
            <color indexed="81"/>
            <rFont val="Tahoma"/>
            <family val="2"/>
          </rPr>
          <t xml:space="preserve">akavian: </t>
        </r>
        <r>
          <rPr>
            <sz val="8"/>
            <color indexed="81"/>
            <rFont val="Tahoma"/>
            <family val="2"/>
          </rPr>
          <t>Equals the total Oral Cancer Slope Factor value for both kidney (mutagenic) and liver (nonmutagenic) effects (4.63E-3=3.7E-2 + 9.3E03).  This value is and should be used only in scenarios when soley adult cancer risk is evaluated, where ADAF value equals 1.  For all scenarios that involve risk to children, TCE risk calculations are on specific separate sheets.  (13 February 2020)</t>
        </r>
      </text>
    </comment>
    <comment ref="O119" authorId="0" shapeId="0" xr:uid="{00000000-0006-0000-0100-000051000000}">
      <text>
        <r>
          <rPr>
            <sz val="8"/>
            <color indexed="81"/>
            <rFont val="Tahoma"/>
            <family val="2"/>
          </rPr>
          <t xml:space="preserve">Accounts for continuous exposure from birth (IRIS 2011). 
</t>
        </r>
        <r>
          <rPr>
            <b/>
            <sz val="8"/>
            <color indexed="81"/>
            <rFont val="Tahoma"/>
            <family val="2"/>
          </rPr>
          <t xml:space="preserve">akavian: </t>
        </r>
        <r>
          <rPr>
            <sz val="8"/>
            <color indexed="81"/>
            <rFont val="Tahoma"/>
            <family val="2"/>
          </rPr>
          <t xml:space="preserve">Equals the total Inhalation Unit Risk value for both kidney (mutagenic) and liver (nonmutagenic) effects (4.10E-6 = 3.1E-6 + 1.0-E06).  This value is and should be used only in scenarios when soley adult cancer risk is evaluated, where ADAF value equals 1.  For all scenarios that involve risk to children, TCE risk calculations are on specific separate sheets.  (13 February 2020) </t>
        </r>
      </text>
    </comment>
    <comment ref="AJ119" authorId="0" shapeId="0" xr:uid="{00000000-0006-0000-0100-000052000000}">
      <text>
        <r>
          <rPr>
            <sz val="9"/>
            <color indexed="81"/>
            <rFont val="Tahoma"/>
            <family val="2"/>
          </rPr>
          <t>TCE has its own rsik calculaiton tab in certain scenarios where ADAF value for mutagenic effects is different than 1 for some age groups involved.</t>
        </r>
      </text>
    </comment>
    <comment ref="BJ120" authorId="0" shapeId="0" xr:uid="{00000000-0006-0000-0100-000053000000}">
      <text>
        <r>
          <rPr>
            <sz val="8"/>
            <color indexed="81"/>
            <rFont val="Tahoma"/>
            <family val="2"/>
          </rPr>
          <t>pH=8.0</t>
        </r>
      </text>
    </comment>
    <comment ref="BJ121" authorId="0" shapeId="0" xr:uid="{00000000-0006-0000-0100-000054000000}">
      <text>
        <r>
          <rPr>
            <sz val="8"/>
            <color indexed="81"/>
            <rFont val="Tahoma"/>
            <family val="2"/>
          </rPr>
          <t xml:space="preserve">pH=8.0
</t>
        </r>
      </text>
    </comment>
    <comment ref="D122" authorId="0" shapeId="0" xr:uid="{00000000-0006-0000-0100-000055000000}">
      <text>
        <r>
          <rPr>
            <sz val="9"/>
            <color indexed="81"/>
            <rFont val="Tahoma"/>
            <family val="2"/>
          </rPr>
          <t>Vanadium Pentoxide</t>
        </r>
      </text>
    </comment>
    <comment ref="AJ123" authorId="0" shapeId="0" xr:uid="{00000000-0006-0000-0100-000056000000}">
      <text>
        <r>
          <rPr>
            <b/>
            <sz val="9"/>
            <color indexed="81"/>
            <rFont val="Tahoma"/>
            <family val="2"/>
          </rPr>
          <t>Author:</t>
        </r>
        <r>
          <rPr>
            <sz val="9"/>
            <color indexed="81"/>
            <rFont val="Tahoma"/>
            <family val="2"/>
          </rPr>
          <t xml:space="preserve">
Has its own Excel sheet in certain scenarios for calculating risk because the averaging period for age group 0-2 years is equal to 2 years (not 70 years). 
</t>
        </r>
      </text>
    </comment>
    <comment ref="A124" authorId="0" shapeId="0" xr:uid="{00000000-0006-0000-0100-000057000000}">
      <text>
        <r>
          <rPr>
            <sz val="8"/>
            <color indexed="81"/>
            <rFont val="Tahoma"/>
            <family val="2"/>
          </rPr>
          <t>DIMETHYLBENZENES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C14" authorId="0" shapeId="0" xr:uid="{00000000-0006-0000-0300-000001000000}">
      <text>
        <r>
          <rPr>
            <sz val="8"/>
            <color indexed="81"/>
            <rFont val="Tahoma"/>
            <family val="2"/>
          </rPr>
          <t>From 2008 Standards, Method 6010 EDL.</t>
        </r>
      </text>
    </comment>
    <comment ref="A69" authorId="0" shapeId="0" xr:uid="{00000000-0006-0000-0300-000002000000}">
      <text>
        <r>
          <rPr>
            <sz val="8"/>
            <color indexed="81"/>
            <rFont val="Tahoma"/>
            <family val="2"/>
          </rPr>
          <t>1,2-Dibromoethane</t>
        </r>
      </text>
    </comment>
    <comment ref="C78" authorId="0" shapeId="0" xr:uid="{00000000-0006-0000-0300-000003000000}">
      <text>
        <r>
          <rPr>
            <b/>
            <sz val="8"/>
            <color indexed="81"/>
            <rFont val="Tahoma"/>
            <family val="2"/>
          </rPr>
          <t>Author:</t>
        </r>
        <r>
          <rPr>
            <sz val="8"/>
            <color indexed="81"/>
            <rFont val="Tahoma"/>
            <family val="2"/>
          </rPr>
          <t xml:space="preserve">
EQL, "High Level"  - Method 8330, SW 846</t>
        </r>
      </text>
    </comment>
    <comment ref="D78" authorId="0" shapeId="0" xr:uid="{00000000-0006-0000-0300-000004000000}">
      <text>
        <r>
          <rPr>
            <b/>
            <sz val="8"/>
            <color indexed="81"/>
            <rFont val="Tahoma"/>
            <family val="2"/>
          </rPr>
          <t>Author:</t>
        </r>
        <r>
          <rPr>
            <sz val="8"/>
            <color indexed="81"/>
            <rFont val="Tahoma"/>
            <family val="2"/>
          </rPr>
          <t xml:space="preserve">
Transcribed from 2008 version of the standards, no reference.</t>
        </r>
      </text>
    </comment>
    <comment ref="B91" authorId="0" shapeId="0" xr:uid="{00000000-0006-0000-0300-000005000000}">
      <text>
        <r>
          <rPr>
            <b/>
            <sz val="8"/>
            <color indexed="81"/>
            <rFont val="Tahoma"/>
            <family val="2"/>
          </rPr>
          <t>Author:</t>
        </r>
        <r>
          <rPr>
            <sz val="8"/>
            <color indexed="81"/>
            <rFont val="Tahoma"/>
            <family val="2"/>
          </rPr>
          <t xml:space="preserve">
for perchlorate anion (ClO4-), including ammonium perchlorate [CASRN 7790-98-9], sodium perchlorate [CASRN 7601-89-0], potassium perchlorate [CASRN 7778-74-7], and lithium perchlorate [CASRN 7791-03-9]. </t>
        </r>
      </text>
    </comment>
    <comment ref="C110" authorId="0" shapeId="0" xr:uid="{00000000-0006-0000-0300-000006000000}">
      <text>
        <r>
          <rPr>
            <b/>
            <sz val="8"/>
            <color indexed="81"/>
            <rFont val="Tahoma"/>
            <family val="2"/>
          </rPr>
          <t>Author:</t>
        </r>
        <r>
          <rPr>
            <sz val="8"/>
            <color indexed="81"/>
            <rFont val="Tahoma"/>
            <family val="2"/>
          </rPr>
          <t xml:space="preserve">
"Low-Level" EQL - Method 8330, SW846</t>
        </r>
      </text>
    </comment>
    <comment ref="D110" authorId="0" shapeId="0" xr:uid="{00000000-0006-0000-0300-000007000000}">
      <text>
        <r>
          <rPr>
            <b/>
            <sz val="8"/>
            <color indexed="81"/>
            <rFont val="Tahoma"/>
            <family val="2"/>
          </rPr>
          <t>Author:</t>
        </r>
        <r>
          <rPr>
            <sz val="8"/>
            <color indexed="81"/>
            <rFont val="Tahoma"/>
            <family val="2"/>
          </rPr>
          <t xml:space="preserve">
lthompson:
Transcribed from 2008 version of the standards, no reference.</t>
        </r>
      </text>
    </comment>
    <comment ref="A113" authorId="0" shapeId="0" xr:uid="{00000000-0006-0000-0300-000008000000}">
      <text>
        <r>
          <rPr>
            <sz val="8"/>
            <color indexed="81"/>
            <rFont val="Tahoma"/>
            <family val="2"/>
          </rPr>
          <t>ETHENYLBENZENE</t>
        </r>
      </text>
    </comment>
    <comment ref="C126" authorId="0" shapeId="0" xr:uid="{00000000-0006-0000-0300-000009000000}">
      <text>
        <r>
          <rPr>
            <sz val="8"/>
            <color indexed="81"/>
            <rFont val="Tahoma"/>
            <family val="2"/>
          </rPr>
          <t>From 2008 Standards. Method 200.8 MDL x 3.18 rounds to 8 ug/L</t>
        </r>
      </text>
    </comment>
    <comment ref="A128" authorId="0" shapeId="0" xr:uid="{00000000-0006-0000-0300-00000A000000}">
      <text>
        <r>
          <rPr>
            <sz val="8"/>
            <color indexed="81"/>
            <rFont val="Tahoma"/>
            <family val="2"/>
          </rPr>
          <t>DIMETHYLBENZENES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C6" authorId="0" shapeId="0" xr:uid="{00000000-0006-0000-0400-000001000000}">
      <text>
        <r>
          <rPr>
            <sz val="8"/>
            <color indexed="81"/>
            <rFont val="Tahoma"/>
            <family val="2"/>
          </rPr>
          <t xml:space="preserve">50th% Female body weight NHANES data as presented in National Health Statistics Reports Number 10 October 22, 2008, "Anthropometric Reference Data for Children and Adults: United States 2003-2006. US Department of Health and Human Services. </t>
        </r>
        <r>
          <rPr>
            <b/>
            <sz val="8"/>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7" authorId="0" shapeId="0" xr:uid="{00000000-0006-0000-0500-000001000000}">
      <text>
        <r>
          <rPr>
            <sz val="9"/>
            <color indexed="81"/>
            <rFont val="Tahoma"/>
            <family val="2"/>
          </rPr>
          <t xml:space="preserve">Uses Table 2 of Boniol et al, "Proportion of Skin Surface Area of Children and Young Adults from 2 to 18 Years Old". 2008. </t>
        </r>
        <r>
          <rPr>
            <i/>
            <sz val="9"/>
            <color indexed="81"/>
            <rFont val="Tahoma"/>
            <family val="2"/>
          </rPr>
          <t>Journal of Investigative Dermatology</t>
        </r>
        <r>
          <rPr>
            <sz val="9"/>
            <color indexed="81"/>
            <rFont val="Tahoma"/>
            <family val="2"/>
          </rPr>
          <t>, vol 128 pp. 461-464.</t>
        </r>
      </text>
    </comment>
  </commentList>
</comments>
</file>

<file path=xl/sharedStrings.xml><?xml version="1.0" encoding="utf-8"?>
<sst xmlns="http://schemas.openxmlformats.org/spreadsheetml/2006/main" count="2461" uniqueCount="714">
  <si>
    <t>0.005%</t>
  </si>
  <si>
    <t>NC</t>
  </si>
  <si>
    <t>D</t>
  </si>
  <si>
    <t>7440-66-6</t>
  </si>
  <si>
    <t>ZINC</t>
  </si>
  <si>
    <t>6a</t>
  </si>
  <si>
    <t>1330-20-7</t>
  </si>
  <si>
    <t>XYLENES (Mixed Isomers)</t>
  </si>
  <si>
    <t>6b</t>
  </si>
  <si>
    <t>A</t>
  </si>
  <si>
    <t>1e</t>
  </si>
  <si>
    <t>75-01-4</t>
  </si>
  <si>
    <t>VINYL CHLORIDE</t>
  </si>
  <si>
    <t>7440-62-2</t>
  </si>
  <si>
    <t>VANADIUM</t>
  </si>
  <si>
    <t>B2</t>
  </si>
  <si>
    <t>88-06-2</t>
  </si>
  <si>
    <t>TRICHLOROPHENOL 2,4,6-</t>
  </si>
  <si>
    <t>95-95-4</t>
  </si>
  <si>
    <t>TRICHLOROPHENOL, 2,4,5-</t>
  </si>
  <si>
    <t>C-B2</t>
  </si>
  <si>
    <t>79-01-6</t>
  </si>
  <si>
    <t>TRICHLOROETHYLENE</t>
  </si>
  <si>
    <t>C</t>
  </si>
  <si>
    <t xml:space="preserve">79-00-5 </t>
  </si>
  <si>
    <t>TRICHLOROETHANE, 1,1,2-</t>
  </si>
  <si>
    <t>TRICHLOROETHANE, 1,1,1-</t>
  </si>
  <si>
    <t>TRICHLOROBENZENE, 1,2,4-</t>
  </si>
  <si>
    <t>108-88-3</t>
  </si>
  <si>
    <t>TOLUENE</t>
  </si>
  <si>
    <t>7440-28-0</t>
  </si>
  <si>
    <t>THALLIUM</t>
  </si>
  <si>
    <t>127-18-4</t>
  </si>
  <si>
    <t>TETRACHLOROETHYLENE</t>
  </si>
  <si>
    <t>79-34-5</t>
  </si>
  <si>
    <t>TETRACHLOROETHANE, 1,1,2,2-</t>
  </si>
  <si>
    <t>630-20-6</t>
  </si>
  <si>
    <t>TETRACHLOROETHANE, 1,1,1,2-</t>
  </si>
  <si>
    <t>1746-01-6</t>
  </si>
  <si>
    <t>TCDD, 2,3,7,8-  (equivalents)</t>
  </si>
  <si>
    <t>100-42-5</t>
  </si>
  <si>
    <t>STYRENE</t>
  </si>
  <si>
    <t>7440-22-4</t>
  </si>
  <si>
    <t>SILVER</t>
  </si>
  <si>
    <t>7782-49-2</t>
  </si>
  <si>
    <t>SELENIUM</t>
  </si>
  <si>
    <t>121-82-4</t>
  </si>
  <si>
    <t>RDX</t>
  </si>
  <si>
    <t>129-00-0</t>
  </si>
  <si>
    <t>PYRENE</t>
  </si>
  <si>
    <t>1336-36-3</t>
  </si>
  <si>
    <t>POLYCHLORINATED BIPHENYLS (PCBs)</t>
  </si>
  <si>
    <t>108-95-2</t>
  </si>
  <si>
    <t>PHENOL</t>
  </si>
  <si>
    <t>85-01-8</t>
  </si>
  <si>
    <t>PHENANTHRENE</t>
  </si>
  <si>
    <t>NA</t>
  </si>
  <si>
    <t>PETROLEUM HYDROCARBONS</t>
  </si>
  <si>
    <t>87-86-5</t>
  </si>
  <si>
    <t>PENTACHLOROPHENOL</t>
  </si>
  <si>
    <t>7440-02-0</t>
  </si>
  <si>
    <t>NICKEL</t>
  </si>
  <si>
    <t>91-20-3</t>
  </si>
  <si>
    <t>NAPHTHALENE</t>
  </si>
  <si>
    <t>1k</t>
  </si>
  <si>
    <t>91-57-6</t>
  </si>
  <si>
    <t>METHYLNAPHTHALENE, 2-</t>
  </si>
  <si>
    <t>calc</t>
  </si>
  <si>
    <t>1634-04-4</t>
  </si>
  <si>
    <t>METHYL TERT BUTYL ETHER</t>
  </si>
  <si>
    <t>22967-92-6</t>
  </si>
  <si>
    <t>METHYL MERCURY</t>
  </si>
  <si>
    <t>108-10-1</t>
  </si>
  <si>
    <t>METHYL ISOBUTYL KETONE</t>
  </si>
  <si>
    <t>78-93-3</t>
  </si>
  <si>
    <t>METHYL ETHYL KETONE</t>
  </si>
  <si>
    <t>72-43-5</t>
  </si>
  <si>
    <t>METHOXYCHLOR</t>
  </si>
  <si>
    <t>7439-97-6</t>
  </si>
  <si>
    <t>MERCURY</t>
  </si>
  <si>
    <t>7439-92-1</t>
  </si>
  <si>
    <t>LEAD</t>
  </si>
  <si>
    <t>1g</t>
  </si>
  <si>
    <t>193-39-5</t>
  </si>
  <si>
    <t>INDENO(1,2,3-cd)PYRENE</t>
  </si>
  <si>
    <t>2691-41-0</t>
  </si>
  <si>
    <t>HMX</t>
  </si>
  <si>
    <t>67-72-1</t>
  </si>
  <si>
    <t>HEXACHLOROETHANE</t>
  </si>
  <si>
    <t>B2-C</t>
  </si>
  <si>
    <t>58-89-9</t>
  </si>
  <si>
    <t>HEXACHLOROCYCLOHEXANE, GAMMA (gamma-HCH)</t>
  </si>
  <si>
    <t>87-68-3</t>
  </si>
  <si>
    <t>HEXACHLOROBUTADIENE</t>
  </si>
  <si>
    <t>118-74-1</t>
  </si>
  <si>
    <t>HEXACHLOROBENZENE</t>
  </si>
  <si>
    <t>1024-57-3</t>
  </si>
  <si>
    <t>HEPTACHLOR EPOXIDE</t>
  </si>
  <si>
    <t>76-44-8</t>
  </si>
  <si>
    <t>HEPTACHLOR</t>
  </si>
  <si>
    <t>86-73-7</t>
  </si>
  <si>
    <t>FLUORENE</t>
  </si>
  <si>
    <t>206-44-0</t>
  </si>
  <si>
    <t>FLUORANTHENE</t>
  </si>
  <si>
    <t>106-93-4</t>
  </si>
  <si>
    <t>ETHYLENE DIBROMIDE</t>
  </si>
  <si>
    <t>100-41-4</t>
  </si>
  <si>
    <t>ETHYLBENZENE</t>
  </si>
  <si>
    <t>72-20-8</t>
  </si>
  <si>
    <t>ENDRIN</t>
  </si>
  <si>
    <t>115-29-7</t>
  </si>
  <si>
    <t>ENDOSULFAN</t>
  </si>
  <si>
    <t>123-91-1</t>
  </si>
  <si>
    <t>DIOXANE, 1,4-</t>
  </si>
  <si>
    <t>121-14-2</t>
  </si>
  <si>
    <t>DINITROTOLUENE, 2,4-</t>
  </si>
  <si>
    <t>51-28-5</t>
  </si>
  <si>
    <t>DINITROPHENOL, 2,4-</t>
  </si>
  <si>
    <t>105-67-9</t>
  </si>
  <si>
    <t>DIMETHYLPHENOL, 2,4-</t>
  </si>
  <si>
    <t>131-11-3</t>
  </si>
  <si>
    <t>DIMETHYL PHTHALATE</t>
  </si>
  <si>
    <t>84-66-2</t>
  </si>
  <si>
    <t>DIETHYL PHTHALATE</t>
  </si>
  <si>
    <t>60-57-1</t>
  </si>
  <si>
    <t>DIELDRIN</t>
  </si>
  <si>
    <t>542-75-6</t>
  </si>
  <si>
    <t>DICHLOROPROPENE, 1,3-</t>
  </si>
  <si>
    <t>78-87-5</t>
  </si>
  <si>
    <t>DICHLOROPROPANE, 1,2-</t>
  </si>
  <si>
    <t>120-83-2</t>
  </si>
  <si>
    <t>DICHLOROPHENOL, 2,4-</t>
  </si>
  <si>
    <t>75-09-2</t>
  </si>
  <si>
    <t>DICHLOROMETHANE</t>
  </si>
  <si>
    <t>156-60-5</t>
  </si>
  <si>
    <t>DICHLOROETHYLENE, TRANS-1,2-</t>
  </si>
  <si>
    <t>156-59-2</t>
  </si>
  <si>
    <t>DICHLOROETHYLENE, CIS-1,2-</t>
  </si>
  <si>
    <t>75-35-4</t>
  </si>
  <si>
    <t>DICHLOROETHYLENE, 1,1-</t>
  </si>
  <si>
    <t>107-06-2</t>
  </si>
  <si>
    <t>DICHLOROETHANE, 1,2-</t>
  </si>
  <si>
    <t xml:space="preserve">75-34-3 </t>
  </si>
  <si>
    <t>DICHLOROETHANE, 1,1-</t>
  </si>
  <si>
    <t>50-29-3</t>
  </si>
  <si>
    <t>DICHLORODIPHENYLTRICHLOROETHANE, P,P'- (DDT)</t>
  </si>
  <si>
    <t>72-55-9</t>
  </si>
  <si>
    <t>DICHLORODIPHENYLDICHLOROETHYLENE,P,P'- (DDE)</t>
  </si>
  <si>
    <t>72-54-8</t>
  </si>
  <si>
    <t>DICHLORODIPHENYL DICHLOROETHANE, P,P'- (DDD)</t>
  </si>
  <si>
    <t>91-94-1</t>
  </si>
  <si>
    <t>DICHLOROBENZIDINE, 3,3'-</t>
  </si>
  <si>
    <t>2a</t>
  </si>
  <si>
    <t>1b</t>
  </si>
  <si>
    <t>106-46-7</t>
  </si>
  <si>
    <t>DICHLOROBENZENE, 1,4-  (p-DCB)</t>
  </si>
  <si>
    <t>541-73-1</t>
  </si>
  <si>
    <t>DICHLOROBENZENE, 1,3-  (m-DCB)</t>
  </si>
  <si>
    <t>95-50-1</t>
  </si>
  <si>
    <t>DICHLOROBENZENE, 1,2-  (o-DCB)</t>
  </si>
  <si>
    <t>124-48-1</t>
  </si>
  <si>
    <t>DIBROMOCHLOROMETHANE</t>
  </si>
  <si>
    <t xml:space="preserve">53-70-3 </t>
  </si>
  <si>
    <t>DIBENZO(a,h)ANTHRACENE</t>
  </si>
  <si>
    <t>57-12-5</t>
  </si>
  <si>
    <t>CYANIDE</t>
  </si>
  <si>
    <t>2f</t>
  </si>
  <si>
    <t>218-01-9</t>
  </si>
  <si>
    <t>CHRYSENE</t>
  </si>
  <si>
    <t>18540-29-9</t>
  </si>
  <si>
    <t>CHROMIUM(VI)</t>
  </si>
  <si>
    <t>16065-83-1</t>
  </si>
  <si>
    <t>CHROMIUM(III)</t>
  </si>
  <si>
    <t>7440-47-3</t>
  </si>
  <si>
    <t>CHROMIUM (TOTAL)</t>
  </si>
  <si>
    <t>95-57-8</t>
  </si>
  <si>
    <t>CHLOROPHENOL, 2-</t>
  </si>
  <si>
    <t>67-66-3</t>
  </si>
  <si>
    <t>CHLOROFORM</t>
  </si>
  <si>
    <t>108-90-7</t>
  </si>
  <si>
    <t>CHLOROBENZENE</t>
  </si>
  <si>
    <t>106-47-8</t>
  </si>
  <si>
    <t>CHLOROANILINE, p-</t>
  </si>
  <si>
    <t>12789-03-6</t>
  </si>
  <si>
    <t>CHLORDANE</t>
  </si>
  <si>
    <t>56-23-5</t>
  </si>
  <si>
    <t>CARBON TETRACHLORIDE</t>
  </si>
  <si>
    <t>B1</t>
  </si>
  <si>
    <t>1d</t>
  </si>
  <si>
    <t>7440-43-9</t>
  </si>
  <si>
    <t>CADMIUM</t>
  </si>
  <si>
    <t>74-83-9</t>
  </si>
  <si>
    <t>BROMOMETHANE</t>
  </si>
  <si>
    <t>75-25-2</t>
  </si>
  <si>
    <t>BROMOFORM</t>
  </si>
  <si>
    <t>75-27-4</t>
  </si>
  <si>
    <t>BROMODICHLOROMETHANE</t>
  </si>
  <si>
    <t>117-81-7</t>
  </si>
  <si>
    <t>BIS(2-ETHYLHEXYL)PHTHALATE</t>
  </si>
  <si>
    <t>BIS(2-CHLOROISOPROPYL)ETHER</t>
  </si>
  <si>
    <t>111-44-4</t>
  </si>
  <si>
    <t>BIS(2-CHLOROETHYL)ETHER</t>
  </si>
  <si>
    <t xml:space="preserve">92-52-4 </t>
  </si>
  <si>
    <t>BIPHENYL, 1,1-</t>
  </si>
  <si>
    <t>1j</t>
  </si>
  <si>
    <t>7440-41-7</t>
  </si>
  <si>
    <t>BERYLLIUM</t>
  </si>
  <si>
    <t>207-08-9</t>
  </si>
  <si>
    <t>BENZO(k)FLUORANTHENE</t>
  </si>
  <si>
    <t>191-24-2</t>
  </si>
  <si>
    <t>BENZO(g,h,i)PERYLENE</t>
  </si>
  <si>
    <t>205-99-2</t>
  </si>
  <si>
    <t>BENZO(b)FLUORANTHENE</t>
  </si>
  <si>
    <t>50-32-8</t>
  </si>
  <si>
    <t>BENZO(a)PYRENE</t>
  </si>
  <si>
    <t>56-55-3</t>
  </si>
  <si>
    <t>BENZO(a)ANTHRACENE</t>
  </si>
  <si>
    <t>71-43-2</t>
  </si>
  <si>
    <t>BENZENE</t>
  </si>
  <si>
    <t>7440-39-3</t>
  </si>
  <si>
    <t>BARIUM</t>
  </si>
  <si>
    <t>7440-38-2</t>
  </si>
  <si>
    <t>ARSENIC</t>
  </si>
  <si>
    <t>7440-36-0</t>
  </si>
  <si>
    <t>ANTIMONY</t>
  </si>
  <si>
    <t>120-12-7</t>
  </si>
  <si>
    <t>ANTHRACENE</t>
  </si>
  <si>
    <t>309-00-2</t>
  </si>
  <si>
    <t>ALDRIN</t>
  </si>
  <si>
    <t>67-64-1</t>
  </si>
  <si>
    <t>ACETONE</t>
  </si>
  <si>
    <t>208-96-8</t>
  </si>
  <si>
    <t>ACENAPHTHYLENE</t>
  </si>
  <si>
    <t>83-32-9</t>
  </si>
  <si>
    <t>ACENAPHTHENE</t>
  </si>
  <si>
    <t>mg/kg</t>
  </si>
  <si>
    <t>REF</t>
  </si>
  <si>
    <t>CLASS</t>
  </si>
  <si>
    <t>CAS</t>
  </si>
  <si>
    <t>PQL</t>
  </si>
  <si>
    <t>Soil</t>
  </si>
  <si>
    <t>OSHA  Documentation of TLV -TWA</t>
  </si>
  <si>
    <t>ORSGL</t>
  </si>
  <si>
    <t>Not Calculated.</t>
  </si>
  <si>
    <t>Not Available</t>
  </si>
  <si>
    <t>SMCL</t>
  </si>
  <si>
    <t>MMCL</t>
  </si>
  <si>
    <t>Action Level in drinking water.    See:  http://www.state.ma.us/dep/brp/dws/dwspubs.htm for the current list of Massachusetts Drinking Water Standards &amp; Guidelines</t>
  </si>
  <si>
    <t>AL</t>
  </si>
  <si>
    <t>Description</t>
  </si>
  <si>
    <t>The subchronic oral RfD for DDT has been adopted for DDE and DDD as well.</t>
  </si>
  <si>
    <t>The chronic Reference Concentration for 1,2-dichlorobenzene has been used for 1,3 dichlorobenzene.</t>
  </si>
  <si>
    <t>ECAO-Cincinnati, current as of September 2, 1992.</t>
  </si>
  <si>
    <t xml:space="preserve">subchronic oral RfD equivalent for 1,3- and 1,4- Dichlorobenzene. </t>
  </si>
  <si>
    <t xml:space="preserve"> </t>
  </si>
  <si>
    <t>This subchronic oral RfD (from HEAST) for 1,2-Dichlorobenzene has been used as the</t>
  </si>
  <si>
    <t>The chronic oral Reference Dose for DDT has been adopted for DDD and DDE as well.</t>
  </si>
  <si>
    <t>used as the cancer slope factor equivalent for pure 2,4-Dinitrotoluene.</t>
  </si>
  <si>
    <t>The oral cancer slope factor for a mix of 2,4- and 2,6- Dinitrotoluene (from IRIS) has been</t>
  </si>
  <si>
    <t>The chronic oral RfD (from IRIS) has been used here as a subchronic oral RfD equivalent.</t>
  </si>
  <si>
    <t>The chronic oral RfD for 1,2-Dichlorobenzene has been used as the chronic oral RfD equivalent for 1,3-Dichlorobenzene and 1,4-Dichlorobenzene.</t>
  </si>
  <si>
    <t>Reference #</t>
  </si>
  <si>
    <t>References for the Derivation of the MCP Standards</t>
  </si>
  <si>
    <t>Excess Lifetime Cancer Risk =</t>
  </si>
  <si>
    <t>Target Cancer Risk Level:</t>
  </si>
  <si>
    <t xml:space="preserve">Hazard Index = </t>
  </si>
  <si>
    <t>Target Non-cancer Risk Level:</t>
  </si>
  <si>
    <t>(all Calculations)</t>
  </si>
  <si>
    <t>RISK LEVELS</t>
  </si>
  <si>
    <t>Development of MCP Risk-Based Levels for Soil and Groundwater</t>
  </si>
  <si>
    <t>This workbook file is comprised of the following spreadsheets:</t>
  </si>
  <si>
    <t>Sheet Name</t>
  </si>
  <si>
    <t>Introduction</t>
  </si>
  <si>
    <t>This spreadsheet.</t>
  </si>
  <si>
    <t>Toxicity</t>
  </si>
  <si>
    <t>Database of toxicity values and physical constants used in calculations</t>
  </si>
  <si>
    <t>References</t>
  </si>
  <si>
    <t>List of references</t>
  </si>
  <si>
    <t>Questions and Comments may be addressed to:</t>
  </si>
  <si>
    <t>Massachusetts Department of Environmental Protection</t>
  </si>
  <si>
    <t>Office of Research and Standards</t>
  </si>
  <si>
    <t>Ground</t>
  </si>
  <si>
    <t>CASRN</t>
  </si>
  <si>
    <t>Water</t>
  </si>
  <si>
    <t>ug/L</t>
  </si>
  <si>
    <t>Koc for 1,1-Biphenyl from Montgomery (Andrew Friedmann, ORS)</t>
  </si>
  <si>
    <t>Conversion of the oral Cancer Slope Factor to the inhalation Unit Risk, using the equation:  Slope Factor x Ventilation Rate x Constant / Body Weight</t>
  </si>
  <si>
    <t>Conversion of the oral Reference Dose to a Reference Concentration, using the equation:  RfD x BW / Ventilation Rate</t>
  </si>
  <si>
    <t>PQLs</t>
  </si>
  <si>
    <t>A listing of Practical Quantitation Limits (PQLs) for various methods (incomplete)</t>
  </si>
  <si>
    <t>The Target Risk Levels used in all calculations.</t>
  </si>
  <si>
    <t>U.S. Environmental Protection Agency; Office of Research and Development, EPA/600/R-92/047; Washington, D.C., March 1992.</t>
  </si>
  <si>
    <t xml:space="preserve">Massachusetts DEP Drinking Water Guideline developed by the Office of Research and Standards for the Drinking Water Program.  </t>
  </si>
  <si>
    <t>See:  http://www.state.ma.us/dep/brp/dws/dwspubs.htm for the current list of Massachusetts Drinking Water Standards &amp; Guidelines</t>
  </si>
  <si>
    <t xml:space="preserve">Massachusetts Maximum Contaminant Level in drinking water.  310 CMR 22.  </t>
  </si>
  <si>
    <t xml:space="preserve">Secondary Maximum Contaminant Level in drinking water.    </t>
  </si>
  <si>
    <t>120-82-1</t>
  </si>
  <si>
    <t>71-55-6</t>
  </si>
  <si>
    <t>The subchronic RfD is based upon the subchronic toxicity data that is the basis of the chronic RfD presented in the IRIS file.</t>
  </si>
  <si>
    <t>Age (years)</t>
  </si>
  <si>
    <t>50th Percentile</t>
  </si>
  <si>
    <t>Body Weight</t>
  </si>
  <si>
    <t>Females</t>
  </si>
  <si>
    <t>number of</t>
  </si>
  <si>
    <t>kg</t>
  </si>
  <si>
    <t>years</t>
  </si>
  <si>
    <t>1&lt;2</t>
  </si>
  <si>
    <t>2&lt;3</t>
  </si>
  <si>
    <t>3&lt;4</t>
  </si>
  <si>
    <t>4&lt;5</t>
  </si>
  <si>
    <t>5&lt;6</t>
  </si>
  <si>
    <t>6&lt;7</t>
  </si>
  <si>
    <t>Average</t>
  </si>
  <si>
    <t>7&lt;8</t>
  </si>
  <si>
    <t>8&lt;9</t>
  </si>
  <si>
    <t>9&lt;10</t>
  </si>
  <si>
    <t>10&lt;11</t>
  </si>
  <si>
    <t>11&lt;12</t>
  </si>
  <si>
    <t>12&lt;13</t>
  </si>
  <si>
    <t>13&lt;14</t>
  </si>
  <si>
    <t>14&lt;15</t>
  </si>
  <si>
    <t>15&lt;16</t>
  </si>
  <si>
    <t>16&lt;17</t>
  </si>
  <si>
    <t>17&lt;18</t>
  </si>
  <si>
    <t>Body Weight Calculations:</t>
  </si>
  <si>
    <t>18&lt;45:</t>
  </si>
  <si>
    <t>BW</t>
  </si>
  <si>
    <t>Calculations of average body weights for various age groups.</t>
  </si>
  <si>
    <t>The Subchronic Inhalation Reference Concentration for this chemical is taken to be equal to the chronic value, absent clear chemical-specific information justifying a higher value..</t>
  </si>
  <si>
    <t>PERCHLORATE</t>
  </si>
  <si>
    <t>1a</t>
  </si>
  <si>
    <t>1c</t>
  </si>
  <si>
    <t>1f</t>
  </si>
  <si>
    <t>1h</t>
  </si>
  <si>
    <t>1i</t>
  </si>
  <si>
    <t>2b</t>
  </si>
  <si>
    <t>2c</t>
  </si>
  <si>
    <t>2d</t>
  </si>
  <si>
    <t>2e</t>
  </si>
  <si>
    <t>2g</t>
  </si>
  <si>
    <t>Risk Assessment Information System (http://risk.lsd.ornl.gov/index.shtml)</t>
  </si>
  <si>
    <t>This workbook</t>
  </si>
  <si>
    <t>Calculates the attenuation factor for the GW-2 standards.  This workbook is</t>
  </si>
  <si>
    <t>based on the USEPA's Johnson &amp; Ettinger Vapor Infiltration spreadsheets.</t>
  </si>
  <si>
    <t>Develops the MCP Groundwater Standards:  GW-1, GW-2 and GW-3.</t>
  </si>
  <si>
    <t>Develops the MCP Direct Contact Soil Standards (Method 2 Soil Standards)</t>
  </si>
  <si>
    <t>Develops the soil leaching-based component of the MCP Method 1 Soil Standards.</t>
  </si>
  <si>
    <t>Workbook Name</t>
  </si>
  <si>
    <t>using methanol preservation techniques.</t>
  </si>
  <si>
    <t>The chronic values is set equal to the PPRTV subchronic value.</t>
  </si>
  <si>
    <t>MCP Toxicity.xlsx</t>
  </si>
  <si>
    <t>MCP GW2 alpha.xlsx</t>
  </si>
  <si>
    <t>MCP GW.xlsx</t>
  </si>
  <si>
    <t>MCP Soil.xlsx</t>
  </si>
  <si>
    <t>MCP Leach.xlsx</t>
  </si>
  <si>
    <t>MCP Standards.xlsx</t>
  </si>
  <si>
    <t>PPRTV Screening Value</t>
  </si>
  <si>
    <t>Ref</t>
  </si>
  <si>
    <t xml:space="preserve">Developed for the Risk Assessment ShortForm - Residential Scenario (MassDEP, 1992) by MassDEP staff.  Documentation of this value may be found </t>
  </si>
  <si>
    <t xml:space="preserve">This Cancer Slope Factor or Unit Risk was taken from a fact sheet distributed by the USEPA Superfund Health Risk Technical Support Center at </t>
  </si>
  <si>
    <t>"Characterizing Risks Posed by Petroleum Contaminated Sites" MassDEP 2002.</t>
  </si>
  <si>
    <t xml:space="preserve">PPRTVs </t>
  </si>
  <si>
    <t>CHRONIC ORAL
REFERENCE
DOSE (OR
SUBSTITUTE)
mg/kg/day</t>
  </si>
  <si>
    <t>SUBCHRONIC ORAL
REFERENCE
DOSE (OR
SUBSTITUTE)
mg/kg/day</t>
  </si>
  <si>
    <t>Subchronic
Inhalation
Reference
Concentration 
(or substitute)
mg/m3</t>
  </si>
  <si>
    <t>Oral
Cancer
Slope
Factor
1/(mg/kg/day)</t>
  </si>
  <si>
    <t>Chronic
Ingestion</t>
  </si>
  <si>
    <t>Chronic
Dermal</t>
  </si>
  <si>
    <t>Subchronic
Ingestion</t>
  </si>
  <si>
    <t>Subchronic
Dermal</t>
  </si>
  <si>
    <t>Cancer
Ingestion</t>
  </si>
  <si>
    <t>Cancer
Dermal</t>
  </si>
  <si>
    <t>GW
Background
µg/L</t>
  </si>
  <si>
    <t>Indoor
Air
Background
µg/m3</t>
  </si>
  <si>
    <t>Odor
Threshold
in water
µg/L</t>
  </si>
  <si>
    <t>Odor
Threshold
in air
µg/m3</t>
  </si>
  <si>
    <t>Odor
Threshold
in air
ppm</t>
  </si>
  <si>
    <t>Odor
Index</t>
  </si>
  <si>
    <t>Soil
PQL
mg/kg</t>
  </si>
  <si>
    <t>Water
PQL
µg/L</t>
  </si>
  <si>
    <t>SOLUBILITY
µg/L</t>
  </si>
  <si>
    <t>HENRY'S
LAW
CONSTANT
atm-m3/mol</t>
  </si>
  <si>
    <t>HENRY'S
LAW
CONSTANT
conc/conc</t>
  </si>
  <si>
    <t>Molecular
Weight
g/mole</t>
  </si>
  <si>
    <t>Vapor
Pressure
Torr
20-30 C</t>
  </si>
  <si>
    <t>log
Kow</t>
  </si>
  <si>
    <t>Koc
ml/g</t>
  </si>
  <si>
    <t>Melting
Point
C</t>
  </si>
  <si>
    <t>Soil
Saturation
Level
(Csat)
mg/kg</t>
  </si>
  <si>
    <t>Permeability
Coefficient
Kp
cm/hr</t>
  </si>
  <si>
    <t>Plant
Uptake
Factor
Kg-soil/Kg-plant</t>
  </si>
  <si>
    <t>S-1
Based on
Volatility
mg/kg</t>
  </si>
  <si>
    <t>Ceiling
Basis</t>
  </si>
  <si>
    <t>S-2
Based on
Volatility
mg/kg</t>
  </si>
  <si>
    <t>S-1
Ceiling
Basis</t>
  </si>
  <si>
    <t>S-2
Ceiling
Basis</t>
  </si>
  <si>
    <t>S-3
Based on
Volatility
mg/kg</t>
  </si>
  <si>
    <t>S-3
Ceiling
Basis</t>
  </si>
  <si>
    <t>Groundwater
GW-1, -2 and -3
µg/L</t>
  </si>
  <si>
    <t>SOIL Natural
Background
mg/kg</t>
  </si>
  <si>
    <t>SOIL Urban
Background
mg/kg</t>
  </si>
  <si>
    <t>Value used in USEPA Drinking Water Program and cited in PPRTV documentation.</t>
  </si>
  <si>
    <t>The subchronic RfC is based upon the subchronic toxicity data that is the basis of the chronic RfC presented in the IRIS file.</t>
  </si>
  <si>
    <t>1l</t>
  </si>
  <si>
    <t>SOIL RAFs
REF</t>
  </si>
  <si>
    <t>WATER
RAFs
Chronic
Ingestion</t>
  </si>
  <si>
    <t>The subchronic RfC is set equal to the chronic RfC based on information in the IRIS file.</t>
  </si>
  <si>
    <t>HIDE
Interim
Calc
µg/m3</t>
  </si>
  <si>
    <t>HIDE
Interim
Calc
ppbv</t>
  </si>
  <si>
    <r>
      <t>DWDermal
Oral
Absorption
Efficiency
OAE</t>
    </r>
    <r>
      <rPr>
        <b/>
        <vertAlign val="subscript"/>
        <sz val="8"/>
        <rFont val="Arial"/>
        <family val="2"/>
      </rPr>
      <t>cancer</t>
    </r>
  </si>
  <si>
    <r>
      <t>DWDermal
Oral
Absorption
Efficiency
OAE</t>
    </r>
    <r>
      <rPr>
        <b/>
        <vertAlign val="subscript"/>
        <sz val="8"/>
        <rFont val="Arial"/>
        <family val="2"/>
      </rPr>
      <t>noncancer</t>
    </r>
  </si>
  <si>
    <t xml:space="preserve">solutions in men.  Int. Arch. Environ. Health 49:99-104 </t>
  </si>
  <si>
    <t>Human and Ecological Risk Assessment 2:841-873.</t>
  </si>
  <si>
    <t xml:space="preserve">MassDEP 2012 RAF Review - Based on Magee B, Andersen P and Burmaster. (1996). Absorption Adjustment Factor (AAF) Distributions for Polycyclic Aromatic Hydrocarbons (PAHs). </t>
  </si>
  <si>
    <t xml:space="preserve">see note 48e), a default RAF of 1 was chosen for all organic compounds for oral ingestion of contaminated soil and water. </t>
  </si>
  <si>
    <t xml:space="preserve">MassDEP 2012 RAF Review - Based on USEPA (2004). Risk Assessment Guidance for Superfund Volume 1: Human Health Evaluation Manual Part E, </t>
  </si>
  <si>
    <t xml:space="preserve">Supplemental Guidance for Dermal Risk Assessment. </t>
  </si>
  <si>
    <t xml:space="preserve">MassDEP 2012 RAF Review - Based on Ontario Ministry of the Environment (2011). Rationale for the Development of Soil and Ground Water Standards for Use at Contaminated Sites in </t>
  </si>
  <si>
    <t>Ontario (April 15, 2011, Standards Development Branch, Ontario Ministry of the Environment (see Section 2.6, Development of Relative Absorption Factors, pp 61-67 and Table 2.35b</t>
  </si>
  <si>
    <t xml:space="preserve"> Estimation of  Dermal Relative Absorption Factors (RAFs) PP 120- 141) http://www.ene.gov.on.ca/environment/en/resources/STDPROD_081485.html; Accessed March 22, 2012.</t>
  </si>
  <si>
    <t>Analytical Methods that can achieve this concentration are U.S.EPA Method 522, Modified SW-846 8260 SIM, and Modified SW-846 8270 SIM.</t>
  </si>
  <si>
    <t xml:space="preserve">Set in 2012 when the ORSGL was changed. Note that US EPA has replaced the term PQL (practical Quantitation Limit) with LCMRL.  </t>
  </si>
  <si>
    <t xml:space="preserve">MassDEP 2012 RAF Review. Unless specified otherwise, due to data limitations and consistent with the approach in Ontario Ministry of the Environment (2011 - for full reference </t>
  </si>
  <si>
    <t xml:space="preserve">MassDEP 2012 RAF Review - RAFs for phenols consider data presented in Baranowska-Dutkiewicz, B. (1981) Skin absorption of phenol from aqueous </t>
  </si>
  <si>
    <t>MassDEP 2012 RAF Review - Pentachlorophenol RAFs consider data presented in Baranowska-Dutkiewicz 1981 (see note 48b), OME 2011 (see note 48e), and USEPA 2004 (see note 48a).</t>
  </si>
  <si>
    <t>Absorption of these compounds from soil with high to low organic content has been reported to range from less than 1% to over 10%. In light of the variability in the reported</t>
  </si>
  <si>
    <t>Empty 2008</t>
  </si>
  <si>
    <t>Part A: Current Issues: 1509-1515.</t>
  </si>
  <si>
    <t>dermal absorption values and study characteristics, a default value of 0.1 was selected, which is toward the high end of the reported values.</t>
  </si>
  <si>
    <t xml:space="preserve">MassDEP 2012 RAF Review - Dermal RAFs for dioxins, furans, and PCBs consider data presented in:  Brewster DW, Banks YB, Clark AM and Birbaum LS. (1998).   </t>
  </si>
  <si>
    <t>old csat calc</t>
  </si>
  <si>
    <t>Ceiling Values</t>
  </si>
  <si>
    <t>IRIS lists two oral RfDs for cadmium, one for food and one for water exposure.  The more conservative is used.</t>
  </si>
  <si>
    <t>The IRIS chronic RfC for Cr VI was used for CR III.</t>
  </si>
  <si>
    <t>The subchronic RfC is based upon the subchronic toxicity data that is the basis of the chronic RfC presented in HEAST.</t>
  </si>
  <si>
    <t xml:space="preserve">This value is presented in IRIS as the Oral Cancer Slope Factor that would result from including leukemia data in the development of the value. </t>
  </si>
  <si>
    <t xml:space="preserve">USEPA Health Effects Assessment Summary Tables (HEAST), Annual FY-1996.  </t>
  </si>
  <si>
    <t>This value has been withdrawn from HEAST, MassDEP continues to use it pending new information.</t>
  </si>
  <si>
    <t>MassDEP Chemical Health Effects Assessment Methodology and Method to Derive Allowable Ambient Limits (CHEM/AAL)</t>
  </si>
  <si>
    <t>http://www.mass.gov/dep/toxics/stypes/telaal.htm</t>
  </si>
  <si>
    <t>From Table 2 of HEAST. Values in Table 2 were calculated by an alternative method.</t>
  </si>
  <si>
    <t>in Appendix D of that document.</t>
  </si>
  <si>
    <t>5a</t>
  </si>
  <si>
    <t>5b</t>
  </si>
  <si>
    <t xml:space="preserve">Average Kow for all constituents in fraction.  Kows from "Selection of Representative TPH Fractions Based on Fate and Transport Considerations", </t>
  </si>
  <si>
    <t>Total Petroleum Hydrocarbon Criteria Working Group Series, Volume 3, July 1997.</t>
  </si>
  <si>
    <t>5c</t>
  </si>
  <si>
    <t>PQLs from USEPA Test Methods for Evaluating Solid Waste, SW-846, Third Edition (Revision O), November 1986.</t>
  </si>
  <si>
    <t xml:space="preserve">The PQL for 1,4 Dioxane is cited in the documentation for the Massachusetts Drinking Water Guideline for 1,4-dioxane and is the LCMRL (Lowest Concentration Minimum Reporting Level) .  </t>
  </si>
  <si>
    <t>The PQL for Perchlorate is cited in the documentation for the Massachusetts Drinking Water Guidelines and is based on U.S. EPA Method 314.0, revision 1.0 (U.S. EPA, 1999b)</t>
  </si>
  <si>
    <t>See http://www.mass.gov/dep/water/drinking/standards/perchlor.htm</t>
  </si>
  <si>
    <t>See http://www.mass.gov/dep/water/drinking/standards/14dioxan.htm</t>
  </si>
  <si>
    <t>PQLs from the Guide to Environmental Analytical Methods, Robert E. Wagner, editor; Genium Publishing Corporation, Schenectady, NY; 1992.</t>
  </si>
  <si>
    <t>PQL from Standard Methods for the Examination of Water and Wastewater, 17th edition; Water Environment Federation.</t>
  </si>
  <si>
    <t>PQL from USEPA Method 1613.</t>
  </si>
  <si>
    <t xml:space="preserve">Chemical and physical constants from ATSDR,  Toxicological Profiles for specific chemicals. Agency for Toxic Substances and Disease Registry, U.S. Public Health Service.  </t>
  </si>
  <si>
    <t>Chemical and physical constants from U.S. Department of Defense, 1989</t>
  </si>
  <si>
    <t>Log Kow based on USEPA Draft Health Advisory for Methyl t-Butyl Ether, 1989.</t>
  </si>
  <si>
    <t xml:space="preserve">Odor Thresholds from Handbook of Environmental Data on Organic Chemicals, 2nd edition, Karel Verschueren; Van Nostrand Reinhold Co. Inc., NY; 1983. </t>
  </si>
  <si>
    <t>Odor thresholds from USEPA, 1992.  "Indoor Air Quality Database for Organic Compounds", U.S. Environmental Protection Agency; Research Triangle Park, NC, February 1992.</t>
  </si>
  <si>
    <t xml:space="preserve">Odor thresholds from USEPA, 1992.  "Reference Guide to Odor Thresholds for Hazardous Air Pollutants Listed in the Clean Air Act Amendment of 1990", </t>
  </si>
  <si>
    <t>Odor thresholds from Compilation of Odor and Taste Threshold Values Data, F.A. Fazzalari, editor; ASTM Data Service DS48A; 1978.</t>
  </si>
  <si>
    <t>Molecular Weights from Risk Reduction Engineering Laboratory (RREL) Treatability Database, Version 4.0.</t>
  </si>
  <si>
    <t xml:space="preserve">Final Updated Petroleum Hydrocarbon Fraction Toxicity Values for the VPH/EPH/APH Methodology. </t>
  </si>
  <si>
    <t>See: http://www.mass.gov/dep/cleanup/laws/tphtox03.doc</t>
  </si>
  <si>
    <t>The chronic and subchronic RfDs for MTBE were developed by MassDEP ORS Air/Water Toxics staff. See http://www.mass.gov/dep/water/drinking/standards/mtbe.htm</t>
  </si>
  <si>
    <t>17a</t>
  </si>
  <si>
    <t>17b</t>
  </si>
  <si>
    <t>Measured Koc (from the SSL Guidance), Table 39</t>
  </si>
  <si>
    <t>Calculated Koc (from the SSL Guidance), Table 39</t>
  </si>
  <si>
    <t>Chemical constants from Texas NRCC document for soil standards</t>
  </si>
  <si>
    <t>Chemical Constants from Syracuse Research Corporation (http://www.syrres.com/esc/physdemo.htm)</t>
  </si>
  <si>
    <t>PQL from MassDEP WSC Memorandum #99-145 "PRESERVATION TECHNIQUES FOR VOLATILE ORGANIC COMPOUND (VOC) SOIL SAMPLE ANALYSES"</t>
  </si>
  <si>
    <t>6c</t>
  </si>
  <si>
    <t>7a</t>
  </si>
  <si>
    <t>7b</t>
  </si>
  <si>
    <t>6d</t>
  </si>
  <si>
    <t>This subchronic value is from the subchronic study on which the chronic RfD is based.</t>
  </si>
  <si>
    <t>5d</t>
  </si>
  <si>
    <t>Toxicity values for PAHs are consistent with the approach presented in "Updated Petroleum Hydrocarbon Fraction Toxicity Values for the VPH/EPH/APH Methodology" MassDEP 2003 and</t>
  </si>
  <si>
    <t>Chemical Constants from USEPA Soil Screening (SSL) Guidance:  Technical Background Document, EPA/540/R95/128, May 1996</t>
  </si>
  <si>
    <t>Chemical Constants from Training Workshop for Massachusetts Certified Laboratories - Handout Material  - MassDEP Division of Environmental Analysis, Wall Experiment Station (8/21/95)</t>
  </si>
  <si>
    <t>18a</t>
  </si>
  <si>
    <t>18b</t>
  </si>
  <si>
    <t>Chemical constants consistent with the approach presented in "Updated Petroleum Hydrocarbon Fraction Toxicity Values for the VPH/EPH/APH Methodology" MassDEP 2003 and</t>
  </si>
  <si>
    <t xml:space="preserve">The RfCs for silver, thallium, and zinc were developed by MassDEP ORS Air/Water Toxics staff. </t>
  </si>
  <si>
    <t>5e</t>
  </si>
  <si>
    <t>MassDEP (2006)  Perchlorate Toxicological Profile And Health Assessment. (http://www.mass.gov/dep/toxics/perchlorate-toxicity-061206.pdf)</t>
  </si>
  <si>
    <t>7c</t>
  </si>
  <si>
    <t>Background</t>
  </si>
  <si>
    <t>From MassDEP Technical Update: Background Levels of Polycyclic Aromatic Hydrocarbons and Metals in Soil. For soils Containing Coal Ash or Wood Ash Associated with Fill Material.</t>
  </si>
  <si>
    <t>IA</t>
  </si>
  <si>
    <t>10a</t>
  </si>
  <si>
    <t>10b</t>
  </si>
  <si>
    <t>10c</t>
  </si>
  <si>
    <t>10d</t>
  </si>
  <si>
    <t>10e</t>
  </si>
  <si>
    <t>10f</t>
  </si>
  <si>
    <t>10g</t>
  </si>
  <si>
    <t>RAFs</t>
  </si>
  <si>
    <t>9a</t>
  </si>
  <si>
    <t>9b</t>
  </si>
  <si>
    <t>9c</t>
  </si>
  <si>
    <t>9d</t>
  </si>
  <si>
    <t>9e</t>
  </si>
  <si>
    <t>9f</t>
  </si>
  <si>
    <t>Toxicity Values</t>
  </si>
  <si>
    <t>Office of Emergency and Remedial Response, EPA/540/1-86/060 (OSWER Directive 9285.4-1); Washington, D.C., Oct</t>
  </si>
  <si>
    <t>Chemical constants from United States Environmental Protection Agency (USEPA), 1986.  "Superfund Public Health Evaluation Manual";  U.S. Environmental Protection Agency;</t>
  </si>
  <si>
    <t>Chemical Characteristics and Physical Constants</t>
  </si>
  <si>
    <t>Not Calculated</t>
  </si>
  <si>
    <t>Abbreviations</t>
  </si>
  <si>
    <t>1m</t>
  </si>
  <si>
    <t>The chronic and subchronic RfCs for 1,4-Dichlorobenze are used for 1,2- and 1,3- Dichlorobenzene.</t>
  </si>
  <si>
    <t>108-60-1</t>
  </si>
  <si>
    <t>9g</t>
  </si>
  <si>
    <t xml:space="preserve">MassDEP 2013 - Consistent with information in the IRIS file, an RAF of .5 is used for Cadmium to adjust the water reference dose for soil. </t>
  </si>
  <si>
    <t>This value was withdrawn from IRIS. MassDEP continues to use it pending new toxicity information.</t>
  </si>
  <si>
    <t>3a</t>
  </si>
  <si>
    <t xml:space="preserve">MassDEP Methodology for Updating Air Guidelines: Allowable Ambient Limits (AALs) and Threshold Effects Exposure Limits (TELs) (MassDEP 2011). </t>
  </si>
  <si>
    <t>More info on the MassDEP Amibient Air Toxics Guidelines webpage. (http://www.mass.gov/eea/agencies/massdep/toxics/sources/air-guideline-values.html)</t>
  </si>
  <si>
    <t>5h</t>
  </si>
  <si>
    <t>PERFLUOROOCTANOIC ACID (PFOA)</t>
  </si>
  <si>
    <t>18&lt;19</t>
  </si>
  <si>
    <t>19&lt;20</t>
  </si>
  <si>
    <t>20&lt;21</t>
  </si>
  <si>
    <t>21&lt;22</t>
  </si>
  <si>
    <t>22&lt;23</t>
  </si>
  <si>
    <t>23&lt;24</t>
  </si>
  <si>
    <t>24&lt;25</t>
  </si>
  <si>
    <t>25&lt;26</t>
  </si>
  <si>
    <t>26&lt;27</t>
  </si>
  <si>
    <t>27&lt;28</t>
  </si>
  <si>
    <t>29&lt;30</t>
  </si>
  <si>
    <t>30&lt;31</t>
  </si>
  <si>
    <t>31&lt;32</t>
  </si>
  <si>
    <t>32&lt;33</t>
  </si>
  <si>
    <t>33&lt;34</t>
  </si>
  <si>
    <t>34&lt;35</t>
  </si>
  <si>
    <t>35&lt;36</t>
  </si>
  <si>
    <t>36&lt;37</t>
  </si>
  <si>
    <t>37&lt;38</t>
  </si>
  <si>
    <t>38&lt;39</t>
  </si>
  <si>
    <t>39&lt;40</t>
  </si>
  <si>
    <t>40&lt;41</t>
  </si>
  <si>
    <t>41&lt;42</t>
  </si>
  <si>
    <t>42&lt;43</t>
  </si>
  <si>
    <t>43&lt;44</t>
  </si>
  <si>
    <t>44&lt;45</t>
  </si>
  <si>
    <t>18&lt;25:</t>
  </si>
  <si>
    <t>28&lt;29</t>
  </si>
  <si>
    <t>AGE</t>
  </si>
  <si>
    <t>Total SA repr by body part (unitless)</t>
  </si>
  <si>
    <t>Total Body SA</t>
  </si>
  <si>
    <r>
      <t>SA by body part (m</t>
    </r>
    <r>
      <rPr>
        <vertAlign val="superscript"/>
        <sz val="11"/>
        <rFont val="Arial"/>
        <family val="2"/>
      </rPr>
      <t>2</t>
    </r>
    <r>
      <rPr>
        <sz val="11"/>
        <rFont val="Arial"/>
        <family val="2"/>
      </rPr>
      <t>)</t>
    </r>
  </si>
  <si>
    <t>Head</t>
  </si>
  <si>
    <t>Forearms</t>
  </si>
  <si>
    <t>Hands</t>
  </si>
  <si>
    <t>Lower
Legs</t>
  </si>
  <si>
    <t>Feet</t>
  </si>
  <si>
    <r>
      <t>m</t>
    </r>
    <r>
      <rPr>
        <vertAlign val="superscript"/>
        <sz val="11"/>
        <rFont val="Arial"/>
        <family val="2"/>
      </rPr>
      <t>2</t>
    </r>
  </si>
  <si>
    <t>Lower 
Legs</t>
  </si>
  <si>
    <r>
      <t>(m</t>
    </r>
    <r>
      <rPr>
        <vertAlign val="superscript"/>
        <sz val="11"/>
        <rFont val="Arial"/>
        <family val="2"/>
      </rPr>
      <t>2</t>
    </r>
    <r>
      <rPr>
        <sz val="11"/>
        <rFont val="Arial"/>
        <family val="2"/>
      </rPr>
      <t>)</t>
    </r>
  </si>
  <si>
    <r>
      <t>(cm</t>
    </r>
    <r>
      <rPr>
        <vertAlign val="superscript"/>
        <sz val="11"/>
        <rFont val="Arial"/>
        <family val="2"/>
      </rPr>
      <t>2</t>
    </r>
    <r>
      <rPr>
        <sz val="11"/>
        <rFont val="Arial"/>
        <family val="2"/>
      </rPr>
      <t>)</t>
    </r>
  </si>
  <si>
    <t>EFH 2011</t>
  </si>
  <si>
    <t>0&lt;1</t>
  </si>
  <si>
    <t>Boniol</t>
  </si>
  <si>
    <t>Adult</t>
  </si>
  <si>
    <t>2011 Data by age bin</t>
  </si>
  <si>
    <t xml:space="preserve">EFH, 2011 Table 7-11 p. 7-42 </t>
  </si>
  <si>
    <t>1997 Data by Year</t>
  </si>
  <si>
    <r>
      <t>TOTAL BODY SA (m</t>
    </r>
    <r>
      <rPr>
        <vertAlign val="superscript"/>
        <sz val="11"/>
        <rFont val="Arial"/>
        <family val="2"/>
      </rPr>
      <t>2</t>
    </r>
    <r>
      <rPr>
        <sz val="11"/>
        <rFont val="Arial"/>
        <family val="2"/>
      </rPr>
      <t>)</t>
    </r>
  </si>
  <si>
    <t xml:space="preserve"> EHF, 2011</t>
  </si>
  <si>
    <t>EFH, 97 Tables 6-7 (child),  6-2 (18+)</t>
  </si>
  <si>
    <t>0&lt;1m</t>
  </si>
  <si>
    <t>1&lt;3m</t>
  </si>
  <si>
    <t>3&lt;6m</t>
  </si>
  <si>
    <t>Female</t>
  </si>
  <si>
    <r>
      <t>Total Body SA m</t>
    </r>
    <r>
      <rPr>
        <vertAlign val="superscript"/>
        <sz val="11"/>
        <color theme="1"/>
        <rFont val="Calibri"/>
        <family val="2"/>
        <scheme val="minor"/>
      </rPr>
      <t>2</t>
    </r>
  </si>
  <si>
    <t>6&lt;12m</t>
  </si>
  <si>
    <t>% Diff btwn</t>
  </si>
  <si>
    <t>by 2011
 % Diff</t>
  </si>
  <si>
    <t>no data,</t>
  </si>
  <si>
    <t>0&lt;1 yr</t>
  </si>
  <si>
    <t>1997 &amp; 2011</t>
  </si>
  <si>
    <t>use 2&lt;3</t>
  </si>
  <si>
    <t>1&lt;2 yr</t>
  </si>
  <si>
    <t>2&lt;3 yr</t>
  </si>
  <si>
    <t>3-&lt;6 yr</t>
  </si>
  <si>
    <t>3&lt;6</t>
  </si>
  <si>
    <t>3&lt;6 yr</t>
  </si>
  <si>
    <t>6-&lt;11yr</t>
  </si>
  <si>
    <t>6&lt;11</t>
  </si>
  <si>
    <t>6&lt;11yr</t>
  </si>
  <si>
    <t>11-&lt;16 yr</t>
  </si>
  <si>
    <t>11&lt;16</t>
  </si>
  <si>
    <t>11&lt;16 yr</t>
  </si>
  <si>
    <t>16-&lt;21 yr</t>
  </si>
  <si>
    <t>16&lt;21</t>
  </si>
  <si>
    <t>16&lt;21 yr</t>
  </si>
  <si>
    <t xml:space="preserve">From Table 7-13 </t>
  </si>
  <si>
    <t>ADULT</t>
  </si>
  <si>
    <t>Updated</t>
  </si>
  <si>
    <t>For Soil Exposures</t>
  </si>
  <si>
    <t>For GW</t>
  </si>
  <si>
    <t xml:space="preserve">Mean % of Male and female children from USEPA because not broken out, female for USEPA adults, female from Boniol  </t>
  </si>
  <si>
    <t>wtd by 
time</t>
  </si>
  <si>
    <t>Yellow are from USEPA Exposure Factors Handbook 2011 Table 7-2 (USEPA 1985 for first two years), other ages based on adjustments in Boniol found in Table 7-8</t>
  </si>
  <si>
    <t xml:space="preserve">Total Exposed SA </t>
  </si>
  <si>
    <t>PERFLUOROHEPTANOIC ACID (PFHpA)</t>
  </si>
  <si>
    <t>PERFLUOROHEXANESULFONIC ACID (PFHxS)</t>
  </si>
  <si>
    <t>PERFLUORONONANOIC ACID (PFNA)</t>
  </si>
  <si>
    <t>GW Average</t>
  </si>
  <si>
    <t>Soil Average</t>
  </si>
  <si>
    <t>8&lt;15:</t>
  </si>
  <si>
    <t>0&lt;7:</t>
  </si>
  <si>
    <t>1&lt;8:</t>
  </si>
  <si>
    <t>7&lt;14:</t>
  </si>
  <si>
    <t>15&lt;31:</t>
  </si>
  <si>
    <t>17&lt;24:</t>
  </si>
  <si>
    <t>14&lt;30:</t>
  </si>
  <si>
    <t>Last 
Checked?</t>
  </si>
  <si>
    <t>9h</t>
  </si>
  <si>
    <t xml:space="preserve">MassDEP 2012, in keeping with values developed for the Risk Assessment ShortForm - Residential Scenario (MassDEP, 1992) by MassDEP staff.  Documentation of this value </t>
  </si>
  <si>
    <t>is located in Appendix D of that document.</t>
  </si>
  <si>
    <t>Mutagen Averages</t>
  </si>
  <si>
    <t>Age</t>
  </si>
  <si>
    <t>2&lt;6:</t>
  </si>
  <si>
    <t>6&lt;16:</t>
  </si>
  <si>
    <t>16&lt;31:</t>
  </si>
  <si>
    <t>M</t>
  </si>
  <si>
    <t>Mutagenic Mode of Action for ADAFs</t>
  </si>
  <si>
    <t xml:space="preserve">"Characterizing Risks Posed by Petroleum Contaminated Sites" MassDEP 2002. </t>
  </si>
  <si>
    <t xml:space="preserve">The IRIS Oral Cancer Slope Factor and Inhalation Unit Risk for benzo(a)pyrene is the basis for the Oral Cancer Slope Factors and Inhalation Unit Risks applied to the seven PAH compounds which are </t>
  </si>
  <si>
    <t xml:space="preserve">Developed by MassDEP ORS in 2013, adopted in by MassDEP in January 2014. </t>
  </si>
  <si>
    <t>"Tetrachloroethylene (Perchloroethylene) Inhalation Unit Risk Value" 2014. http://www.mass.gov/eea/agencies/massdep/toxics/sources/tetrachloroethylene-pce.html</t>
  </si>
  <si>
    <t>0&lt;2:</t>
  </si>
  <si>
    <t>Ave 0&lt;2:</t>
  </si>
  <si>
    <t>Ave 2&lt;6:</t>
  </si>
  <si>
    <t>Ave 6&lt;16:</t>
  </si>
  <si>
    <t>Ave 16&lt;30:</t>
  </si>
  <si>
    <t>Ave 0&lt;7:</t>
  </si>
  <si>
    <t>Ave 7&lt;14:</t>
  </si>
  <si>
    <t>Ave 14&lt;30:</t>
  </si>
  <si>
    <t>335-67-1</t>
  </si>
  <si>
    <t>1763-23-1</t>
  </si>
  <si>
    <t>375-95-1</t>
  </si>
  <si>
    <t>335-46-4</t>
  </si>
  <si>
    <t>375-85-9</t>
  </si>
  <si>
    <r>
      <t>Inhalation
Unit
Risk
1/(µg/m</t>
    </r>
    <r>
      <rPr>
        <b/>
        <vertAlign val="superscript"/>
        <sz val="8"/>
        <rFont val="Arial"/>
        <family val="2"/>
      </rPr>
      <t>3</t>
    </r>
    <r>
      <rPr>
        <b/>
        <sz val="8"/>
        <rFont val="Arial"/>
        <family val="2"/>
      </rPr>
      <t>)</t>
    </r>
  </si>
  <si>
    <r>
      <t>Chronic
Inhalation
Reference
Concentration 
(or substitute)
mg/m</t>
    </r>
    <r>
      <rPr>
        <b/>
        <vertAlign val="superscript"/>
        <sz val="8"/>
        <rFont val="Arial"/>
        <family val="2"/>
      </rPr>
      <t>3</t>
    </r>
  </si>
  <si>
    <t>0-2m</t>
  </si>
  <si>
    <t>3-5m</t>
  </si>
  <si>
    <t>6-8m</t>
  </si>
  <si>
    <t>9-11m</t>
  </si>
  <si>
    <t>1 yr</t>
  </si>
  <si>
    <t>20-29</t>
  </si>
  <si>
    <t>30-39</t>
  </si>
  <si>
    <t>40-49</t>
  </si>
  <si>
    <t xml:space="preserve"> age</t>
  </si>
  <si>
    <t>NHANES</t>
  </si>
  <si>
    <t>Weight</t>
  </si>
  <si>
    <t>Age 1-6</t>
  </si>
  <si>
    <t>above time weighted summed to get 0&lt;1yr below</t>
  </si>
  <si>
    <t>10h</t>
  </si>
  <si>
    <t>Reporting Limit (RL) from MassDEP Wall Experiment Station recommendation.</t>
  </si>
  <si>
    <t>USEPA Health Advisory https://www.epa.gov/ground-water-and-drinking-water/supporting-documents-drinking-water-health-advisories-pfoa-and-pfos</t>
  </si>
  <si>
    <t>1n</t>
  </si>
  <si>
    <t>PERFLUOROOCTANESULFONIC ACID (PFOS)</t>
  </si>
  <si>
    <t>For USEPA Lower legs is legs times .40 per same reported USEPA conversations above, for Boniol use "legs", as they had "legs" and "thighs" separate and "legs" were smaller, assume lower legs for legs.</t>
  </si>
  <si>
    <t>For USEPA forearms is arms times .47,  per reported conversations between VT and USEPA Region 1 risk assessors, for all Boniol is "lower arms",</t>
  </si>
  <si>
    <t>Target Risk</t>
  </si>
  <si>
    <t>Skin Surface Area</t>
  </si>
  <si>
    <t>Calculations of average skin surface areas for various age groups.</t>
  </si>
  <si>
    <t>PER- AND POLYFLUORALKYL SUBSTANCES (PFAS)</t>
  </si>
  <si>
    <t>5i</t>
  </si>
  <si>
    <t>MassDEP ORS 2018 - background documentation for the PFAS ORSGL.</t>
  </si>
  <si>
    <t>PERFLUORODECANOIC ACID (PFDA)</t>
  </si>
  <si>
    <r>
      <t>335-76</t>
    </r>
    <r>
      <rPr>
        <sz val="8"/>
        <color rgb="FF222222"/>
        <rFont val="Arial"/>
        <family val="2"/>
      </rPr>
      <t>-2</t>
    </r>
  </si>
  <si>
    <t>Inorganic Compound</t>
  </si>
  <si>
    <t>Y</t>
  </si>
  <si>
    <r>
      <t>(CSF x V x C)/BW  =  (CSF x 20 m</t>
    </r>
    <r>
      <rPr>
        <vertAlign val="superscript"/>
        <sz val="8"/>
        <rFont val="Arial"/>
        <family val="2"/>
      </rPr>
      <t>3</t>
    </r>
    <r>
      <rPr>
        <sz val="8"/>
        <rFont val="Arial"/>
        <family val="2"/>
      </rPr>
      <t>/day x 0.001 mg/µg) / 70 kg</t>
    </r>
  </si>
  <si>
    <r>
      <t>RfC= (RfD x 70 kg) /  20 m</t>
    </r>
    <r>
      <rPr>
        <vertAlign val="superscript"/>
        <sz val="8"/>
        <rFont val="Arial"/>
        <family val="2"/>
      </rPr>
      <t>3</t>
    </r>
    <r>
      <rPr>
        <sz val="8"/>
        <rFont val="Arial"/>
        <family val="2"/>
      </rPr>
      <t>/day</t>
    </r>
  </si>
  <si>
    <r>
      <rPr>
        <i/>
        <sz val="8"/>
        <rFont val="Arial"/>
        <family val="2"/>
      </rPr>
      <t>Comparative Dermal Absorption of 2,3,7,8-Tetrachlorodibenzo-p-dioxin and Three Polychlorinated Dibenzofurans.</t>
    </r>
    <r>
      <rPr>
        <sz val="8"/>
        <rFont val="Arial"/>
        <family val="2"/>
      </rPr>
      <t xml:space="preserve"> Toxicol Appl Pharacol 97(1):156-166.</t>
    </r>
  </si>
  <si>
    <r>
      <t>Mayes BA, Brown GL, Mondello FJ, Holtzclaw KW, Hamilton SB, Ramsey AA. (2002).</t>
    </r>
    <r>
      <rPr>
        <i/>
        <sz val="8"/>
        <rFont val="Arial"/>
        <family val="2"/>
      </rPr>
      <t xml:space="preserve">Dermal Absorption in Rhesus Monkeys of Polychlorinated Biphenyls from Soil Contaminated With </t>
    </r>
  </si>
  <si>
    <r>
      <rPr>
        <i/>
        <sz val="8"/>
        <rFont val="Arial"/>
        <family val="2"/>
      </rPr>
      <t>Aroclor 1260.</t>
    </r>
    <r>
      <rPr>
        <sz val="8"/>
        <rFont val="Arial"/>
        <family val="2"/>
      </rPr>
      <t xml:space="preserve"> Regul Toxicol Pharmacol 35(3):289-295.</t>
    </r>
  </si>
  <si>
    <r>
      <t xml:space="preserve">Roy TA, Hammerstron AK and Schaum J. (2008). </t>
    </r>
    <r>
      <rPr>
        <i/>
        <sz val="8"/>
        <rFont val="Arial"/>
        <family val="2"/>
      </rPr>
      <t xml:space="preserve">Percutaneous Absorption of 2,3,7,8-Tetrachlorodibenzo-p-dioxin (TCDD) from Soil. </t>
    </r>
    <r>
      <rPr>
        <sz val="8"/>
        <rFont val="Arial"/>
        <family val="2"/>
      </rPr>
      <t xml:space="preserve">J. Toxicol Environ Health, </t>
    </r>
  </si>
  <si>
    <r>
      <t xml:space="preserve">Wester RC, Maibach HI, Sedik L, Melendres J, and Wade M. (1993). </t>
    </r>
    <r>
      <rPr>
        <i/>
        <sz val="8"/>
        <color rgb="FF000000"/>
        <rFont val="Arial"/>
        <family val="2"/>
      </rPr>
      <t xml:space="preserve">Percutaneous Absorption of PCBs from Soil: In-vivo Rhesus Monkey, In-vitro Human Skin, and Binding to </t>
    </r>
  </si>
  <si>
    <r>
      <rPr>
        <i/>
        <sz val="8"/>
        <color rgb="FF000000"/>
        <rFont val="Arial"/>
        <family val="2"/>
      </rPr>
      <t>Powered Human Stratum Corneum</t>
    </r>
    <r>
      <rPr>
        <sz val="8"/>
        <color rgb="FF000000"/>
        <rFont val="Arial"/>
        <family val="2"/>
      </rPr>
      <t>. J. Toxicol. Environ. Health 39:375-382.</t>
    </r>
  </si>
  <si>
    <t>OIL OR HAZARDOUS MATERIAL (OHM)</t>
  </si>
  <si>
    <t>PETROLEUM HYDROCARBONS Aliphatics C5 to C8</t>
  </si>
  <si>
    <t>PETROLEUM HYDROCARBONS Aliphatics C9 to C12</t>
  </si>
  <si>
    <t>PETROLEUM HYDROCARBONS Aliphatics C9 to C18</t>
  </si>
  <si>
    <t>PETROLEUM HYDROCARBONS Aliphatics C19 to C36</t>
  </si>
  <si>
    <t>PETROLEUM HYDROCARBONS Aromatics C9 to C10</t>
  </si>
  <si>
    <t>PETROLEUM HYDROCARBONS Aromatics C11 to C22</t>
  </si>
  <si>
    <t>This workbook is one of a set that, taken together, calculates the MCP Numerical Standards.  The complete set of workbooks should be located in the same directory, as there are many internal references to the other workbooks.</t>
  </si>
  <si>
    <t xml:space="preserve">Updated Values </t>
  </si>
  <si>
    <t>For Soil</t>
  </si>
  <si>
    <t>Calcuations for getting yearly estimates from the 2011 EFH tables</t>
  </si>
  <si>
    <r>
      <t>Total SA
m</t>
    </r>
    <r>
      <rPr>
        <b/>
        <vertAlign val="superscript"/>
        <sz val="11"/>
        <color rgb="FF0000CC"/>
        <rFont val="Calibri"/>
        <family val="2"/>
        <scheme val="minor"/>
      </rPr>
      <t>2</t>
    </r>
  </si>
  <si>
    <r>
      <t>Total SA 
cm</t>
    </r>
    <r>
      <rPr>
        <b/>
        <vertAlign val="superscript"/>
        <sz val="10"/>
        <color rgb="FF0000CC"/>
        <rFont val="Arial"/>
        <family val="2"/>
      </rPr>
      <t>2</t>
    </r>
  </si>
  <si>
    <t xml:space="preserve">1997 
SA Adjusted </t>
  </si>
  <si>
    <t>for Use in This Method 1 Suite</t>
  </si>
  <si>
    <t>p 7-45 (50th percentile Adult female 21 and older)</t>
  </si>
  <si>
    <t>Azin Kavian</t>
  </si>
  <si>
    <t>Email: azin.kavian@mass.gov</t>
  </si>
  <si>
    <t>Boston, MA 02114  USA</t>
  </si>
  <si>
    <t>NOTE:  This workbook contains many Notes attached to particular cells.  Notes can be seen by choosing "Show All Notes" from the  menu in the "Review" panel.</t>
  </si>
  <si>
    <t>100 Cambridge Street
Boston, MA 02114  USA</t>
  </si>
  <si>
    <t>Lists all the MCP Soil and Groundwater Standards, Method 3 Ceiling Limits (M3CL) and RCs.</t>
  </si>
  <si>
    <t>Method-1 Spreadsheets Version March 2024</t>
  </si>
  <si>
    <t>USEPA, Integrated Risk Information System (IRIS).</t>
  </si>
  <si>
    <t>designated as category A, B1, B2 or C carcinogens. The values are adjusted by Relative Potency Factors.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</si>
</sst>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2">
    <numFmt numFmtId="43" formatCode="_(* #,##0.00_);_(* \(#,##0.00\);_(* &quot;-&quot;??_);_(@_)"/>
    <numFmt numFmtId="164" formatCode="General_)"/>
    <numFmt numFmtId="165" formatCode="0.0E+00"/>
    <numFmt numFmtId="166" formatCode="0E+00_)"/>
    <numFmt numFmtId="167" formatCode="0.00E+00_)"/>
    <numFmt numFmtId="168" formatCode="0.0E+00_)"/>
    <numFmt numFmtId="169" formatCode="0.E+00"/>
    <numFmt numFmtId="170" formatCode="0.0"/>
    <numFmt numFmtId="171" formatCode="0.000"/>
    <numFmt numFmtId="172" formatCode="m/d/yy;@"/>
    <numFmt numFmtId="173" formatCode="0.0000"/>
    <numFmt numFmtId="174" formatCode="0.00000"/>
  </numFmts>
  <fonts count="50" x14ac:knownFonts="1">
    <font>
      <sz val="10"/>
      <name val="Arial"/>
    </font>
    <font>
      <sz val="10"/>
      <name val="Arial"/>
      <family val="2"/>
    </font>
    <font>
      <sz val="10"/>
      <name val="Arial"/>
      <family val="2"/>
    </font>
    <font>
      <sz val="8"/>
      <name val="Arial"/>
      <family val="2"/>
    </font>
    <font>
      <sz val="9"/>
      <name val="Arial"/>
      <family val="2"/>
    </font>
    <font>
      <b/>
      <sz val="10"/>
      <color indexed="10"/>
      <name val="Arial"/>
      <family val="2"/>
    </font>
    <font>
      <b/>
      <sz val="9"/>
      <name val="Arial"/>
      <family val="2"/>
    </font>
    <font>
      <b/>
      <sz val="12"/>
      <name val="Arial"/>
      <family val="2"/>
    </font>
    <font>
      <b/>
      <sz val="8"/>
      <color indexed="81"/>
      <name val="Tahoma"/>
      <family val="2"/>
    </font>
    <font>
      <sz val="8"/>
      <color indexed="81"/>
      <name val="Tahoma"/>
      <family val="2"/>
    </font>
    <font>
      <b/>
      <sz val="11"/>
      <name val="Arial"/>
      <family val="2"/>
    </font>
    <font>
      <b/>
      <u/>
      <sz val="10"/>
      <name val="Arial"/>
      <family val="2"/>
    </font>
    <font>
      <b/>
      <sz val="10"/>
      <color indexed="48"/>
      <name val="Arial"/>
      <family val="2"/>
    </font>
    <font>
      <b/>
      <sz val="10"/>
      <name val="Arial"/>
      <family val="2"/>
    </font>
    <font>
      <b/>
      <sz val="9"/>
      <name val="Arial"/>
      <family val="2"/>
    </font>
    <font>
      <u/>
      <sz val="10"/>
      <color indexed="12"/>
      <name val="Arial"/>
      <family val="2"/>
    </font>
    <font>
      <b/>
      <sz val="14"/>
      <name val="Arial"/>
      <family val="2"/>
    </font>
    <font>
      <b/>
      <sz val="8"/>
      <name val="Arial"/>
      <family val="2"/>
    </font>
    <font>
      <u/>
      <sz val="10"/>
      <color indexed="12"/>
      <name val="Arial"/>
      <family val="2"/>
    </font>
    <font>
      <b/>
      <vertAlign val="subscript"/>
      <sz val="8"/>
      <name val="Arial"/>
      <family val="2"/>
    </font>
    <font>
      <sz val="8"/>
      <color theme="1"/>
      <name val="Arial"/>
      <family val="2"/>
    </font>
    <font>
      <b/>
      <u/>
      <sz val="10"/>
      <color indexed="12"/>
      <name val="Arial"/>
      <family val="2"/>
    </font>
    <font>
      <sz val="9"/>
      <color indexed="81"/>
      <name val="Tahoma"/>
      <family val="2"/>
    </font>
    <font>
      <sz val="10"/>
      <name val="Arial"/>
      <family val="2"/>
    </font>
    <font>
      <b/>
      <sz val="11"/>
      <color theme="1"/>
      <name val="Calibri"/>
      <family val="2"/>
      <scheme val="minor"/>
    </font>
    <font>
      <sz val="11"/>
      <name val="Arial"/>
      <family val="2"/>
    </font>
    <font>
      <vertAlign val="superscript"/>
      <sz val="11"/>
      <name val="Arial"/>
      <family val="2"/>
    </font>
    <font>
      <vertAlign val="superscript"/>
      <sz val="11"/>
      <color theme="1"/>
      <name val="Calibri"/>
      <family val="2"/>
      <scheme val="minor"/>
    </font>
    <font>
      <i/>
      <sz val="9"/>
      <color indexed="81"/>
      <name val="Tahoma"/>
      <family val="2"/>
    </font>
    <font>
      <b/>
      <sz val="9"/>
      <color indexed="81"/>
      <name val="Tahoma"/>
      <family val="2"/>
    </font>
    <font>
      <b/>
      <vertAlign val="superscript"/>
      <sz val="8"/>
      <name val="Arial"/>
      <family val="2"/>
    </font>
    <font>
      <sz val="8"/>
      <color rgb="FF222222"/>
      <name val="Arial"/>
      <family val="2"/>
    </font>
    <font>
      <vertAlign val="superscript"/>
      <sz val="8"/>
      <name val="Arial"/>
      <family val="2"/>
    </font>
    <font>
      <i/>
      <sz val="8"/>
      <name val="Arial"/>
      <family val="2"/>
    </font>
    <font>
      <sz val="8"/>
      <color rgb="FF000000"/>
      <name val="Arial"/>
      <family val="2"/>
    </font>
    <font>
      <i/>
      <sz val="8"/>
      <color rgb="FF000000"/>
      <name val="Arial"/>
      <family val="2"/>
    </font>
    <font>
      <b/>
      <sz val="9"/>
      <color rgb="FFC00000"/>
      <name val="Arial"/>
      <family val="2"/>
    </font>
    <font>
      <u/>
      <sz val="10"/>
      <name val="Arial"/>
      <family val="2"/>
    </font>
    <font>
      <b/>
      <sz val="10"/>
      <color rgb="FF0000CC"/>
      <name val="Arial"/>
      <family val="2"/>
    </font>
    <font>
      <b/>
      <sz val="12"/>
      <color rgb="FF0000CC"/>
      <name val="Arial"/>
      <family val="2"/>
    </font>
    <font>
      <b/>
      <sz val="12"/>
      <color rgb="FFFF0000"/>
      <name val="Arial"/>
      <family val="2"/>
    </font>
    <font>
      <sz val="10"/>
      <color rgb="FF0000CC"/>
      <name val="Arial"/>
      <family val="2"/>
    </font>
    <font>
      <b/>
      <sz val="11"/>
      <color rgb="FF0000CC"/>
      <name val="Calibri"/>
      <family val="2"/>
      <scheme val="minor"/>
    </font>
    <font>
      <b/>
      <vertAlign val="superscript"/>
      <sz val="11"/>
      <color rgb="FF0000CC"/>
      <name val="Calibri"/>
      <family val="2"/>
      <scheme val="minor"/>
    </font>
    <font>
      <b/>
      <vertAlign val="superscript"/>
      <sz val="10"/>
      <color rgb="FF0000CC"/>
      <name val="Arial"/>
      <family val="2"/>
    </font>
    <font>
      <b/>
      <sz val="11"/>
      <color rgb="FF0000CC"/>
      <name val="Arial"/>
      <family val="2"/>
    </font>
    <font>
      <sz val="9.5"/>
      <name val="Arial"/>
      <family val="2"/>
    </font>
    <font>
      <sz val="10"/>
      <color theme="0"/>
      <name val="Arial"/>
      <family val="2"/>
    </font>
    <font>
      <b/>
      <i/>
      <sz val="8"/>
      <name val="Arial"/>
      <family val="2"/>
    </font>
    <font>
      <sz val="9"/>
      <color indexed="81"/>
      <name val="Tahoma"/>
      <charset val="1"/>
    </font>
  </fonts>
  <fills count="20">
    <fill>
      <patternFill patternType="none"/>
    </fill>
    <fill>
      <patternFill patternType="gray125"/>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43"/>
        <bgColor indexed="64"/>
      </patternFill>
    </fill>
    <fill>
      <patternFill patternType="solid">
        <fgColor indexed="8"/>
        <bgColor indexed="64"/>
      </patternFill>
    </fill>
    <fill>
      <patternFill patternType="solid">
        <fgColor theme="0"/>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rgb="FF92D050"/>
        <bgColor indexed="64"/>
      </patternFill>
    </fill>
    <fill>
      <patternFill patternType="solid">
        <fgColor rgb="FFFFFF00"/>
        <bgColor indexed="64"/>
      </patternFill>
    </fill>
    <fill>
      <patternFill patternType="solid">
        <fgColor rgb="FFFFC000"/>
        <bgColor indexed="64"/>
      </patternFill>
    </fill>
    <fill>
      <patternFill patternType="solid">
        <fgColor rgb="FFFFFF66"/>
        <bgColor indexed="64"/>
      </patternFill>
    </fill>
    <fill>
      <patternFill patternType="solid">
        <fgColor rgb="FFCCFF33"/>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theme="9" tint="0.79998168889431442"/>
        <bgColor indexed="64"/>
      </patternFill>
    </fill>
  </fills>
  <borders count="113">
    <border>
      <left/>
      <right/>
      <top/>
      <bottom/>
      <diagonal/>
    </border>
    <border>
      <left/>
      <right/>
      <top/>
      <bottom style="medium">
        <color indexed="64"/>
      </bottom>
      <diagonal/>
    </border>
    <border>
      <left style="medium">
        <color indexed="64"/>
      </left>
      <right/>
      <top/>
      <bottom style="medium">
        <color indexed="64"/>
      </bottom>
      <diagonal/>
    </border>
    <border>
      <left style="medium">
        <color indexed="64"/>
      </left>
      <right/>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hair">
        <color indexed="64"/>
      </left>
      <right style="hair">
        <color indexed="64"/>
      </right>
      <top style="hair">
        <color indexed="64"/>
      </top>
      <bottom style="hair">
        <color indexed="64"/>
      </bottom>
      <diagonal/>
    </border>
    <border>
      <left style="thin">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diagonal/>
    </border>
    <border>
      <left style="medium">
        <color indexed="64"/>
      </left>
      <right/>
      <top style="medium">
        <color indexed="64"/>
      </top>
      <bottom style="medium">
        <color indexed="64"/>
      </bottom>
      <diagonal/>
    </border>
    <border>
      <left style="thick">
        <color theme="1" tint="0.34998626667073579"/>
      </left>
      <right/>
      <top style="thick">
        <color theme="1" tint="0.34998626667073579"/>
      </top>
      <bottom/>
      <diagonal/>
    </border>
    <border>
      <left/>
      <right style="thick">
        <color theme="1" tint="0.34998626667073579"/>
      </right>
      <top style="thick">
        <color theme="1" tint="0.34998626667073579"/>
      </top>
      <bottom/>
      <diagonal/>
    </border>
    <border>
      <left style="thick">
        <color theme="1" tint="0.34998626667073579"/>
      </left>
      <right/>
      <top/>
      <bottom/>
      <diagonal/>
    </border>
    <border>
      <left/>
      <right style="thick">
        <color theme="1" tint="0.34998626667073579"/>
      </right>
      <top/>
      <bottom/>
      <diagonal/>
    </border>
    <border>
      <left style="thick">
        <color theme="1" tint="0.34998626667073579"/>
      </left>
      <right/>
      <top/>
      <bottom style="thick">
        <color theme="1" tint="0.34998626667073579"/>
      </bottom>
      <diagonal/>
    </border>
    <border>
      <left/>
      <right style="thick">
        <color theme="1" tint="0.34998626667073579"/>
      </right>
      <top/>
      <bottom style="thick">
        <color theme="1" tint="0.34998626667073579"/>
      </bottom>
      <diagonal/>
    </border>
    <border>
      <left style="thick">
        <color theme="1" tint="0.34998626667073579"/>
      </left>
      <right/>
      <top/>
      <bottom style="medium">
        <color theme="0" tint="-0.34998626667073579"/>
      </bottom>
      <diagonal/>
    </border>
    <border>
      <left/>
      <right style="thick">
        <color theme="1" tint="0.34998626667073579"/>
      </right>
      <top/>
      <bottom style="medium">
        <color theme="0" tint="-0.34998626667073579"/>
      </bottom>
      <diagonal/>
    </border>
    <border>
      <left style="medium">
        <color theme="0" tint="-0.34998626667073579"/>
      </left>
      <right style="medium">
        <color theme="0" tint="-0.34998626667073579"/>
      </right>
      <top style="thick">
        <color theme="1" tint="0.34998626667073579"/>
      </top>
      <bottom/>
      <diagonal/>
    </border>
    <border>
      <left style="medium">
        <color theme="0" tint="-0.34998626667073579"/>
      </left>
      <right style="medium">
        <color theme="0" tint="-0.34998626667073579"/>
      </right>
      <top/>
      <bottom/>
      <diagonal/>
    </border>
    <border>
      <left style="medium">
        <color theme="0" tint="-0.34998626667073579"/>
      </left>
      <right style="medium">
        <color theme="0" tint="-0.34998626667073579"/>
      </right>
      <top/>
      <bottom style="medium">
        <color theme="0" tint="-0.34998626667073579"/>
      </bottom>
      <diagonal/>
    </border>
    <border>
      <left style="medium">
        <color theme="0" tint="-0.34998626667073579"/>
      </left>
      <right style="medium">
        <color theme="0" tint="-0.34998626667073579"/>
      </right>
      <top/>
      <bottom style="thick">
        <color theme="1" tint="0.34998626667073579"/>
      </bottom>
      <diagonal/>
    </border>
    <border>
      <left/>
      <right style="thin">
        <color theme="0" tint="-0.34998626667073579"/>
      </right>
      <top style="thin">
        <color theme="0" tint="-0.34998626667073579"/>
      </top>
      <bottom/>
      <diagonal/>
    </border>
    <border>
      <left/>
      <right style="thin">
        <color theme="0" tint="-0.34998626667073579"/>
      </right>
      <top/>
      <bottom/>
      <diagonal/>
    </border>
    <border>
      <left style="thin">
        <color theme="0" tint="-0.34998626667073579"/>
      </left>
      <right/>
      <top style="thin">
        <color theme="0" tint="-0.34998626667073579"/>
      </top>
      <bottom/>
      <diagonal/>
    </border>
    <border>
      <left/>
      <right/>
      <top style="thin">
        <color theme="0" tint="-0.34998626667073579"/>
      </top>
      <bottom/>
      <diagonal/>
    </border>
    <border>
      <left style="thin">
        <color theme="0" tint="-0.34998626667073579"/>
      </left>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ck">
        <color theme="1" tint="0.34998626667073579"/>
      </top>
      <bottom/>
      <diagonal/>
    </border>
    <border>
      <left/>
      <right/>
      <top/>
      <bottom style="thick">
        <color theme="1" tint="0.34998626667073579"/>
      </bottom>
      <diagonal/>
    </border>
    <border>
      <left style="medium">
        <color theme="1" tint="0.499984740745262"/>
      </left>
      <right/>
      <top style="medium">
        <color theme="1" tint="0.499984740745262"/>
      </top>
      <bottom/>
      <diagonal/>
    </border>
    <border>
      <left/>
      <right/>
      <top style="medium">
        <color theme="1" tint="0.499984740745262"/>
      </top>
      <bottom/>
      <diagonal/>
    </border>
    <border>
      <left/>
      <right style="medium">
        <color theme="1" tint="0.499984740745262"/>
      </right>
      <top style="medium">
        <color theme="1" tint="0.499984740745262"/>
      </top>
      <bottom/>
      <diagonal/>
    </border>
    <border>
      <left style="medium">
        <color theme="1" tint="0.499984740745262"/>
      </left>
      <right/>
      <top/>
      <bottom/>
      <diagonal/>
    </border>
    <border>
      <left/>
      <right style="medium">
        <color theme="1" tint="0.499984740745262"/>
      </right>
      <top/>
      <bottom/>
      <diagonal/>
    </border>
    <border>
      <left style="medium">
        <color theme="1" tint="0.499984740745262"/>
      </left>
      <right/>
      <top/>
      <bottom style="medium">
        <color theme="1" tint="0.499984740745262"/>
      </bottom>
      <diagonal/>
    </border>
    <border>
      <left/>
      <right/>
      <top/>
      <bottom style="medium">
        <color theme="1" tint="0.499984740745262"/>
      </bottom>
      <diagonal/>
    </border>
    <border>
      <left/>
      <right style="medium">
        <color theme="1" tint="0.499984740745262"/>
      </right>
      <top/>
      <bottom style="medium">
        <color theme="1" tint="0.499984740745262"/>
      </bottom>
      <diagonal/>
    </border>
    <border>
      <left/>
      <right style="thick">
        <color theme="1" tint="0.499984740745262"/>
      </right>
      <top/>
      <bottom/>
      <diagonal/>
    </border>
    <border>
      <left style="hair">
        <color indexed="64"/>
      </left>
      <right style="thick">
        <color theme="1" tint="0.499984740745262"/>
      </right>
      <top style="hair">
        <color indexed="64"/>
      </top>
      <bottom style="hair">
        <color indexed="64"/>
      </bottom>
      <diagonal/>
    </border>
    <border>
      <left style="hair">
        <color indexed="64"/>
      </left>
      <right style="thick">
        <color theme="1" tint="0.499984740745262"/>
      </right>
      <top style="hair">
        <color indexed="64"/>
      </top>
      <bottom style="thick">
        <color theme="1" tint="0.499984740745262"/>
      </bottom>
      <diagonal/>
    </border>
    <border>
      <left style="thick">
        <color theme="1" tint="0.499984740745262"/>
      </left>
      <right/>
      <top style="thick">
        <color theme="1" tint="0.499984740745262"/>
      </top>
      <bottom/>
      <diagonal/>
    </border>
    <border>
      <left/>
      <right/>
      <top style="thick">
        <color theme="1" tint="0.499984740745262"/>
      </top>
      <bottom/>
      <diagonal/>
    </border>
    <border>
      <left style="thin">
        <color indexed="64"/>
      </left>
      <right/>
      <top style="thick">
        <color theme="1" tint="0.499984740745262"/>
      </top>
      <bottom/>
      <diagonal/>
    </border>
    <border>
      <left/>
      <right style="thin">
        <color indexed="64"/>
      </right>
      <top style="thick">
        <color theme="1" tint="0.499984740745262"/>
      </top>
      <bottom/>
      <diagonal/>
    </border>
    <border>
      <left/>
      <right style="thick">
        <color theme="1" tint="0.499984740745262"/>
      </right>
      <top style="thick">
        <color theme="1" tint="0.499984740745262"/>
      </top>
      <bottom/>
      <diagonal/>
    </border>
    <border>
      <left style="thick">
        <color theme="1" tint="0.499984740745262"/>
      </left>
      <right/>
      <top/>
      <bottom/>
      <diagonal/>
    </border>
    <border>
      <left style="thick">
        <color theme="1" tint="0.499984740745262"/>
      </left>
      <right style="hair">
        <color indexed="64"/>
      </right>
      <top style="hair">
        <color indexed="64"/>
      </top>
      <bottom style="hair">
        <color indexed="64"/>
      </bottom>
      <diagonal/>
    </border>
    <border>
      <left style="thick">
        <color theme="1" tint="0.499984740745262"/>
      </left>
      <right style="hair">
        <color indexed="64"/>
      </right>
      <top style="hair">
        <color indexed="64"/>
      </top>
      <bottom style="thick">
        <color theme="1" tint="0.499984740745262"/>
      </bottom>
      <diagonal/>
    </border>
    <border>
      <left style="hair">
        <color indexed="64"/>
      </left>
      <right style="hair">
        <color indexed="64"/>
      </right>
      <top style="hair">
        <color indexed="64"/>
      </top>
      <bottom style="thick">
        <color theme="1" tint="0.499984740745262"/>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diagonal/>
    </border>
    <border>
      <left/>
      <right style="thick">
        <color rgb="FFFF0000"/>
      </right>
      <top/>
      <bottom/>
      <diagonal/>
    </border>
    <border>
      <left style="thick">
        <color rgb="FFFF0000"/>
      </left>
      <right/>
      <top/>
      <bottom style="thick">
        <color rgb="FFFF0000"/>
      </bottom>
      <diagonal/>
    </border>
    <border>
      <left/>
      <right/>
      <top/>
      <bottom style="thick">
        <color rgb="FFFF0000"/>
      </bottom>
      <diagonal/>
    </border>
    <border>
      <left/>
      <right/>
      <top style="thick">
        <color rgb="FF0000CC"/>
      </top>
      <bottom/>
      <diagonal/>
    </border>
    <border>
      <left/>
      <right style="thick">
        <color rgb="FF0000CC"/>
      </right>
      <top style="thick">
        <color rgb="FF0000CC"/>
      </top>
      <bottom/>
      <diagonal/>
    </border>
    <border>
      <left/>
      <right style="thick">
        <color rgb="FF0000CC"/>
      </right>
      <top/>
      <bottom/>
      <diagonal/>
    </border>
    <border>
      <left style="medium">
        <color indexed="64"/>
      </left>
      <right style="medium">
        <color indexed="64"/>
      </right>
      <top/>
      <bottom style="thick">
        <color rgb="FF0000CC"/>
      </bottom>
      <diagonal/>
    </border>
    <border>
      <left style="medium">
        <color indexed="64"/>
      </left>
      <right/>
      <top style="medium">
        <color indexed="64"/>
      </top>
      <bottom style="thick">
        <color rgb="FF0000CC"/>
      </bottom>
      <diagonal/>
    </border>
    <border>
      <left/>
      <right style="thick">
        <color rgb="FF0000CC"/>
      </right>
      <top style="medium">
        <color indexed="64"/>
      </top>
      <bottom style="medium">
        <color indexed="64"/>
      </bottom>
      <diagonal/>
    </border>
    <border>
      <left/>
      <right style="thick">
        <color rgb="FF0000CC"/>
      </right>
      <top style="medium">
        <color indexed="64"/>
      </top>
      <bottom/>
      <diagonal/>
    </border>
    <border>
      <left/>
      <right style="thick">
        <color rgb="FF0000CC"/>
      </right>
      <top/>
      <bottom style="medium">
        <color indexed="64"/>
      </bottom>
      <diagonal/>
    </border>
    <border>
      <left/>
      <right style="thick">
        <color rgb="FF0000CC"/>
      </right>
      <top/>
      <bottom style="thick">
        <color rgb="FF0000CC"/>
      </bottom>
      <diagonal/>
    </border>
    <border>
      <left style="thick">
        <color theme="1"/>
      </left>
      <right style="thin">
        <color indexed="64"/>
      </right>
      <top/>
      <bottom style="thin">
        <color indexed="64"/>
      </bottom>
      <diagonal/>
    </border>
    <border>
      <left style="thick">
        <color theme="1"/>
      </left>
      <right style="thin">
        <color indexed="64"/>
      </right>
      <top/>
      <bottom/>
      <diagonal/>
    </border>
    <border>
      <left style="thick">
        <color theme="1"/>
      </left>
      <right style="thin">
        <color indexed="64"/>
      </right>
      <top style="thin">
        <color indexed="64"/>
      </top>
      <bottom/>
      <diagonal/>
    </border>
    <border>
      <left style="medium">
        <color theme="1"/>
      </left>
      <right style="medium">
        <color indexed="64"/>
      </right>
      <top/>
      <bottom style="thin">
        <color indexed="64"/>
      </bottom>
      <diagonal/>
    </border>
    <border>
      <left style="medium">
        <color theme="1"/>
      </left>
      <right style="medium">
        <color indexed="64"/>
      </right>
      <top/>
      <bottom/>
      <diagonal/>
    </border>
    <border>
      <left style="medium">
        <color theme="1"/>
      </left>
      <right style="medium">
        <color indexed="64"/>
      </right>
      <top/>
      <bottom style="thick">
        <color rgb="FF0000CC"/>
      </bottom>
      <diagonal/>
    </border>
    <border>
      <left style="thin">
        <color indexed="64"/>
      </left>
      <right style="medium">
        <color theme="1"/>
      </right>
      <top/>
      <bottom style="thin">
        <color indexed="64"/>
      </bottom>
      <diagonal/>
    </border>
    <border>
      <left/>
      <right style="medium">
        <color theme="1"/>
      </right>
      <top/>
      <bottom/>
      <diagonal/>
    </border>
    <border>
      <left/>
      <right style="medium">
        <color theme="1"/>
      </right>
      <top/>
      <bottom style="thick">
        <color rgb="FF0000CC"/>
      </bottom>
      <diagonal/>
    </border>
    <border>
      <left/>
      <right style="medium">
        <color theme="1"/>
      </right>
      <top style="medium">
        <color theme="1"/>
      </top>
      <bottom/>
      <diagonal/>
    </border>
    <border>
      <left style="medium">
        <color theme="1"/>
      </left>
      <right style="medium">
        <color indexed="64"/>
      </right>
      <top style="medium">
        <color theme="1"/>
      </top>
      <bottom/>
      <diagonal/>
    </border>
    <border>
      <left style="medium">
        <color indexed="64"/>
      </left>
      <right style="medium">
        <color indexed="64"/>
      </right>
      <top style="medium">
        <color theme="1"/>
      </top>
      <bottom/>
      <diagonal/>
    </border>
    <border>
      <left/>
      <right/>
      <top/>
      <bottom style="medium">
        <color theme="1"/>
      </bottom>
      <diagonal/>
    </border>
    <border>
      <left style="thick">
        <color theme="1"/>
      </left>
      <right/>
      <top style="thick">
        <color rgb="FF0000CC"/>
      </top>
      <bottom/>
      <diagonal/>
    </border>
    <border>
      <left style="thick">
        <color theme="1"/>
      </left>
      <right/>
      <top/>
      <bottom/>
      <diagonal/>
    </border>
    <border>
      <left style="thick">
        <color theme="1"/>
      </left>
      <right style="thin">
        <color indexed="64"/>
      </right>
      <top style="medium">
        <color theme="1"/>
      </top>
      <bottom/>
      <diagonal/>
    </border>
    <border>
      <left style="thick">
        <color theme="1"/>
      </left>
      <right style="thin">
        <color indexed="64"/>
      </right>
      <top style="thin">
        <color indexed="64"/>
      </top>
      <bottom style="thick">
        <color rgb="FF0000CC"/>
      </bottom>
      <diagonal/>
    </border>
  </borders>
  <cellStyleXfs count="6">
    <xf numFmtId="0" fontId="0" fillId="0" borderId="0"/>
    <xf numFmtId="0" fontId="15" fillId="0" borderId="0" applyNumberFormat="0" applyFill="0" applyBorder="0" applyAlignment="0" applyProtection="0">
      <alignment vertical="top"/>
      <protection locked="0"/>
    </xf>
    <xf numFmtId="0" fontId="1" fillId="0" borderId="0"/>
    <xf numFmtId="0" fontId="23" fillId="0" borderId="0"/>
    <xf numFmtId="0" fontId="23" fillId="0" borderId="0"/>
    <xf numFmtId="0" fontId="1" fillId="0" borderId="0"/>
  </cellStyleXfs>
  <cellXfs count="523">
    <xf numFmtId="0" fontId="0" fillId="0" borderId="0" xfId="0"/>
    <xf numFmtId="0" fontId="2" fillId="0" borderId="0" xfId="0" applyFont="1"/>
    <xf numFmtId="11" fontId="3" fillId="0" borderId="0" xfId="0" applyNumberFormat="1" applyFont="1"/>
    <xf numFmtId="0" fontId="3" fillId="0" borderId="0" xfId="0" applyFont="1"/>
    <xf numFmtId="0" fontId="3" fillId="0" borderId="0" xfId="0" applyFont="1" applyAlignment="1">
      <alignment horizontal="center"/>
    </xf>
    <xf numFmtId="43" fontId="3" fillId="0" borderId="0" xfId="0" applyNumberFormat="1" applyFont="1"/>
    <xf numFmtId="166" fontId="3" fillId="0" borderId="0" xfId="0" applyNumberFormat="1" applyFont="1"/>
    <xf numFmtId="0" fontId="2" fillId="0" borderId="0" xfId="0" applyFont="1" applyAlignment="1">
      <alignment horizontal="center"/>
    </xf>
    <xf numFmtId="0" fontId="5" fillId="0" borderId="0" xfId="0" applyFont="1"/>
    <xf numFmtId="0" fontId="2" fillId="0" borderId="1" xfId="0" applyFont="1" applyBorder="1"/>
    <xf numFmtId="0" fontId="2" fillId="2" borderId="0" xfId="0" applyFont="1" applyFill="1"/>
    <xf numFmtId="0" fontId="2" fillId="2" borderId="0" xfId="0" applyFont="1" applyFill="1" applyAlignment="1">
      <alignment horizontal="right"/>
    </xf>
    <xf numFmtId="0" fontId="11" fillId="2" borderId="0" xfId="0" applyFont="1" applyFill="1"/>
    <xf numFmtId="0" fontId="2" fillId="2" borderId="0" xfId="0" applyFont="1" applyFill="1" applyAlignment="1">
      <alignment horizontal="centerContinuous"/>
    </xf>
    <xf numFmtId="0" fontId="7" fillId="2" borderId="0" xfId="0" applyFont="1" applyFill="1" applyAlignment="1">
      <alignment horizontal="centerContinuous"/>
    </xf>
    <xf numFmtId="0" fontId="2" fillId="5" borderId="0" xfId="0" applyFont="1" applyFill="1"/>
    <xf numFmtId="0" fontId="2" fillId="5" borderId="0" xfId="0" applyFont="1" applyFill="1" applyAlignment="1">
      <alignment horizontal="center"/>
    </xf>
    <xf numFmtId="0" fontId="4" fillId="0" borderId="0" xfId="0" applyFont="1" applyAlignment="1">
      <alignment wrapText="1"/>
    </xf>
    <xf numFmtId="164" fontId="3" fillId="0" borderId="0" xfId="0" applyNumberFormat="1" applyFont="1" applyAlignment="1">
      <alignment horizontal="center"/>
    </xf>
    <xf numFmtId="168" fontId="3" fillId="7" borderId="19" xfId="0" applyNumberFormat="1" applyFont="1" applyFill="1" applyBorder="1"/>
    <xf numFmtId="0" fontId="3" fillId="7" borderId="19" xfId="0" applyFont="1" applyFill="1" applyBorder="1" applyAlignment="1">
      <alignment horizontal="center"/>
    </xf>
    <xf numFmtId="164" fontId="3" fillId="7" borderId="19" xfId="0" applyNumberFormat="1" applyFont="1" applyFill="1" applyBorder="1" applyAlignment="1">
      <alignment horizontal="center"/>
    </xf>
    <xf numFmtId="11" fontId="3" fillId="7" borderId="19" xfId="0" applyNumberFormat="1" applyFont="1" applyFill="1" applyBorder="1"/>
    <xf numFmtId="167" fontId="3" fillId="7" borderId="19" xfId="0" applyNumberFormat="1" applyFont="1" applyFill="1" applyBorder="1"/>
    <xf numFmtId="165" fontId="3" fillId="7" borderId="19" xfId="0" applyNumberFormat="1" applyFont="1" applyFill="1" applyBorder="1"/>
    <xf numFmtId="0" fontId="3" fillId="7" borderId="19" xfId="0" applyFont="1" applyFill="1" applyBorder="1" applyAlignment="1">
      <alignment horizontal="right"/>
    </xf>
    <xf numFmtId="0" fontId="3" fillId="7" borderId="19" xfId="0" applyFont="1" applyFill="1" applyBorder="1"/>
    <xf numFmtId="166" fontId="3" fillId="7" borderId="19" xfId="0" applyNumberFormat="1" applyFont="1" applyFill="1" applyBorder="1"/>
    <xf numFmtId="11" fontId="3" fillId="7" borderId="19" xfId="0" applyNumberFormat="1" applyFont="1" applyFill="1" applyBorder="1" applyAlignment="1">
      <alignment horizontal="center"/>
    </xf>
    <xf numFmtId="167" fontId="3" fillId="7" borderId="19" xfId="0" applyNumberFormat="1" applyFont="1" applyFill="1" applyBorder="1" applyAlignment="1">
      <alignment horizontal="center"/>
    </xf>
    <xf numFmtId="167" fontId="3" fillId="7" borderId="19" xfId="0" applyNumberFormat="1" applyFont="1" applyFill="1" applyBorder="1" applyAlignment="1">
      <alignment horizontal="right"/>
    </xf>
    <xf numFmtId="171" fontId="3" fillId="7" borderId="19" xfId="0" applyNumberFormat="1" applyFont="1" applyFill="1" applyBorder="1"/>
    <xf numFmtId="1" fontId="3" fillId="7" borderId="19" xfId="0" applyNumberFormat="1" applyFont="1" applyFill="1" applyBorder="1"/>
    <xf numFmtId="170" fontId="3" fillId="7" borderId="19" xfId="0" applyNumberFormat="1" applyFont="1" applyFill="1" applyBorder="1"/>
    <xf numFmtId="1" fontId="3" fillId="7" borderId="19" xfId="0" applyNumberFormat="1" applyFont="1" applyFill="1" applyBorder="1" applyAlignment="1">
      <alignment horizontal="center"/>
    </xf>
    <xf numFmtId="11" fontId="3" fillId="7" borderId="19" xfId="0" applyNumberFormat="1" applyFont="1" applyFill="1" applyBorder="1" applyAlignment="1">
      <alignment horizontal="right"/>
    </xf>
    <xf numFmtId="168" fontId="3" fillId="7" borderId="19" xfId="0" quotePrefix="1" applyNumberFormat="1" applyFont="1" applyFill="1" applyBorder="1" applyAlignment="1">
      <alignment horizontal="right"/>
    </xf>
    <xf numFmtId="0" fontId="17" fillId="0" borderId="0" xfId="0" applyFont="1" applyAlignment="1">
      <alignment horizontal="center"/>
    </xf>
    <xf numFmtId="49" fontId="3" fillId="0" borderId="0" xfId="0" applyNumberFormat="1" applyFont="1" applyAlignment="1">
      <alignment horizontal="center"/>
    </xf>
    <xf numFmtId="0" fontId="3" fillId="0" borderId="0" xfId="0" applyFont="1" applyAlignment="1">
      <alignment horizontal="fill"/>
    </xf>
    <xf numFmtId="0" fontId="3" fillId="8" borderId="19" xfId="0" applyFont="1" applyFill="1" applyBorder="1" applyAlignment="1">
      <alignment horizontal="center"/>
    </xf>
    <xf numFmtId="0" fontId="17" fillId="8" borderId="0" xfId="0" applyFont="1" applyFill="1" applyAlignment="1">
      <alignment horizontal="center"/>
    </xf>
    <xf numFmtId="0" fontId="3" fillId="9" borderId="19" xfId="0" applyFont="1" applyFill="1" applyBorder="1" applyAlignment="1">
      <alignment horizontal="center"/>
    </xf>
    <xf numFmtId="170" fontId="3" fillId="10" borderId="19" xfId="0" applyNumberFormat="1" applyFont="1" applyFill="1" applyBorder="1" applyAlignment="1">
      <alignment horizontal="center"/>
    </xf>
    <xf numFmtId="11" fontId="3" fillId="9" borderId="19" xfId="0" applyNumberFormat="1" applyFont="1" applyFill="1" applyBorder="1" applyAlignment="1">
      <alignment horizontal="center"/>
    </xf>
    <xf numFmtId="0" fontId="3" fillId="9" borderId="19" xfId="0" quotePrefix="1" applyFont="1" applyFill="1" applyBorder="1" applyAlignment="1">
      <alignment horizontal="center"/>
    </xf>
    <xf numFmtId="43" fontId="3" fillId="0" borderId="0" xfId="0" applyNumberFormat="1" applyFont="1" applyAlignment="1">
      <alignment horizontal="center"/>
    </xf>
    <xf numFmtId="2" fontId="3" fillId="7" borderId="19" xfId="0" applyNumberFormat="1" applyFont="1" applyFill="1" applyBorder="1"/>
    <xf numFmtId="168" fontId="3" fillId="7" borderId="19" xfId="0" applyNumberFormat="1" applyFont="1" applyFill="1" applyBorder="1" applyAlignment="1">
      <alignment horizontal="center"/>
    </xf>
    <xf numFmtId="165" fontId="3" fillId="7" borderId="19" xfId="0" applyNumberFormat="1" applyFont="1" applyFill="1" applyBorder="1" applyAlignment="1">
      <alignment horizontal="center"/>
    </xf>
    <xf numFmtId="165" fontId="3" fillId="0" borderId="0" xfId="0" applyNumberFormat="1" applyFont="1" applyAlignment="1">
      <alignment horizontal="center"/>
    </xf>
    <xf numFmtId="11" fontId="3" fillId="0" borderId="0" xfId="0" applyNumberFormat="1" applyFont="1" applyAlignment="1">
      <alignment horizontal="center"/>
    </xf>
    <xf numFmtId="49" fontId="3" fillId="7" borderId="19" xfId="0" applyNumberFormat="1" applyFont="1" applyFill="1" applyBorder="1" applyAlignment="1">
      <alignment horizontal="center"/>
    </xf>
    <xf numFmtId="49" fontId="17" fillId="0" borderId="0" xfId="0" applyNumberFormat="1" applyFont="1" applyAlignment="1">
      <alignment horizontal="center"/>
    </xf>
    <xf numFmtId="0" fontId="17" fillId="0" borderId="0" xfId="0" applyFont="1" applyAlignment="1">
      <alignment horizontal="center" wrapText="1"/>
    </xf>
    <xf numFmtId="0" fontId="17" fillId="8" borderId="0" xfId="0" applyFont="1" applyFill="1" applyAlignment="1">
      <alignment horizontal="center" wrapText="1"/>
    </xf>
    <xf numFmtId="0" fontId="17" fillId="9" borderId="0" xfId="0" applyFont="1" applyFill="1" applyAlignment="1">
      <alignment horizontal="center" wrapText="1"/>
    </xf>
    <xf numFmtId="0" fontId="17" fillId="9" borderId="0" xfId="0" applyFont="1" applyFill="1" applyAlignment="1">
      <alignment horizontal="center"/>
    </xf>
    <xf numFmtId="0" fontId="17" fillId="10" borderId="0" xfId="0" applyFont="1" applyFill="1" applyAlignment="1">
      <alignment horizontal="center" wrapText="1"/>
    </xf>
    <xf numFmtId="0" fontId="17" fillId="9" borderId="10" xfId="0" applyFont="1" applyFill="1" applyBorder="1" applyAlignment="1">
      <alignment horizontal="center" wrapText="1"/>
    </xf>
    <xf numFmtId="0" fontId="17" fillId="9" borderId="9" xfId="0" applyFont="1" applyFill="1" applyBorder="1" applyAlignment="1">
      <alignment horizontal="center" wrapText="1"/>
    </xf>
    <xf numFmtId="0" fontId="17" fillId="0" borderId="0" xfId="0" applyFont="1"/>
    <xf numFmtId="0" fontId="3" fillId="10" borderId="19" xfId="0" applyFont="1" applyFill="1" applyBorder="1" applyAlignment="1">
      <alignment horizontal="center"/>
    </xf>
    <xf numFmtId="11" fontId="3" fillId="10" borderId="19" xfId="0" applyNumberFormat="1" applyFont="1" applyFill="1" applyBorder="1" applyAlignment="1">
      <alignment horizontal="center"/>
    </xf>
    <xf numFmtId="0" fontId="3" fillId="7" borderId="19" xfId="0" quotePrefix="1" applyFont="1" applyFill="1" applyBorder="1" applyAlignment="1">
      <alignment horizontal="center"/>
    </xf>
    <xf numFmtId="1" fontId="3" fillId="0" borderId="0" xfId="0" applyNumberFormat="1" applyFont="1" applyAlignment="1">
      <alignment horizontal="center"/>
    </xf>
    <xf numFmtId="0" fontId="3" fillId="11" borderId="19" xfId="0" applyFont="1" applyFill="1" applyBorder="1" applyAlignment="1">
      <alignment horizontal="center"/>
    </xf>
    <xf numFmtId="11" fontId="3" fillId="11" borderId="19" xfId="0" applyNumberFormat="1" applyFont="1" applyFill="1" applyBorder="1" applyAlignment="1">
      <alignment horizontal="center"/>
    </xf>
    <xf numFmtId="0" fontId="17" fillId="11" borderId="0" xfId="0" applyFont="1" applyFill="1" applyAlignment="1">
      <alignment horizontal="center" wrapText="1"/>
    </xf>
    <xf numFmtId="0" fontId="1" fillId="0" borderId="0" xfId="0" applyFont="1"/>
    <xf numFmtId="0" fontId="17" fillId="9" borderId="20" xfId="0" applyFont="1" applyFill="1" applyBorder="1" applyAlignment="1">
      <alignment horizontal="center" wrapText="1"/>
    </xf>
    <xf numFmtId="0" fontId="20" fillId="8" borderId="19" xfId="0" applyFont="1" applyFill="1" applyBorder="1" applyAlignment="1">
      <alignment horizontal="center"/>
    </xf>
    <xf numFmtId="172" fontId="3" fillId="7" borderId="19" xfId="0" applyNumberFormat="1" applyFont="1" applyFill="1" applyBorder="1" applyAlignment="1">
      <alignment horizontal="center"/>
    </xf>
    <xf numFmtId="168" fontId="3" fillId="0" borderId="0" xfId="0" applyNumberFormat="1" applyFont="1" applyAlignment="1">
      <alignment horizontal="center"/>
    </xf>
    <xf numFmtId="168" fontId="20" fillId="7" borderId="19" xfId="0" applyNumberFormat="1" applyFont="1" applyFill="1" applyBorder="1" applyAlignment="1">
      <alignment horizontal="center"/>
    </xf>
    <xf numFmtId="167" fontId="17" fillId="7" borderId="19" xfId="0" applyNumberFormat="1" applyFont="1" applyFill="1" applyBorder="1" applyAlignment="1">
      <alignment horizontal="center"/>
    </xf>
    <xf numFmtId="0" fontId="17" fillId="8" borderId="19" xfId="0" applyFont="1" applyFill="1" applyBorder="1" applyAlignment="1">
      <alignment horizontal="center"/>
    </xf>
    <xf numFmtId="165" fontId="17" fillId="7" borderId="19" xfId="0" applyNumberFormat="1" applyFont="1" applyFill="1" applyBorder="1" applyAlignment="1">
      <alignment horizontal="center"/>
    </xf>
    <xf numFmtId="168" fontId="17" fillId="7" borderId="19" xfId="0" applyNumberFormat="1" applyFont="1" applyFill="1" applyBorder="1" applyAlignment="1">
      <alignment horizontal="center"/>
    </xf>
    <xf numFmtId="0" fontId="17" fillId="7" borderId="19" xfId="0" applyFont="1" applyFill="1" applyBorder="1" applyAlignment="1">
      <alignment horizontal="center"/>
    </xf>
    <xf numFmtId="0" fontId="17" fillId="9" borderId="19" xfId="0" applyFont="1" applyFill="1" applyBorder="1" applyAlignment="1">
      <alignment horizontal="center"/>
    </xf>
    <xf numFmtId="0" fontId="17" fillId="11" borderId="19" xfId="0" applyFont="1" applyFill="1" applyBorder="1" applyAlignment="1">
      <alignment horizontal="center"/>
    </xf>
    <xf numFmtId="0" fontId="17" fillId="7" borderId="19" xfId="0" applyFont="1" applyFill="1" applyBorder="1"/>
    <xf numFmtId="11" fontId="17" fillId="9" borderId="19" xfId="0" applyNumberFormat="1" applyFont="1" applyFill="1" applyBorder="1" applyAlignment="1">
      <alignment horizontal="center"/>
    </xf>
    <xf numFmtId="0" fontId="3" fillId="8" borderId="22" xfId="0" applyFont="1" applyFill="1" applyBorder="1" applyAlignment="1">
      <alignment horizontal="center"/>
    </xf>
    <xf numFmtId="0" fontId="3" fillId="7" borderId="23" xfId="0" applyFont="1" applyFill="1" applyBorder="1" applyAlignment="1">
      <alignment horizontal="center"/>
    </xf>
    <xf numFmtId="164" fontId="17" fillId="7" borderId="19" xfId="0" applyNumberFormat="1" applyFont="1" applyFill="1" applyBorder="1" applyAlignment="1">
      <alignment horizontal="center"/>
    </xf>
    <xf numFmtId="165" fontId="17" fillId="7" borderId="21" xfId="0" applyNumberFormat="1" applyFont="1" applyFill="1" applyBorder="1" applyAlignment="1">
      <alignment horizontal="center"/>
    </xf>
    <xf numFmtId="0" fontId="17" fillId="7" borderId="23" xfId="0" applyFont="1" applyFill="1" applyBorder="1" applyAlignment="1">
      <alignment horizontal="center"/>
    </xf>
    <xf numFmtId="0" fontId="13" fillId="0" borderId="0" xfId="0" applyFont="1" applyAlignment="1">
      <alignment horizontal="center" vertical="center"/>
    </xf>
    <xf numFmtId="0" fontId="0" fillId="0" borderId="0" xfId="0" applyAlignment="1">
      <alignment horizontal="center"/>
    </xf>
    <xf numFmtId="0" fontId="13" fillId="0" borderId="0" xfId="0" applyFont="1" applyAlignment="1">
      <alignment horizontal="center"/>
    </xf>
    <xf numFmtId="0" fontId="0" fillId="0" borderId="7" xfId="0" applyBorder="1"/>
    <xf numFmtId="0" fontId="25" fillId="0" borderId="24" xfId="3" applyFont="1" applyBorder="1" applyAlignment="1">
      <alignment horizontal="center"/>
    </xf>
    <xf numFmtId="0" fontId="25" fillId="0" borderId="9" xfId="3" applyFont="1" applyBorder="1" applyAlignment="1">
      <alignment horizontal="center"/>
    </xf>
    <xf numFmtId="0" fontId="25" fillId="0" borderId="10" xfId="3" applyFont="1" applyBorder="1" applyAlignment="1">
      <alignment horizontal="center"/>
    </xf>
    <xf numFmtId="0" fontId="25" fillId="0" borderId="0" xfId="3" applyFont="1" applyAlignment="1">
      <alignment horizontal="center"/>
    </xf>
    <xf numFmtId="0" fontId="25" fillId="0" borderId="0" xfId="3" applyFont="1" applyAlignment="1">
      <alignment horizontal="center" wrapText="1"/>
    </xf>
    <xf numFmtId="0" fontId="25" fillId="9" borderId="10" xfId="4" applyFont="1" applyFill="1" applyBorder="1" applyAlignment="1">
      <alignment horizontal="center"/>
    </xf>
    <xf numFmtId="0" fontId="25" fillId="9" borderId="0" xfId="4" applyFont="1" applyFill="1" applyAlignment="1">
      <alignment horizontal="center"/>
    </xf>
    <xf numFmtId="0" fontId="25" fillId="9" borderId="0" xfId="4" applyFont="1" applyFill="1" applyAlignment="1">
      <alignment horizontal="center" wrapText="1"/>
    </xf>
    <xf numFmtId="0" fontId="25" fillId="9" borderId="9" xfId="4" applyFont="1" applyFill="1" applyBorder="1" applyAlignment="1">
      <alignment horizontal="center"/>
    </xf>
    <xf numFmtId="0" fontId="25" fillId="0" borderId="9" xfId="4" applyFont="1" applyBorder="1" applyAlignment="1">
      <alignment horizontal="center"/>
    </xf>
    <xf numFmtId="0" fontId="25" fillId="13" borderId="13" xfId="3" applyFont="1" applyFill="1" applyBorder="1" applyAlignment="1">
      <alignment horizontal="center"/>
    </xf>
    <xf numFmtId="173" fontId="25" fillId="13" borderId="12" xfId="3" applyNumberFormat="1" applyFont="1" applyFill="1" applyBorder="1" applyAlignment="1">
      <alignment horizontal="center"/>
    </xf>
    <xf numFmtId="0" fontId="25" fillId="13" borderId="12" xfId="3" applyFont="1" applyFill="1" applyBorder="1" applyAlignment="1">
      <alignment horizontal="center"/>
    </xf>
    <xf numFmtId="0" fontId="25" fillId="13" borderId="11" xfId="3" applyFont="1" applyFill="1" applyBorder="1" applyAlignment="1">
      <alignment horizontal="center"/>
    </xf>
    <xf numFmtId="2" fontId="0" fillId="0" borderId="12" xfId="0" applyNumberFormat="1" applyBorder="1" applyAlignment="1">
      <alignment horizontal="center"/>
    </xf>
    <xf numFmtId="2" fontId="0" fillId="9" borderId="12" xfId="0" applyNumberFormat="1" applyFill="1" applyBorder="1" applyAlignment="1">
      <alignment horizontal="center"/>
    </xf>
    <xf numFmtId="2" fontId="0" fillId="14" borderId="11" xfId="0" applyNumberFormat="1" applyFill="1" applyBorder="1" applyAlignment="1">
      <alignment horizontal="center"/>
    </xf>
    <xf numFmtId="0" fontId="25" fillId="0" borderId="28" xfId="3" applyFont="1" applyBorder="1" applyAlignment="1">
      <alignment horizontal="center"/>
    </xf>
    <xf numFmtId="0" fontId="25" fillId="13" borderId="10" xfId="3" applyFont="1" applyFill="1" applyBorder="1" applyAlignment="1">
      <alignment horizontal="center"/>
    </xf>
    <xf numFmtId="0" fontId="25" fillId="13" borderId="0" xfId="3" applyFont="1" applyFill="1" applyAlignment="1">
      <alignment horizontal="center"/>
    </xf>
    <xf numFmtId="0" fontId="25" fillId="13" borderId="9" xfId="3" applyFont="1" applyFill="1" applyBorder="1" applyAlignment="1">
      <alignment horizontal="center"/>
    </xf>
    <xf numFmtId="2" fontId="0" fillId="0" borderId="0" xfId="0" applyNumberFormat="1" applyAlignment="1">
      <alignment horizontal="center"/>
    </xf>
    <xf numFmtId="2" fontId="0" fillId="9" borderId="0" xfId="0" applyNumberFormat="1" applyFill="1" applyAlignment="1">
      <alignment horizontal="center"/>
    </xf>
    <xf numFmtId="2" fontId="0" fillId="14" borderId="9" xfId="0" applyNumberFormat="1" applyFill="1" applyBorder="1" applyAlignment="1">
      <alignment horizontal="center"/>
    </xf>
    <xf numFmtId="0" fontId="25" fillId="0" borderId="29" xfId="3" applyFont="1" applyBorder="1" applyAlignment="1">
      <alignment horizontal="center"/>
    </xf>
    <xf numFmtId="0" fontId="25" fillId="0" borderId="25" xfId="3" applyFont="1" applyBorder="1" applyAlignment="1">
      <alignment horizontal="center"/>
    </xf>
    <xf numFmtId="0" fontId="25" fillId="13" borderId="25" xfId="3" applyFont="1" applyFill="1" applyBorder="1" applyAlignment="1">
      <alignment horizontal="center"/>
    </xf>
    <xf numFmtId="0" fontId="25" fillId="13" borderId="26" xfId="3" applyFont="1" applyFill="1" applyBorder="1" applyAlignment="1">
      <alignment horizontal="center"/>
    </xf>
    <xf numFmtId="0" fontId="25" fillId="13" borderId="27" xfId="3" applyFont="1" applyFill="1" applyBorder="1" applyAlignment="1">
      <alignment horizontal="center"/>
    </xf>
    <xf numFmtId="2" fontId="0" fillId="0" borderId="7" xfId="0" applyNumberFormat="1" applyBorder="1" applyAlignment="1">
      <alignment horizontal="center"/>
    </xf>
    <xf numFmtId="2" fontId="0" fillId="9" borderId="7" xfId="0" applyNumberFormat="1" applyFill="1" applyBorder="1" applyAlignment="1">
      <alignment horizontal="center"/>
    </xf>
    <xf numFmtId="2" fontId="0" fillId="14" borderId="6" xfId="0" applyNumberFormat="1" applyFill="1" applyBorder="1" applyAlignment="1">
      <alignment horizontal="center"/>
    </xf>
    <xf numFmtId="0" fontId="1" fillId="0" borderId="0" xfId="5"/>
    <xf numFmtId="0" fontId="1" fillId="0" borderId="0" xfId="5" applyAlignment="1">
      <alignment horizontal="center"/>
    </xf>
    <xf numFmtId="0" fontId="25" fillId="0" borderId="0" xfId="5" applyFont="1"/>
    <xf numFmtId="0" fontId="25" fillId="0" borderId="24" xfId="5" applyFont="1" applyBorder="1" applyAlignment="1">
      <alignment horizontal="center"/>
    </xf>
    <xf numFmtId="0" fontId="25" fillId="12" borderId="25" xfId="5" applyFont="1" applyFill="1" applyBorder="1"/>
    <xf numFmtId="0" fontId="25" fillId="12" borderId="26" xfId="5" applyFont="1" applyFill="1" applyBorder="1"/>
    <xf numFmtId="0" fontId="1" fillId="12" borderId="26" xfId="5" applyFill="1" applyBorder="1"/>
    <xf numFmtId="0" fontId="1" fillId="12" borderId="27" xfId="5" applyFill="1" applyBorder="1"/>
    <xf numFmtId="0" fontId="25" fillId="0" borderId="30" xfId="5" applyFont="1" applyBorder="1" applyAlignment="1">
      <alignment horizontal="center"/>
    </xf>
    <xf numFmtId="0" fontId="25" fillId="0" borderId="31" xfId="5" applyFont="1" applyBorder="1" applyAlignment="1">
      <alignment horizontal="center"/>
    </xf>
    <xf numFmtId="0" fontId="25" fillId="0" borderId="32" xfId="5" applyFont="1" applyBorder="1" applyAlignment="1">
      <alignment horizontal="center"/>
    </xf>
    <xf numFmtId="0" fontId="0" fillId="0" borderId="24" xfId="0" applyBorder="1"/>
    <xf numFmtId="0" fontId="25" fillId="0" borderId="29" xfId="5" applyFont="1" applyBorder="1" applyAlignment="1">
      <alignment horizontal="center"/>
    </xf>
    <xf numFmtId="0" fontId="25" fillId="0" borderId="10" xfId="5" applyFont="1" applyBorder="1" applyAlignment="1">
      <alignment horizontal="center"/>
    </xf>
    <xf numFmtId="2" fontId="25" fillId="0" borderId="9" xfId="5" applyNumberFormat="1" applyFont="1" applyBorder="1" applyAlignment="1">
      <alignment horizontal="center"/>
    </xf>
    <xf numFmtId="2" fontId="25" fillId="0" borderId="29" xfId="5" applyNumberFormat="1" applyFont="1" applyBorder="1"/>
    <xf numFmtId="0" fontId="0" fillId="0" borderId="33" xfId="0" applyBorder="1"/>
    <xf numFmtId="0" fontId="0" fillId="0" borderId="29" xfId="0" applyBorder="1"/>
    <xf numFmtId="0" fontId="25" fillId="0" borderId="9" xfId="5" applyFont="1" applyBorder="1" applyAlignment="1">
      <alignment horizontal="center"/>
    </xf>
    <xf numFmtId="0" fontId="25" fillId="0" borderId="24" xfId="0" applyFont="1" applyBorder="1" applyAlignment="1">
      <alignment horizontal="center"/>
    </xf>
    <xf numFmtId="0" fontId="0" fillId="0" borderId="11" xfId="0" applyBorder="1"/>
    <xf numFmtId="2" fontId="25" fillId="0" borderId="9" xfId="0" applyNumberFormat="1" applyFont="1" applyBorder="1" applyAlignment="1">
      <alignment horizontal="center"/>
    </xf>
    <xf numFmtId="0" fontId="25" fillId="0" borderId="30" xfId="5" applyFont="1" applyBorder="1" applyAlignment="1">
      <alignment horizontal="left"/>
    </xf>
    <xf numFmtId="0" fontId="0" fillId="0" borderId="30" xfId="0" applyBorder="1"/>
    <xf numFmtId="0" fontId="25" fillId="0" borderId="29" xfId="0" applyFont="1" applyBorder="1" applyAlignment="1">
      <alignment horizontal="center"/>
    </xf>
    <xf numFmtId="2" fontId="25" fillId="0" borderId="10" xfId="5" applyNumberFormat="1" applyFont="1" applyBorder="1" applyAlignment="1">
      <alignment horizontal="center"/>
    </xf>
    <xf numFmtId="0" fontId="25" fillId="0" borderId="29" xfId="5" applyFont="1" applyBorder="1"/>
    <xf numFmtId="1" fontId="25" fillId="0" borderId="9" xfId="5" applyNumberFormat="1" applyFont="1" applyBorder="1" applyAlignment="1">
      <alignment horizontal="center"/>
    </xf>
    <xf numFmtId="2" fontId="25" fillId="0" borderId="12" xfId="0" applyNumberFormat="1" applyFont="1" applyBorder="1" applyAlignment="1">
      <alignment horizontal="center"/>
    </xf>
    <xf numFmtId="0" fontId="25" fillId="15" borderId="12" xfId="0" applyFont="1" applyFill="1" applyBorder="1"/>
    <xf numFmtId="2" fontId="0" fillId="13" borderId="11" xfId="0" applyNumberFormat="1" applyFill="1" applyBorder="1"/>
    <xf numFmtId="2" fontId="25" fillId="0" borderId="13" xfId="5" applyNumberFormat="1" applyFont="1" applyBorder="1" applyAlignment="1">
      <alignment horizontal="center"/>
    </xf>
    <xf numFmtId="2" fontId="25" fillId="15" borderId="11" xfId="5" applyNumberFormat="1" applyFont="1" applyFill="1" applyBorder="1" applyAlignment="1">
      <alignment horizontal="center"/>
    </xf>
    <xf numFmtId="0" fontId="25" fillId="15" borderId="24" xfId="5" applyFont="1" applyFill="1" applyBorder="1"/>
    <xf numFmtId="2" fontId="0" fillId="0" borderId="9" xfId="0" applyNumberFormat="1" applyBorder="1"/>
    <xf numFmtId="0" fontId="0" fillId="0" borderId="7" xfId="0" applyBorder="1" applyAlignment="1">
      <alignment horizontal="center"/>
    </xf>
    <xf numFmtId="0" fontId="25" fillId="0" borderId="28" xfId="0" applyFont="1" applyBorder="1" applyAlignment="1">
      <alignment horizontal="center"/>
    </xf>
    <xf numFmtId="2" fontId="25" fillId="0" borderId="7" xfId="0" applyNumberFormat="1" applyFont="1" applyBorder="1" applyAlignment="1">
      <alignment horizontal="center"/>
    </xf>
    <xf numFmtId="0" fontId="25" fillId="0" borderId="28" xfId="5" applyFont="1" applyBorder="1" applyAlignment="1">
      <alignment horizontal="center"/>
    </xf>
    <xf numFmtId="2" fontId="25" fillId="0" borderId="8" xfId="5" applyNumberFormat="1" applyFont="1" applyBorder="1" applyAlignment="1">
      <alignment horizontal="center"/>
    </xf>
    <xf numFmtId="2" fontId="25" fillId="0" borderId="6" xfId="5" applyNumberFormat="1" applyFont="1" applyBorder="1" applyAlignment="1">
      <alignment horizontal="center"/>
    </xf>
    <xf numFmtId="0" fontId="25" fillId="0" borderId="13" xfId="0" applyFont="1" applyBorder="1" applyAlignment="1">
      <alignment horizontal="center"/>
    </xf>
    <xf numFmtId="0" fontId="25" fillId="0" borderId="13" xfId="5" applyFont="1" applyBorder="1" applyAlignment="1">
      <alignment horizontal="center"/>
    </xf>
    <xf numFmtId="0" fontId="0" fillId="0" borderId="13" xfId="0" applyBorder="1" applyAlignment="1">
      <alignment wrapText="1"/>
    </xf>
    <xf numFmtId="2" fontId="25" fillId="16" borderId="11" xfId="5" applyNumberFormat="1" applyFont="1" applyFill="1" applyBorder="1" applyAlignment="1">
      <alignment horizontal="center"/>
    </xf>
    <xf numFmtId="0" fontId="25" fillId="0" borderId="10" xfId="0" applyFont="1" applyBorder="1" applyAlignment="1">
      <alignment horizontal="center"/>
    </xf>
    <xf numFmtId="0" fontId="25" fillId="0" borderId="10" xfId="5" applyFont="1" applyBorder="1"/>
    <xf numFmtId="2" fontId="25" fillId="0" borderId="9" xfId="5" applyNumberFormat="1" applyFont="1" applyBorder="1"/>
    <xf numFmtId="0" fontId="25" fillId="0" borderId="8" xfId="0" applyFont="1" applyBorder="1" applyAlignment="1">
      <alignment horizontal="center"/>
    </xf>
    <xf numFmtId="2" fontId="0" fillId="0" borderId="6" xfId="0" applyNumberFormat="1" applyBorder="1"/>
    <xf numFmtId="0" fontId="25" fillId="0" borderId="8" xfId="5" applyFont="1" applyBorder="1"/>
    <xf numFmtId="0" fontId="25" fillId="0" borderId="6" xfId="5" applyFont="1" applyBorder="1"/>
    <xf numFmtId="0" fontId="0" fillId="0" borderId="28" xfId="0" applyBorder="1"/>
    <xf numFmtId="0" fontId="0" fillId="0" borderId="3" xfId="0" applyBorder="1"/>
    <xf numFmtId="0" fontId="13" fillId="0" borderId="0" xfId="0" applyFont="1"/>
    <xf numFmtId="0" fontId="25" fillId="0" borderId="30" xfId="5" applyFont="1" applyBorder="1" applyAlignment="1">
      <alignment horizontal="center" wrapText="1"/>
    </xf>
    <xf numFmtId="0" fontId="0" fillId="0" borderId="10" xfId="0" applyBorder="1"/>
    <xf numFmtId="0" fontId="0" fillId="0" borderId="29" xfId="0" applyBorder="1" applyAlignment="1">
      <alignment horizontal="center"/>
    </xf>
    <xf numFmtId="0" fontId="1" fillId="4" borderId="0" xfId="0" applyFont="1" applyFill="1"/>
    <xf numFmtId="0" fontId="1" fillId="3" borderId="0" xfId="0" applyFont="1" applyFill="1"/>
    <xf numFmtId="0" fontId="1" fillId="4" borderId="0" xfId="0" applyFont="1" applyFill="1" applyAlignment="1">
      <alignment horizontal="right"/>
    </xf>
    <xf numFmtId="0" fontId="2" fillId="5" borderId="0" xfId="0" applyFont="1" applyFill="1" applyAlignment="1">
      <alignment horizontal="right"/>
    </xf>
    <xf numFmtId="1" fontId="2" fillId="3" borderId="0" xfId="0" applyNumberFormat="1" applyFont="1" applyFill="1" applyAlignment="1">
      <alignment horizontal="right"/>
    </xf>
    <xf numFmtId="0" fontId="1" fillId="5" borderId="0" xfId="0" applyFont="1" applyFill="1"/>
    <xf numFmtId="0" fontId="1" fillId="5" borderId="0" xfId="0" applyFont="1" applyFill="1" applyAlignment="1">
      <alignment horizontal="right"/>
    </xf>
    <xf numFmtId="1" fontId="2" fillId="4" borderId="0" xfId="0" applyNumberFormat="1" applyFont="1" applyFill="1" applyAlignment="1">
      <alignment horizontal="right"/>
    </xf>
    <xf numFmtId="0" fontId="0" fillId="0" borderId="0" xfId="0" applyAlignment="1">
      <alignment horizontal="right"/>
    </xf>
    <xf numFmtId="0" fontId="2" fillId="4" borderId="0" xfId="0" applyFont="1" applyFill="1" applyAlignment="1">
      <alignment horizontal="right"/>
    </xf>
    <xf numFmtId="49" fontId="17" fillId="3" borderId="0" xfId="0" applyNumberFormat="1" applyFont="1" applyFill="1" applyAlignment="1">
      <alignment horizontal="center" wrapText="1"/>
    </xf>
    <xf numFmtId="0" fontId="1" fillId="0" borderId="0" xfId="0" applyFont="1" applyAlignment="1">
      <alignment horizontal="center"/>
    </xf>
    <xf numFmtId="0" fontId="1" fillId="0" borderId="0" xfId="0" applyFont="1" applyAlignment="1">
      <alignment vertical="center"/>
    </xf>
    <xf numFmtId="170" fontId="0" fillId="0" borderId="0" xfId="0" applyNumberFormat="1"/>
    <xf numFmtId="170" fontId="2" fillId="0" borderId="0" xfId="0" applyNumberFormat="1" applyFont="1"/>
    <xf numFmtId="170" fontId="2" fillId="4" borderId="0" xfId="0" applyNumberFormat="1" applyFont="1" applyFill="1"/>
    <xf numFmtId="170" fontId="2" fillId="3" borderId="0" xfId="0" applyNumberFormat="1" applyFont="1" applyFill="1"/>
    <xf numFmtId="170" fontId="2" fillId="5" borderId="0" xfId="0" applyNumberFormat="1" applyFont="1" applyFill="1"/>
    <xf numFmtId="170" fontId="2" fillId="4" borderId="0" xfId="0" applyNumberFormat="1" applyFont="1" applyFill="1" applyAlignment="1">
      <alignment horizontal="center"/>
    </xf>
    <xf numFmtId="170" fontId="2" fillId="3" borderId="0" xfId="0" applyNumberFormat="1" applyFont="1" applyFill="1" applyAlignment="1">
      <alignment horizontal="center"/>
    </xf>
    <xf numFmtId="170" fontId="2" fillId="5" borderId="0" xfId="0" applyNumberFormat="1" applyFont="1" applyFill="1" applyAlignment="1">
      <alignment horizontal="center"/>
    </xf>
    <xf numFmtId="0" fontId="0" fillId="0" borderId="12" xfId="0" applyBorder="1" applyAlignment="1">
      <alignment horizontal="center"/>
    </xf>
    <xf numFmtId="165" fontId="3" fillId="13" borderId="19" xfId="0" applyNumberFormat="1" applyFont="1" applyFill="1" applyBorder="1" applyAlignment="1">
      <alignment horizontal="center"/>
    </xf>
    <xf numFmtId="0" fontId="3" fillId="13" borderId="19" xfId="0" applyFont="1" applyFill="1" applyBorder="1" applyAlignment="1">
      <alignment horizontal="center"/>
    </xf>
    <xf numFmtId="165" fontId="17" fillId="13" borderId="19" xfId="0" applyNumberFormat="1" applyFont="1" applyFill="1" applyBorder="1" applyAlignment="1">
      <alignment horizontal="center"/>
    </xf>
    <xf numFmtId="0" fontId="2" fillId="4" borderId="48" xfId="0" applyFont="1" applyFill="1" applyBorder="1" applyAlignment="1">
      <alignment horizontal="center"/>
    </xf>
    <xf numFmtId="0" fontId="2" fillId="3" borderId="48" xfId="0" applyFont="1" applyFill="1" applyBorder="1" applyAlignment="1">
      <alignment horizontal="center"/>
    </xf>
    <xf numFmtId="0" fontId="2" fillId="5" borderId="48" xfId="0" applyFont="1" applyFill="1" applyBorder="1" applyAlignment="1">
      <alignment horizontal="center"/>
    </xf>
    <xf numFmtId="0" fontId="1" fillId="4" borderId="49" xfId="0" applyFont="1" applyFill="1" applyBorder="1"/>
    <xf numFmtId="170" fontId="2" fillId="4" borderId="50" xfId="0" applyNumberFormat="1" applyFont="1" applyFill="1" applyBorder="1"/>
    <xf numFmtId="0" fontId="1" fillId="4" borderId="51" xfId="0" applyFont="1" applyFill="1" applyBorder="1" applyAlignment="1">
      <alignment horizontal="right"/>
    </xf>
    <xf numFmtId="0" fontId="1" fillId="4" borderId="51" xfId="0" applyFont="1" applyFill="1" applyBorder="1"/>
    <xf numFmtId="170" fontId="2" fillId="4" borderId="53" xfId="0" applyNumberFormat="1" applyFont="1" applyFill="1" applyBorder="1"/>
    <xf numFmtId="0" fontId="1" fillId="4" borderId="50" xfId="0" applyFont="1" applyFill="1" applyBorder="1"/>
    <xf numFmtId="0" fontId="1" fillId="4" borderId="53" xfId="0" applyFont="1" applyFill="1" applyBorder="1" applyAlignment="1">
      <alignment horizontal="right"/>
    </xf>
    <xf numFmtId="170" fontId="2" fillId="3" borderId="50" xfId="0" applyNumberFormat="1" applyFont="1" applyFill="1" applyBorder="1"/>
    <xf numFmtId="170" fontId="2" fillId="3" borderId="53" xfId="0" applyNumberFormat="1" applyFont="1" applyFill="1" applyBorder="1" applyAlignment="1">
      <alignment horizontal="center"/>
    </xf>
    <xf numFmtId="170" fontId="2" fillId="3" borderId="53" xfId="0" applyNumberFormat="1" applyFont="1" applyFill="1" applyBorder="1"/>
    <xf numFmtId="170" fontId="2" fillId="5" borderId="53" xfId="0" applyNumberFormat="1" applyFont="1" applyFill="1" applyBorder="1" applyAlignment="1">
      <alignment horizontal="center"/>
    </xf>
    <xf numFmtId="0" fontId="1" fillId="5" borderId="53" xfId="0" applyFont="1" applyFill="1" applyBorder="1" applyAlignment="1">
      <alignment horizontal="right"/>
    </xf>
    <xf numFmtId="170" fontId="2" fillId="5" borderId="53" xfId="0" applyNumberFormat="1" applyFont="1" applyFill="1" applyBorder="1"/>
    <xf numFmtId="1" fontId="2" fillId="4" borderId="53" xfId="0" applyNumberFormat="1" applyFont="1" applyFill="1" applyBorder="1" applyAlignment="1">
      <alignment horizontal="right"/>
    </xf>
    <xf numFmtId="170" fontId="2" fillId="5" borderId="50" xfId="0" applyNumberFormat="1" applyFont="1" applyFill="1" applyBorder="1"/>
    <xf numFmtId="0" fontId="2" fillId="4" borderId="50" xfId="0" applyFont="1" applyFill="1" applyBorder="1" applyAlignment="1">
      <alignment horizontal="right"/>
    </xf>
    <xf numFmtId="0" fontId="0" fillId="0" borderId="9" xfId="0" applyBorder="1" applyAlignment="1">
      <alignment horizontal="right"/>
    </xf>
    <xf numFmtId="0" fontId="2" fillId="4" borderId="47" xfId="0" applyFont="1" applyFill="1" applyBorder="1"/>
    <xf numFmtId="0" fontId="0" fillId="4" borderId="48" xfId="0" applyFill="1" applyBorder="1"/>
    <xf numFmtId="1" fontId="1" fillId="4" borderId="48" xfId="0" applyNumberFormat="1" applyFont="1" applyFill="1" applyBorder="1"/>
    <xf numFmtId="0" fontId="2" fillId="4" borderId="48" xfId="0" applyFont="1" applyFill="1" applyBorder="1"/>
    <xf numFmtId="1" fontId="2" fillId="4" borderId="48" xfId="0" applyNumberFormat="1" applyFont="1" applyFill="1" applyBorder="1"/>
    <xf numFmtId="1" fontId="2" fillId="4" borderId="54" xfId="0" applyNumberFormat="1" applyFont="1" applyFill="1" applyBorder="1"/>
    <xf numFmtId="0" fontId="0" fillId="0" borderId="53" xfId="0" applyBorder="1"/>
    <xf numFmtId="1" fontId="0" fillId="0" borderId="50" xfId="0" applyNumberFormat="1" applyBorder="1" applyAlignment="1">
      <alignment horizontal="right"/>
    </xf>
    <xf numFmtId="0" fontId="0" fillId="0" borderId="50" xfId="0" applyBorder="1"/>
    <xf numFmtId="0" fontId="2" fillId="4" borderId="50" xfId="0" applyFont="1" applyFill="1" applyBorder="1"/>
    <xf numFmtId="0" fontId="0" fillId="4" borderId="0" xfId="0" applyFill="1"/>
    <xf numFmtId="0" fontId="0" fillId="4" borderId="53" xfId="0" applyFill="1" applyBorder="1"/>
    <xf numFmtId="1" fontId="2" fillId="3" borderId="50" xfId="0" applyNumberFormat="1" applyFont="1" applyFill="1" applyBorder="1"/>
    <xf numFmtId="1" fontId="1" fillId="3" borderId="0" xfId="0" applyNumberFormat="1" applyFont="1" applyFill="1"/>
    <xf numFmtId="0" fontId="0" fillId="3" borderId="0" xfId="0" applyFill="1"/>
    <xf numFmtId="0" fontId="0" fillId="3" borderId="53" xfId="0" applyFill="1" applyBorder="1"/>
    <xf numFmtId="0" fontId="0" fillId="5" borderId="50" xfId="0" applyFill="1" applyBorder="1"/>
    <xf numFmtId="0" fontId="0" fillId="5" borderId="0" xfId="0" applyFill="1"/>
    <xf numFmtId="0" fontId="0" fillId="5" borderId="53" xfId="0" applyFill="1" applyBorder="1"/>
    <xf numFmtId="1" fontId="1" fillId="4" borderId="51" xfId="0" applyNumberFormat="1" applyFont="1" applyFill="1" applyBorder="1" applyAlignment="1">
      <alignment horizontal="right"/>
    </xf>
    <xf numFmtId="1" fontId="2" fillId="4" borderId="51" xfId="0" applyNumberFormat="1" applyFont="1" applyFill="1" applyBorder="1"/>
    <xf numFmtId="1" fontId="1" fillId="4" borderId="52" xfId="0" applyNumberFormat="1" applyFont="1" applyFill="1" applyBorder="1" applyAlignment="1">
      <alignment horizontal="right"/>
    </xf>
    <xf numFmtId="16" fontId="1" fillId="3" borderId="53" xfId="0" quotePrefix="1" applyNumberFormat="1" applyFont="1" applyFill="1" applyBorder="1" applyAlignment="1">
      <alignment horizontal="right"/>
    </xf>
    <xf numFmtId="0" fontId="1" fillId="5" borderId="50" xfId="0" applyFont="1" applyFill="1" applyBorder="1"/>
    <xf numFmtId="0" fontId="2" fillId="4" borderId="55" xfId="0" quotePrefix="1" applyFont="1" applyFill="1" applyBorder="1"/>
    <xf numFmtId="170" fontId="2" fillId="4" borderId="56" xfId="0" applyNumberFormat="1" applyFont="1" applyFill="1" applyBorder="1" applyAlignment="1">
      <alignment horizontal="center"/>
    </xf>
    <xf numFmtId="0" fontId="2" fillId="4" borderId="57" xfId="0" applyFont="1" applyFill="1" applyBorder="1" applyAlignment="1">
      <alignment horizontal="center"/>
    </xf>
    <xf numFmtId="0" fontId="2" fillId="4" borderId="51" xfId="0" quotePrefix="1" applyFont="1" applyFill="1" applyBorder="1"/>
    <xf numFmtId="0" fontId="2" fillId="3" borderId="51" xfId="0" quotePrefix="1" applyFont="1" applyFill="1" applyBorder="1"/>
    <xf numFmtId="0" fontId="2" fillId="3" borderId="52" xfId="0" quotePrefix="1" applyFont="1" applyFill="1" applyBorder="1"/>
    <xf numFmtId="0" fontId="2" fillId="3" borderId="54" xfId="0" applyFont="1" applyFill="1" applyBorder="1" applyAlignment="1">
      <alignment horizontal="center"/>
    </xf>
    <xf numFmtId="0" fontId="2" fillId="5" borderId="51" xfId="0" quotePrefix="1" applyFont="1" applyFill="1" applyBorder="1"/>
    <xf numFmtId="0" fontId="1" fillId="5" borderId="51" xfId="0" quotePrefix="1" applyFont="1" applyFill="1" applyBorder="1"/>
    <xf numFmtId="0" fontId="1" fillId="5" borderId="52" xfId="0" quotePrefix="1" applyFont="1" applyFill="1" applyBorder="1"/>
    <xf numFmtId="0" fontId="2" fillId="5" borderId="54" xfId="0" applyFont="1" applyFill="1" applyBorder="1" applyAlignment="1">
      <alignment horizontal="center"/>
    </xf>
    <xf numFmtId="0" fontId="2" fillId="3" borderId="49" xfId="0" quotePrefix="1" applyFont="1" applyFill="1" applyBorder="1"/>
    <xf numFmtId="170" fontId="2" fillId="3" borderId="50" xfId="0" applyNumberFormat="1" applyFont="1" applyFill="1" applyBorder="1" applyAlignment="1">
      <alignment horizontal="center"/>
    </xf>
    <xf numFmtId="0" fontId="2" fillId="3" borderId="47" xfId="0" applyFont="1" applyFill="1" applyBorder="1" applyAlignment="1">
      <alignment horizontal="center"/>
    </xf>
    <xf numFmtId="0" fontId="0" fillId="5" borderId="47" xfId="0" applyFill="1" applyBorder="1"/>
    <xf numFmtId="0" fontId="0" fillId="5" borderId="48" xfId="0" applyFill="1" applyBorder="1"/>
    <xf numFmtId="0" fontId="0" fillId="5" borderId="54" xfId="0" applyFill="1" applyBorder="1"/>
    <xf numFmtId="0" fontId="2" fillId="5" borderId="52" xfId="0" applyFont="1" applyFill="1" applyBorder="1" applyAlignment="1">
      <alignment horizontal="center"/>
    </xf>
    <xf numFmtId="0" fontId="13" fillId="0" borderId="0" xfId="0" applyFont="1" applyAlignment="1">
      <alignment horizontal="left"/>
    </xf>
    <xf numFmtId="0" fontId="1" fillId="0" borderId="0" xfId="0" applyFont="1" applyAlignment="1">
      <alignment horizontal="left"/>
    </xf>
    <xf numFmtId="0" fontId="24" fillId="0" borderId="24" xfId="0" applyFont="1" applyBorder="1" applyAlignment="1">
      <alignment horizontal="center"/>
    </xf>
    <xf numFmtId="2" fontId="0" fillId="0" borderId="24" xfId="0" applyNumberFormat="1" applyBorder="1" applyAlignment="1">
      <alignment horizontal="center"/>
    </xf>
    <xf numFmtId="2" fontId="0" fillId="0" borderId="29" xfId="0" applyNumberFormat="1" applyBorder="1" applyAlignment="1">
      <alignment horizontal="center"/>
    </xf>
    <xf numFmtId="2" fontId="0" fillId="0" borderId="28" xfId="0" applyNumberFormat="1" applyBorder="1" applyAlignment="1">
      <alignment horizontal="center"/>
    </xf>
    <xf numFmtId="0" fontId="25" fillId="0" borderId="0" xfId="4" applyFont="1" applyAlignment="1">
      <alignment horizontal="center"/>
    </xf>
    <xf numFmtId="2" fontId="0" fillId="9" borderId="13" xfId="0" applyNumberFormat="1" applyFill="1" applyBorder="1" applyAlignment="1">
      <alignment horizontal="center"/>
    </xf>
    <xf numFmtId="2" fontId="0" fillId="9" borderId="11" xfId="0" applyNumberFormat="1" applyFill="1" applyBorder="1" applyAlignment="1">
      <alignment horizontal="center"/>
    </xf>
    <xf numFmtId="2" fontId="0" fillId="9" borderId="10" xfId="0" applyNumberFormat="1" applyFill="1" applyBorder="1" applyAlignment="1">
      <alignment horizontal="center"/>
    </xf>
    <xf numFmtId="2" fontId="0" fillId="9" borderId="9" xfId="0" applyNumberFormat="1" applyFill="1" applyBorder="1" applyAlignment="1">
      <alignment horizontal="center"/>
    </xf>
    <xf numFmtId="2" fontId="0" fillId="9" borderId="8" xfId="0" applyNumberFormat="1" applyFill="1" applyBorder="1" applyAlignment="1">
      <alignment horizontal="center"/>
    </xf>
    <xf numFmtId="2" fontId="0" fillId="9" borderId="6" xfId="0" applyNumberFormat="1" applyFill="1" applyBorder="1" applyAlignment="1">
      <alignment horizontal="center"/>
    </xf>
    <xf numFmtId="0" fontId="25" fillId="0" borderId="8" xfId="5" applyFont="1" applyBorder="1" applyAlignment="1">
      <alignment horizontal="center"/>
    </xf>
    <xf numFmtId="0" fontId="25" fillId="0" borderId="6" xfId="5" applyFont="1" applyBorder="1" applyAlignment="1">
      <alignment horizontal="center"/>
    </xf>
    <xf numFmtId="2" fontId="25" fillId="0" borderId="28" xfId="5" applyNumberFormat="1" applyFont="1" applyBorder="1"/>
    <xf numFmtId="0" fontId="2" fillId="2" borderId="60" xfId="0" applyFont="1" applyFill="1" applyBorder="1"/>
    <xf numFmtId="0" fontId="2" fillId="2" borderId="61" xfId="0" applyFont="1" applyFill="1" applyBorder="1"/>
    <xf numFmtId="0" fontId="2" fillId="2" borderId="62" xfId="0" applyFont="1" applyFill="1" applyBorder="1"/>
    <xf numFmtId="0" fontId="2" fillId="2" borderId="63" xfId="0" applyFont="1" applyFill="1" applyBorder="1"/>
    <xf numFmtId="0" fontId="2" fillId="2" borderId="64" xfId="0" applyFont="1" applyFill="1" applyBorder="1"/>
    <xf numFmtId="0" fontId="0" fillId="2" borderId="0" xfId="0" applyFill="1" applyAlignment="1">
      <alignment horizontal="centerContinuous"/>
    </xf>
    <xf numFmtId="0" fontId="2" fillId="2" borderId="65" xfId="0" applyFont="1" applyFill="1" applyBorder="1"/>
    <xf numFmtId="0" fontId="2" fillId="2" borderId="66" xfId="0" applyFont="1" applyFill="1" applyBorder="1"/>
    <xf numFmtId="0" fontId="2" fillId="2" borderId="67" xfId="0" applyFont="1" applyFill="1" applyBorder="1"/>
    <xf numFmtId="0" fontId="5" fillId="2" borderId="0" xfId="0" applyFont="1" applyFill="1" applyAlignment="1" applyProtection="1">
      <alignment horizontal="left"/>
      <protection locked="0"/>
    </xf>
    <xf numFmtId="169" fontId="5" fillId="2" borderId="0" xfId="0" applyNumberFormat="1" applyFont="1" applyFill="1" applyAlignment="1" applyProtection="1">
      <alignment horizontal="left"/>
      <protection locked="0"/>
    </xf>
    <xf numFmtId="0" fontId="0" fillId="0" borderId="0" xfId="0" applyAlignment="1">
      <alignment horizontal="center" vertical="center"/>
    </xf>
    <xf numFmtId="0" fontId="4" fillId="0" borderId="0" xfId="0" applyFont="1" applyAlignment="1">
      <alignment horizontal="center" vertical="center"/>
    </xf>
    <xf numFmtId="0" fontId="6" fillId="0" borderId="43" xfId="0" applyFont="1" applyBorder="1" applyAlignment="1">
      <alignment horizontal="center" vertical="center"/>
    </xf>
    <xf numFmtId="0" fontId="4" fillId="0" borderId="36" xfId="0" applyFont="1" applyBorder="1" applyAlignment="1">
      <alignment horizontal="center" vertical="center"/>
    </xf>
    <xf numFmtId="0" fontId="6" fillId="0" borderId="44" xfId="0" applyFont="1" applyBorder="1" applyAlignment="1">
      <alignment horizontal="center" vertical="center"/>
    </xf>
    <xf numFmtId="0" fontId="4" fillId="0" borderId="38" xfId="0" applyFont="1" applyBorder="1" applyAlignment="1">
      <alignment horizontal="center" vertical="center"/>
    </xf>
    <xf numFmtId="0" fontId="6" fillId="0" borderId="45" xfId="0" applyFont="1" applyBorder="1" applyAlignment="1">
      <alignment horizontal="center" vertical="center"/>
    </xf>
    <xf numFmtId="0" fontId="4" fillId="0" borderId="42" xfId="0" applyFont="1" applyBorder="1" applyAlignment="1">
      <alignment horizontal="center" vertical="center"/>
    </xf>
    <xf numFmtId="0" fontId="4" fillId="0" borderId="37" xfId="0" applyFont="1" applyBorder="1" applyAlignment="1">
      <alignment horizontal="left" vertical="center"/>
    </xf>
    <xf numFmtId="0" fontId="4" fillId="0" borderId="44" xfId="0" applyFont="1" applyBorder="1" applyAlignment="1">
      <alignment horizontal="center" vertical="center"/>
    </xf>
    <xf numFmtId="0" fontId="3" fillId="0" borderId="37" xfId="0" applyFont="1" applyBorder="1" applyAlignment="1">
      <alignment horizontal="left" vertical="center"/>
    </xf>
    <xf numFmtId="0" fontId="4" fillId="7" borderId="44" xfId="0" applyFont="1" applyFill="1" applyBorder="1" applyAlignment="1">
      <alignment horizontal="center" vertical="center"/>
    </xf>
    <xf numFmtId="0" fontId="3" fillId="7" borderId="37" xfId="0" applyFont="1" applyFill="1" applyBorder="1" applyAlignment="1">
      <alignment horizontal="left" vertical="center"/>
    </xf>
    <xf numFmtId="11" fontId="4" fillId="0" borderId="44" xfId="0" applyNumberFormat="1" applyFont="1" applyBorder="1" applyAlignment="1">
      <alignment horizontal="center" vertical="center"/>
    </xf>
    <xf numFmtId="0" fontId="4" fillId="0" borderId="39" xfId="0" applyFont="1" applyBorder="1" applyAlignment="1">
      <alignment horizontal="left" vertical="center"/>
    </xf>
    <xf numFmtId="0" fontId="4" fillId="0" borderId="46" xfId="0" applyFont="1" applyBorder="1" applyAlignment="1">
      <alignment horizontal="center" vertical="center"/>
    </xf>
    <xf numFmtId="0" fontId="4" fillId="0" borderId="40" xfId="0" applyFont="1" applyBorder="1" applyAlignment="1">
      <alignment horizontal="center" vertical="center"/>
    </xf>
    <xf numFmtId="0" fontId="4" fillId="0" borderId="3" xfId="0" applyFont="1" applyBorder="1" applyAlignment="1">
      <alignment horizontal="left" vertical="center"/>
    </xf>
    <xf numFmtId="0" fontId="3" fillId="0" borderId="0" xfId="0" applyFont="1" applyAlignment="1">
      <alignment horizontal="center" vertical="center"/>
    </xf>
    <xf numFmtId="166" fontId="3" fillId="0" borderId="0" xfId="0" applyNumberFormat="1" applyFont="1" applyAlignment="1">
      <alignment horizontal="center" vertical="center"/>
    </xf>
    <xf numFmtId="0" fontId="0" fillId="0" borderId="0" xfId="0" applyAlignment="1">
      <alignment horizontal="left" vertical="center"/>
    </xf>
    <xf numFmtId="0" fontId="0" fillId="0" borderId="35" xfId="0" applyBorder="1" applyAlignment="1">
      <alignment horizontal="left" vertical="center"/>
    </xf>
    <xf numFmtId="0" fontId="0" fillId="0" borderId="37" xfId="0" applyBorder="1" applyAlignment="1">
      <alignment horizontal="left" vertical="center"/>
    </xf>
    <xf numFmtId="0" fontId="4" fillId="0" borderId="37" xfId="0" quotePrefix="1" applyFont="1" applyBorder="1" applyAlignment="1">
      <alignment horizontal="left" vertical="center"/>
    </xf>
    <xf numFmtId="0" fontId="17" fillId="0" borderId="1" xfId="2" applyFont="1" applyBorder="1" applyAlignment="1">
      <alignment wrapText="1"/>
    </xf>
    <xf numFmtId="0" fontId="3" fillId="0" borderId="0" xfId="2" applyFont="1"/>
    <xf numFmtId="0" fontId="3" fillId="0" borderId="0" xfId="0" applyFont="1" applyAlignment="1">
      <alignment wrapText="1"/>
    </xf>
    <xf numFmtId="0" fontId="17" fillId="18" borderId="68" xfId="0" applyFont="1" applyFill="1" applyBorder="1" applyAlignment="1">
      <alignment horizontal="center" wrapText="1"/>
    </xf>
    <xf numFmtId="0" fontId="3" fillId="18" borderId="69" xfId="0" applyFont="1" applyFill="1" applyBorder="1" applyAlignment="1">
      <alignment horizontal="center"/>
    </xf>
    <xf numFmtId="0" fontId="3" fillId="18" borderId="70" xfId="0" applyFont="1" applyFill="1" applyBorder="1" applyAlignment="1">
      <alignment horizontal="center"/>
    </xf>
    <xf numFmtId="0" fontId="3" fillId="10" borderId="72" xfId="0" applyFont="1" applyFill="1" applyBorder="1" applyAlignment="1">
      <alignment horizontal="center"/>
    </xf>
    <xf numFmtId="0" fontId="17" fillId="10" borderId="72" xfId="0" applyFont="1" applyFill="1" applyBorder="1" applyAlignment="1">
      <alignment horizontal="center"/>
    </xf>
    <xf numFmtId="0" fontId="3" fillId="0" borderId="72" xfId="0" applyFont="1" applyBorder="1" applyAlignment="1">
      <alignment horizontal="center"/>
    </xf>
    <xf numFmtId="0" fontId="3" fillId="0" borderId="72" xfId="0" applyFont="1" applyBorder="1"/>
    <xf numFmtId="0" fontId="17" fillId="9" borderId="73" xfId="0" applyFont="1" applyFill="1" applyBorder="1" applyAlignment="1">
      <alignment horizontal="center"/>
    </xf>
    <xf numFmtId="0" fontId="3" fillId="9" borderId="73" xfId="0" applyFont="1" applyFill="1" applyBorder="1" applyAlignment="1">
      <alignment horizontal="center"/>
    </xf>
    <xf numFmtId="0" fontId="3" fillId="9" borderId="72" xfId="0" applyFont="1" applyFill="1" applyBorder="1" applyAlignment="1">
      <alignment horizontal="center"/>
    </xf>
    <xf numFmtId="0" fontId="17" fillId="9" borderId="72" xfId="0" applyFont="1" applyFill="1" applyBorder="1" applyAlignment="1">
      <alignment horizontal="center"/>
    </xf>
    <xf numFmtId="0" fontId="3" fillId="9" borderId="74" xfId="0" applyFont="1" applyFill="1" applyBorder="1" applyAlignment="1">
      <alignment horizontal="center"/>
    </xf>
    <xf numFmtId="0" fontId="3" fillId="18" borderId="75" xfId="0" applyFont="1" applyFill="1" applyBorder="1" applyAlignment="1">
      <alignment horizontal="center"/>
    </xf>
    <xf numFmtId="172" fontId="3" fillId="7" borderId="79" xfId="0" applyNumberFormat="1" applyFont="1" applyFill="1" applyBorder="1" applyAlignment="1">
      <alignment horizontal="center"/>
    </xf>
    <xf numFmtId="168" fontId="3" fillId="7" borderId="79" xfId="0" applyNumberFormat="1" applyFont="1" applyFill="1" applyBorder="1" applyAlignment="1">
      <alignment horizontal="center"/>
    </xf>
    <xf numFmtId="0" fontId="3" fillId="7" borderId="79" xfId="0" applyFont="1" applyFill="1" applyBorder="1" applyAlignment="1">
      <alignment horizontal="center"/>
    </xf>
    <xf numFmtId="165" fontId="3" fillId="7" borderId="79" xfId="0" applyNumberFormat="1" applyFont="1" applyFill="1" applyBorder="1" applyAlignment="1">
      <alignment horizontal="center"/>
    </xf>
    <xf numFmtId="164" fontId="3" fillId="7" borderId="79" xfId="0" applyNumberFormat="1" applyFont="1" applyFill="1" applyBorder="1" applyAlignment="1">
      <alignment horizontal="center"/>
    </xf>
    <xf numFmtId="0" fontId="3" fillId="8" borderId="79" xfId="0" applyFont="1" applyFill="1" applyBorder="1" applyAlignment="1">
      <alignment horizontal="center"/>
    </xf>
    <xf numFmtId="0" fontId="3" fillId="9" borderId="79" xfId="0" applyFont="1" applyFill="1" applyBorder="1" applyAlignment="1">
      <alignment horizontal="center"/>
    </xf>
    <xf numFmtId="0" fontId="3" fillId="10" borderId="79" xfId="0" applyFont="1" applyFill="1" applyBorder="1" applyAlignment="1">
      <alignment horizontal="center"/>
    </xf>
    <xf numFmtId="0" fontId="3" fillId="11" borderId="79" xfId="0" applyFont="1" applyFill="1" applyBorder="1" applyAlignment="1">
      <alignment horizontal="center"/>
    </xf>
    <xf numFmtId="170" fontId="3" fillId="10" borderId="79" xfId="0" applyNumberFormat="1" applyFont="1" applyFill="1" applyBorder="1" applyAlignment="1">
      <alignment horizontal="center"/>
    </xf>
    <xf numFmtId="0" fontId="3" fillId="7" borderId="79" xfId="0" applyFont="1" applyFill="1" applyBorder="1"/>
    <xf numFmtId="2" fontId="3" fillId="7" borderId="79" xfId="0" applyNumberFormat="1" applyFont="1" applyFill="1" applyBorder="1"/>
    <xf numFmtId="167" fontId="3" fillId="7" borderId="79" xfId="0" applyNumberFormat="1" applyFont="1" applyFill="1" applyBorder="1" applyAlignment="1">
      <alignment horizontal="center"/>
    </xf>
    <xf numFmtId="166" fontId="3" fillId="7" borderId="79" xfId="0" applyNumberFormat="1" applyFont="1" applyFill="1" applyBorder="1"/>
    <xf numFmtId="0" fontId="3" fillId="7" borderId="79" xfId="0" applyFont="1" applyFill="1" applyBorder="1" applyAlignment="1">
      <alignment horizontal="right"/>
    </xf>
    <xf numFmtId="1" fontId="3" fillId="7" borderId="79" xfId="0" applyNumberFormat="1" applyFont="1" applyFill="1" applyBorder="1" applyAlignment="1">
      <alignment horizontal="center"/>
    </xf>
    <xf numFmtId="11" fontId="3" fillId="7" borderId="79" xfId="0" applyNumberFormat="1" applyFont="1" applyFill="1" applyBorder="1"/>
    <xf numFmtId="11" fontId="3" fillId="9" borderId="79" xfId="0" applyNumberFormat="1" applyFont="1" applyFill="1" applyBorder="1" applyAlignment="1">
      <alignment horizontal="center"/>
    </xf>
    <xf numFmtId="0" fontId="3" fillId="9" borderId="79" xfId="0" quotePrefix="1" applyFont="1" applyFill="1" applyBorder="1" applyAlignment="1">
      <alignment horizontal="center"/>
    </xf>
    <xf numFmtId="0" fontId="2" fillId="0" borderId="0" xfId="0" applyFont="1" applyAlignment="1">
      <alignment wrapText="1"/>
    </xf>
    <xf numFmtId="0" fontId="6" fillId="0" borderId="0" xfId="2" applyFont="1" applyAlignment="1">
      <alignment wrapText="1"/>
    </xf>
    <xf numFmtId="0" fontId="3" fillId="0" borderId="0" xfId="2" applyFont="1" applyAlignment="1">
      <alignment wrapText="1"/>
    </xf>
    <xf numFmtId="0" fontId="34" fillId="0" borderId="0" xfId="0" applyFont="1" applyAlignment="1">
      <alignment wrapText="1"/>
    </xf>
    <xf numFmtId="0" fontId="17" fillId="0" borderId="0" xfId="2" applyFont="1" applyAlignment="1">
      <alignment wrapText="1"/>
    </xf>
    <xf numFmtId="49" fontId="3" fillId="0" borderId="0" xfId="2" applyNumberFormat="1" applyFont="1" applyAlignment="1">
      <alignment wrapText="1"/>
    </xf>
    <xf numFmtId="0" fontId="4" fillId="0" borderId="0" xfId="2" applyFont="1" applyAlignment="1">
      <alignment wrapText="1"/>
    </xf>
    <xf numFmtId="0" fontId="0" fillId="0" borderId="43" xfId="0" applyBorder="1" applyAlignment="1">
      <alignment horizontal="center" vertical="center"/>
    </xf>
    <xf numFmtId="0" fontId="0" fillId="0" borderId="44" xfId="0" applyBorder="1" applyAlignment="1">
      <alignment horizontal="center" vertical="center"/>
    </xf>
    <xf numFmtId="0" fontId="14" fillId="0" borderId="44" xfId="0" applyFont="1" applyBorder="1" applyAlignment="1">
      <alignment horizontal="center" vertical="center"/>
    </xf>
    <xf numFmtId="0" fontId="0" fillId="0" borderId="45" xfId="0" applyBorder="1" applyAlignment="1">
      <alignment horizontal="center" vertical="center"/>
    </xf>
    <xf numFmtId="0" fontId="3" fillId="7" borderId="44" xfId="0" applyFont="1" applyFill="1" applyBorder="1" applyAlignment="1">
      <alignment horizontal="center" vertical="center"/>
    </xf>
    <xf numFmtId="0" fontId="3" fillId="7" borderId="46" xfId="0" applyFont="1" applyFill="1" applyBorder="1" applyAlignment="1">
      <alignment horizontal="center" vertical="center"/>
    </xf>
    <xf numFmtId="0" fontId="3" fillId="10" borderId="71" xfId="0" applyFont="1" applyFill="1" applyBorder="1" applyAlignment="1">
      <alignment horizontal="center" wrapText="1"/>
    </xf>
    <xf numFmtId="0" fontId="6" fillId="0" borderId="76" xfId="0" applyFont="1" applyBorder="1" applyAlignment="1">
      <alignment horizontal="center" wrapText="1"/>
    </xf>
    <xf numFmtId="0" fontId="3" fillId="7" borderId="77" xfId="0" applyFont="1" applyFill="1" applyBorder="1" applyAlignment="1">
      <alignment horizontal="left" wrapText="1"/>
    </xf>
    <xf numFmtId="164" fontId="3" fillId="7" borderId="77" xfId="0" applyNumberFormat="1" applyFont="1" applyFill="1" applyBorder="1" applyAlignment="1">
      <alignment horizontal="left" wrapText="1"/>
    </xf>
    <xf numFmtId="0" fontId="3" fillId="7" borderId="78" xfId="0" applyFont="1" applyFill="1" applyBorder="1" applyAlignment="1">
      <alignment horizontal="left" wrapText="1"/>
    </xf>
    <xf numFmtId="49" fontId="3" fillId="7" borderId="79" xfId="0" applyNumberFormat="1" applyFont="1" applyFill="1" applyBorder="1" applyAlignment="1">
      <alignment horizontal="center"/>
    </xf>
    <xf numFmtId="0" fontId="16" fillId="5" borderId="0" xfId="0" applyFont="1" applyFill="1" applyAlignment="1">
      <alignment horizontal="center" wrapText="1"/>
    </xf>
    <xf numFmtId="0" fontId="2" fillId="6" borderId="0" xfId="0" applyFont="1" applyFill="1" applyAlignment="1">
      <alignment wrapText="1"/>
    </xf>
    <xf numFmtId="0" fontId="12" fillId="5" borderId="37" xfId="0" applyFont="1" applyFill="1" applyBorder="1" applyAlignment="1">
      <alignment wrapText="1"/>
    </xf>
    <xf numFmtId="0" fontId="2" fillId="5" borderId="0" xfId="0" applyFont="1" applyFill="1" applyAlignment="1">
      <alignment wrapText="1"/>
    </xf>
    <xf numFmtId="0" fontId="2" fillId="5" borderId="38" xfId="0" applyFont="1" applyFill="1" applyBorder="1" applyAlignment="1">
      <alignment wrapText="1"/>
    </xf>
    <xf numFmtId="0" fontId="2" fillId="5" borderId="37" xfId="0" applyFont="1" applyFill="1" applyBorder="1" applyAlignment="1">
      <alignment wrapText="1"/>
    </xf>
    <xf numFmtId="0" fontId="5" fillId="5" borderId="37" xfId="0" applyFont="1" applyFill="1" applyBorder="1" applyAlignment="1">
      <alignment wrapText="1"/>
    </xf>
    <xf numFmtId="0" fontId="13" fillId="5" borderId="1" xfId="0" applyFont="1" applyFill="1" applyBorder="1" applyAlignment="1">
      <alignment wrapText="1"/>
    </xf>
    <xf numFmtId="0" fontId="2" fillId="5" borderId="0" xfId="0" quotePrefix="1" applyFont="1" applyFill="1" applyAlignment="1">
      <alignment wrapText="1"/>
    </xf>
    <xf numFmtId="0" fontId="4" fillId="5" borderId="0" xfId="0" applyFont="1" applyFill="1" applyAlignment="1">
      <alignment wrapText="1"/>
    </xf>
    <xf numFmtId="49" fontId="2" fillId="5" borderId="0" xfId="0" applyNumberFormat="1" applyFont="1" applyFill="1" applyAlignment="1">
      <alignment wrapText="1"/>
    </xf>
    <xf numFmtId="0" fontId="18" fillId="5" borderId="0" xfId="1" applyFont="1" applyFill="1" applyBorder="1" applyAlignment="1" applyProtection="1">
      <alignment wrapText="1"/>
    </xf>
    <xf numFmtId="0" fontId="13" fillId="5" borderId="0" xfId="0" applyFont="1" applyFill="1" applyAlignment="1">
      <alignment wrapText="1"/>
    </xf>
    <xf numFmtId="0" fontId="15" fillId="5" borderId="0" xfId="1" applyFill="1" applyBorder="1" applyAlignment="1" applyProtection="1">
      <alignment wrapText="1"/>
    </xf>
    <xf numFmtId="49" fontId="2" fillId="5" borderId="0" xfId="0" quotePrefix="1" applyNumberFormat="1" applyFont="1" applyFill="1" applyAlignment="1">
      <alignment wrapText="1"/>
    </xf>
    <xf numFmtId="0" fontId="6" fillId="5" borderId="1" xfId="0" applyFont="1" applyFill="1" applyBorder="1" applyAlignment="1">
      <alignment wrapText="1"/>
    </xf>
    <xf numFmtId="0" fontId="6" fillId="5" borderId="0" xfId="0" applyFont="1" applyFill="1" applyAlignment="1">
      <alignment wrapText="1"/>
    </xf>
    <xf numFmtId="0" fontId="21" fillId="5" borderId="0" xfId="1" applyFont="1" applyFill="1" applyBorder="1" applyAlignment="1" applyProtection="1">
      <alignment wrapText="1"/>
    </xf>
    <xf numFmtId="0" fontId="21" fillId="5" borderId="1" xfId="1" applyFont="1" applyFill="1" applyBorder="1" applyAlignment="1" applyProtection="1">
      <alignment wrapText="1"/>
    </xf>
    <xf numFmtId="0" fontId="4" fillId="5" borderId="1" xfId="0" applyFont="1" applyFill="1" applyBorder="1" applyAlignment="1">
      <alignment wrapText="1"/>
    </xf>
    <xf numFmtId="0" fontId="1" fillId="6" borderId="0" xfId="0" applyFont="1" applyFill="1" applyAlignment="1">
      <alignment wrapText="1"/>
    </xf>
    <xf numFmtId="0" fontId="1" fillId="5" borderId="37" xfId="0" applyFont="1" applyFill="1" applyBorder="1" applyAlignment="1">
      <alignment wrapText="1"/>
    </xf>
    <xf numFmtId="0" fontId="1" fillId="5" borderId="0" xfId="0" applyFont="1" applyFill="1" applyAlignment="1">
      <alignment wrapText="1"/>
    </xf>
    <xf numFmtId="0" fontId="1" fillId="5" borderId="38" xfId="0" applyFont="1" applyFill="1" applyBorder="1" applyAlignment="1">
      <alignment wrapText="1"/>
    </xf>
    <xf numFmtId="0" fontId="1" fillId="0" borderId="0" xfId="0" applyFont="1" applyAlignment="1">
      <alignment wrapText="1"/>
    </xf>
    <xf numFmtId="0" fontId="2" fillId="3" borderId="5" xfId="0" applyFont="1" applyFill="1" applyBorder="1" applyAlignment="1">
      <alignment wrapText="1"/>
    </xf>
    <xf numFmtId="0" fontId="2" fillId="3" borderId="14" xfId="0" applyFont="1" applyFill="1" applyBorder="1" applyAlignment="1">
      <alignment wrapText="1"/>
    </xf>
    <xf numFmtId="0" fontId="2" fillId="3" borderId="3" xfId="0" applyFont="1" applyFill="1" applyBorder="1" applyAlignment="1">
      <alignment wrapText="1"/>
    </xf>
    <xf numFmtId="0" fontId="2" fillId="3" borderId="15" xfId="0" applyFont="1" applyFill="1" applyBorder="1" applyAlignment="1">
      <alignment wrapText="1"/>
    </xf>
    <xf numFmtId="0" fontId="2" fillId="3" borderId="2" xfId="0" applyFont="1" applyFill="1" applyBorder="1" applyAlignment="1">
      <alignment wrapText="1"/>
    </xf>
    <xf numFmtId="0" fontId="2" fillId="3" borderId="1" xfId="0" applyFont="1" applyFill="1" applyBorder="1" applyAlignment="1">
      <alignment wrapText="1"/>
    </xf>
    <xf numFmtId="0" fontId="2" fillId="3" borderId="16" xfId="0" applyFont="1" applyFill="1" applyBorder="1" applyAlignment="1">
      <alignment wrapText="1"/>
    </xf>
    <xf numFmtId="0" fontId="2" fillId="5" borderId="39" xfId="0" applyFont="1" applyFill="1" applyBorder="1" applyAlignment="1">
      <alignment wrapText="1"/>
    </xf>
    <xf numFmtId="0" fontId="2" fillId="5" borderId="59" xfId="0" applyFont="1" applyFill="1" applyBorder="1" applyAlignment="1">
      <alignment wrapText="1"/>
    </xf>
    <xf numFmtId="0" fontId="2" fillId="5" borderId="40" xfId="0" applyFont="1" applyFill="1" applyBorder="1" applyAlignment="1">
      <alignment wrapText="1"/>
    </xf>
    <xf numFmtId="0" fontId="36" fillId="5" borderId="0" xfId="0" applyFont="1" applyFill="1" applyAlignment="1">
      <alignment vertical="center" wrapText="1"/>
    </xf>
    <xf numFmtId="0" fontId="12" fillId="5" borderId="35" xfId="0" applyFont="1" applyFill="1" applyBorder="1" applyAlignment="1">
      <alignment wrapText="1"/>
    </xf>
    <xf numFmtId="0" fontId="2" fillId="5" borderId="58" xfId="0" applyFont="1" applyFill="1" applyBorder="1" applyAlignment="1">
      <alignment wrapText="1"/>
    </xf>
    <xf numFmtId="0" fontId="2" fillId="5" borderId="36" xfId="0" applyFont="1" applyFill="1" applyBorder="1" applyAlignment="1">
      <alignment wrapText="1"/>
    </xf>
    <xf numFmtId="0" fontId="6" fillId="0" borderId="41" xfId="0" applyFont="1" applyBorder="1" applyAlignment="1">
      <alignment horizontal="left" vertical="center"/>
    </xf>
    <xf numFmtId="0" fontId="37" fillId="5" borderId="0" xfId="0" applyFont="1" applyFill="1" applyAlignment="1">
      <alignment wrapText="1"/>
    </xf>
    <xf numFmtId="0" fontId="25" fillId="0" borderId="7" xfId="5" applyFont="1" applyBorder="1"/>
    <xf numFmtId="0" fontId="1" fillId="0" borderId="7" xfId="5" applyBorder="1"/>
    <xf numFmtId="0" fontId="0" fillId="0" borderId="81" xfId="0" applyBorder="1"/>
    <xf numFmtId="0" fontId="0" fillId="0" borderId="82" xfId="0" applyBorder="1"/>
    <xf numFmtId="0" fontId="0" fillId="0" borderId="83" xfId="0" applyBorder="1" applyAlignment="1">
      <alignment horizontal="right"/>
    </xf>
    <xf numFmtId="0" fontId="1" fillId="0" borderId="84" xfId="5" applyBorder="1"/>
    <xf numFmtId="0" fontId="0" fillId="0" borderId="84" xfId="0" applyBorder="1"/>
    <xf numFmtId="0" fontId="25" fillId="0" borderId="0" xfId="0" applyFont="1" applyAlignment="1">
      <alignment horizontal="center"/>
    </xf>
    <xf numFmtId="2" fontId="25" fillId="0" borderId="0" xfId="0" applyNumberFormat="1" applyFont="1" applyAlignment="1">
      <alignment horizontal="center"/>
    </xf>
    <xf numFmtId="2" fontId="25" fillId="0" borderId="0" xfId="5" applyNumberFormat="1" applyFont="1" applyAlignment="1">
      <alignment horizontal="center"/>
    </xf>
    <xf numFmtId="0" fontId="25" fillId="0" borderId="0" xfId="0" applyFont="1"/>
    <xf numFmtId="0" fontId="0" fillId="0" borderId="85" xfId="0" applyBorder="1" applyAlignment="1">
      <alignment horizontal="right"/>
    </xf>
    <xf numFmtId="0" fontId="0" fillId="0" borderId="86" xfId="0" applyBorder="1"/>
    <xf numFmtId="0" fontId="25" fillId="0" borderId="86" xfId="5" applyFont="1" applyBorder="1"/>
    <xf numFmtId="0" fontId="0" fillId="0" borderId="87" xfId="0" applyBorder="1" applyAlignment="1">
      <alignment horizontal="center"/>
    </xf>
    <xf numFmtId="0" fontId="0" fillId="0" borderId="88" xfId="0" applyBorder="1"/>
    <xf numFmtId="0" fontId="0" fillId="0" borderId="89" xfId="0" applyBorder="1"/>
    <xf numFmtId="0" fontId="40" fillId="0" borderId="80" xfId="0" applyFont="1" applyBorder="1" applyAlignment="1">
      <alignment horizontal="left"/>
    </xf>
    <xf numFmtId="0" fontId="25" fillId="0" borderId="0" xfId="5" applyFont="1" applyAlignment="1">
      <alignment horizontal="center"/>
    </xf>
    <xf numFmtId="0" fontId="24" fillId="0" borderId="0" xfId="0" applyFont="1" applyAlignment="1">
      <alignment horizontal="center"/>
    </xf>
    <xf numFmtId="2" fontId="1" fillId="0" borderId="0" xfId="5" applyNumberFormat="1" applyAlignment="1">
      <alignment horizontal="center"/>
    </xf>
    <xf numFmtId="0" fontId="38" fillId="17" borderId="0" xfId="0" applyFont="1" applyFill="1" applyAlignment="1">
      <alignment horizontal="center" wrapText="1"/>
    </xf>
    <xf numFmtId="0" fontId="41" fillId="17" borderId="34" xfId="0" applyFont="1" applyFill="1" applyBorder="1"/>
    <xf numFmtId="2" fontId="38" fillId="17" borderId="92" xfId="0" applyNumberFormat="1" applyFont="1" applyFill="1" applyBorder="1"/>
    <xf numFmtId="0" fontId="41" fillId="0" borderId="0" xfId="0" applyFont="1"/>
    <xf numFmtId="0" fontId="41" fillId="0" borderId="89" xfId="0" applyFont="1" applyBorder="1"/>
    <xf numFmtId="0" fontId="41" fillId="0" borderId="2" xfId="0" applyFont="1" applyBorder="1"/>
    <xf numFmtId="0" fontId="41" fillId="17" borderId="3" xfId="0" applyFont="1" applyFill="1" applyBorder="1"/>
    <xf numFmtId="2" fontId="38" fillId="17" borderId="93" xfId="0" applyNumberFormat="1" applyFont="1" applyFill="1" applyBorder="1"/>
    <xf numFmtId="0" fontId="41" fillId="0" borderId="5" xfId="0" applyFont="1" applyBorder="1"/>
    <xf numFmtId="0" fontId="41" fillId="0" borderId="93" xfId="0" applyFont="1" applyBorder="1"/>
    <xf numFmtId="0" fontId="41" fillId="0" borderId="94" xfId="0" applyFont="1" applyBorder="1"/>
    <xf numFmtId="0" fontId="41" fillId="17" borderId="91" xfId="0" applyFont="1" applyFill="1" applyBorder="1"/>
    <xf numFmtId="2" fontId="38" fillId="17" borderId="95" xfId="0" applyNumberFormat="1" applyFont="1" applyFill="1" applyBorder="1"/>
    <xf numFmtId="0" fontId="38" fillId="0" borderId="0" xfId="0" applyFont="1" applyAlignment="1">
      <alignment horizontal="center" vertical="center"/>
    </xf>
    <xf numFmtId="0" fontId="1" fillId="0" borderId="24" xfId="0" applyFont="1" applyBorder="1" applyAlignment="1">
      <alignment horizontal="center"/>
    </xf>
    <xf numFmtId="170" fontId="38" fillId="17" borderId="17" xfId="0" applyNumberFormat="1" applyFont="1" applyFill="1" applyBorder="1" applyAlignment="1">
      <alignment horizontal="center"/>
    </xf>
    <xf numFmtId="170" fontId="38" fillId="17" borderId="18" xfId="0" applyNumberFormat="1" applyFont="1" applyFill="1" applyBorder="1" applyAlignment="1">
      <alignment horizontal="center"/>
    </xf>
    <xf numFmtId="170" fontId="38" fillId="17" borderId="90" xfId="0" applyNumberFormat="1" applyFont="1" applyFill="1" applyBorder="1" applyAlignment="1">
      <alignment horizontal="center"/>
    </xf>
    <xf numFmtId="0" fontId="42" fillId="9" borderId="99" xfId="0" applyFont="1" applyFill="1" applyBorder="1" applyAlignment="1">
      <alignment horizontal="center" wrapText="1"/>
    </xf>
    <xf numFmtId="2" fontId="38" fillId="9" borderId="100" xfId="0" applyNumberFormat="1" applyFont="1" applyFill="1" applyBorder="1" applyAlignment="1">
      <alignment horizontal="center"/>
    </xf>
    <xf numFmtId="2" fontId="38" fillId="9" borderId="101" xfId="0" applyNumberFormat="1" applyFont="1" applyFill="1" applyBorder="1" applyAlignment="1">
      <alignment horizontal="center"/>
    </xf>
    <xf numFmtId="0" fontId="0" fillId="0" borderId="102" xfId="0" applyBorder="1" applyAlignment="1">
      <alignment horizontal="center" wrapText="1"/>
    </xf>
    <xf numFmtId="0" fontId="0" fillId="0" borderId="103" xfId="0" applyBorder="1" applyAlignment="1">
      <alignment horizontal="center"/>
    </xf>
    <xf numFmtId="2" fontId="0" fillId="0" borderId="103" xfId="0" applyNumberFormat="1" applyBorder="1" applyAlignment="1">
      <alignment horizontal="center"/>
    </xf>
    <xf numFmtId="0" fontId="0" fillId="0" borderId="104" xfId="0" applyBorder="1" applyAlignment="1">
      <alignment horizontal="center"/>
    </xf>
    <xf numFmtId="0" fontId="0" fillId="0" borderId="105" xfId="0" applyBorder="1" applyAlignment="1">
      <alignment horizontal="center" wrapText="1"/>
    </xf>
    <xf numFmtId="0" fontId="42" fillId="9" borderId="106" xfId="0" applyFont="1" applyFill="1" applyBorder="1" applyAlignment="1">
      <alignment horizontal="center" wrapText="1"/>
    </xf>
    <xf numFmtId="0" fontId="38" fillId="17" borderId="107" xfId="0" applyFont="1" applyFill="1" applyBorder="1" applyAlignment="1">
      <alignment horizontal="center" wrapText="1"/>
    </xf>
    <xf numFmtId="0" fontId="38" fillId="0" borderId="108" xfId="0" applyFont="1" applyBorder="1" applyAlignment="1">
      <alignment horizontal="center" vertical="center"/>
    </xf>
    <xf numFmtId="2" fontId="46" fillId="0" borderId="10" xfId="5" applyNumberFormat="1" applyFont="1" applyBorder="1"/>
    <xf numFmtId="2" fontId="25" fillId="19" borderId="33" xfId="5" applyNumberFormat="1" applyFont="1" applyFill="1" applyBorder="1" applyAlignment="1">
      <alignment horizontal="center"/>
    </xf>
    <xf numFmtId="2" fontId="25" fillId="19" borderId="9" xfId="5" applyNumberFormat="1" applyFont="1" applyFill="1" applyBorder="1" applyAlignment="1">
      <alignment horizontal="center"/>
    </xf>
    <xf numFmtId="0" fontId="25" fillId="0" borderId="109" xfId="5" applyFont="1" applyBorder="1" applyAlignment="1">
      <alignment horizontal="center"/>
    </xf>
    <xf numFmtId="174" fontId="25" fillId="0" borderId="110" xfId="5" applyNumberFormat="1" applyFont="1" applyBorder="1"/>
    <xf numFmtId="0" fontId="25" fillId="0" borderId="110" xfId="5" applyFont="1" applyBorder="1"/>
    <xf numFmtId="0" fontId="25" fillId="0" borderId="111" xfId="0" applyFont="1" applyBorder="1" applyAlignment="1">
      <alignment horizontal="center"/>
    </xf>
    <xf numFmtId="0" fontId="45" fillId="0" borderId="96" xfId="0" applyFont="1" applyBorder="1" applyAlignment="1">
      <alignment horizontal="center"/>
    </xf>
    <xf numFmtId="0" fontId="45" fillId="0" borderId="97" xfId="0" applyFont="1" applyBorder="1" applyAlignment="1">
      <alignment horizontal="center"/>
    </xf>
    <xf numFmtId="0" fontId="45" fillId="0" borderId="98" xfId="0" applyFont="1" applyBorder="1" applyAlignment="1">
      <alignment horizontal="center"/>
    </xf>
    <xf numFmtId="0" fontId="38" fillId="0" borderId="112" xfId="0" applyFont="1" applyBorder="1" applyAlignment="1">
      <alignment horizontal="center"/>
    </xf>
    <xf numFmtId="16" fontId="47" fillId="0" borderId="0" xfId="0" applyNumberFormat="1" applyFont="1"/>
    <xf numFmtId="0" fontId="47" fillId="0" borderId="0" xfId="0" applyFont="1"/>
    <xf numFmtId="0" fontId="2" fillId="3" borderId="0" xfId="0" applyFont="1" applyFill="1" applyAlignment="1">
      <alignment horizontal="left" vertical="center" wrapText="1"/>
    </xf>
    <xf numFmtId="0" fontId="1" fillId="3" borderId="0" xfId="0" applyFont="1" applyFill="1" applyAlignment="1">
      <alignment wrapText="1"/>
    </xf>
    <xf numFmtId="0" fontId="48" fillId="3" borderId="0" xfId="0" applyFont="1" applyFill="1" applyAlignment="1">
      <alignment horizontal="right"/>
    </xf>
    <xf numFmtId="0" fontId="10" fillId="0" borderId="0" xfId="0" applyFont="1" applyAlignment="1">
      <alignment vertical="top"/>
    </xf>
    <xf numFmtId="0" fontId="4" fillId="0" borderId="0" xfId="0" applyFont="1" applyAlignment="1">
      <alignment vertical="top"/>
    </xf>
    <xf numFmtId="0" fontId="17" fillId="0" borderId="1" xfId="2" applyFont="1" applyBorder="1" applyAlignment="1">
      <alignment vertical="top"/>
    </xf>
    <xf numFmtId="0" fontId="4" fillId="0" borderId="0" xfId="2" applyFont="1" applyAlignment="1">
      <alignment vertical="top"/>
    </xf>
    <xf numFmtId="0" fontId="3" fillId="0" borderId="0" xfId="2" applyFont="1" applyAlignment="1">
      <alignment horizontal="center" vertical="top"/>
    </xf>
    <xf numFmtId="0" fontId="3" fillId="0" borderId="0" xfId="2" applyFont="1" applyAlignment="1">
      <alignment vertical="top"/>
    </xf>
    <xf numFmtId="0" fontId="3" fillId="0" borderId="0" xfId="0" applyFont="1" applyAlignment="1">
      <alignment vertical="top"/>
    </xf>
    <xf numFmtId="0" fontId="4" fillId="0" borderId="0" xfId="2" applyFont="1" applyAlignment="1">
      <alignment horizontal="center" vertical="top"/>
    </xf>
    <xf numFmtId="0" fontId="3" fillId="0" borderId="0" xfId="0" applyFont="1" applyAlignment="1">
      <alignment horizontal="center" vertical="top" wrapText="1"/>
    </xf>
    <xf numFmtId="0" fontId="3" fillId="0" borderId="0" xfId="0" applyFont="1" applyAlignment="1">
      <alignment vertical="top" wrapText="1"/>
    </xf>
    <xf numFmtId="0" fontId="4" fillId="0" borderId="0" xfId="0" applyFont="1" applyAlignment="1">
      <alignment horizontal="center" vertical="top" wrapText="1"/>
    </xf>
    <xf numFmtId="0" fontId="2" fillId="0" borderId="0" xfId="0" applyFont="1" applyAlignment="1">
      <alignment horizontal="center" vertical="top"/>
    </xf>
    <xf numFmtId="0" fontId="2" fillId="0" borderId="0" xfId="0" applyFont="1" applyAlignment="1">
      <alignment vertical="top"/>
    </xf>
    <xf numFmtId="0" fontId="16" fillId="5" borderId="37" xfId="0" applyFont="1" applyFill="1" applyBorder="1" applyAlignment="1">
      <alignment horizontal="center" vertical="center" wrapText="1"/>
    </xf>
    <xf numFmtId="0" fontId="16" fillId="5" borderId="0" xfId="0" applyFont="1" applyFill="1" applyAlignment="1">
      <alignment horizontal="center" vertical="center" wrapText="1"/>
    </xf>
    <xf numFmtId="0" fontId="16" fillId="5" borderId="38" xfId="0" applyFont="1" applyFill="1" applyBorder="1" applyAlignment="1">
      <alignment horizontal="center" vertical="center" wrapText="1"/>
    </xf>
    <xf numFmtId="0" fontId="2" fillId="5" borderId="0" xfId="0" applyFont="1" applyFill="1" applyAlignment="1">
      <alignment horizontal="left" vertical="center" wrapText="1"/>
    </xf>
    <xf numFmtId="0" fontId="36" fillId="5" borderId="0" xfId="0" applyFont="1" applyFill="1" applyAlignment="1">
      <alignment horizontal="left" vertical="center" wrapText="1"/>
    </xf>
    <xf numFmtId="0" fontId="1" fillId="3" borderId="0" xfId="0" applyFont="1" applyFill="1" applyAlignment="1">
      <alignment horizontal="left" wrapText="1"/>
    </xf>
    <xf numFmtId="0" fontId="2" fillId="3" borderId="0" xfId="0" applyFont="1" applyFill="1" applyAlignment="1">
      <alignment horizontal="left" wrapText="1"/>
    </xf>
    <xf numFmtId="0" fontId="1" fillId="5" borderId="0" xfId="0" applyFont="1" applyFill="1" applyAlignment="1">
      <alignment horizontal="left" wrapText="1"/>
    </xf>
    <xf numFmtId="0" fontId="2" fillId="5" borderId="0" xfId="0" applyFont="1" applyFill="1" applyAlignment="1">
      <alignment horizontal="left" wrapText="1"/>
    </xf>
    <xf numFmtId="0" fontId="2" fillId="3" borderId="4" xfId="0" applyFont="1" applyFill="1" applyBorder="1" applyAlignment="1">
      <alignment horizontal="left" vertical="center" wrapText="1"/>
    </xf>
    <xf numFmtId="0" fontId="7" fillId="3" borderId="0" xfId="0" applyFont="1" applyFill="1" applyAlignment="1">
      <alignment horizontal="left" wrapText="1"/>
    </xf>
    <xf numFmtId="0" fontId="2" fillId="3" borderId="0" xfId="0" applyFont="1" applyFill="1" applyAlignment="1">
      <alignment horizontal="left" vertical="center" wrapText="1"/>
    </xf>
    <xf numFmtId="0" fontId="39" fillId="0" borderId="0" xfId="0" applyFont="1" applyAlignment="1">
      <alignment horizontal="center" vertical="center"/>
    </xf>
    <xf numFmtId="0" fontId="39" fillId="0" borderId="87" xfId="0" applyFont="1" applyBorder="1" applyAlignment="1">
      <alignment horizontal="center"/>
    </xf>
    <xf numFmtId="0" fontId="25" fillId="0" borderId="7" xfId="0" applyFont="1" applyBorder="1" applyAlignment="1">
      <alignment horizontal="center"/>
    </xf>
    <xf numFmtId="0" fontId="0" fillId="0" borderId="7" xfId="0" applyBorder="1"/>
    <xf numFmtId="0" fontId="25" fillId="12" borderId="25" xfId="3" applyFont="1" applyFill="1" applyBorder="1" applyAlignment="1">
      <alignment horizontal="center"/>
    </xf>
    <xf numFmtId="0" fontId="25" fillId="12" borderId="26" xfId="3" applyFont="1" applyFill="1" applyBorder="1" applyAlignment="1">
      <alignment horizontal="center"/>
    </xf>
    <xf numFmtId="0" fontId="25" fillId="12" borderId="27" xfId="3" applyFont="1" applyFill="1" applyBorder="1" applyAlignment="1">
      <alignment horizontal="center"/>
    </xf>
    <xf numFmtId="0" fontId="25" fillId="9" borderId="25" xfId="4" applyFont="1" applyFill="1" applyBorder="1" applyAlignment="1">
      <alignment horizontal="center"/>
    </xf>
    <xf numFmtId="0" fontId="25" fillId="9" borderId="26" xfId="4" applyFont="1" applyFill="1" applyBorder="1" applyAlignment="1">
      <alignment horizontal="center"/>
    </xf>
    <xf numFmtId="0" fontId="25" fillId="9" borderId="27" xfId="4" applyFont="1" applyFill="1" applyBorder="1" applyAlignment="1">
      <alignment horizontal="center"/>
    </xf>
    <xf numFmtId="0" fontId="10" fillId="0" borderId="26" xfId="4" applyFont="1" applyBorder="1" applyAlignment="1">
      <alignment horizontal="center"/>
    </xf>
    <xf numFmtId="0" fontId="10" fillId="0" borderId="27" xfId="4" applyFont="1" applyBorder="1" applyAlignment="1">
      <alignment horizontal="center"/>
    </xf>
    <xf numFmtId="0" fontId="7" fillId="0" borderId="0" xfId="0" applyFont="1" applyAlignment="1">
      <alignment horizontal="center"/>
    </xf>
    <xf numFmtId="0" fontId="0" fillId="0" borderId="0" xfId="0" applyAlignment="1">
      <alignment horizontal="center"/>
    </xf>
    <xf numFmtId="0" fontId="25" fillId="0" borderId="0" xfId="0" applyFont="1" applyAlignment="1">
      <alignment horizontal="center"/>
    </xf>
    <xf numFmtId="0" fontId="1" fillId="0" borderId="0" xfId="0" applyFont="1"/>
  </cellXfs>
  <cellStyles count="6">
    <cellStyle name="Hyperlink" xfId="1" builtinId="8"/>
    <cellStyle name="Normal" xfId="0" builtinId="0"/>
    <cellStyle name="Normal 2" xfId="4" xr:uid="{00000000-0005-0000-0000-000002000000}"/>
    <cellStyle name="Normal 3" xfId="5" xr:uid="{00000000-0005-0000-0000-000003000000}"/>
    <cellStyle name="Normal_MCP Toxicity" xfId="2" xr:uid="{00000000-0005-0000-0000-000004000000}"/>
    <cellStyle name="Normal_Sheet1" xfId="3" xr:uid="{00000000-0005-0000-0000-000005000000}"/>
  </cellStyles>
  <dxfs count="0"/>
  <tableStyles count="1" defaultTableStyle="TableStyleMedium9" defaultPivotStyle="PivotStyleLight16">
    <tableStyle name="Invisible" pivot="0" table="0" count="0" xr9:uid="{4C2DD2EE-6C10-4D44-9EBE-72452C71A59D}"/>
  </tableStyles>
  <colors>
    <mruColors>
      <color rgb="FFCCFF33"/>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447675</xdr:colOff>
      <xdr:row>51</xdr:row>
      <xdr:rowOff>9525</xdr:rowOff>
    </xdr:from>
    <xdr:to>
      <xdr:col>5</xdr:col>
      <xdr:colOff>304800</xdr:colOff>
      <xdr:row>51</xdr:row>
      <xdr:rowOff>9525</xdr:rowOff>
    </xdr:to>
    <xdr:sp macro="" textlink="">
      <xdr:nvSpPr>
        <xdr:cNvPr id="5" name="Line 2">
          <a:extLst>
            <a:ext uri="{FF2B5EF4-FFF2-40B4-BE49-F238E27FC236}">
              <a16:creationId xmlns:a16="http://schemas.microsoft.com/office/drawing/2014/main" id="{00000000-0008-0000-0400-000005000000}"/>
            </a:ext>
          </a:extLst>
        </xdr:cNvPr>
        <xdr:cNvSpPr>
          <a:spLocks noChangeShapeType="1"/>
        </xdr:cNvSpPr>
      </xdr:nvSpPr>
      <xdr:spPr bwMode="auto">
        <a:xfrm>
          <a:off x="3248025" y="8277225"/>
          <a:ext cx="0" cy="0"/>
        </a:xfrm>
        <a:prstGeom prst="line">
          <a:avLst/>
        </a:prstGeom>
        <a:noFill/>
        <a:ln w="9525">
          <a:solidFill>
            <a:srgbClr val="000000"/>
          </a:solidFill>
          <a:round/>
          <a:headEnd/>
          <a:tailEnd/>
        </a:ln>
      </xdr:spPr>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AKavian\Desktop\AK\NLT\NewF\SF_Mar2024V\M1Mar24\MCP%20GW.xlsx" TargetMode="External"/><Relationship Id="rId1" Type="http://schemas.openxmlformats.org/officeDocument/2006/relationships/externalLinkPath" Target="MCP%20GW.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TRODUCTION"/>
      <sheetName val="GW-1"/>
      <sheetName val="GW-1 Exp"/>
      <sheetName val="GW-1 Derm"/>
      <sheetName val="GW-1 Inhale"/>
      <sheetName val="GW-1 VC &amp; TCE"/>
      <sheetName val="GW-2"/>
      <sheetName val="GW-2 Exp"/>
      <sheetName val="GW-2 IA Bkgrd"/>
      <sheetName val="GW-2 TCE &amp; VC"/>
      <sheetName val="GW-3"/>
      <sheetName val="GW-3 SW Target"/>
      <sheetName val="MCP GW"/>
    </sheetNames>
    <definedNames>
      <definedName name="IABKGRD" refersTo="='GW-2 IA Bkgrd'!$A$1:$G$125"/>
    </definedNames>
    <sheetDataSet>
      <sheetData sheetId="0"/>
      <sheetData sheetId="1"/>
      <sheetData sheetId="2"/>
      <sheetData sheetId="3"/>
      <sheetData sheetId="4"/>
      <sheetData sheetId="5"/>
      <sheetData sheetId="6"/>
      <sheetData sheetId="7"/>
      <sheetData sheetId="8">
        <row r="1">
          <cell r="A1" t="str">
            <v>Indoor Air Background Value</v>
          </cell>
          <cell r="C1"/>
          <cell r="D1"/>
          <cell r="E1"/>
          <cell r="F1"/>
        </row>
        <row r="2">
          <cell r="A2" t="str">
            <v>OIL OR HAZARDOUS MATERIAL (OHM)</v>
          </cell>
          <cell r="B2" t="str">
            <v>Lowest Risk/Odor</v>
          </cell>
          <cell r="C2" t="str">
            <v>50% TIAC</v>
          </cell>
          <cell r="D2" t="str">
            <v>75% TIAC</v>
          </cell>
          <cell r="E2" t="str">
            <v>90% TIAC</v>
          </cell>
          <cell r="F2" t="str">
            <v>EPA 1988 Indoor Air</v>
          </cell>
          <cell r="G2" t="str">
            <v xml:space="preserve">Indoor Air Background </v>
          </cell>
        </row>
        <row r="3">
          <cell r="A3" t="str">
            <v>ACENAPHTHENE</v>
          </cell>
          <cell r="B3" t="str">
            <v>Noncancer</v>
          </cell>
          <cell r="C3"/>
          <cell r="D3"/>
          <cell r="E3"/>
          <cell r="F3"/>
          <cell r="G3">
            <v>0</v>
          </cell>
        </row>
        <row r="4">
          <cell r="A4" t="str">
            <v>ACENAPHTHYLENE</v>
          </cell>
          <cell r="B4" t="str">
            <v>Noncancer</v>
          </cell>
          <cell r="C4"/>
          <cell r="D4"/>
          <cell r="E4"/>
          <cell r="F4"/>
          <cell r="G4">
            <v>0</v>
          </cell>
        </row>
        <row r="5">
          <cell r="A5" t="str">
            <v>ACETONE</v>
          </cell>
          <cell r="B5" t="str">
            <v>Noncancer</v>
          </cell>
          <cell r="C5">
            <v>26</v>
          </cell>
          <cell r="D5">
            <v>52</v>
          </cell>
          <cell r="E5">
            <v>91</v>
          </cell>
          <cell r="F5">
            <v>27.04</v>
          </cell>
          <cell r="G5">
            <v>91</v>
          </cell>
        </row>
        <row r="6">
          <cell r="A6" t="str">
            <v>ALDRIN</v>
          </cell>
          <cell r="B6" t="str">
            <v>Cancer</v>
          </cell>
          <cell r="C6"/>
          <cell r="D6"/>
          <cell r="E6"/>
          <cell r="F6"/>
          <cell r="G6">
            <v>0</v>
          </cell>
        </row>
        <row r="7">
          <cell r="A7" t="str">
            <v>ANTHRACENE</v>
          </cell>
          <cell r="B7" t="str">
            <v>Noncancer</v>
          </cell>
          <cell r="C7"/>
          <cell r="D7"/>
          <cell r="E7"/>
          <cell r="F7"/>
          <cell r="G7">
            <v>0</v>
          </cell>
        </row>
        <row r="8">
          <cell r="A8" t="str">
            <v>ANTIMONY</v>
          </cell>
          <cell r="B8" t="str">
            <v>Noncancer</v>
          </cell>
          <cell r="C8"/>
          <cell r="D8"/>
          <cell r="E8"/>
          <cell r="F8"/>
          <cell r="G8">
            <v>0</v>
          </cell>
        </row>
        <row r="9">
          <cell r="A9" t="str">
            <v>ARSENIC</v>
          </cell>
          <cell r="B9" t="str">
            <v>Cancer</v>
          </cell>
          <cell r="C9"/>
          <cell r="D9"/>
          <cell r="E9"/>
          <cell r="F9"/>
          <cell r="G9">
            <v>0</v>
          </cell>
        </row>
        <row r="10">
          <cell r="A10" t="str">
            <v>BARIUM</v>
          </cell>
          <cell r="B10" t="str">
            <v>Noncancer</v>
          </cell>
          <cell r="C10"/>
          <cell r="D10"/>
          <cell r="E10"/>
          <cell r="F10"/>
          <cell r="G10">
            <v>0</v>
          </cell>
        </row>
        <row r="11">
          <cell r="A11" t="str">
            <v>BENZENE</v>
          </cell>
          <cell r="B11" t="str">
            <v>Cancer</v>
          </cell>
          <cell r="C11">
            <v>2.2999999999999998</v>
          </cell>
          <cell r="D11">
            <v>3.6</v>
          </cell>
          <cell r="E11">
            <v>11</v>
          </cell>
          <cell r="F11">
            <v>21</v>
          </cell>
          <cell r="G11">
            <v>11</v>
          </cell>
        </row>
        <row r="12">
          <cell r="A12" t="str">
            <v>BENZO(a)ANTHRACENE</v>
          </cell>
          <cell r="B12" t="str">
            <v>Cancer</v>
          </cell>
          <cell r="C12"/>
          <cell r="D12"/>
          <cell r="E12"/>
          <cell r="F12"/>
          <cell r="G12">
            <v>0</v>
          </cell>
        </row>
        <row r="13">
          <cell r="A13" t="str">
            <v>BENZO(a)PYRENE</v>
          </cell>
          <cell r="B13" t="str">
            <v>Noncancer</v>
          </cell>
          <cell r="C13"/>
          <cell r="D13"/>
          <cell r="E13"/>
          <cell r="F13"/>
          <cell r="G13">
            <v>0</v>
          </cell>
        </row>
        <row r="14">
          <cell r="A14" t="str">
            <v>BENZO(b)FLUORANTHENE</v>
          </cell>
          <cell r="B14" t="str">
            <v>Cancer</v>
          </cell>
          <cell r="C14"/>
          <cell r="D14"/>
          <cell r="E14"/>
          <cell r="F14"/>
          <cell r="G14">
            <v>0</v>
          </cell>
        </row>
        <row r="15">
          <cell r="A15" t="str">
            <v>BENZO(g,h,i)PERYLENE</v>
          </cell>
          <cell r="B15" t="str">
            <v>Noncancer</v>
          </cell>
          <cell r="C15"/>
          <cell r="D15"/>
          <cell r="E15"/>
          <cell r="F15"/>
          <cell r="G15">
            <v>0</v>
          </cell>
        </row>
        <row r="16">
          <cell r="A16" t="str">
            <v>BENZO(k)FLUORANTHENE</v>
          </cell>
          <cell r="B16" t="str">
            <v>Cancer</v>
          </cell>
          <cell r="C16"/>
          <cell r="D16"/>
          <cell r="E16"/>
          <cell r="F16"/>
          <cell r="G16">
            <v>0</v>
          </cell>
        </row>
        <row r="17">
          <cell r="A17" t="str">
            <v>BERYLLIUM</v>
          </cell>
          <cell r="B17" t="str">
            <v>Cancer</v>
          </cell>
          <cell r="C17"/>
          <cell r="D17"/>
          <cell r="E17"/>
          <cell r="F17"/>
          <cell r="G17">
            <v>0</v>
          </cell>
        </row>
        <row r="18">
          <cell r="A18" t="str">
            <v>BIPHENYL, 1,1-</v>
          </cell>
          <cell r="B18" t="str">
            <v>Noncancer</v>
          </cell>
          <cell r="C18"/>
          <cell r="D18"/>
          <cell r="E18"/>
          <cell r="F18"/>
          <cell r="G18">
            <v>0</v>
          </cell>
        </row>
        <row r="19">
          <cell r="A19" t="str">
            <v>BIS(2-CHLOROETHYL)ETHER</v>
          </cell>
          <cell r="B19" t="str">
            <v>Cancer</v>
          </cell>
          <cell r="C19"/>
          <cell r="D19"/>
          <cell r="E19"/>
          <cell r="F19"/>
          <cell r="G19">
            <v>0</v>
          </cell>
        </row>
        <row r="20">
          <cell r="A20" t="str">
            <v>BIS(2-CHLOROISOPROPYL)ETHER</v>
          </cell>
          <cell r="B20" t="str">
            <v>Cancer</v>
          </cell>
          <cell r="C20"/>
          <cell r="D20"/>
          <cell r="E20"/>
          <cell r="F20"/>
          <cell r="G20">
            <v>0</v>
          </cell>
        </row>
        <row r="21">
          <cell r="A21" t="str">
            <v>BIS(2-ETHYLHEXYL)PHTHALATE</v>
          </cell>
          <cell r="B21" t="str">
            <v>Noncancer</v>
          </cell>
          <cell r="C21"/>
          <cell r="D21"/>
          <cell r="E21"/>
          <cell r="F21"/>
          <cell r="G21">
            <v>0</v>
          </cell>
        </row>
        <row r="22">
          <cell r="A22" t="str">
            <v>BROMODICHLOROMETHANE</v>
          </cell>
          <cell r="B22" t="str">
            <v>Cancer</v>
          </cell>
          <cell r="C22"/>
          <cell r="D22"/>
          <cell r="E22"/>
          <cell r="F22"/>
          <cell r="G22">
            <v>0</v>
          </cell>
        </row>
        <row r="23">
          <cell r="A23" t="str">
            <v>BROMOFORM</v>
          </cell>
          <cell r="B23" t="str">
            <v>Cancer</v>
          </cell>
          <cell r="C23"/>
          <cell r="D23"/>
          <cell r="E23"/>
          <cell r="F23"/>
          <cell r="G23">
            <v>0</v>
          </cell>
        </row>
        <row r="24">
          <cell r="A24" t="str">
            <v>BROMOMETHANE</v>
          </cell>
          <cell r="B24" t="str">
            <v>Noncancer</v>
          </cell>
          <cell r="C24" t="str">
            <v>ND</v>
          </cell>
          <cell r="D24" t="str">
            <v>ND</v>
          </cell>
          <cell r="E24">
            <v>0.6</v>
          </cell>
          <cell r="F24"/>
          <cell r="G24">
            <v>0.6</v>
          </cell>
        </row>
        <row r="25">
          <cell r="A25" t="str">
            <v>CADMIUM</v>
          </cell>
          <cell r="B25" t="str">
            <v>Cancer</v>
          </cell>
          <cell r="C25"/>
          <cell r="D25"/>
          <cell r="E25"/>
          <cell r="F25"/>
          <cell r="G25">
            <v>0</v>
          </cell>
        </row>
        <row r="26">
          <cell r="A26" t="str">
            <v>CARBON TETRACHLORIDE</v>
          </cell>
          <cell r="B26" t="str">
            <v>Cancer</v>
          </cell>
          <cell r="C26">
            <v>0.54</v>
          </cell>
          <cell r="D26">
            <v>0.62</v>
          </cell>
          <cell r="E26">
            <v>0.86</v>
          </cell>
          <cell r="F26">
            <v>0.84</v>
          </cell>
          <cell r="G26">
            <v>0.86</v>
          </cell>
        </row>
        <row r="27">
          <cell r="A27" t="str">
            <v>CHLORDANE</v>
          </cell>
          <cell r="B27" t="str">
            <v>Cancer</v>
          </cell>
          <cell r="C27"/>
          <cell r="D27"/>
          <cell r="E27"/>
          <cell r="F27"/>
          <cell r="G27">
            <v>0</v>
          </cell>
        </row>
        <row r="28">
          <cell r="A28" t="str">
            <v>CHLOROANILINE, p-</v>
          </cell>
          <cell r="B28" t="str">
            <v>Noncancer</v>
          </cell>
          <cell r="C28"/>
          <cell r="D28"/>
          <cell r="E28"/>
          <cell r="F28"/>
          <cell r="G28">
            <v>0</v>
          </cell>
        </row>
        <row r="29">
          <cell r="A29" t="str">
            <v>CHLOROBENZENE</v>
          </cell>
          <cell r="B29" t="str">
            <v>Noncancer</v>
          </cell>
          <cell r="C29"/>
          <cell r="D29"/>
          <cell r="E29"/>
          <cell r="F29">
            <v>10</v>
          </cell>
          <cell r="G29">
            <v>10</v>
          </cell>
        </row>
        <row r="30">
          <cell r="A30" t="str">
            <v>CHLOROFORM</v>
          </cell>
          <cell r="B30" t="str">
            <v>Cancer</v>
          </cell>
          <cell r="C30">
            <v>1.9</v>
          </cell>
          <cell r="D30">
            <v>2.6</v>
          </cell>
          <cell r="E30">
            <v>3</v>
          </cell>
          <cell r="F30">
            <v>3.36</v>
          </cell>
          <cell r="G30">
            <v>3</v>
          </cell>
        </row>
        <row r="31">
          <cell r="A31" t="str">
            <v>CHLOROPHENOL, 2-</v>
          </cell>
          <cell r="B31" t="str">
            <v>Noncancer</v>
          </cell>
          <cell r="C31"/>
          <cell r="D31"/>
          <cell r="E31"/>
          <cell r="F31"/>
          <cell r="G31">
            <v>0</v>
          </cell>
        </row>
        <row r="32">
          <cell r="A32" t="str">
            <v>CHROMIUM (TOTAL)</v>
          </cell>
          <cell r="B32" t="str">
            <v>Cancer</v>
          </cell>
          <cell r="C32"/>
          <cell r="D32"/>
          <cell r="E32"/>
          <cell r="F32"/>
          <cell r="G32">
            <v>0</v>
          </cell>
        </row>
        <row r="33">
          <cell r="A33" t="str">
            <v>CHROMIUM(III)</v>
          </cell>
          <cell r="B33" t="str">
            <v>Noncancer</v>
          </cell>
          <cell r="C33"/>
          <cell r="D33"/>
          <cell r="E33"/>
          <cell r="F33"/>
          <cell r="G33">
            <v>0</v>
          </cell>
        </row>
        <row r="34">
          <cell r="A34" t="str">
            <v>CHROMIUM(VI)</v>
          </cell>
          <cell r="B34" t="str">
            <v>Cancer</v>
          </cell>
          <cell r="C34"/>
          <cell r="D34"/>
          <cell r="E34"/>
          <cell r="F34"/>
          <cell r="G34">
            <v>0</v>
          </cell>
        </row>
        <row r="35">
          <cell r="A35" t="str">
            <v>CHRYSENE</v>
          </cell>
          <cell r="B35" t="str">
            <v>Cancer</v>
          </cell>
          <cell r="C35"/>
          <cell r="D35"/>
          <cell r="E35"/>
          <cell r="F35"/>
          <cell r="G35">
            <v>0</v>
          </cell>
        </row>
        <row r="36">
          <cell r="A36" t="str">
            <v>CYANIDE</v>
          </cell>
          <cell r="B36" t="str">
            <v>Noncancer</v>
          </cell>
          <cell r="C36"/>
          <cell r="D36"/>
          <cell r="E36"/>
          <cell r="F36"/>
          <cell r="G36">
            <v>0</v>
          </cell>
        </row>
        <row r="37">
          <cell r="A37" t="str">
            <v>DIBENZO(a,h)ANTHRACENE</v>
          </cell>
          <cell r="B37" t="str">
            <v>Cancer</v>
          </cell>
          <cell r="C37"/>
          <cell r="D37"/>
          <cell r="E37"/>
          <cell r="F37"/>
          <cell r="G37">
            <v>0</v>
          </cell>
        </row>
        <row r="38">
          <cell r="A38" t="str">
            <v>DIBROMOCHLOROMETHANE</v>
          </cell>
          <cell r="B38" t="str">
            <v>Cancer</v>
          </cell>
          <cell r="C38"/>
          <cell r="D38"/>
          <cell r="E38"/>
          <cell r="F38"/>
          <cell r="G38">
            <v>0</v>
          </cell>
        </row>
        <row r="39">
          <cell r="A39" t="str">
            <v>DICHLOROBENZENE, 1,2-  (o-DCB)</v>
          </cell>
          <cell r="B39" t="str">
            <v>Noncancer</v>
          </cell>
          <cell r="C39" t="str">
            <v>ND</v>
          </cell>
          <cell r="D39" t="str">
            <v>ND</v>
          </cell>
          <cell r="E39">
            <v>0.72</v>
          </cell>
          <cell r="F39">
            <v>3.82</v>
          </cell>
          <cell r="G39">
            <v>0.72</v>
          </cell>
        </row>
        <row r="40">
          <cell r="A40" t="str">
            <v>DICHLOROBENZENE, 1,3-  (m-DCB)</v>
          </cell>
          <cell r="B40" t="str">
            <v>Noncancer</v>
          </cell>
          <cell r="C40" t="str">
            <v>ND</v>
          </cell>
          <cell r="D40" t="str">
            <v>ND</v>
          </cell>
          <cell r="E40">
            <v>0.6</v>
          </cell>
          <cell r="F40">
            <v>5.6</v>
          </cell>
          <cell r="G40">
            <v>0.6</v>
          </cell>
        </row>
        <row r="41">
          <cell r="A41" t="str">
            <v>DICHLOROBENZENE, 1,4-  (p-DCB)</v>
          </cell>
          <cell r="B41" t="str">
            <v>Cancer</v>
          </cell>
          <cell r="C41">
            <v>0.5</v>
          </cell>
          <cell r="D41">
            <v>0.9</v>
          </cell>
          <cell r="E41">
            <v>1.5</v>
          </cell>
          <cell r="F41">
            <v>5.6</v>
          </cell>
          <cell r="G41">
            <v>1.5</v>
          </cell>
        </row>
        <row r="42">
          <cell r="A42" t="str">
            <v>DICHLOROBENZIDINE, 3,3'-</v>
          </cell>
          <cell r="B42" t="str">
            <v>Cancer</v>
          </cell>
          <cell r="C42"/>
          <cell r="D42"/>
          <cell r="E42"/>
          <cell r="F42"/>
          <cell r="G42">
            <v>0</v>
          </cell>
        </row>
        <row r="43">
          <cell r="A43" t="str">
            <v>DICHLORODIPHENYL DICHLOROETHANE, P,P'- (DDD)</v>
          </cell>
          <cell r="B43" t="str">
            <v>Cancer</v>
          </cell>
          <cell r="C43"/>
          <cell r="D43"/>
          <cell r="E43"/>
          <cell r="F43"/>
          <cell r="G43">
            <v>0</v>
          </cell>
        </row>
        <row r="44">
          <cell r="A44" t="str">
            <v>DICHLORODIPHENYLDICHLOROETHYLENE,P,P'- (DDE)</v>
          </cell>
          <cell r="B44" t="str">
            <v>Cancer</v>
          </cell>
          <cell r="C44"/>
          <cell r="D44"/>
          <cell r="E44"/>
          <cell r="F44"/>
          <cell r="G44">
            <v>0</v>
          </cell>
        </row>
        <row r="45">
          <cell r="A45" t="str">
            <v>DICHLORODIPHENYLTRICHLOROETHANE, P,P'- (DDT)</v>
          </cell>
          <cell r="B45" t="str">
            <v>Cancer</v>
          </cell>
          <cell r="C45"/>
          <cell r="D45"/>
          <cell r="E45"/>
          <cell r="F45"/>
          <cell r="G45">
            <v>0</v>
          </cell>
        </row>
        <row r="46">
          <cell r="A46" t="str">
            <v>DICHLOROETHANE, 1,1-</v>
          </cell>
          <cell r="B46" t="str">
            <v>Noncancer</v>
          </cell>
          <cell r="C46"/>
          <cell r="D46"/>
          <cell r="E46"/>
          <cell r="F46"/>
          <cell r="G46">
            <v>0</v>
          </cell>
        </row>
        <row r="47">
          <cell r="A47" t="str">
            <v>DICHLOROETHANE, 1,2-</v>
          </cell>
          <cell r="B47" t="str">
            <v>Cancer</v>
          </cell>
          <cell r="C47"/>
          <cell r="D47"/>
          <cell r="E47"/>
          <cell r="F47"/>
          <cell r="G47">
            <v>0</v>
          </cell>
        </row>
        <row r="48">
          <cell r="A48" t="str">
            <v>DICHLOROETHYLENE, 1,1-</v>
          </cell>
          <cell r="B48" t="str">
            <v>Noncancer</v>
          </cell>
          <cell r="C48"/>
          <cell r="D48"/>
          <cell r="E48"/>
          <cell r="F48"/>
          <cell r="G48">
            <v>0</v>
          </cell>
        </row>
        <row r="49">
          <cell r="A49" t="str">
            <v>DICHLOROETHYLENE, CIS-1,2-</v>
          </cell>
          <cell r="B49" t="str">
            <v>Noncancer</v>
          </cell>
          <cell r="C49"/>
          <cell r="D49"/>
          <cell r="E49"/>
          <cell r="F49"/>
          <cell r="G49">
            <v>0</v>
          </cell>
        </row>
        <row r="50">
          <cell r="A50" t="str">
            <v>DICHLOROETHYLENE, TRANS-1,2-</v>
          </cell>
          <cell r="B50" t="str">
            <v>Noncancer</v>
          </cell>
          <cell r="C50"/>
          <cell r="D50"/>
          <cell r="E50"/>
          <cell r="F50"/>
          <cell r="G50">
            <v>0</v>
          </cell>
        </row>
        <row r="51">
          <cell r="A51" t="str">
            <v>DICHLOROMETHANE</v>
          </cell>
          <cell r="B51" t="str">
            <v>Cancer</v>
          </cell>
          <cell r="C51">
            <v>1.4</v>
          </cell>
          <cell r="D51">
            <v>3.7</v>
          </cell>
          <cell r="E51">
            <v>11</v>
          </cell>
          <cell r="F51">
            <v>600</v>
          </cell>
          <cell r="G51">
            <v>11</v>
          </cell>
        </row>
        <row r="52">
          <cell r="A52" t="str">
            <v>DICHLOROPHENOL, 2,4-</v>
          </cell>
          <cell r="B52" t="str">
            <v>Noncancer</v>
          </cell>
          <cell r="C52"/>
          <cell r="D52"/>
          <cell r="E52"/>
          <cell r="F52"/>
          <cell r="G52">
            <v>0</v>
          </cell>
        </row>
        <row r="53">
          <cell r="A53" t="str">
            <v>DICHLOROPROPANE, 1,2-</v>
          </cell>
          <cell r="B53" t="str">
            <v>Cancer</v>
          </cell>
          <cell r="C53"/>
          <cell r="D53"/>
          <cell r="E53"/>
          <cell r="F53"/>
          <cell r="G53">
            <v>0</v>
          </cell>
        </row>
        <row r="54">
          <cell r="A54" t="str">
            <v>DICHLOROPROPENE, 1,3-</v>
          </cell>
          <cell r="B54" t="str">
            <v>Cancer</v>
          </cell>
          <cell r="C54"/>
          <cell r="D54"/>
          <cell r="E54"/>
          <cell r="F54"/>
          <cell r="G54">
            <v>0</v>
          </cell>
        </row>
        <row r="55">
          <cell r="A55" t="str">
            <v>DIELDRIN</v>
          </cell>
          <cell r="B55" t="str">
            <v>Cancer</v>
          </cell>
          <cell r="C55"/>
          <cell r="D55"/>
          <cell r="E55"/>
          <cell r="F55"/>
          <cell r="G55">
            <v>0</v>
          </cell>
        </row>
        <row r="56">
          <cell r="A56" t="str">
            <v>DIETHYL PHTHALATE</v>
          </cell>
          <cell r="B56" t="str">
            <v>Noncancer</v>
          </cell>
          <cell r="C56"/>
          <cell r="D56"/>
          <cell r="E56"/>
          <cell r="F56"/>
          <cell r="G56">
            <v>0</v>
          </cell>
        </row>
        <row r="57">
          <cell r="A57" t="str">
            <v>DIMETHYL PHTHALATE</v>
          </cell>
          <cell r="B57" t="str">
            <v>Noncancer</v>
          </cell>
          <cell r="C57"/>
          <cell r="D57"/>
          <cell r="E57"/>
          <cell r="F57"/>
          <cell r="G57">
            <v>0</v>
          </cell>
        </row>
        <row r="58">
          <cell r="A58" t="str">
            <v>DIMETHYLPHENOL, 2,4-</v>
          </cell>
          <cell r="B58" t="str">
            <v>Noncancer</v>
          </cell>
          <cell r="C58"/>
          <cell r="D58"/>
          <cell r="E58"/>
          <cell r="F58"/>
          <cell r="G58">
            <v>0</v>
          </cell>
        </row>
        <row r="59">
          <cell r="A59" t="str">
            <v>DINITROPHENOL, 2,4-</v>
          </cell>
          <cell r="B59" t="str">
            <v>Noncancer</v>
          </cell>
          <cell r="C59"/>
          <cell r="D59"/>
          <cell r="E59"/>
          <cell r="F59"/>
          <cell r="G59">
            <v>0</v>
          </cell>
        </row>
        <row r="60">
          <cell r="A60" t="str">
            <v>DINITROTOLUENE, 2,4-</v>
          </cell>
          <cell r="B60" t="str">
            <v>Cancer</v>
          </cell>
          <cell r="C60"/>
          <cell r="D60"/>
          <cell r="E60"/>
          <cell r="F60"/>
          <cell r="G60">
            <v>0</v>
          </cell>
        </row>
        <row r="61">
          <cell r="A61" t="str">
            <v>DIOXANE, 1,4-</v>
          </cell>
          <cell r="B61" t="str">
            <v>Cancer</v>
          </cell>
          <cell r="C61"/>
          <cell r="D61"/>
          <cell r="E61"/>
          <cell r="F61">
            <v>0.33</v>
          </cell>
          <cell r="G61">
            <v>0.33</v>
          </cell>
        </row>
        <row r="62">
          <cell r="A62" t="str">
            <v>ENDOSULFAN</v>
          </cell>
          <cell r="B62" t="str">
            <v>Noncancer</v>
          </cell>
          <cell r="C62"/>
          <cell r="D62"/>
          <cell r="E62"/>
          <cell r="F62"/>
          <cell r="G62">
            <v>0</v>
          </cell>
        </row>
        <row r="63">
          <cell r="A63" t="str">
            <v>ENDRIN</v>
          </cell>
          <cell r="B63" t="str">
            <v>Noncancer</v>
          </cell>
          <cell r="C63"/>
          <cell r="D63"/>
          <cell r="E63"/>
          <cell r="F63"/>
          <cell r="G63">
            <v>0</v>
          </cell>
        </row>
        <row r="64">
          <cell r="A64" t="str">
            <v>ETHYLBENZENE</v>
          </cell>
          <cell r="B64" t="str">
            <v>Noncancer</v>
          </cell>
          <cell r="C64">
            <v>1.5</v>
          </cell>
          <cell r="D64">
            <v>2.4</v>
          </cell>
          <cell r="E64">
            <v>7.4</v>
          </cell>
          <cell r="F64">
            <v>9.6199999999999992</v>
          </cell>
          <cell r="G64">
            <v>7.4</v>
          </cell>
        </row>
        <row r="65">
          <cell r="A65" t="str">
            <v>ETHYLENE DIBROMIDE</v>
          </cell>
          <cell r="B65" t="str">
            <v>Cancer</v>
          </cell>
          <cell r="C65"/>
          <cell r="D65"/>
          <cell r="E65"/>
          <cell r="F65"/>
          <cell r="G65">
            <v>0</v>
          </cell>
        </row>
        <row r="66">
          <cell r="A66" t="str">
            <v>FLUORANTHENE</v>
          </cell>
          <cell r="B66" t="str">
            <v>Noncancer</v>
          </cell>
          <cell r="C66"/>
          <cell r="D66"/>
          <cell r="E66"/>
          <cell r="F66"/>
          <cell r="G66">
            <v>0</v>
          </cell>
        </row>
        <row r="67">
          <cell r="A67" t="str">
            <v>FLUORENE</v>
          </cell>
          <cell r="B67" t="str">
            <v>Noncancer</v>
          </cell>
          <cell r="C67"/>
          <cell r="D67"/>
          <cell r="E67"/>
          <cell r="F67"/>
          <cell r="G67">
            <v>0</v>
          </cell>
        </row>
        <row r="68">
          <cell r="A68" t="str">
            <v>HEPTACHLOR</v>
          </cell>
          <cell r="B68" t="str">
            <v>Cancer</v>
          </cell>
          <cell r="C68"/>
          <cell r="D68"/>
          <cell r="E68"/>
          <cell r="F68"/>
          <cell r="G68">
            <v>0</v>
          </cell>
        </row>
        <row r="69">
          <cell r="A69" t="str">
            <v>HEPTACHLOR EPOXIDE</v>
          </cell>
          <cell r="B69" t="str">
            <v>Cancer</v>
          </cell>
          <cell r="C69"/>
          <cell r="D69"/>
          <cell r="E69"/>
          <cell r="F69"/>
          <cell r="G69">
            <v>0</v>
          </cell>
        </row>
        <row r="70">
          <cell r="A70" t="str">
            <v>HEXACHLOROBENZENE</v>
          </cell>
          <cell r="B70" t="str">
            <v>Cancer</v>
          </cell>
          <cell r="C70"/>
          <cell r="D70"/>
          <cell r="E70"/>
          <cell r="F70"/>
          <cell r="G70">
            <v>0</v>
          </cell>
        </row>
        <row r="71">
          <cell r="A71" t="str">
            <v>HEXACHLOROBUTADIENE</v>
          </cell>
          <cell r="B71" t="str">
            <v>Cancer</v>
          </cell>
          <cell r="C71" t="str">
            <v>ND</v>
          </cell>
          <cell r="D71" t="str">
            <v>ND</v>
          </cell>
          <cell r="E71">
            <v>4.5999999999999996</v>
          </cell>
          <cell r="F71"/>
          <cell r="G71">
            <v>4.5999999999999996</v>
          </cell>
        </row>
        <row r="72">
          <cell r="A72" t="str">
            <v>HEXACHLOROCYCLOHEXANE, GAMMA (gamma-HCH)</v>
          </cell>
          <cell r="B72" t="str">
            <v>Cancer</v>
          </cell>
          <cell r="C72"/>
          <cell r="D72"/>
          <cell r="E72"/>
          <cell r="F72"/>
          <cell r="G72">
            <v>0</v>
          </cell>
        </row>
        <row r="73">
          <cell r="A73" t="str">
            <v>HEXACHLOROETHANE</v>
          </cell>
          <cell r="B73" t="str">
            <v>Cancer</v>
          </cell>
          <cell r="C73"/>
          <cell r="D73"/>
          <cell r="E73"/>
          <cell r="F73"/>
          <cell r="G73">
            <v>0</v>
          </cell>
        </row>
        <row r="74">
          <cell r="A74" t="str">
            <v>HMX</v>
          </cell>
          <cell r="B74" t="str">
            <v>Noncancer</v>
          </cell>
          <cell r="C74"/>
          <cell r="D74"/>
          <cell r="E74"/>
          <cell r="F74"/>
          <cell r="G74">
            <v>0</v>
          </cell>
        </row>
        <row r="75">
          <cell r="A75" t="str">
            <v>INDENO(1,2,3-cd)PYRENE</v>
          </cell>
          <cell r="B75" t="str">
            <v>Cancer</v>
          </cell>
          <cell r="C75"/>
          <cell r="D75"/>
          <cell r="E75"/>
          <cell r="F75"/>
          <cell r="G75">
            <v>0</v>
          </cell>
        </row>
        <row r="76">
          <cell r="A76" t="str">
            <v>LEAD</v>
          </cell>
          <cell r="B76" t="str">
            <v>Noncancer</v>
          </cell>
          <cell r="C76"/>
          <cell r="D76"/>
          <cell r="E76"/>
          <cell r="F76"/>
          <cell r="G76">
            <v>0</v>
          </cell>
        </row>
        <row r="77">
          <cell r="A77" t="str">
            <v>MERCURY</v>
          </cell>
          <cell r="B77" t="str">
            <v>Noncancer</v>
          </cell>
          <cell r="C77"/>
          <cell r="D77"/>
          <cell r="E77"/>
          <cell r="F77"/>
          <cell r="G77">
            <v>0</v>
          </cell>
        </row>
        <row r="78">
          <cell r="A78" t="str">
            <v>METHOXYCHLOR</v>
          </cell>
          <cell r="B78" t="str">
            <v>Noncancer</v>
          </cell>
          <cell r="C78"/>
          <cell r="D78"/>
          <cell r="E78"/>
          <cell r="F78"/>
          <cell r="G78">
            <v>0</v>
          </cell>
        </row>
        <row r="79">
          <cell r="A79" t="str">
            <v>METHYL ETHYL KETONE</v>
          </cell>
          <cell r="B79" t="str">
            <v>Noncancer</v>
          </cell>
          <cell r="C79">
            <v>3.4</v>
          </cell>
          <cell r="D79">
            <v>5.3</v>
          </cell>
          <cell r="E79">
            <v>12</v>
          </cell>
          <cell r="F79">
            <v>42.18</v>
          </cell>
          <cell r="G79">
            <v>12</v>
          </cell>
        </row>
        <row r="80">
          <cell r="A80" t="str">
            <v>METHYL ISOBUTYL KETONE</v>
          </cell>
          <cell r="B80" t="str">
            <v>Noncancer</v>
          </cell>
          <cell r="C80">
            <v>0.33</v>
          </cell>
          <cell r="D80">
            <v>0.86</v>
          </cell>
          <cell r="E80">
            <v>2.2000000000000002</v>
          </cell>
          <cell r="F80"/>
          <cell r="G80">
            <v>2.2000000000000002</v>
          </cell>
        </row>
        <row r="81">
          <cell r="A81" t="str">
            <v>METHYL MERCURY</v>
          </cell>
          <cell r="B81" t="str">
            <v>Noncancer</v>
          </cell>
          <cell r="C81"/>
          <cell r="D81"/>
          <cell r="E81"/>
          <cell r="F81"/>
          <cell r="G81">
            <v>0</v>
          </cell>
        </row>
        <row r="82">
          <cell r="A82" t="str">
            <v>METHYL TERT BUTYL ETHER</v>
          </cell>
          <cell r="B82" t="str">
            <v>Noncancer</v>
          </cell>
          <cell r="C82">
            <v>3.5</v>
          </cell>
          <cell r="D82">
            <v>6.9</v>
          </cell>
          <cell r="E82">
            <v>39</v>
          </cell>
          <cell r="F82"/>
          <cell r="G82">
            <v>39</v>
          </cell>
        </row>
        <row r="83">
          <cell r="A83" t="str">
            <v>METHYLNAPHTHALENE, 2-</v>
          </cell>
          <cell r="B83" t="str">
            <v>Noncancer</v>
          </cell>
          <cell r="C83"/>
          <cell r="D83"/>
          <cell r="E83"/>
          <cell r="F83">
            <v>1.74</v>
          </cell>
          <cell r="G83">
            <v>1.74</v>
          </cell>
        </row>
        <row r="84">
          <cell r="A84" t="str">
            <v>NAPHTHALENE</v>
          </cell>
          <cell r="B84" t="str">
            <v>Noncancer</v>
          </cell>
          <cell r="C84" t="str">
            <v>ND</v>
          </cell>
          <cell r="D84" t="str">
            <v>ND</v>
          </cell>
          <cell r="E84">
            <v>2.7</v>
          </cell>
          <cell r="F84">
            <v>5</v>
          </cell>
          <cell r="G84">
            <v>2.7</v>
          </cell>
        </row>
        <row r="85">
          <cell r="A85" t="str">
            <v>NICKEL</v>
          </cell>
          <cell r="B85" t="str">
            <v>Cancer</v>
          </cell>
          <cell r="C85"/>
          <cell r="D85"/>
          <cell r="E85"/>
          <cell r="F85"/>
          <cell r="G85">
            <v>0</v>
          </cell>
        </row>
        <row r="86">
          <cell r="A86" t="str">
            <v>PENTACHLOROPHENOL</v>
          </cell>
          <cell r="B86" t="str">
            <v>Noncancer</v>
          </cell>
          <cell r="C86"/>
          <cell r="D86"/>
          <cell r="E86"/>
          <cell r="F86"/>
          <cell r="G86">
            <v>0</v>
          </cell>
        </row>
        <row r="87">
          <cell r="A87" t="str">
            <v>PER- AND POLYFLUORALKYL SUBSTANCES (PFAS)</v>
          </cell>
          <cell r="B87"/>
          <cell r="C87"/>
          <cell r="D87"/>
          <cell r="E87"/>
          <cell r="F87"/>
          <cell r="G87"/>
        </row>
        <row r="88">
          <cell r="A88" t="str">
            <v>PERFLUORODECANOIC ACID (PFDA)</v>
          </cell>
          <cell r="B88"/>
          <cell r="C88"/>
          <cell r="D88"/>
          <cell r="E88"/>
          <cell r="F88"/>
          <cell r="G88"/>
        </row>
        <row r="89">
          <cell r="A89" t="str">
            <v>PERFLUOROHEPTANOIC ACID (PFHpA)</v>
          </cell>
          <cell r="B89"/>
          <cell r="C89"/>
          <cell r="D89"/>
          <cell r="E89"/>
          <cell r="F89"/>
          <cell r="G89"/>
        </row>
        <row r="90">
          <cell r="A90" t="str">
            <v>PERFLUOROHEXANESULFONIC ACID (PFHxS)</v>
          </cell>
          <cell r="B90"/>
          <cell r="C90"/>
          <cell r="D90"/>
          <cell r="E90"/>
          <cell r="F90"/>
          <cell r="G90"/>
        </row>
        <row r="91">
          <cell r="A91" t="str">
            <v>PERFLUOROOCTANOIC ACID (PFOA)</v>
          </cell>
          <cell r="B91"/>
          <cell r="C91"/>
          <cell r="D91"/>
          <cell r="E91"/>
          <cell r="F91"/>
          <cell r="G91"/>
        </row>
        <row r="92">
          <cell r="A92" t="str">
            <v>PERFLUOROOCTANESULFONIC ACID (PFOS)</v>
          </cell>
          <cell r="B92"/>
          <cell r="C92"/>
          <cell r="D92"/>
          <cell r="E92"/>
          <cell r="F92"/>
          <cell r="G92"/>
        </row>
        <row r="93">
          <cell r="A93" t="str">
            <v>PERFLUORONONANOIC ACID (PFNA)</v>
          </cell>
          <cell r="B93"/>
          <cell r="C93"/>
          <cell r="D93"/>
          <cell r="E93"/>
          <cell r="F93"/>
          <cell r="G93"/>
        </row>
        <row r="94">
          <cell r="A94" t="str">
            <v>PERCHLORATE</v>
          </cell>
          <cell r="B94" t="str">
            <v>Noncancer</v>
          </cell>
          <cell r="C94"/>
          <cell r="D94"/>
          <cell r="E94"/>
          <cell r="F94"/>
          <cell r="G94">
            <v>0</v>
          </cell>
        </row>
        <row r="95">
          <cell r="A95" t="str">
            <v>PETROLEUM HYDROCARBONS</v>
          </cell>
          <cell r="B95">
            <v>0</v>
          </cell>
          <cell r="C95"/>
          <cell r="D95"/>
          <cell r="E95"/>
          <cell r="F95"/>
          <cell r="G95">
            <v>0</v>
          </cell>
        </row>
        <row r="96">
          <cell r="A96" t="str">
            <v>PETROLEUM HYDROCARBONS Aliphatics C5 to C8</v>
          </cell>
          <cell r="B96" t="str">
            <v>Noncancer</v>
          </cell>
          <cell r="C96">
            <v>58</v>
          </cell>
          <cell r="D96">
            <v>130</v>
          </cell>
          <cell r="E96">
            <v>330</v>
          </cell>
          <cell r="F96">
            <v>85</v>
          </cell>
          <cell r="G96">
            <v>330</v>
          </cell>
        </row>
        <row r="97">
          <cell r="A97" t="str">
            <v>PETROLEUM HYDROCARBONS Aliphatics C9 to C12</v>
          </cell>
          <cell r="B97" t="str">
            <v>Noncancer</v>
          </cell>
          <cell r="C97">
            <v>68</v>
          </cell>
          <cell r="D97">
            <v>110</v>
          </cell>
          <cell r="E97">
            <v>220</v>
          </cell>
          <cell r="F97">
            <v>90</v>
          </cell>
          <cell r="G97">
            <v>220</v>
          </cell>
        </row>
        <row r="98">
          <cell r="A98" t="str">
            <v>PETROLEUM HYDROCARBONS Aliphatics C9 to C18</v>
          </cell>
          <cell r="B98" t="str">
            <v>Noncancer</v>
          </cell>
          <cell r="C98"/>
          <cell r="D98"/>
          <cell r="E98"/>
          <cell r="F98">
            <v>100</v>
          </cell>
          <cell r="G98">
            <v>100</v>
          </cell>
        </row>
        <row r="99">
          <cell r="A99" t="str">
            <v>PETROLEUM HYDROCARBONS Aliphatics C19 to C36</v>
          </cell>
          <cell r="B99">
            <v>0</v>
          </cell>
          <cell r="C99"/>
          <cell r="D99"/>
          <cell r="E99"/>
          <cell r="F99"/>
          <cell r="G99">
            <v>0</v>
          </cell>
        </row>
        <row r="100">
          <cell r="A100" t="str">
            <v>PETROLEUM HYDROCARBONS Aromatics C9 to C10</v>
          </cell>
          <cell r="B100" t="str">
            <v>Noncancer</v>
          </cell>
          <cell r="C100" t="str">
            <v>ND</v>
          </cell>
          <cell r="D100" t="str">
            <v>ND</v>
          </cell>
          <cell r="E100">
            <v>44</v>
          </cell>
          <cell r="F100">
            <v>80</v>
          </cell>
          <cell r="G100">
            <v>44</v>
          </cell>
        </row>
        <row r="101">
          <cell r="A101" t="str">
            <v>PETROLEUM HYDROCARBONS Aromatics C11 to C22</v>
          </cell>
          <cell r="B101" t="str">
            <v>Noncancer</v>
          </cell>
          <cell r="C101"/>
          <cell r="D101"/>
          <cell r="E101"/>
          <cell r="F101">
            <v>50</v>
          </cell>
          <cell r="G101">
            <v>50</v>
          </cell>
        </row>
        <row r="102">
          <cell r="A102" t="str">
            <v>PHENANTHRENE</v>
          </cell>
          <cell r="B102" t="str">
            <v>Noncancer</v>
          </cell>
          <cell r="C102"/>
          <cell r="D102"/>
          <cell r="E102"/>
          <cell r="F102"/>
          <cell r="G102">
            <v>0</v>
          </cell>
        </row>
        <row r="103">
          <cell r="A103" t="str">
            <v>PHENOL</v>
          </cell>
          <cell r="B103" t="str">
            <v>Noncancer</v>
          </cell>
          <cell r="C103"/>
          <cell r="D103"/>
          <cell r="E103"/>
          <cell r="F103"/>
          <cell r="G103">
            <v>0</v>
          </cell>
        </row>
        <row r="104">
          <cell r="A104" t="str">
            <v>POLYCHLORINATED BIPHENYLS (PCBs)</v>
          </cell>
          <cell r="B104" t="str">
            <v>Noncancer</v>
          </cell>
          <cell r="C104"/>
          <cell r="D104"/>
          <cell r="E104"/>
          <cell r="F104"/>
          <cell r="G104">
            <v>0</v>
          </cell>
        </row>
        <row r="105">
          <cell r="A105" t="str">
            <v>PYRENE</v>
          </cell>
          <cell r="B105" t="str">
            <v>Noncancer</v>
          </cell>
          <cell r="C105"/>
          <cell r="D105"/>
          <cell r="E105"/>
          <cell r="F105"/>
          <cell r="G105">
            <v>0</v>
          </cell>
        </row>
        <row r="106">
          <cell r="A106" t="str">
            <v>RDX</v>
          </cell>
          <cell r="B106" t="str">
            <v>Cancer</v>
          </cell>
          <cell r="C106"/>
          <cell r="D106"/>
          <cell r="E106"/>
          <cell r="F106"/>
          <cell r="G106">
            <v>0</v>
          </cell>
        </row>
        <row r="107">
          <cell r="A107" t="str">
            <v>SELENIUM</v>
          </cell>
          <cell r="B107" t="str">
            <v>Noncancer</v>
          </cell>
          <cell r="C107"/>
          <cell r="D107"/>
          <cell r="E107"/>
          <cell r="F107"/>
          <cell r="G107">
            <v>0</v>
          </cell>
        </row>
        <row r="108">
          <cell r="A108" t="str">
            <v>SILVER</v>
          </cell>
          <cell r="B108" t="str">
            <v>Noncancer</v>
          </cell>
          <cell r="C108"/>
          <cell r="D108"/>
          <cell r="E108"/>
          <cell r="F108"/>
          <cell r="G108">
            <v>0</v>
          </cell>
        </row>
        <row r="109">
          <cell r="A109" t="str">
            <v>STYRENE</v>
          </cell>
          <cell r="B109" t="str">
            <v>Cancer</v>
          </cell>
          <cell r="C109">
            <v>0.63</v>
          </cell>
          <cell r="D109">
            <v>1.1000000000000001</v>
          </cell>
          <cell r="E109">
            <v>1.4</v>
          </cell>
          <cell r="F109">
            <v>2.79</v>
          </cell>
          <cell r="G109">
            <v>1.4</v>
          </cell>
        </row>
        <row r="110">
          <cell r="A110" t="str">
            <v>TCDD, 2,3,7,8-  (equivalents)</v>
          </cell>
          <cell r="B110" t="str">
            <v>Noncancer</v>
          </cell>
          <cell r="C110"/>
          <cell r="D110"/>
          <cell r="E110"/>
          <cell r="F110"/>
          <cell r="G110">
            <v>0</v>
          </cell>
        </row>
        <row r="111">
          <cell r="A111" t="str">
            <v>TETRACHLOROETHANE, 1,1,1,2-</v>
          </cell>
          <cell r="B111" t="str">
            <v>Cancer</v>
          </cell>
          <cell r="C111"/>
          <cell r="D111"/>
          <cell r="E111"/>
          <cell r="F111"/>
          <cell r="G111">
            <v>0</v>
          </cell>
        </row>
        <row r="112">
          <cell r="A112" t="str">
            <v>TETRACHLOROETHANE, 1,1,2,2-</v>
          </cell>
          <cell r="B112" t="str">
            <v>Cancer</v>
          </cell>
          <cell r="C112"/>
          <cell r="D112"/>
          <cell r="E112"/>
          <cell r="F112"/>
          <cell r="G112">
            <v>0</v>
          </cell>
        </row>
        <row r="113">
          <cell r="A113" t="str">
            <v>TETRACHLOROETHYLENE</v>
          </cell>
          <cell r="B113" t="str">
            <v>Cancer</v>
          </cell>
          <cell r="C113">
            <v>1.4</v>
          </cell>
          <cell r="D113">
            <v>2.4</v>
          </cell>
          <cell r="E113">
            <v>4.0999999999999996</v>
          </cell>
          <cell r="F113">
            <v>11.01</v>
          </cell>
          <cell r="G113">
            <v>4.0999999999999996</v>
          </cell>
        </row>
        <row r="114">
          <cell r="A114" t="str">
            <v>THALLIUM</v>
          </cell>
          <cell r="B114" t="str">
            <v>Noncancer</v>
          </cell>
          <cell r="C114"/>
          <cell r="D114"/>
          <cell r="E114"/>
          <cell r="F114"/>
          <cell r="G114">
            <v>0</v>
          </cell>
        </row>
        <row r="115">
          <cell r="A115" t="str">
            <v>TOLUENE</v>
          </cell>
          <cell r="B115" t="str">
            <v>Noncancer</v>
          </cell>
          <cell r="C115">
            <v>11</v>
          </cell>
          <cell r="D115">
            <v>21</v>
          </cell>
          <cell r="E115">
            <v>54</v>
          </cell>
          <cell r="F115">
            <v>28.65</v>
          </cell>
          <cell r="G115">
            <v>54</v>
          </cell>
        </row>
        <row r="116">
          <cell r="A116" t="str">
            <v>TRICHLOROBENZENE, 1,2,4-</v>
          </cell>
          <cell r="B116" t="str">
            <v>Noncancer</v>
          </cell>
          <cell r="C116" t="str">
            <v>ND</v>
          </cell>
          <cell r="D116" t="str">
            <v>ND</v>
          </cell>
          <cell r="E116">
            <v>3.4</v>
          </cell>
          <cell r="F116">
            <v>0.59</v>
          </cell>
          <cell r="G116">
            <v>3.4</v>
          </cell>
        </row>
        <row r="117">
          <cell r="A117" t="str">
            <v>TRICHLOROETHANE, 1,1,1-</v>
          </cell>
          <cell r="B117" t="str">
            <v>Noncancer</v>
          </cell>
          <cell r="C117">
            <v>0.5</v>
          </cell>
          <cell r="D117">
            <v>1.1000000000000001</v>
          </cell>
          <cell r="E117">
            <v>3</v>
          </cell>
          <cell r="F117">
            <v>19.96</v>
          </cell>
          <cell r="G117">
            <v>3</v>
          </cell>
        </row>
        <row r="118">
          <cell r="A118" t="str">
            <v>TRICHLOROETHANE, 1,1,2-</v>
          </cell>
          <cell r="B118" t="str">
            <v>Cancer</v>
          </cell>
          <cell r="C118"/>
          <cell r="D118"/>
          <cell r="E118"/>
          <cell r="F118">
            <v>9.98</v>
          </cell>
          <cell r="G118">
            <v>9.98</v>
          </cell>
        </row>
        <row r="119">
          <cell r="A119" t="str">
            <v>TRICHLOROETHYLENE</v>
          </cell>
          <cell r="B119" t="str">
            <v>Noncancer</v>
          </cell>
          <cell r="C119">
            <v>0.28999999999999998</v>
          </cell>
          <cell r="D119">
            <v>0.68</v>
          </cell>
          <cell r="E119">
            <v>0.8</v>
          </cell>
          <cell r="F119">
            <v>4.49</v>
          </cell>
          <cell r="G119">
            <v>0.8</v>
          </cell>
        </row>
        <row r="120">
          <cell r="A120" t="str">
            <v>TRICHLOROPHENOL, 2,4,5-</v>
          </cell>
          <cell r="B120" t="str">
            <v>Noncancer</v>
          </cell>
          <cell r="C120"/>
          <cell r="D120"/>
          <cell r="E120"/>
          <cell r="F120"/>
          <cell r="G120">
            <v>0</v>
          </cell>
        </row>
        <row r="121">
          <cell r="A121" t="str">
            <v>TRICHLOROPHENOL 2,4,6-</v>
          </cell>
          <cell r="B121" t="str">
            <v>Cancer</v>
          </cell>
          <cell r="C121"/>
          <cell r="D121"/>
          <cell r="E121"/>
          <cell r="F121"/>
          <cell r="G121">
            <v>0</v>
          </cell>
        </row>
        <row r="122">
          <cell r="A122" t="str">
            <v>VANADIUM</v>
          </cell>
          <cell r="B122" t="str">
            <v>Noncancer</v>
          </cell>
          <cell r="C122"/>
          <cell r="D122"/>
          <cell r="E122"/>
          <cell r="F122"/>
          <cell r="G122">
            <v>0</v>
          </cell>
        </row>
        <row r="123">
          <cell r="A123" t="str">
            <v>VINYL CHLORIDE</v>
          </cell>
          <cell r="B123" t="str">
            <v>Cancer</v>
          </cell>
          <cell r="C123"/>
          <cell r="D123"/>
          <cell r="E123"/>
          <cell r="F123"/>
          <cell r="G123">
            <v>0</v>
          </cell>
        </row>
        <row r="124">
          <cell r="A124" t="str">
            <v>XYLENES (Mixed Isomers)</v>
          </cell>
          <cell r="B124" t="str">
            <v>Noncancer</v>
          </cell>
          <cell r="C124">
            <v>5.9</v>
          </cell>
          <cell r="D124">
            <v>9.4</v>
          </cell>
          <cell r="E124">
            <v>28</v>
          </cell>
          <cell r="F124">
            <v>72.41</v>
          </cell>
          <cell r="G124">
            <v>28</v>
          </cell>
        </row>
        <row r="125">
          <cell r="A125" t="str">
            <v>ZINC</v>
          </cell>
          <cell r="B125" t="str">
            <v>Noncancer</v>
          </cell>
          <cell r="C125"/>
          <cell r="D125"/>
          <cell r="E125"/>
          <cell r="F125"/>
          <cell r="G125">
            <v>0</v>
          </cell>
        </row>
      </sheetData>
      <sheetData sheetId="9"/>
      <sheetData sheetId="10"/>
      <sheetData sheetId="11"/>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hyperlink" Target="../MCP%20Soil_022020.xlsx" TargetMode="External"/><Relationship Id="rId7" Type="http://schemas.openxmlformats.org/officeDocument/2006/relationships/vmlDrawing" Target="../drawings/vmlDrawing1.vml"/><Relationship Id="rId2" Type="http://schemas.openxmlformats.org/officeDocument/2006/relationships/hyperlink" Target="../MCP%20GW_022020.xlsx" TargetMode="External"/><Relationship Id="rId1" Type="http://schemas.openxmlformats.org/officeDocument/2006/relationships/hyperlink" Target="../MCP%20GW2%20alpha_022020.xlsx" TargetMode="External"/><Relationship Id="rId6" Type="http://schemas.openxmlformats.org/officeDocument/2006/relationships/printerSettings" Target="../printerSettings/printerSettings1.bin"/><Relationship Id="rId5" Type="http://schemas.openxmlformats.org/officeDocument/2006/relationships/hyperlink" Target="../MCP%20Standards_022020.xlsx" TargetMode="External"/><Relationship Id="rId4" Type="http://schemas.openxmlformats.org/officeDocument/2006/relationships/hyperlink" Target="../MCP%20Leach_022020xlsx.xlsx"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66"/>
  <sheetViews>
    <sheetView showGridLines="0" showRowColHeaders="0" tabSelected="1" zoomScaleNormal="100" workbookViewId="0">
      <selection activeCell="B2" sqref="B2:G2"/>
    </sheetView>
  </sheetViews>
  <sheetFormatPr defaultColWidth="9.08984375" defaultRowHeight="12.5" x14ac:dyDescent="0.25"/>
  <cols>
    <col min="1" max="1" width="3.36328125" style="356" customWidth="1"/>
    <col min="2" max="2" width="4.81640625" style="356" customWidth="1"/>
    <col min="3" max="3" width="1.6328125" style="356" customWidth="1"/>
    <col min="4" max="4" width="19.81640625" style="356" customWidth="1"/>
    <col min="5" max="5" width="61.6328125" style="356" customWidth="1"/>
    <col min="6" max="6" width="3" style="356" customWidth="1"/>
    <col min="7" max="7" width="4.81640625" style="356" customWidth="1"/>
    <col min="8" max="8" width="17.36328125" style="356" customWidth="1"/>
    <col min="9" max="16384" width="9.08984375" style="356"/>
  </cols>
  <sheetData>
    <row r="1" spans="1:27" ht="10.25" customHeight="1" thickTop="1" x14ac:dyDescent="0.3">
      <c r="A1" s="376"/>
      <c r="B1" s="411"/>
      <c r="C1" s="412"/>
      <c r="D1" s="412"/>
      <c r="E1" s="412"/>
      <c r="F1" s="412"/>
      <c r="G1" s="413"/>
      <c r="H1" s="376"/>
      <c r="I1" s="376"/>
      <c r="J1" s="376"/>
      <c r="K1" s="376"/>
      <c r="L1" s="376"/>
      <c r="M1" s="376"/>
      <c r="N1" s="376"/>
      <c r="O1" s="376"/>
      <c r="P1" s="376"/>
      <c r="Q1" s="376"/>
      <c r="R1" s="376"/>
      <c r="S1" s="376"/>
      <c r="T1" s="376"/>
      <c r="U1" s="376"/>
      <c r="V1" s="376"/>
      <c r="W1" s="376"/>
      <c r="X1" s="376"/>
      <c r="Y1" s="376"/>
      <c r="Z1" s="376"/>
      <c r="AA1" s="376"/>
    </row>
    <row r="2" spans="1:27" ht="35.5" customHeight="1" x14ac:dyDescent="0.25">
      <c r="A2" s="376"/>
      <c r="B2" s="495" t="s">
        <v>269</v>
      </c>
      <c r="C2" s="496"/>
      <c r="D2" s="496"/>
      <c r="E2" s="496"/>
      <c r="F2" s="496"/>
      <c r="G2" s="497"/>
      <c r="H2" s="376"/>
      <c r="I2" s="376"/>
      <c r="J2" s="376"/>
      <c r="K2" s="376"/>
      <c r="L2" s="376"/>
      <c r="M2" s="376"/>
      <c r="N2" s="376"/>
      <c r="O2" s="376"/>
      <c r="P2" s="376"/>
      <c r="Q2" s="376"/>
      <c r="R2" s="376"/>
      <c r="S2" s="376"/>
      <c r="T2" s="376"/>
      <c r="U2" s="376"/>
      <c r="V2" s="376"/>
      <c r="W2" s="376"/>
      <c r="X2" s="376"/>
      <c r="Y2" s="376"/>
      <c r="Z2" s="376"/>
      <c r="AA2" s="376"/>
    </row>
    <row r="3" spans="1:27" ht="18" hidden="1" x14ac:dyDescent="0.4">
      <c r="A3" s="376"/>
      <c r="B3" s="380"/>
      <c r="C3" s="378"/>
      <c r="D3" s="375"/>
      <c r="E3" s="375"/>
      <c r="F3" s="378"/>
      <c r="G3" s="379"/>
      <c r="H3" s="376"/>
      <c r="I3" s="376"/>
      <c r="J3" s="376"/>
      <c r="K3" s="376"/>
      <c r="L3" s="376"/>
      <c r="M3" s="376"/>
      <c r="N3" s="376"/>
      <c r="O3" s="376"/>
      <c r="P3" s="376"/>
      <c r="Q3" s="376"/>
      <c r="R3" s="376"/>
      <c r="S3" s="376"/>
      <c r="T3" s="376"/>
      <c r="U3" s="376"/>
      <c r="V3" s="376"/>
      <c r="W3" s="376"/>
      <c r="X3" s="376"/>
      <c r="Y3" s="376"/>
      <c r="Z3" s="376"/>
      <c r="AA3" s="376"/>
    </row>
    <row r="4" spans="1:27" ht="13" x14ac:dyDescent="0.3">
      <c r="A4" s="376"/>
      <c r="B4" s="377"/>
      <c r="C4" s="378"/>
      <c r="D4" s="498" t="s">
        <v>270</v>
      </c>
      <c r="E4" s="498"/>
      <c r="F4" s="378"/>
      <c r="G4" s="379"/>
      <c r="H4" s="376"/>
      <c r="I4" s="376"/>
      <c r="J4" s="376"/>
      <c r="K4" s="376"/>
      <c r="L4" s="376"/>
      <c r="M4" s="376"/>
      <c r="N4" s="376"/>
      <c r="O4" s="376"/>
      <c r="P4" s="376"/>
      <c r="Q4" s="376"/>
      <c r="R4" s="376"/>
      <c r="S4" s="376"/>
      <c r="T4" s="376"/>
      <c r="U4" s="376"/>
      <c r="V4" s="376"/>
      <c r="W4" s="376"/>
      <c r="X4" s="376"/>
      <c r="Y4" s="376"/>
      <c r="Z4" s="376"/>
      <c r="AA4" s="376"/>
    </row>
    <row r="5" spans="1:27" x14ac:dyDescent="0.25">
      <c r="A5" s="376"/>
      <c r="B5" s="380"/>
      <c r="C5" s="378"/>
      <c r="D5" s="378"/>
      <c r="E5" s="378"/>
      <c r="F5" s="378"/>
      <c r="G5" s="379"/>
      <c r="H5" s="376"/>
      <c r="I5" s="376"/>
      <c r="J5" s="376"/>
      <c r="K5" s="376"/>
      <c r="L5" s="376"/>
      <c r="M5" s="376"/>
      <c r="N5" s="376"/>
      <c r="O5" s="376"/>
      <c r="P5" s="376"/>
      <c r="Q5" s="376"/>
      <c r="R5" s="376"/>
      <c r="S5" s="376"/>
      <c r="T5" s="376"/>
      <c r="U5" s="376"/>
      <c r="V5" s="376"/>
      <c r="W5" s="376"/>
      <c r="X5" s="376"/>
      <c r="Y5" s="376"/>
      <c r="Z5" s="376"/>
      <c r="AA5" s="376"/>
    </row>
    <row r="6" spans="1:27" ht="13.5" thickBot="1" x14ac:dyDescent="0.35">
      <c r="A6" s="376"/>
      <c r="B6" s="381"/>
      <c r="C6" s="378"/>
      <c r="D6" s="382" t="s">
        <v>271</v>
      </c>
      <c r="E6" s="382" t="s">
        <v>249</v>
      </c>
      <c r="F6" s="378"/>
      <c r="G6" s="379"/>
      <c r="H6" s="376"/>
      <c r="I6" s="376"/>
      <c r="J6" s="376"/>
      <c r="K6" s="376"/>
      <c r="L6" s="376"/>
      <c r="M6" s="376"/>
      <c r="N6" s="376"/>
      <c r="O6" s="376"/>
      <c r="P6" s="376"/>
      <c r="Q6" s="376"/>
      <c r="R6" s="376"/>
      <c r="S6" s="376"/>
      <c r="T6" s="376"/>
      <c r="U6" s="376"/>
      <c r="V6" s="376"/>
      <c r="W6" s="376"/>
      <c r="X6" s="376"/>
      <c r="Y6" s="376"/>
      <c r="Z6" s="376"/>
      <c r="AA6" s="376"/>
    </row>
    <row r="7" spans="1:27" x14ac:dyDescent="0.25">
      <c r="A7" s="376"/>
      <c r="B7" s="380"/>
      <c r="C7" s="378"/>
      <c r="D7" s="378"/>
      <c r="E7" s="378"/>
      <c r="F7" s="378"/>
      <c r="G7" s="379"/>
      <c r="H7" s="376"/>
      <c r="I7" s="376"/>
      <c r="J7" s="376"/>
      <c r="K7" s="376"/>
      <c r="L7" s="376"/>
      <c r="M7" s="376"/>
      <c r="N7" s="376"/>
      <c r="O7" s="376"/>
      <c r="P7" s="376"/>
      <c r="Q7" s="376"/>
      <c r="R7" s="376"/>
      <c r="S7" s="376"/>
      <c r="T7" s="376"/>
      <c r="U7" s="376"/>
      <c r="V7" s="376"/>
      <c r="W7" s="376"/>
      <c r="X7" s="376"/>
      <c r="Y7" s="376"/>
      <c r="Z7" s="376"/>
      <c r="AA7" s="376"/>
    </row>
    <row r="8" spans="1:27" x14ac:dyDescent="0.25">
      <c r="A8" s="376"/>
      <c r="B8" s="380"/>
      <c r="C8" s="383"/>
      <c r="D8" s="415" t="s">
        <v>272</v>
      </c>
      <c r="E8" s="384" t="s">
        <v>273</v>
      </c>
      <c r="F8" s="378"/>
      <c r="G8" s="379"/>
      <c r="H8" s="376"/>
      <c r="I8" s="376"/>
      <c r="J8" s="376"/>
      <c r="K8" s="376"/>
      <c r="L8" s="376"/>
      <c r="M8" s="376"/>
      <c r="N8" s="376"/>
      <c r="O8" s="376"/>
      <c r="P8" s="376"/>
      <c r="Q8" s="376"/>
      <c r="R8" s="376"/>
      <c r="S8" s="376"/>
      <c r="T8" s="376"/>
      <c r="U8" s="376"/>
      <c r="V8" s="376"/>
      <c r="W8" s="376"/>
      <c r="X8" s="376"/>
      <c r="Y8" s="376"/>
      <c r="Z8" s="376"/>
      <c r="AA8" s="376"/>
    </row>
    <row r="9" spans="1:27" x14ac:dyDescent="0.25">
      <c r="A9" s="376"/>
      <c r="B9" s="380"/>
      <c r="C9" s="378"/>
      <c r="D9" s="378"/>
      <c r="E9" s="384"/>
      <c r="F9" s="378"/>
      <c r="G9" s="379"/>
      <c r="H9" s="376"/>
      <c r="I9" s="376"/>
      <c r="J9" s="376"/>
      <c r="K9" s="376"/>
      <c r="L9" s="376"/>
      <c r="M9" s="376"/>
      <c r="N9" s="376"/>
      <c r="O9" s="376"/>
      <c r="P9" s="376"/>
      <c r="Q9" s="376"/>
      <c r="R9" s="376"/>
      <c r="S9" s="376"/>
      <c r="T9" s="376"/>
      <c r="U9" s="376"/>
      <c r="V9" s="376"/>
      <c r="W9" s="376"/>
      <c r="X9" s="376"/>
      <c r="Y9" s="376"/>
      <c r="Z9" s="376"/>
      <c r="AA9" s="376"/>
    </row>
    <row r="10" spans="1:27" x14ac:dyDescent="0.25">
      <c r="A10" s="376"/>
      <c r="B10" s="380"/>
      <c r="C10" s="385"/>
      <c r="D10" s="386" t="s">
        <v>274</v>
      </c>
      <c r="E10" s="384" t="s">
        <v>275</v>
      </c>
      <c r="F10" s="378"/>
      <c r="G10" s="379"/>
      <c r="H10" s="376"/>
      <c r="I10" s="376"/>
      <c r="J10" s="376"/>
      <c r="K10" s="376"/>
      <c r="L10" s="376"/>
      <c r="M10" s="376"/>
      <c r="N10" s="376"/>
      <c r="O10" s="376"/>
      <c r="P10" s="376"/>
      <c r="Q10" s="376"/>
      <c r="R10" s="376"/>
      <c r="S10" s="376"/>
      <c r="T10" s="376"/>
      <c r="U10" s="376"/>
      <c r="V10" s="376"/>
      <c r="W10" s="376"/>
      <c r="X10" s="376"/>
      <c r="Y10" s="376"/>
      <c r="Z10" s="376"/>
      <c r="AA10" s="376"/>
    </row>
    <row r="11" spans="1:27" ht="13" x14ac:dyDescent="0.3">
      <c r="A11" s="376"/>
      <c r="B11" s="380"/>
      <c r="C11" s="385"/>
      <c r="D11" s="387"/>
      <c r="E11" s="384"/>
      <c r="F11" s="378"/>
      <c r="G11" s="379"/>
      <c r="H11" s="376"/>
      <c r="I11" s="376"/>
      <c r="J11" s="376"/>
      <c r="K11" s="376"/>
      <c r="L11" s="376"/>
      <c r="M11" s="376"/>
      <c r="N11" s="376"/>
      <c r="O11" s="376"/>
      <c r="P11" s="376"/>
      <c r="Q11" s="376"/>
      <c r="R11" s="376"/>
      <c r="S11" s="376"/>
      <c r="T11" s="376"/>
      <c r="U11" s="376"/>
      <c r="V11" s="376"/>
      <c r="W11" s="376"/>
      <c r="X11" s="376"/>
      <c r="Y11" s="376"/>
      <c r="Z11" s="376"/>
      <c r="AA11" s="376"/>
    </row>
    <row r="12" spans="1:27" x14ac:dyDescent="0.25">
      <c r="A12" s="376"/>
      <c r="B12" s="380"/>
      <c r="C12" s="385"/>
      <c r="D12" s="388" t="s">
        <v>276</v>
      </c>
      <c r="E12" s="384" t="s">
        <v>277</v>
      </c>
      <c r="F12" s="378"/>
      <c r="G12" s="379"/>
      <c r="H12" s="376"/>
      <c r="I12" s="376"/>
      <c r="J12" s="376"/>
      <c r="K12" s="376"/>
      <c r="L12" s="376"/>
      <c r="M12" s="376"/>
      <c r="N12" s="376"/>
      <c r="O12" s="376"/>
      <c r="P12" s="376"/>
      <c r="Q12" s="376"/>
      <c r="R12" s="376"/>
      <c r="S12" s="376"/>
      <c r="T12" s="376"/>
      <c r="U12" s="376"/>
      <c r="V12" s="376"/>
      <c r="W12" s="376"/>
      <c r="X12" s="376"/>
      <c r="Y12" s="376"/>
      <c r="Z12" s="376"/>
      <c r="AA12" s="376"/>
    </row>
    <row r="13" spans="1:27" ht="13" x14ac:dyDescent="0.3">
      <c r="A13" s="376"/>
      <c r="B13" s="380"/>
      <c r="C13" s="389"/>
      <c r="D13" s="387"/>
      <c r="E13" s="384"/>
      <c r="F13" s="378"/>
      <c r="G13" s="379"/>
      <c r="H13" s="376"/>
      <c r="I13" s="376"/>
      <c r="J13" s="376"/>
      <c r="K13" s="376"/>
      <c r="L13" s="376"/>
      <c r="M13" s="376"/>
      <c r="N13" s="376"/>
      <c r="O13" s="376"/>
      <c r="P13" s="376"/>
      <c r="Q13" s="376"/>
      <c r="R13" s="376"/>
      <c r="S13" s="376"/>
      <c r="T13" s="376"/>
      <c r="U13" s="376"/>
      <c r="V13" s="376"/>
      <c r="W13" s="376"/>
      <c r="X13" s="376"/>
      <c r="Y13" s="376"/>
      <c r="Z13" s="376"/>
      <c r="AA13" s="376"/>
    </row>
    <row r="14" spans="1:27" x14ac:dyDescent="0.25">
      <c r="A14" s="376"/>
      <c r="B14" s="380"/>
      <c r="C14" s="385"/>
      <c r="D14" s="388" t="s">
        <v>671</v>
      </c>
      <c r="E14" s="384" t="s">
        <v>290</v>
      </c>
      <c r="F14" s="378"/>
      <c r="G14" s="379"/>
      <c r="H14" s="376"/>
      <c r="I14" s="376"/>
      <c r="J14" s="376"/>
      <c r="K14" s="376"/>
      <c r="L14" s="376"/>
      <c r="M14" s="376"/>
      <c r="N14" s="376"/>
      <c r="O14" s="376"/>
      <c r="P14" s="376"/>
      <c r="Q14" s="376"/>
      <c r="R14" s="376"/>
      <c r="S14" s="376"/>
      <c r="T14" s="376"/>
      <c r="U14" s="376"/>
      <c r="V14" s="376"/>
      <c r="W14" s="376"/>
      <c r="X14" s="376"/>
      <c r="Y14" s="376"/>
      <c r="Z14" s="376"/>
      <c r="AA14" s="376"/>
    </row>
    <row r="15" spans="1:27" x14ac:dyDescent="0.25">
      <c r="A15" s="376"/>
      <c r="B15" s="380"/>
      <c r="C15" s="385"/>
      <c r="D15" s="388"/>
      <c r="E15" s="384"/>
      <c r="F15" s="378"/>
      <c r="G15" s="379"/>
      <c r="H15" s="376"/>
      <c r="I15" s="376"/>
      <c r="J15" s="376"/>
      <c r="K15" s="376"/>
      <c r="L15" s="376"/>
      <c r="M15" s="376"/>
      <c r="N15" s="376"/>
      <c r="O15" s="376"/>
      <c r="P15" s="376"/>
      <c r="Q15" s="376"/>
      <c r="R15" s="376"/>
      <c r="S15" s="376"/>
      <c r="T15" s="376"/>
      <c r="U15" s="376"/>
      <c r="V15" s="376"/>
      <c r="W15" s="376"/>
      <c r="X15" s="376"/>
      <c r="Y15" s="376"/>
      <c r="Z15" s="376"/>
      <c r="AA15" s="376"/>
    </row>
    <row r="16" spans="1:27" x14ac:dyDescent="0.25">
      <c r="A16" s="376"/>
      <c r="B16" s="380"/>
      <c r="C16" s="385"/>
      <c r="D16" s="388" t="s">
        <v>288</v>
      </c>
      <c r="E16" s="384" t="s">
        <v>289</v>
      </c>
      <c r="F16" s="378"/>
      <c r="G16" s="379"/>
      <c r="H16" s="376"/>
      <c r="I16" s="376"/>
      <c r="J16" s="376"/>
      <c r="K16" s="376"/>
      <c r="L16" s="376"/>
      <c r="M16" s="376"/>
      <c r="N16" s="376"/>
      <c r="O16" s="376"/>
      <c r="P16" s="376"/>
      <c r="Q16" s="376"/>
      <c r="R16" s="376"/>
      <c r="S16" s="376"/>
      <c r="T16" s="376"/>
      <c r="U16" s="376"/>
      <c r="V16" s="376"/>
      <c r="W16" s="376"/>
      <c r="X16" s="376"/>
      <c r="Y16" s="376"/>
      <c r="Z16" s="376"/>
      <c r="AA16" s="376"/>
    </row>
    <row r="17" spans="1:27" x14ac:dyDescent="0.25">
      <c r="A17" s="376"/>
      <c r="B17" s="380"/>
      <c r="C17" s="385"/>
      <c r="D17" s="388"/>
      <c r="E17" s="384"/>
      <c r="F17" s="378"/>
      <c r="G17" s="379"/>
      <c r="H17" s="376"/>
      <c r="I17" s="376"/>
      <c r="J17" s="376"/>
      <c r="K17" s="376"/>
      <c r="L17" s="376"/>
      <c r="M17" s="376"/>
      <c r="N17" s="376"/>
      <c r="O17" s="376"/>
      <c r="P17" s="376"/>
      <c r="Q17" s="376"/>
      <c r="R17" s="376"/>
      <c r="S17" s="376"/>
      <c r="T17" s="376"/>
      <c r="U17" s="376"/>
      <c r="V17" s="376"/>
      <c r="W17" s="376"/>
      <c r="X17" s="376"/>
      <c r="Y17" s="376"/>
      <c r="Z17" s="376"/>
      <c r="AA17" s="376"/>
    </row>
    <row r="18" spans="1:27" x14ac:dyDescent="0.25">
      <c r="A18" s="376"/>
      <c r="B18" s="380"/>
      <c r="C18" s="385"/>
      <c r="D18" s="388" t="s">
        <v>326</v>
      </c>
      <c r="E18" s="384" t="s">
        <v>327</v>
      </c>
      <c r="F18" s="378"/>
      <c r="G18" s="379"/>
      <c r="H18" s="376"/>
      <c r="I18" s="376"/>
      <c r="J18" s="376"/>
      <c r="K18" s="376"/>
      <c r="L18" s="376"/>
      <c r="M18" s="376"/>
      <c r="N18" s="376"/>
      <c r="O18" s="376"/>
      <c r="P18" s="376"/>
      <c r="Q18" s="376"/>
      <c r="R18" s="376"/>
      <c r="S18" s="376"/>
      <c r="T18" s="376"/>
      <c r="U18" s="376"/>
      <c r="V18" s="376"/>
      <c r="W18" s="376"/>
      <c r="X18" s="376"/>
      <c r="Y18" s="376"/>
      <c r="Z18" s="376"/>
      <c r="AA18" s="376"/>
    </row>
    <row r="19" spans="1:27" x14ac:dyDescent="0.25">
      <c r="A19" s="376"/>
      <c r="B19" s="380"/>
      <c r="C19" s="385"/>
      <c r="D19" s="388"/>
      <c r="E19" s="384"/>
      <c r="F19" s="378"/>
      <c r="G19" s="379"/>
      <c r="H19" s="376"/>
      <c r="I19" s="376"/>
      <c r="J19" s="376"/>
      <c r="K19" s="376"/>
      <c r="L19" s="376"/>
      <c r="M19" s="376"/>
      <c r="N19" s="376"/>
      <c r="O19" s="376"/>
      <c r="P19" s="376"/>
      <c r="Q19" s="376"/>
      <c r="R19" s="376"/>
      <c r="S19" s="376"/>
      <c r="T19" s="376"/>
      <c r="U19" s="376"/>
      <c r="V19" s="376"/>
      <c r="W19" s="376"/>
      <c r="X19" s="376"/>
      <c r="Y19" s="376"/>
      <c r="Z19" s="376"/>
      <c r="AA19" s="376"/>
    </row>
    <row r="20" spans="1:27" x14ac:dyDescent="0.25">
      <c r="A20" s="376"/>
      <c r="B20" s="380"/>
      <c r="C20" s="385"/>
      <c r="D20" s="388" t="s">
        <v>672</v>
      </c>
      <c r="E20" s="384" t="s">
        <v>673</v>
      </c>
      <c r="F20" s="378"/>
      <c r="G20" s="379"/>
      <c r="H20" s="376"/>
      <c r="I20" s="376"/>
      <c r="J20" s="376"/>
      <c r="K20" s="376"/>
      <c r="L20" s="376"/>
      <c r="M20" s="376"/>
      <c r="N20" s="376"/>
      <c r="O20" s="376"/>
      <c r="P20" s="376"/>
      <c r="Q20" s="376"/>
      <c r="R20" s="376"/>
      <c r="S20" s="376"/>
      <c r="T20" s="376"/>
      <c r="U20" s="376"/>
      <c r="V20" s="376"/>
      <c r="W20" s="376"/>
      <c r="X20" s="376"/>
      <c r="Y20" s="376"/>
      <c r="Z20" s="376"/>
      <c r="AA20" s="376"/>
    </row>
    <row r="21" spans="1:27" ht="13" x14ac:dyDescent="0.3">
      <c r="A21" s="376"/>
      <c r="B21" s="380"/>
      <c r="C21" s="385"/>
      <c r="D21" s="387"/>
      <c r="E21" s="384"/>
      <c r="F21" s="378"/>
      <c r="G21" s="379"/>
      <c r="H21" s="376"/>
      <c r="I21" s="376"/>
      <c r="J21" s="376"/>
      <c r="K21" s="376"/>
      <c r="L21" s="376"/>
      <c r="M21" s="376"/>
      <c r="N21" s="376"/>
      <c r="O21" s="376"/>
      <c r="P21" s="376"/>
      <c r="Q21" s="376"/>
      <c r="R21" s="376"/>
      <c r="S21" s="376"/>
      <c r="T21" s="376"/>
      <c r="U21" s="376"/>
      <c r="V21" s="376"/>
      <c r="W21" s="376"/>
      <c r="X21" s="376"/>
      <c r="Y21" s="376"/>
      <c r="Z21" s="376"/>
      <c r="AA21" s="376"/>
    </row>
    <row r="22" spans="1:27" ht="41.4" customHeight="1" x14ac:dyDescent="0.25">
      <c r="A22" s="376"/>
      <c r="B22" s="380"/>
      <c r="C22" s="385"/>
      <c r="D22" s="502" t="s">
        <v>696</v>
      </c>
      <c r="E22" s="503"/>
      <c r="F22" s="378"/>
      <c r="G22" s="379"/>
      <c r="H22" s="376"/>
      <c r="I22" s="376"/>
      <c r="J22" s="376"/>
      <c r="K22" s="376"/>
      <c r="L22" s="376"/>
      <c r="M22" s="376"/>
      <c r="N22" s="376"/>
      <c r="O22" s="376"/>
      <c r="P22" s="376"/>
      <c r="Q22" s="376"/>
      <c r="R22" s="376"/>
      <c r="S22" s="376"/>
      <c r="T22" s="376"/>
      <c r="U22" s="376"/>
      <c r="V22" s="376"/>
      <c r="W22" s="376"/>
      <c r="X22" s="376"/>
      <c r="Y22" s="376"/>
      <c r="Z22" s="376"/>
      <c r="AA22" s="376"/>
    </row>
    <row r="23" spans="1:27" ht="13" x14ac:dyDescent="0.3">
      <c r="A23" s="376"/>
      <c r="B23" s="380"/>
      <c r="C23" s="385"/>
      <c r="D23" s="387"/>
      <c r="E23" s="384"/>
      <c r="F23" s="378"/>
      <c r="G23" s="379"/>
      <c r="H23" s="376"/>
      <c r="I23" s="376"/>
      <c r="J23" s="376"/>
      <c r="K23" s="376"/>
      <c r="L23" s="376"/>
      <c r="M23" s="376"/>
      <c r="N23" s="376"/>
      <c r="O23" s="376"/>
      <c r="P23" s="376"/>
      <c r="Q23" s="376"/>
      <c r="R23" s="376"/>
      <c r="S23" s="376"/>
      <c r="T23" s="376"/>
      <c r="U23" s="376"/>
      <c r="V23" s="376"/>
      <c r="W23" s="376"/>
      <c r="X23" s="376"/>
      <c r="Y23" s="376"/>
      <c r="Z23" s="376"/>
      <c r="AA23" s="376"/>
    </row>
    <row r="24" spans="1:27" ht="13.5" thickBot="1" x14ac:dyDescent="0.35">
      <c r="A24" s="376"/>
      <c r="B24" s="380"/>
      <c r="C24" s="385"/>
      <c r="D24" s="382" t="s">
        <v>347</v>
      </c>
      <c r="E24" s="390" t="s">
        <v>249</v>
      </c>
      <c r="F24" s="391"/>
      <c r="G24" s="379"/>
      <c r="H24" s="376"/>
      <c r="I24" s="376"/>
      <c r="J24" s="376"/>
      <c r="K24" s="376"/>
      <c r="L24" s="376"/>
      <c r="M24" s="376"/>
      <c r="N24" s="376"/>
      <c r="O24" s="376"/>
      <c r="P24" s="376"/>
      <c r="Q24" s="376"/>
      <c r="R24" s="376"/>
      <c r="S24" s="376"/>
      <c r="T24" s="376"/>
      <c r="U24" s="376"/>
      <c r="V24" s="376"/>
      <c r="W24" s="376"/>
      <c r="X24" s="376"/>
      <c r="Y24" s="376"/>
      <c r="Z24" s="376"/>
      <c r="AA24" s="376"/>
    </row>
    <row r="25" spans="1:27" x14ac:dyDescent="0.25">
      <c r="A25" s="376"/>
      <c r="B25" s="380"/>
      <c r="C25" s="378"/>
      <c r="D25" s="378"/>
      <c r="E25" s="378"/>
      <c r="F25" s="378"/>
      <c r="G25" s="379"/>
      <c r="H25" s="376"/>
      <c r="I25" s="376"/>
      <c r="J25" s="376"/>
      <c r="K25" s="376"/>
      <c r="L25" s="376"/>
      <c r="M25" s="376"/>
      <c r="N25" s="376"/>
      <c r="O25" s="376"/>
      <c r="P25" s="376"/>
      <c r="Q25" s="376"/>
      <c r="R25" s="376"/>
      <c r="S25" s="376"/>
      <c r="T25" s="376"/>
      <c r="U25" s="376"/>
      <c r="V25" s="376"/>
      <c r="W25" s="376"/>
      <c r="X25" s="376"/>
      <c r="Y25" s="376"/>
      <c r="Z25" s="376"/>
      <c r="AA25" s="376"/>
    </row>
    <row r="26" spans="1:27" ht="13" x14ac:dyDescent="0.3">
      <c r="A26" s="376"/>
      <c r="B26" s="380"/>
      <c r="C26" s="385"/>
      <c r="D26" s="387" t="s">
        <v>350</v>
      </c>
      <c r="E26" s="384" t="s">
        <v>341</v>
      </c>
      <c r="F26" s="378"/>
      <c r="G26" s="379"/>
      <c r="H26" s="376"/>
      <c r="I26" s="376"/>
      <c r="J26" s="376"/>
      <c r="K26" s="376"/>
      <c r="L26" s="376"/>
      <c r="M26" s="376"/>
      <c r="N26" s="376"/>
      <c r="O26" s="376"/>
      <c r="P26" s="376"/>
      <c r="Q26" s="376"/>
      <c r="R26" s="376"/>
      <c r="S26" s="376"/>
      <c r="T26" s="376"/>
      <c r="U26" s="376"/>
      <c r="V26" s="376"/>
      <c r="W26" s="376"/>
      <c r="X26" s="376"/>
      <c r="Y26" s="376"/>
      <c r="Z26" s="376"/>
      <c r="AA26" s="376"/>
    </row>
    <row r="27" spans="1:27" ht="13" x14ac:dyDescent="0.3">
      <c r="A27" s="376"/>
      <c r="B27" s="380"/>
      <c r="C27" s="385"/>
      <c r="D27" s="387"/>
      <c r="E27" s="384"/>
      <c r="F27" s="378"/>
      <c r="G27" s="379"/>
      <c r="H27" s="376"/>
      <c r="I27" s="376"/>
      <c r="J27" s="376"/>
      <c r="K27" s="376"/>
      <c r="L27" s="376"/>
      <c r="M27" s="376"/>
      <c r="N27" s="376"/>
      <c r="O27" s="376"/>
      <c r="P27" s="376"/>
      <c r="Q27" s="376"/>
      <c r="R27" s="376"/>
      <c r="S27" s="376"/>
      <c r="T27" s="376"/>
      <c r="U27" s="376"/>
      <c r="V27" s="376"/>
      <c r="W27" s="376"/>
      <c r="X27" s="376"/>
      <c r="Y27" s="376"/>
      <c r="Z27" s="376"/>
      <c r="AA27" s="376"/>
    </row>
    <row r="28" spans="1:27" ht="13" x14ac:dyDescent="0.3">
      <c r="A28" s="376"/>
      <c r="B28" s="380"/>
      <c r="C28" s="385"/>
      <c r="D28" s="392" t="s">
        <v>351</v>
      </c>
      <c r="E28" s="384" t="s">
        <v>342</v>
      </c>
      <c r="F28" s="378"/>
      <c r="G28" s="379"/>
      <c r="H28" s="376"/>
      <c r="I28" s="376"/>
      <c r="J28" s="376"/>
      <c r="K28" s="376"/>
      <c r="L28" s="376"/>
      <c r="M28" s="376"/>
      <c r="N28" s="376"/>
      <c r="O28" s="376"/>
      <c r="P28" s="376"/>
      <c r="Q28" s="376"/>
      <c r="R28" s="376"/>
      <c r="S28" s="376"/>
      <c r="T28" s="376"/>
      <c r="U28" s="376"/>
      <c r="V28" s="376"/>
      <c r="W28" s="376"/>
      <c r="X28" s="376"/>
      <c r="Y28" s="376"/>
      <c r="Z28" s="376"/>
      <c r="AA28" s="376"/>
    </row>
    <row r="29" spans="1:27" ht="13" x14ac:dyDescent="0.3">
      <c r="A29" s="376"/>
      <c r="B29" s="380"/>
      <c r="C29" s="385"/>
      <c r="D29" s="392"/>
      <c r="E29" s="384" t="s">
        <v>343</v>
      </c>
      <c r="F29" s="378"/>
      <c r="G29" s="379"/>
      <c r="H29" s="376"/>
      <c r="I29" s="376"/>
      <c r="J29" s="376"/>
      <c r="K29" s="376"/>
      <c r="L29" s="376"/>
      <c r="M29" s="376"/>
      <c r="N29" s="376"/>
      <c r="O29" s="376"/>
      <c r="P29" s="376"/>
      <c r="Q29" s="376"/>
      <c r="R29" s="376"/>
      <c r="S29" s="376"/>
      <c r="T29" s="376"/>
      <c r="U29" s="376"/>
      <c r="V29" s="376"/>
      <c r="W29" s="376"/>
      <c r="X29" s="376"/>
      <c r="Y29" s="376"/>
      <c r="Z29" s="376"/>
      <c r="AA29" s="376"/>
    </row>
    <row r="30" spans="1:27" ht="13" x14ac:dyDescent="0.3">
      <c r="A30" s="376"/>
      <c r="B30" s="380"/>
      <c r="C30" s="385"/>
      <c r="D30" s="392"/>
      <c r="E30" s="384"/>
      <c r="F30" s="378"/>
      <c r="G30" s="379"/>
      <c r="H30" s="376"/>
      <c r="I30" s="376"/>
      <c r="J30" s="376"/>
      <c r="K30" s="376"/>
      <c r="L30" s="376"/>
      <c r="M30" s="376"/>
      <c r="N30" s="376"/>
      <c r="O30" s="376"/>
      <c r="P30" s="376"/>
      <c r="Q30" s="376"/>
      <c r="R30" s="376"/>
      <c r="S30" s="376"/>
      <c r="T30" s="376"/>
      <c r="U30" s="376"/>
      <c r="V30" s="376"/>
      <c r="W30" s="376"/>
      <c r="X30" s="376"/>
      <c r="Y30" s="376"/>
      <c r="Z30" s="376"/>
      <c r="AA30" s="376"/>
    </row>
    <row r="31" spans="1:27" ht="13" x14ac:dyDescent="0.3">
      <c r="A31" s="376"/>
      <c r="B31" s="380"/>
      <c r="C31" s="385"/>
      <c r="D31" s="392" t="s">
        <v>352</v>
      </c>
      <c r="E31" s="384" t="s">
        <v>344</v>
      </c>
      <c r="F31" s="378"/>
      <c r="G31" s="379"/>
      <c r="H31" s="376"/>
      <c r="I31" s="376"/>
      <c r="J31" s="376"/>
      <c r="K31" s="376"/>
      <c r="L31" s="376"/>
      <c r="M31" s="376"/>
      <c r="N31" s="376"/>
      <c r="O31" s="376"/>
      <c r="P31" s="376"/>
      <c r="Q31" s="376"/>
      <c r="R31" s="376"/>
      <c r="S31" s="376"/>
      <c r="T31" s="376"/>
      <c r="U31" s="376"/>
      <c r="V31" s="376"/>
      <c r="W31" s="376"/>
      <c r="X31" s="376"/>
      <c r="Y31" s="376"/>
      <c r="Z31" s="376"/>
      <c r="AA31" s="376"/>
    </row>
    <row r="32" spans="1:27" ht="13" x14ac:dyDescent="0.3">
      <c r="A32" s="376"/>
      <c r="B32" s="380"/>
      <c r="C32" s="385"/>
      <c r="D32" s="392"/>
      <c r="E32" s="384"/>
      <c r="F32" s="378"/>
      <c r="G32" s="379"/>
      <c r="H32" s="376"/>
      <c r="I32" s="376"/>
      <c r="J32" s="376"/>
      <c r="K32" s="376"/>
      <c r="L32" s="376"/>
      <c r="M32" s="376"/>
      <c r="N32" s="376"/>
      <c r="O32" s="376"/>
      <c r="P32" s="376"/>
      <c r="Q32" s="376"/>
      <c r="R32" s="376"/>
      <c r="S32" s="376"/>
      <c r="T32" s="376"/>
      <c r="U32" s="376"/>
      <c r="V32" s="376"/>
      <c r="W32" s="376"/>
      <c r="X32" s="376"/>
      <c r="Y32" s="376"/>
      <c r="Z32" s="376"/>
      <c r="AA32" s="376"/>
    </row>
    <row r="33" spans="1:27" ht="13" x14ac:dyDescent="0.3">
      <c r="A33" s="376"/>
      <c r="B33" s="380"/>
      <c r="C33" s="385"/>
      <c r="D33" s="392" t="s">
        <v>353</v>
      </c>
      <c r="E33" s="384" t="s">
        <v>345</v>
      </c>
      <c r="F33" s="378"/>
      <c r="G33" s="379"/>
      <c r="H33" s="376"/>
      <c r="I33" s="376"/>
      <c r="J33" s="376"/>
      <c r="K33" s="376"/>
      <c r="L33" s="376"/>
      <c r="M33" s="376"/>
      <c r="N33" s="376"/>
      <c r="O33" s="376"/>
      <c r="P33" s="376"/>
      <c r="Q33" s="376"/>
      <c r="R33" s="376"/>
      <c r="S33" s="376"/>
      <c r="T33" s="376"/>
      <c r="U33" s="376"/>
      <c r="V33" s="376"/>
      <c r="W33" s="376"/>
      <c r="X33" s="376"/>
      <c r="Y33" s="376"/>
      <c r="Z33" s="376"/>
      <c r="AA33" s="376"/>
    </row>
    <row r="34" spans="1:27" ht="13" x14ac:dyDescent="0.3">
      <c r="A34" s="376"/>
      <c r="B34" s="380"/>
      <c r="C34" s="385"/>
      <c r="D34" s="392"/>
      <c r="E34" s="384"/>
      <c r="F34" s="378"/>
      <c r="G34" s="379"/>
      <c r="H34" s="376"/>
      <c r="I34" s="376"/>
      <c r="J34" s="376"/>
      <c r="K34" s="376"/>
      <c r="L34" s="376"/>
      <c r="M34" s="376"/>
      <c r="N34" s="376"/>
      <c r="O34" s="376"/>
      <c r="P34" s="376"/>
      <c r="Q34" s="376"/>
      <c r="R34" s="376"/>
      <c r="S34" s="376"/>
      <c r="T34" s="376"/>
      <c r="U34" s="376"/>
      <c r="V34" s="376"/>
      <c r="W34" s="376"/>
      <c r="X34" s="376"/>
      <c r="Y34" s="376"/>
      <c r="Z34" s="376"/>
      <c r="AA34" s="376"/>
    </row>
    <row r="35" spans="1:27" ht="23.5" x14ac:dyDescent="0.3">
      <c r="A35" s="376"/>
      <c r="B35" s="380"/>
      <c r="C35" s="385"/>
      <c r="D35" s="392" t="s">
        <v>354</v>
      </c>
      <c r="E35" s="384" t="s">
        <v>346</v>
      </c>
      <c r="F35" s="378"/>
      <c r="G35" s="379"/>
      <c r="H35" s="376"/>
      <c r="I35" s="376"/>
      <c r="J35" s="376"/>
      <c r="K35" s="376"/>
      <c r="L35" s="376"/>
      <c r="M35" s="376"/>
      <c r="N35" s="376"/>
      <c r="O35" s="376"/>
      <c r="P35" s="376"/>
      <c r="Q35" s="376"/>
      <c r="R35" s="376"/>
      <c r="S35" s="376"/>
      <c r="T35" s="376"/>
      <c r="U35" s="376"/>
      <c r="V35" s="376"/>
      <c r="W35" s="376"/>
      <c r="X35" s="376"/>
      <c r="Y35" s="376"/>
      <c r="Z35" s="376"/>
      <c r="AA35" s="376"/>
    </row>
    <row r="36" spans="1:27" ht="13" x14ac:dyDescent="0.3">
      <c r="A36" s="376"/>
      <c r="B36" s="380"/>
      <c r="C36" s="385"/>
      <c r="D36" s="387"/>
      <c r="E36" s="384"/>
      <c r="F36" s="378"/>
      <c r="G36" s="379"/>
      <c r="H36" s="376"/>
      <c r="I36" s="376"/>
      <c r="J36" s="376"/>
      <c r="K36" s="376"/>
      <c r="L36" s="376"/>
      <c r="M36" s="376"/>
      <c r="N36" s="376"/>
      <c r="O36" s="376"/>
      <c r="P36" s="376"/>
      <c r="Q36" s="376"/>
      <c r="R36" s="376"/>
      <c r="S36" s="376"/>
      <c r="T36" s="376"/>
      <c r="U36" s="376"/>
      <c r="V36" s="376"/>
      <c r="W36" s="376"/>
      <c r="X36" s="376"/>
      <c r="Y36" s="376"/>
      <c r="Z36" s="376"/>
      <c r="AA36" s="376"/>
    </row>
    <row r="37" spans="1:27" ht="23.5" x14ac:dyDescent="0.3">
      <c r="A37" s="376"/>
      <c r="B37" s="380"/>
      <c r="C37" s="385"/>
      <c r="D37" s="392" t="s">
        <v>355</v>
      </c>
      <c r="E37" s="384" t="s">
        <v>710</v>
      </c>
      <c r="F37" s="378"/>
      <c r="G37" s="379"/>
      <c r="H37" s="376"/>
      <c r="I37" s="376"/>
      <c r="J37" s="376"/>
      <c r="K37" s="376"/>
      <c r="L37" s="376"/>
      <c r="M37" s="376"/>
      <c r="N37" s="376"/>
      <c r="O37" s="376"/>
      <c r="P37" s="376"/>
      <c r="Q37" s="376"/>
      <c r="R37" s="376"/>
      <c r="S37" s="376"/>
      <c r="T37" s="376"/>
      <c r="U37" s="376"/>
      <c r="V37" s="376"/>
      <c r="W37" s="376"/>
      <c r="X37" s="376"/>
      <c r="Y37" s="376"/>
      <c r="Z37" s="376"/>
      <c r="AA37" s="376"/>
    </row>
    <row r="38" spans="1:27" ht="13.5" thickBot="1" x14ac:dyDescent="0.35">
      <c r="A38" s="376"/>
      <c r="B38" s="380"/>
      <c r="C38" s="385"/>
      <c r="D38" s="393"/>
      <c r="E38" s="394"/>
      <c r="F38" s="378"/>
      <c r="G38" s="379"/>
      <c r="H38" s="376"/>
      <c r="I38" s="376"/>
      <c r="J38" s="376"/>
      <c r="K38" s="376"/>
      <c r="L38" s="376"/>
      <c r="M38" s="376"/>
      <c r="N38" s="376"/>
      <c r="O38" s="376"/>
      <c r="P38" s="376"/>
      <c r="Q38" s="376"/>
      <c r="R38" s="376"/>
      <c r="S38" s="376"/>
      <c r="T38" s="376"/>
      <c r="U38" s="376"/>
      <c r="V38" s="376"/>
      <c r="W38" s="376"/>
      <c r="X38" s="376"/>
      <c r="Y38" s="376"/>
      <c r="Z38" s="376"/>
      <c r="AA38" s="376"/>
    </row>
    <row r="39" spans="1:27" ht="13" x14ac:dyDescent="0.3">
      <c r="A39" s="376"/>
      <c r="B39" s="380"/>
      <c r="C39" s="385"/>
      <c r="D39" s="392"/>
      <c r="E39" s="384"/>
      <c r="F39" s="378"/>
      <c r="G39" s="379"/>
      <c r="H39" s="376"/>
      <c r="I39" s="376"/>
      <c r="J39" s="376"/>
      <c r="K39" s="376"/>
      <c r="L39" s="376"/>
      <c r="M39" s="376"/>
      <c r="N39" s="376"/>
      <c r="O39" s="376"/>
      <c r="P39" s="376"/>
      <c r="Q39" s="376"/>
      <c r="R39" s="376"/>
      <c r="S39" s="376"/>
      <c r="T39" s="376"/>
      <c r="U39" s="376"/>
      <c r="V39" s="376"/>
      <c r="W39" s="376"/>
      <c r="X39" s="376"/>
      <c r="Y39" s="376"/>
      <c r="Z39" s="376"/>
      <c r="AA39" s="376"/>
    </row>
    <row r="40" spans="1:27" s="399" customFormat="1" ht="23.4" customHeight="1" x14ac:dyDescent="0.25">
      <c r="A40" s="395"/>
      <c r="B40" s="396"/>
      <c r="C40" s="410"/>
      <c r="D40" s="499" t="s">
        <v>708</v>
      </c>
      <c r="E40" s="499"/>
      <c r="F40" s="397"/>
      <c r="G40" s="398"/>
      <c r="H40" s="395"/>
      <c r="I40" s="395"/>
      <c r="J40" s="395"/>
      <c r="K40" s="395"/>
      <c r="L40" s="395"/>
      <c r="M40" s="395"/>
      <c r="N40" s="395"/>
      <c r="O40" s="395"/>
      <c r="P40" s="395"/>
      <c r="Q40" s="395"/>
      <c r="R40" s="395"/>
      <c r="S40" s="376"/>
      <c r="T40" s="376"/>
      <c r="U40" s="376"/>
      <c r="V40" s="376"/>
      <c r="W40" s="376"/>
      <c r="X40" s="376"/>
      <c r="Y40" s="376"/>
      <c r="Z40" s="376"/>
      <c r="AA40" s="376"/>
    </row>
    <row r="41" spans="1:27" ht="13" thickBot="1" x14ac:dyDescent="0.3">
      <c r="A41" s="376"/>
      <c r="B41" s="380"/>
      <c r="C41" s="378"/>
      <c r="D41" s="378"/>
      <c r="E41" s="378"/>
      <c r="F41" s="378"/>
      <c r="G41" s="379"/>
      <c r="H41" s="376"/>
      <c r="I41" s="376"/>
      <c r="J41" s="376"/>
      <c r="K41" s="376"/>
      <c r="L41" s="376"/>
      <c r="M41" s="376"/>
      <c r="N41" s="376"/>
      <c r="O41" s="376"/>
      <c r="P41" s="376"/>
      <c r="Q41" s="376"/>
      <c r="R41" s="376"/>
      <c r="S41" s="376"/>
      <c r="T41" s="376"/>
      <c r="U41" s="376"/>
      <c r="V41" s="376"/>
      <c r="W41" s="376"/>
      <c r="X41" s="376"/>
      <c r="Y41" s="376"/>
      <c r="Z41" s="376"/>
      <c r="AA41" s="376"/>
    </row>
    <row r="42" spans="1:27" x14ac:dyDescent="0.25">
      <c r="A42" s="376"/>
      <c r="B42" s="380"/>
      <c r="C42" s="400"/>
      <c r="D42" s="504" t="s">
        <v>278</v>
      </c>
      <c r="E42" s="504"/>
      <c r="F42" s="401"/>
      <c r="G42" s="379"/>
      <c r="H42" s="376"/>
      <c r="I42" s="376"/>
      <c r="J42" s="376"/>
      <c r="K42" s="376"/>
      <c r="L42" s="376"/>
      <c r="M42" s="376"/>
      <c r="N42" s="376"/>
      <c r="O42" s="376"/>
      <c r="P42" s="376"/>
      <c r="Q42" s="376"/>
      <c r="R42" s="376"/>
      <c r="S42" s="376"/>
      <c r="T42" s="376"/>
      <c r="U42" s="376"/>
      <c r="V42" s="376"/>
      <c r="W42" s="376"/>
      <c r="X42" s="376"/>
      <c r="Y42" s="376"/>
      <c r="Z42" s="376"/>
      <c r="AA42" s="376"/>
    </row>
    <row r="43" spans="1:27" x14ac:dyDescent="0.25">
      <c r="A43" s="376"/>
      <c r="B43" s="380"/>
      <c r="C43" s="402"/>
      <c r="D43" s="479"/>
      <c r="E43" s="479"/>
      <c r="F43" s="403"/>
      <c r="G43" s="379"/>
      <c r="H43" s="376"/>
      <c r="I43" s="376"/>
      <c r="J43" s="376"/>
      <c r="K43" s="376"/>
      <c r="L43" s="376"/>
      <c r="M43" s="376"/>
      <c r="N43" s="376"/>
      <c r="O43" s="376"/>
      <c r="P43" s="376"/>
      <c r="Q43" s="376"/>
      <c r="R43" s="376"/>
      <c r="S43" s="376"/>
      <c r="T43" s="376"/>
      <c r="U43" s="376"/>
      <c r="V43" s="376"/>
      <c r="W43" s="376"/>
      <c r="X43" s="376"/>
      <c r="Y43" s="376"/>
      <c r="Z43" s="376"/>
      <c r="AA43" s="376"/>
    </row>
    <row r="44" spans="1:27" ht="15.5" x14ac:dyDescent="0.35">
      <c r="A44" s="376"/>
      <c r="B44" s="380"/>
      <c r="C44" s="402"/>
      <c r="D44" s="505" t="s">
        <v>705</v>
      </c>
      <c r="E44" s="505"/>
      <c r="F44" s="403"/>
      <c r="G44" s="379"/>
      <c r="H44" s="376"/>
      <c r="I44" s="376"/>
      <c r="J44" s="376"/>
      <c r="K44" s="376"/>
      <c r="L44" s="376"/>
      <c r="M44" s="376"/>
      <c r="N44" s="376"/>
      <c r="O44" s="376"/>
      <c r="P44" s="376"/>
      <c r="Q44" s="376"/>
      <c r="R44" s="376"/>
      <c r="S44" s="376"/>
      <c r="T44" s="376"/>
      <c r="U44" s="376"/>
      <c r="V44" s="376"/>
      <c r="W44" s="376"/>
      <c r="X44" s="376"/>
      <c r="Y44" s="376"/>
      <c r="Z44" s="376"/>
      <c r="AA44" s="376"/>
    </row>
    <row r="45" spans="1:27" x14ac:dyDescent="0.25">
      <c r="A45" s="376"/>
      <c r="B45" s="380"/>
      <c r="C45" s="402"/>
      <c r="D45" s="506" t="s">
        <v>279</v>
      </c>
      <c r="E45" s="506"/>
      <c r="F45" s="403"/>
      <c r="G45" s="379"/>
      <c r="H45" s="376"/>
      <c r="I45" s="376"/>
      <c r="J45" s="376"/>
      <c r="K45" s="376"/>
      <c r="L45" s="376"/>
      <c r="M45" s="376"/>
      <c r="N45" s="376"/>
      <c r="O45" s="376"/>
      <c r="P45" s="376"/>
      <c r="Q45" s="376"/>
      <c r="R45" s="376"/>
      <c r="S45" s="376"/>
      <c r="T45" s="376"/>
      <c r="U45" s="376"/>
      <c r="V45" s="376"/>
      <c r="W45" s="376"/>
      <c r="X45" s="376"/>
      <c r="Y45" s="376"/>
      <c r="Z45" s="376"/>
      <c r="AA45" s="376"/>
    </row>
    <row r="46" spans="1:27" x14ac:dyDescent="0.25">
      <c r="A46" s="376"/>
      <c r="B46" s="380"/>
      <c r="C46" s="402"/>
      <c r="D46" s="501" t="s">
        <v>280</v>
      </c>
      <c r="E46" s="501"/>
      <c r="F46" s="403"/>
      <c r="G46" s="379"/>
      <c r="H46" s="376"/>
      <c r="I46" s="376"/>
      <c r="J46" s="376"/>
      <c r="K46" s="376"/>
      <c r="L46" s="376"/>
      <c r="M46" s="376"/>
      <c r="N46" s="376"/>
      <c r="O46" s="376"/>
      <c r="P46" s="376"/>
      <c r="Q46" s="376"/>
      <c r="R46" s="376"/>
      <c r="S46" s="376"/>
      <c r="T46" s="376"/>
      <c r="U46" s="376"/>
      <c r="V46" s="376"/>
      <c r="W46" s="376"/>
      <c r="X46" s="376"/>
      <c r="Y46" s="376"/>
      <c r="Z46" s="376"/>
      <c r="AA46" s="376"/>
    </row>
    <row r="47" spans="1:27" x14ac:dyDescent="0.25">
      <c r="A47" s="376"/>
      <c r="B47" s="380"/>
      <c r="C47" s="402"/>
      <c r="D47" s="500" t="s">
        <v>709</v>
      </c>
      <c r="E47" s="501"/>
      <c r="F47" s="403"/>
      <c r="G47" s="379"/>
      <c r="H47" s="376"/>
      <c r="I47" s="376"/>
      <c r="J47" s="376"/>
      <c r="K47" s="376"/>
      <c r="L47" s="376"/>
      <c r="M47" s="376"/>
      <c r="N47" s="376"/>
      <c r="O47" s="376"/>
      <c r="P47" s="376"/>
      <c r="Q47" s="376"/>
      <c r="R47" s="376"/>
      <c r="S47" s="376"/>
      <c r="T47" s="376"/>
      <c r="U47" s="376"/>
      <c r="V47" s="376"/>
      <c r="W47" s="376"/>
      <c r="X47" s="376"/>
      <c r="Y47" s="376"/>
      <c r="Z47" s="376"/>
      <c r="AA47" s="376"/>
    </row>
    <row r="48" spans="1:27" x14ac:dyDescent="0.25">
      <c r="A48" s="376"/>
      <c r="B48" s="380"/>
      <c r="C48" s="402"/>
      <c r="D48" s="500" t="s">
        <v>707</v>
      </c>
      <c r="E48" s="501"/>
      <c r="F48" s="403"/>
      <c r="G48" s="379"/>
      <c r="H48" s="376"/>
      <c r="I48" s="376"/>
      <c r="J48" s="376"/>
      <c r="K48" s="376"/>
      <c r="L48" s="376"/>
      <c r="M48" s="376"/>
      <c r="N48" s="376"/>
      <c r="O48" s="376"/>
      <c r="P48" s="376"/>
      <c r="Q48" s="376"/>
      <c r="R48" s="376"/>
      <c r="S48" s="376"/>
      <c r="T48" s="376"/>
      <c r="U48" s="376"/>
      <c r="V48" s="376"/>
      <c r="W48" s="376"/>
      <c r="X48" s="376"/>
      <c r="Y48" s="376"/>
      <c r="Z48" s="376"/>
      <c r="AA48" s="376"/>
    </row>
    <row r="49" spans="1:27" x14ac:dyDescent="0.25">
      <c r="A49" s="376"/>
      <c r="B49" s="380"/>
      <c r="C49" s="402"/>
      <c r="D49" s="500" t="s">
        <v>706</v>
      </c>
      <c r="E49" s="500"/>
      <c r="F49" s="403"/>
      <c r="G49" s="379"/>
      <c r="H49" s="376"/>
      <c r="I49" s="376"/>
      <c r="J49" s="376"/>
      <c r="K49" s="376"/>
      <c r="L49" s="376"/>
      <c r="M49" s="376"/>
      <c r="N49" s="376"/>
      <c r="O49" s="376"/>
      <c r="P49" s="376"/>
      <c r="Q49" s="376"/>
      <c r="R49" s="376"/>
      <c r="S49" s="376"/>
      <c r="T49" s="376"/>
      <c r="U49" s="376"/>
      <c r="V49" s="376"/>
      <c r="W49" s="376"/>
      <c r="X49" s="376"/>
      <c r="Y49" s="376"/>
      <c r="Z49" s="376"/>
      <c r="AA49" s="376"/>
    </row>
    <row r="50" spans="1:27" ht="12.5" customHeight="1" x14ac:dyDescent="0.25">
      <c r="A50" s="376"/>
      <c r="B50" s="380"/>
      <c r="C50" s="402"/>
      <c r="D50" s="500"/>
      <c r="E50" s="500"/>
      <c r="F50" s="403"/>
      <c r="G50" s="379"/>
      <c r="H50" s="376"/>
      <c r="I50" s="376"/>
      <c r="J50" s="376"/>
      <c r="K50" s="376"/>
      <c r="L50" s="376"/>
      <c r="M50" s="376"/>
      <c r="N50" s="376"/>
      <c r="O50" s="376"/>
      <c r="P50" s="376"/>
      <c r="Q50" s="376"/>
      <c r="R50" s="376"/>
      <c r="S50" s="376"/>
      <c r="T50" s="376"/>
      <c r="U50" s="376"/>
      <c r="V50" s="376"/>
      <c r="W50" s="376"/>
      <c r="X50" s="376"/>
      <c r="Y50" s="376"/>
      <c r="Z50" s="376"/>
      <c r="AA50" s="376"/>
    </row>
    <row r="51" spans="1:27" x14ac:dyDescent="0.25">
      <c r="A51" s="376"/>
      <c r="B51" s="380"/>
      <c r="C51" s="402"/>
      <c r="D51" s="480"/>
      <c r="E51" s="481" t="s">
        <v>711</v>
      </c>
      <c r="F51" s="403"/>
      <c r="G51" s="379"/>
      <c r="H51" s="376"/>
      <c r="I51" s="376"/>
      <c r="J51" s="376"/>
      <c r="K51" s="376"/>
      <c r="L51" s="376"/>
      <c r="M51" s="376"/>
      <c r="N51" s="376"/>
      <c r="O51" s="376"/>
      <c r="P51" s="376"/>
      <c r="Q51" s="376"/>
      <c r="R51" s="376"/>
      <c r="S51" s="376"/>
      <c r="T51" s="376"/>
      <c r="U51" s="376"/>
      <c r="V51" s="376"/>
      <c r="W51" s="376"/>
      <c r="X51" s="376"/>
      <c r="Y51" s="376"/>
      <c r="Z51" s="376"/>
      <c r="AA51" s="376"/>
    </row>
    <row r="52" spans="1:27" ht="13" thickBot="1" x14ac:dyDescent="0.3">
      <c r="A52" s="376"/>
      <c r="B52" s="380"/>
      <c r="C52" s="404"/>
      <c r="D52" s="405"/>
      <c r="E52" s="405"/>
      <c r="F52" s="406"/>
      <c r="G52" s="379"/>
      <c r="H52" s="376"/>
      <c r="I52" s="376"/>
      <c r="J52" s="376"/>
      <c r="K52" s="376"/>
      <c r="L52" s="376"/>
      <c r="M52" s="376"/>
      <c r="N52" s="376"/>
      <c r="O52" s="376"/>
      <c r="P52" s="376"/>
      <c r="Q52" s="376"/>
      <c r="R52" s="376"/>
      <c r="S52" s="376"/>
      <c r="T52" s="376"/>
      <c r="U52" s="376"/>
      <c r="V52" s="376"/>
      <c r="W52" s="376"/>
      <c r="X52" s="376"/>
      <c r="Y52" s="376"/>
      <c r="Z52" s="376"/>
      <c r="AA52" s="376"/>
    </row>
    <row r="53" spans="1:27" ht="13" thickBot="1" x14ac:dyDescent="0.3">
      <c r="A53" s="376"/>
      <c r="B53" s="407"/>
      <c r="C53" s="408"/>
      <c r="D53" s="408"/>
      <c r="E53" s="408"/>
      <c r="F53" s="408"/>
      <c r="G53" s="409"/>
      <c r="H53" s="376"/>
      <c r="I53" s="376"/>
      <c r="J53" s="376"/>
      <c r="K53" s="376"/>
      <c r="L53" s="376"/>
      <c r="M53" s="376"/>
      <c r="N53" s="376"/>
      <c r="O53" s="376"/>
      <c r="P53" s="376"/>
      <c r="Q53" s="376"/>
      <c r="R53" s="376"/>
      <c r="S53" s="376"/>
      <c r="T53" s="376"/>
      <c r="U53" s="376"/>
      <c r="V53" s="376"/>
      <c r="W53" s="376"/>
      <c r="X53" s="376"/>
      <c r="Y53" s="376"/>
      <c r="Z53" s="376"/>
      <c r="AA53" s="376"/>
    </row>
    <row r="54" spans="1:27" ht="13" thickTop="1" x14ac:dyDescent="0.25">
      <c r="A54" s="376"/>
      <c r="B54" s="376"/>
      <c r="C54" s="376"/>
      <c r="D54" s="376"/>
      <c r="E54" s="376"/>
      <c r="F54" s="376"/>
      <c r="G54" s="376"/>
      <c r="H54" s="376"/>
      <c r="I54" s="376"/>
      <c r="J54" s="376"/>
      <c r="K54" s="376"/>
      <c r="L54" s="376"/>
      <c r="M54" s="376"/>
      <c r="N54" s="376"/>
      <c r="O54" s="376"/>
      <c r="P54" s="376"/>
      <c r="Q54" s="376"/>
      <c r="R54" s="376"/>
      <c r="S54" s="376"/>
      <c r="T54" s="376"/>
      <c r="U54" s="376"/>
      <c r="V54" s="376"/>
      <c r="W54" s="376"/>
      <c r="X54" s="376"/>
      <c r="Y54" s="376"/>
      <c r="Z54" s="376"/>
      <c r="AA54" s="376"/>
    </row>
    <row r="55" spans="1:27" x14ac:dyDescent="0.25">
      <c r="A55" s="376"/>
      <c r="B55" s="376"/>
      <c r="C55" s="376"/>
      <c r="D55" s="376"/>
      <c r="E55" s="376"/>
      <c r="F55" s="376"/>
      <c r="G55" s="376"/>
      <c r="H55" s="376"/>
      <c r="I55" s="376"/>
      <c r="J55" s="376"/>
      <c r="K55" s="376"/>
      <c r="L55" s="376"/>
      <c r="M55" s="376"/>
      <c r="N55" s="376"/>
      <c r="O55" s="376"/>
      <c r="P55" s="376"/>
      <c r="Q55" s="376"/>
      <c r="R55" s="376"/>
      <c r="S55" s="376"/>
      <c r="T55" s="376"/>
      <c r="U55" s="376"/>
      <c r="V55" s="376"/>
      <c r="W55" s="376"/>
      <c r="X55" s="376"/>
      <c r="Y55" s="376"/>
      <c r="Z55" s="376"/>
      <c r="AA55" s="376"/>
    </row>
    <row r="56" spans="1:27" x14ac:dyDescent="0.25">
      <c r="A56" s="376"/>
      <c r="B56" s="376"/>
      <c r="C56" s="376"/>
      <c r="D56" s="376"/>
      <c r="E56" s="376"/>
      <c r="F56" s="376"/>
      <c r="G56" s="376"/>
      <c r="H56" s="376"/>
      <c r="I56" s="376"/>
      <c r="J56" s="376"/>
      <c r="K56" s="376"/>
      <c r="L56" s="376"/>
      <c r="M56" s="376"/>
      <c r="N56" s="376"/>
      <c r="O56" s="376"/>
      <c r="P56" s="376"/>
      <c r="Q56" s="376"/>
      <c r="R56" s="376"/>
      <c r="S56" s="376"/>
      <c r="T56" s="376"/>
      <c r="U56" s="376"/>
      <c r="V56" s="376"/>
      <c r="W56" s="376"/>
      <c r="X56" s="376"/>
      <c r="Y56" s="376"/>
      <c r="Z56" s="376"/>
      <c r="AA56" s="376"/>
    </row>
    <row r="57" spans="1:27" x14ac:dyDescent="0.25">
      <c r="A57" s="376"/>
      <c r="B57" s="376"/>
      <c r="C57" s="376"/>
      <c r="D57" s="376"/>
      <c r="E57" s="376"/>
      <c r="F57" s="376"/>
      <c r="G57" s="376"/>
      <c r="H57" s="376"/>
      <c r="I57" s="376"/>
      <c r="J57" s="376"/>
      <c r="K57" s="376"/>
      <c r="L57" s="376"/>
      <c r="M57" s="376"/>
      <c r="N57" s="376"/>
      <c r="O57" s="376"/>
      <c r="P57" s="376"/>
      <c r="Q57" s="376"/>
      <c r="R57" s="376"/>
      <c r="S57" s="376"/>
      <c r="T57" s="376"/>
      <c r="U57" s="376"/>
      <c r="V57" s="376"/>
      <c r="W57" s="376"/>
      <c r="X57" s="376"/>
      <c r="Y57" s="376"/>
      <c r="Z57" s="376"/>
      <c r="AA57" s="376"/>
    </row>
    <row r="58" spans="1:27" x14ac:dyDescent="0.25">
      <c r="A58" s="376"/>
      <c r="B58" s="376"/>
      <c r="C58" s="376"/>
      <c r="D58" s="376"/>
      <c r="E58" s="376"/>
      <c r="F58" s="376"/>
      <c r="G58" s="376"/>
      <c r="H58" s="376"/>
      <c r="I58" s="376"/>
      <c r="J58" s="376"/>
      <c r="K58" s="376"/>
      <c r="L58" s="376"/>
      <c r="M58" s="376"/>
      <c r="N58" s="376"/>
      <c r="O58" s="376"/>
      <c r="P58" s="376"/>
      <c r="Q58" s="376"/>
      <c r="R58" s="376"/>
      <c r="S58" s="376"/>
      <c r="T58" s="376"/>
      <c r="U58" s="376"/>
      <c r="V58" s="376"/>
      <c r="W58" s="376"/>
      <c r="X58" s="376"/>
      <c r="Y58" s="376"/>
      <c r="Z58" s="376"/>
      <c r="AA58" s="376"/>
    </row>
    <row r="59" spans="1:27" x14ac:dyDescent="0.25">
      <c r="A59" s="376"/>
      <c r="B59" s="376"/>
      <c r="C59" s="376"/>
      <c r="D59" s="376"/>
      <c r="E59" s="376"/>
      <c r="F59" s="376"/>
      <c r="G59" s="376"/>
      <c r="H59" s="376"/>
      <c r="I59" s="376"/>
      <c r="J59" s="376"/>
      <c r="K59" s="376"/>
      <c r="L59" s="376"/>
      <c r="M59" s="376"/>
      <c r="N59" s="376"/>
      <c r="O59" s="376"/>
      <c r="P59" s="376"/>
      <c r="Q59" s="376"/>
      <c r="R59" s="376"/>
      <c r="S59" s="376"/>
      <c r="T59" s="376"/>
      <c r="U59" s="376"/>
      <c r="V59" s="376"/>
      <c r="W59" s="376"/>
      <c r="X59" s="376"/>
      <c r="Y59" s="376"/>
      <c r="Z59" s="376"/>
      <c r="AA59" s="376"/>
    </row>
    <row r="60" spans="1:27" x14ac:dyDescent="0.25">
      <c r="A60" s="376"/>
      <c r="B60" s="376"/>
      <c r="C60" s="376"/>
      <c r="D60" s="376"/>
      <c r="E60" s="376"/>
      <c r="F60" s="376"/>
      <c r="G60" s="376"/>
      <c r="H60" s="376"/>
      <c r="I60" s="376"/>
      <c r="J60" s="376"/>
      <c r="K60" s="376"/>
      <c r="L60" s="376"/>
      <c r="M60" s="376"/>
      <c r="N60" s="376"/>
      <c r="O60" s="376"/>
      <c r="P60" s="376"/>
      <c r="Q60" s="376"/>
      <c r="R60" s="376"/>
      <c r="S60" s="376"/>
      <c r="T60" s="376"/>
      <c r="U60" s="376"/>
      <c r="V60" s="376"/>
      <c r="W60" s="376"/>
      <c r="X60" s="376"/>
      <c r="Y60" s="376"/>
      <c r="Z60" s="376"/>
      <c r="AA60" s="376"/>
    </row>
    <row r="61" spans="1:27" x14ac:dyDescent="0.25">
      <c r="A61" s="376"/>
      <c r="B61" s="376"/>
      <c r="C61" s="376"/>
      <c r="D61" s="376"/>
      <c r="E61" s="376"/>
      <c r="F61" s="376"/>
      <c r="G61" s="376"/>
      <c r="H61" s="376"/>
      <c r="I61" s="376"/>
      <c r="J61" s="376"/>
      <c r="K61" s="376"/>
      <c r="L61" s="376"/>
      <c r="M61" s="376"/>
      <c r="N61" s="376"/>
      <c r="O61" s="376"/>
      <c r="P61" s="376"/>
      <c r="Q61" s="376"/>
      <c r="R61" s="376"/>
      <c r="S61" s="376"/>
      <c r="T61" s="376"/>
      <c r="U61" s="376"/>
      <c r="V61" s="376"/>
      <c r="W61" s="376"/>
      <c r="X61" s="376"/>
      <c r="Y61" s="376"/>
      <c r="Z61" s="376"/>
      <c r="AA61" s="376"/>
    </row>
    <row r="62" spans="1:27" x14ac:dyDescent="0.25">
      <c r="A62" s="376"/>
      <c r="B62" s="376"/>
      <c r="C62" s="376"/>
      <c r="D62" s="376"/>
      <c r="E62" s="376"/>
      <c r="F62" s="376"/>
      <c r="G62" s="376"/>
      <c r="H62" s="376"/>
      <c r="I62" s="376"/>
      <c r="J62" s="376"/>
      <c r="K62" s="376"/>
      <c r="L62" s="376"/>
      <c r="M62" s="376"/>
      <c r="N62" s="376"/>
      <c r="O62" s="376"/>
      <c r="P62" s="376"/>
      <c r="Q62" s="376"/>
      <c r="R62" s="376"/>
      <c r="S62" s="376"/>
      <c r="T62" s="376"/>
      <c r="U62" s="376"/>
      <c r="V62" s="376"/>
      <c r="W62" s="376"/>
      <c r="X62" s="376"/>
      <c r="Y62" s="376"/>
      <c r="Z62" s="376"/>
      <c r="AA62" s="376"/>
    </row>
    <row r="63" spans="1:27" x14ac:dyDescent="0.25">
      <c r="A63" s="376"/>
      <c r="B63" s="376"/>
      <c r="C63" s="376"/>
      <c r="D63" s="376"/>
      <c r="E63" s="376"/>
      <c r="F63" s="376"/>
      <c r="G63" s="376"/>
      <c r="H63" s="376"/>
      <c r="I63" s="376"/>
      <c r="J63" s="376"/>
      <c r="K63" s="376"/>
      <c r="L63" s="376"/>
      <c r="M63" s="376"/>
      <c r="N63" s="376"/>
      <c r="O63" s="376"/>
      <c r="P63" s="376"/>
      <c r="Q63" s="376"/>
      <c r="R63" s="376"/>
      <c r="S63" s="376"/>
      <c r="T63" s="376"/>
      <c r="U63" s="376"/>
      <c r="V63" s="376"/>
      <c r="W63" s="376"/>
      <c r="X63" s="376"/>
      <c r="Y63" s="376"/>
      <c r="Z63" s="376"/>
      <c r="AA63" s="376"/>
    </row>
    <row r="64" spans="1:27" x14ac:dyDescent="0.25">
      <c r="A64" s="376"/>
      <c r="B64" s="376"/>
      <c r="C64" s="376"/>
      <c r="D64" s="376"/>
      <c r="E64" s="376"/>
      <c r="F64" s="376"/>
      <c r="G64" s="376"/>
      <c r="H64" s="376"/>
      <c r="I64" s="376"/>
      <c r="J64" s="376"/>
      <c r="K64" s="376"/>
      <c r="L64" s="376"/>
      <c r="M64" s="376"/>
      <c r="N64" s="376"/>
      <c r="O64" s="376"/>
      <c r="P64" s="376"/>
      <c r="Q64" s="376"/>
      <c r="R64" s="376"/>
      <c r="S64" s="376"/>
      <c r="T64" s="376"/>
      <c r="U64" s="376"/>
      <c r="V64" s="376"/>
      <c r="W64" s="376"/>
      <c r="X64" s="376"/>
      <c r="Y64" s="376"/>
      <c r="Z64" s="376"/>
      <c r="AA64" s="376"/>
    </row>
    <row r="65" spans="1:27" x14ac:dyDescent="0.25">
      <c r="A65" s="376"/>
      <c r="B65" s="376"/>
      <c r="C65" s="376"/>
      <c r="D65" s="376"/>
      <c r="E65" s="376"/>
      <c r="F65" s="376"/>
      <c r="G65" s="376"/>
      <c r="H65" s="376"/>
      <c r="I65" s="376"/>
      <c r="J65" s="376"/>
      <c r="K65" s="376"/>
      <c r="L65" s="376"/>
      <c r="M65" s="376"/>
      <c r="N65" s="376"/>
      <c r="O65" s="376"/>
      <c r="P65" s="376"/>
      <c r="Q65" s="376"/>
      <c r="R65" s="376"/>
      <c r="S65" s="376"/>
      <c r="T65" s="376"/>
      <c r="U65" s="376"/>
      <c r="V65" s="376"/>
      <c r="W65" s="376"/>
      <c r="X65" s="376"/>
      <c r="Y65" s="376"/>
      <c r="Z65" s="376"/>
      <c r="AA65" s="376"/>
    </row>
    <row r="66" spans="1:27" x14ac:dyDescent="0.25">
      <c r="A66" s="376"/>
      <c r="B66" s="376"/>
      <c r="C66" s="376"/>
      <c r="D66" s="376"/>
      <c r="E66" s="376"/>
      <c r="F66" s="376"/>
      <c r="G66" s="376"/>
      <c r="H66" s="376"/>
      <c r="I66" s="376"/>
      <c r="J66" s="376"/>
      <c r="K66" s="376"/>
      <c r="L66" s="376"/>
      <c r="M66" s="376"/>
      <c r="N66" s="376"/>
      <c r="O66" s="376"/>
      <c r="P66" s="376"/>
      <c r="Q66" s="376"/>
      <c r="R66" s="376"/>
      <c r="S66" s="376"/>
      <c r="T66" s="376"/>
      <c r="U66" s="376"/>
      <c r="V66" s="376"/>
      <c r="W66" s="376"/>
      <c r="X66" s="376"/>
      <c r="Y66" s="376"/>
      <c r="Z66" s="376"/>
      <c r="AA66" s="376"/>
    </row>
  </sheetData>
  <sheetProtection sheet="1" objects="1" scenarios="1"/>
  <mergeCells count="12">
    <mergeCell ref="B2:G2"/>
    <mergeCell ref="D4:E4"/>
    <mergeCell ref="D40:E40"/>
    <mergeCell ref="D48:E48"/>
    <mergeCell ref="D50:E50"/>
    <mergeCell ref="D49:E49"/>
    <mergeCell ref="D22:E22"/>
    <mergeCell ref="D42:E42"/>
    <mergeCell ref="D44:E44"/>
    <mergeCell ref="D45:E45"/>
    <mergeCell ref="D46:E46"/>
    <mergeCell ref="D47:E47"/>
  </mergeCells>
  <phoneticPr fontId="0" type="noConversion"/>
  <hyperlinks>
    <hyperlink ref="D28" r:id="rId1" xr:uid="{00000000-0004-0000-0000-000000000000}"/>
    <hyperlink ref="D31" r:id="rId2" xr:uid="{00000000-0004-0000-0000-000001000000}"/>
    <hyperlink ref="D33" r:id="rId3" xr:uid="{00000000-0004-0000-0000-000002000000}"/>
    <hyperlink ref="D35" r:id="rId4" xr:uid="{00000000-0004-0000-0000-000003000000}"/>
    <hyperlink ref="D37" r:id="rId5" xr:uid="{00000000-0004-0000-0000-000004000000}"/>
    <hyperlink ref="D10" location="Toxicity!A1" display="Toxicity" xr:uid="{00000000-0004-0000-0000-000005000000}"/>
    <hyperlink ref="D16" location="PQLs!A1" display="PQLs" xr:uid="{00000000-0004-0000-0000-000006000000}"/>
    <hyperlink ref="D12" location="References!A1" display="References" xr:uid="{00000000-0004-0000-0000-000007000000}"/>
    <hyperlink ref="D14" location="'Target Risk'!A1" display="TargetRisk" xr:uid="{00000000-0004-0000-0000-000008000000}"/>
    <hyperlink ref="D18" location="BW!A1" display="BW" xr:uid="{00000000-0004-0000-0000-000009000000}"/>
    <hyperlink ref="D20" location="'Skin Surface Area'!A1" display="Skin Surface Area" xr:uid="{00000000-0004-0000-0000-00000A000000}"/>
  </hyperlinks>
  <printOptions horizontalCentered="1"/>
  <pageMargins left="0.5" right="0.5" top="0.75" bottom="0.5" header="0.4" footer="0.4"/>
  <pageSetup scale="90" orientation="portrait" r:id="rId6"/>
  <headerFooter>
    <oddHeader>&amp;C&amp;"Arial,Bold"&amp;12MCP Numerical Standards Derivation</oddHeader>
    <oddFooter>&amp;L&amp;8MassDEP&amp;C&amp;8 2024&amp;R&amp;8Workbook:  MCP Toxicity
Sheet:  Introduction
Page: &amp;P/&amp;N</oddFooter>
  </headerFooter>
  <legacyDrawing r:id="rId7"/>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C252"/>
  <sheetViews>
    <sheetView showGridLines="0" showZeros="0" zoomScaleNormal="100" workbookViewId="0">
      <pane xSplit="1" ySplit="2" topLeftCell="B3" activePane="bottomRight" state="frozen"/>
      <selection pane="topRight" activeCell="B1" sqref="B1"/>
      <selection pane="bottomLeft" activeCell="A3" sqref="A3"/>
      <selection pane="bottomRight" activeCell="F60" sqref="F60"/>
    </sheetView>
  </sheetViews>
  <sheetFormatPr defaultColWidth="12.36328125" defaultRowHeight="10" x14ac:dyDescent="0.2"/>
  <cols>
    <col min="1" max="1" width="37.90625" style="323" customWidth="1"/>
    <col min="2" max="34" width="12.36328125" style="4"/>
    <col min="35" max="38" width="12.36328125" style="3"/>
    <col min="39" max="41" width="12.36328125" style="4"/>
    <col min="42" max="43" width="0" style="3" hidden="1" customWidth="1"/>
    <col min="44" max="44" width="12.36328125" style="3"/>
    <col min="45" max="45" width="12.36328125" style="4"/>
    <col min="46" max="47" width="12.36328125" style="3"/>
    <col min="48" max="48" width="12.36328125" style="4"/>
    <col min="49" max="52" width="12.36328125" style="3"/>
    <col min="53" max="53" width="12.36328125" style="4"/>
    <col min="54" max="54" width="12.36328125" style="3"/>
    <col min="55" max="55" width="12.36328125" style="4"/>
    <col min="56" max="56" width="12.36328125" style="3"/>
    <col min="57" max="58" width="12.36328125" style="4"/>
    <col min="59" max="60" width="12.36328125" style="3"/>
    <col min="61" max="61" width="12.36328125" style="4"/>
    <col min="62" max="62" width="12.36328125" style="3"/>
    <col min="63" max="65" width="12.36328125" style="4"/>
    <col min="66" max="66" width="0" style="3" hidden="1" customWidth="1"/>
    <col min="67" max="67" width="12.36328125" style="4"/>
    <col min="68" max="69" width="12.36328125" style="3"/>
    <col min="70" max="70" width="0" style="4" hidden="1" customWidth="1"/>
    <col min="71" max="72" width="12.36328125" style="4"/>
    <col min="73" max="73" width="0" style="4" hidden="1" customWidth="1"/>
    <col min="74" max="75" width="12.36328125" style="4"/>
    <col min="76" max="76" width="0" style="4" hidden="1" customWidth="1"/>
    <col min="77" max="81" width="12.36328125" style="4"/>
    <col min="82" max="16384" width="12.36328125" style="3"/>
  </cols>
  <sheetData>
    <row r="1" spans="1:81" ht="11" thickTop="1" x14ac:dyDescent="0.25">
      <c r="A1" s="369"/>
      <c r="B1" s="327"/>
      <c r="C1" s="327"/>
      <c r="D1" s="327"/>
      <c r="E1" s="327"/>
      <c r="F1" s="327"/>
      <c r="G1" s="327"/>
      <c r="H1" s="327"/>
      <c r="I1" s="327"/>
      <c r="J1" s="327"/>
      <c r="K1" s="327"/>
      <c r="L1" s="327"/>
      <c r="M1" s="327"/>
      <c r="N1" s="327"/>
      <c r="O1" s="327"/>
      <c r="P1" s="327"/>
      <c r="Q1" s="327"/>
      <c r="R1" s="327"/>
      <c r="S1" s="327"/>
      <c r="T1" s="327"/>
      <c r="U1" s="327"/>
      <c r="V1" s="328"/>
      <c r="W1" s="327"/>
      <c r="X1" s="327"/>
      <c r="Y1" s="327"/>
      <c r="Z1" s="327"/>
      <c r="AA1" s="327"/>
      <c r="AB1" s="327"/>
      <c r="AC1" s="327"/>
      <c r="AD1" s="327"/>
      <c r="AE1" s="328"/>
      <c r="AF1" s="327"/>
      <c r="AG1" s="327"/>
      <c r="AH1" s="327"/>
      <c r="AI1" s="327"/>
      <c r="AJ1" s="327"/>
      <c r="AK1" s="327"/>
      <c r="AL1" s="327"/>
      <c r="AM1" s="327"/>
      <c r="AN1" s="327"/>
      <c r="AO1" s="327"/>
      <c r="AP1" s="329"/>
      <c r="AQ1" s="329"/>
      <c r="AR1" s="329"/>
      <c r="AS1" s="329"/>
      <c r="AT1" s="329"/>
      <c r="AU1" s="329"/>
      <c r="AV1" s="329"/>
      <c r="AW1" s="329"/>
      <c r="AX1" s="329"/>
      <c r="AY1" s="329"/>
      <c r="AZ1" s="329"/>
      <c r="BA1" s="329"/>
      <c r="BB1" s="330"/>
      <c r="BC1" s="329"/>
      <c r="BD1" s="330"/>
      <c r="BE1" s="329"/>
      <c r="BF1" s="329"/>
      <c r="BG1" s="329"/>
      <c r="BH1" s="329"/>
      <c r="BI1" s="329"/>
      <c r="BJ1" s="329"/>
      <c r="BK1" s="329"/>
      <c r="BL1" s="329"/>
      <c r="BM1" s="329"/>
      <c r="BN1" s="329" t="s">
        <v>426</v>
      </c>
      <c r="BO1" s="329"/>
      <c r="BP1" s="329"/>
      <c r="BQ1" s="329"/>
      <c r="BR1" s="331"/>
      <c r="BS1" s="332"/>
      <c r="BT1" s="333"/>
      <c r="BU1" s="334"/>
      <c r="BV1" s="334"/>
      <c r="BW1" s="334" t="s">
        <v>431</v>
      </c>
      <c r="BX1" s="334"/>
      <c r="BY1" s="334"/>
      <c r="BZ1" s="333"/>
      <c r="CA1" s="333"/>
      <c r="CB1" s="335"/>
      <c r="CC1" s="336"/>
    </row>
    <row r="2" spans="1:81" s="61" customFormat="1" ht="66" x14ac:dyDescent="0.35">
      <c r="A2" s="370" t="s">
        <v>689</v>
      </c>
      <c r="B2" s="53" t="s">
        <v>238</v>
      </c>
      <c r="C2" s="54" t="s">
        <v>621</v>
      </c>
      <c r="D2" s="54" t="s">
        <v>362</v>
      </c>
      <c r="E2" s="37" t="s">
        <v>236</v>
      </c>
      <c r="F2" s="54" t="s">
        <v>363</v>
      </c>
      <c r="G2" s="37" t="s">
        <v>236</v>
      </c>
      <c r="H2" s="54" t="s">
        <v>650</v>
      </c>
      <c r="I2" s="37" t="s">
        <v>236</v>
      </c>
      <c r="J2" s="54" t="s">
        <v>364</v>
      </c>
      <c r="K2" s="37" t="s">
        <v>236</v>
      </c>
      <c r="L2" s="54" t="s">
        <v>365</v>
      </c>
      <c r="M2" s="37" t="s">
        <v>237</v>
      </c>
      <c r="N2" s="37" t="s">
        <v>236</v>
      </c>
      <c r="O2" s="54" t="s">
        <v>649</v>
      </c>
      <c r="P2" s="37" t="s">
        <v>236</v>
      </c>
      <c r="Q2" s="55" t="s">
        <v>366</v>
      </c>
      <c r="R2" s="41" t="s">
        <v>236</v>
      </c>
      <c r="S2" s="55" t="s">
        <v>367</v>
      </c>
      <c r="T2" s="41" t="s">
        <v>236</v>
      </c>
      <c r="U2" s="55" t="s">
        <v>368</v>
      </c>
      <c r="V2" s="55" t="s">
        <v>404</v>
      </c>
      <c r="W2" s="55" t="s">
        <v>369</v>
      </c>
      <c r="X2" s="41" t="s">
        <v>236</v>
      </c>
      <c r="Y2" s="55" t="s">
        <v>370</v>
      </c>
      <c r="Z2" s="41" t="s">
        <v>236</v>
      </c>
      <c r="AA2" s="55" t="s">
        <v>371</v>
      </c>
      <c r="AB2" s="41" t="s">
        <v>236</v>
      </c>
      <c r="AC2" s="56" t="s">
        <v>368</v>
      </c>
      <c r="AD2" s="57" t="s">
        <v>236</v>
      </c>
      <c r="AE2" s="56" t="s">
        <v>405</v>
      </c>
      <c r="AF2" s="57" t="s">
        <v>236</v>
      </c>
      <c r="AG2" s="56" t="s">
        <v>370</v>
      </c>
      <c r="AH2" s="57" t="s">
        <v>236</v>
      </c>
      <c r="AI2" s="58" t="s">
        <v>400</v>
      </c>
      <c r="AJ2" s="193" t="s">
        <v>631</v>
      </c>
      <c r="AK2" s="68" t="s">
        <v>410</v>
      </c>
      <c r="AL2" s="68" t="s">
        <v>409</v>
      </c>
      <c r="AM2" s="58" t="s">
        <v>399</v>
      </c>
      <c r="AN2" s="58" t="s">
        <v>372</v>
      </c>
      <c r="AO2" s="58" t="s">
        <v>373</v>
      </c>
      <c r="AP2" s="54" t="s">
        <v>407</v>
      </c>
      <c r="AQ2" s="54" t="s">
        <v>408</v>
      </c>
      <c r="AR2" s="54" t="s">
        <v>374</v>
      </c>
      <c r="AS2" s="37" t="s">
        <v>236</v>
      </c>
      <c r="AT2" s="54" t="s">
        <v>375</v>
      </c>
      <c r="AU2" s="54" t="s">
        <v>376</v>
      </c>
      <c r="AV2" s="37" t="s">
        <v>236</v>
      </c>
      <c r="AW2" s="54" t="s">
        <v>377</v>
      </c>
      <c r="AX2" s="54" t="s">
        <v>378</v>
      </c>
      <c r="AY2" s="54" t="s">
        <v>379</v>
      </c>
      <c r="AZ2" s="54" t="s">
        <v>380</v>
      </c>
      <c r="BA2" s="37" t="s">
        <v>236</v>
      </c>
      <c r="BB2" s="54" t="s">
        <v>381</v>
      </c>
      <c r="BC2" s="37" t="s">
        <v>236</v>
      </c>
      <c r="BD2" s="54" t="s">
        <v>382</v>
      </c>
      <c r="BE2" s="54" t="s">
        <v>383</v>
      </c>
      <c r="BF2" s="37" t="s">
        <v>236</v>
      </c>
      <c r="BG2" s="54" t="s">
        <v>384</v>
      </c>
      <c r="BH2" s="54" t="s">
        <v>385</v>
      </c>
      <c r="BI2" s="37" t="s">
        <v>236</v>
      </c>
      <c r="BJ2" s="54" t="s">
        <v>386</v>
      </c>
      <c r="BK2" s="37" t="s">
        <v>236</v>
      </c>
      <c r="BL2" s="54" t="s">
        <v>387</v>
      </c>
      <c r="BM2" s="37" t="s">
        <v>236</v>
      </c>
      <c r="BN2" s="54" t="s">
        <v>388</v>
      </c>
      <c r="BO2" s="54" t="s">
        <v>389</v>
      </c>
      <c r="BP2" s="54" t="s">
        <v>390</v>
      </c>
      <c r="BQ2" s="37" t="s">
        <v>236</v>
      </c>
      <c r="BR2" s="59" t="s">
        <v>430</v>
      </c>
      <c r="BS2" s="70" t="s">
        <v>391</v>
      </c>
      <c r="BT2" s="56" t="s">
        <v>394</v>
      </c>
      <c r="BU2" s="56" t="s">
        <v>430</v>
      </c>
      <c r="BV2" s="56" t="s">
        <v>393</v>
      </c>
      <c r="BW2" s="56" t="s">
        <v>395</v>
      </c>
      <c r="BX2" s="56" t="s">
        <v>430</v>
      </c>
      <c r="BY2" s="56" t="s">
        <v>396</v>
      </c>
      <c r="BZ2" s="56" t="s">
        <v>397</v>
      </c>
      <c r="CA2" s="56" t="s">
        <v>398</v>
      </c>
      <c r="CB2" s="60" t="s">
        <v>392</v>
      </c>
      <c r="CC2" s="324" t="s">
        <v>679</v>
      </c>
    </row>
    <row r="3" spans="1:81" s="26" customFormat="1" x14ac:dyDescent="0.2">
      <c r="A3" s="371" t="s">
        <v>234</v>
      </c>
      <c r="B3" s="52" t="s">
        <v>233</v>
      </c>
      <c r="C3" s="72">
        <v>42922</v>
      </c>
      <c r="D3" s="48">
        <v>0.06</v>
      </c>
      <c r="E3" s="20">
        <v>1</v>
      </c>
      <c r="F3" s="48">
        <v>0.2</v>
      </c>
      <c r="G3" s="20">
        <v>6</v>
      </c>
      <c r="H3" s="49">
        <v>0.05</v>
      </c>
      <c r="I3" s="20" t="s">
        <v>478</v>
      </c>
      <c r="J3" s="49">
        <v>0.5</v>
      </c>
      <c r="K3" s="20" t="s">
        <v>478</v>
      </c>
      <c r="L3" s="49"/>
      <c r="M3" s="21"/>
      <c r="N3" s="21"/>
      <c r="O3" s="49"/>
      <c r="P3" s="20"/>
      <c r="Q3" s="40">
        <v>0.3</v>
      </c>
      <c r="R3" s="40" t="s">
        <v>503</v>
      </c>
      <c r="S3" s="40">
        <v>0.1</v>
      </c>
      <c r="T3" s="40" t="s">
        <v>503</v>
      </c>
      <c r="U3" s="40">
        <v>0.3</v>
      </c>
      <c r="V3" s="40" t="s">
        <v>503</v>
      </c>
      <c r="W3" s="40">
        <v>0.1</v>
      </c>
      <c r="X3" s="40" t="s">
        <v>503</v>
      </c>
      <c r="Y3" s="40" t="s">
        <v>1</v>
      </c>
      <c r="Z3" s="40"/>
      <c r="AA3" s="40" t="s">
        <v>1</v>
      </c>
      <c r="AB3" s="40"/>
      <c r="AC3" s="42">
        <v>1</v>
      </c>
      <c r="AD3" s="42">
        <v>9</v>
      </c>
      <c r="AE3" s="42">
        <v>1</v>
      </c>
      <c r="AF3" s="42">
        <v>9</v>
      </c>
      <c r="AG3" s="42"/>
      <c r="AH3" s="42"/>
      <c r="AI3" s="62">
        <v>2</v>
      </c>
      <c r="AJ3" s="20"/>
      <c r="AK3" s="66">
        <v>0.92</v>
      </c>
      <c r="AL3" s="66">
        <v>0.92</v>
      </c>
      <c r="AM3" s="62">
        <v>0.5</v>
      </c>
      <c r="AN3" s="62">
        <v>0</v>
      </c>
      <c r="AO3" s="43">
        <f>VLOOKUP(A3,[1]!IABKGRD,7,FALSE)</f>
        <v>0</v>
      </c>
      <c r="AR3" s="26">
        <v>20</v>
      </c>
      <c r="AS3" s="20">
        <v>13</v>
      </c>
      <c r="AU3" s="47">
        <f t="shared" ref="AU3:AU31" si="0">AT3*22.4*(298/273)*(760/760)/(BE3*1000)</f>
        <v>0</v>
      </c>
      <c r="AV3" s="20"/>
      <c r="AW3" s="49">
        <f t="shared" ref="AW3:AW34" si="1">IF(AT3=0,0,BG3/AU3)</f>
        <v>0</v>
      </c>
      <c r="AX3" s="26">
        <f t="shared" ref="AX3:AX34" si="2">VLOOKUP(A3,PQL,4,FALSE)</f>
        <v>0.66</v>
      </c>
      <c r="AY3" s="26">
        <f t="shared" ref="AY3:AY34" si="3">VLOOKUP(A3,PQL,3,FALSE)</f>
        <v>10</v>
      </c>
      <c r="AZ3" s="23">
        <v>3900</v>
      </c>
      <c r="BA3" s="20">
        <v>22</v>
      </c>
      <c r="BB3" s="23">
        <v>1.84E-4</v>
      </c>
      <c r="BC3" s="20">
        <v>22</v>
      </c>
      <c r="BD3" s="27">
        <v>7.5298739564576859E-3</v>
      </c>
      <c r="BE3" s="20">
        <v>154</v>
      </c>
      <c r="BF3" s="20">
        <v>13</v>
      </c>
      <c r="BG3" s="25"/>
      <c r="BH3" s="26">
        <v>3.92</v>
      </c>
      <c r="BI3" s="34">
        <v>17</v>
      </c>
      <c r="BJ3" s="19">
        <v>4900</v>
      </c>
      <c r="BK3" s="20" t="s">
        <v>466</v>
      </c>
      <c r="BL3" s="20">
        <v>93.4</v>
      </c>
      <c r="BM3" s="20">
        <v>17</v>
      </c>
      <c r="BN3" s="22"/>
      <c r="BO3" s="49">
        <f>IF(BE3=0,0,IF(BH3=0,0,10^(-2.8+0.66*BH3-0.0056*BE3)))</f>
        <v>8.4100775406923345E-2</v>
      </c>
      <c r="BR3" s="44"/>
      <c r="BS3" s="44">
        <f t="shared" ref="BS3:BS32" si="4">IF($AW3=0,IF($BG3&gt;1,100,1000),IF($AW3&lt;0.1,1000,IF($AW3&lt;100,500,100)))</f>
        <v>1000</v>
      </c>
      <c r="BT3" s="44" t="str">
        <f>IF($BS3=$BN3,"Soil Saturation",IF($BS3=100,"Ceiling (Low)",IF($BS3=500,"Ceiling (Medium)","Ceiling (High)")))</f>
        <v>Ceiling (High)</v>
      </c>
      <c r="BU3" s="44"/>
      <c r="BV3" s="44">
        <f t="shared" ref="BV3:BV32" si="5">IF($AW3=0,IF($BG3&gt;1,500,3000),IF($AW3&lt;0.1,3000,IF($AW3&lt;100,1000,500)))</f>
        <v>3000</v>
      </c>
      <c r="BW3" s="44" t="str">
        <f>IF(BV3=$BN3,"Soil Saturation",IF(BV3=500,"Ceiling (Low)",IF(BV3=1000,"Ceiling (Medium)","Ceiling (High)")))</f>
        <v>Ceiling (High)</v>
      </c>
      <c r="BX3" s="44"/>
      <c r="BY3" s="44">
        <f t="shared" ref="BY3:BY32" si="6">IF($AW3=0,IF($BG3&gt;1,500,5000),IF($AW3&lt;0.1,5000,IF($AW3&lt;100,3000,1000)))</f>
        <v>5000</v>
      </c>
      <c r="BZ3" s="44" t="str">
        <f>IF(BY3=$BN3,"Soil Saturation",IF(BY3=500,"High Volatility",IF(BY3=1000,"Ceiling (Low)",IF(BY3=3000,"Ceiling (Medium)","Ceiling (High)"))))</f>
        <v>Ceiling (High)</v>
      </c>
      <c r="CA3" s="44">
        <v>50000</v>
      </c>
      <c r="CB3" s="45" t="s">
        <v>0</v>
      </c>
      <c r="CC3" s="325"/>
    </row>
    <row r="4" spans="1:81" s="26" customFormat="1" x14ac:dyDescent="0.2">
      <c r="A4" s="371" t="s">
        <v>232</v>
      </c>
      <c r="B4" s="52" t="s">
        <v>231</v>
      </c>
      <c r="C4" s="72">
        <v>42922</v>
      </c>
      <c r="D4" s="48">
        <v>0.03</v>
      </c>
      <c r="E4" s="20" t="s">
        <v>478</v>
      </c>
      <c r="F4" s="48">
        <v>0.3</v>
      </c>
      <c r="G4" s="20" t="s">
        <v>478</v>
      </c>
      <c r="H4" s="49">
        <v>0.05</v>
      </c>
      <c r="I4" s="20" t="s">
        <v>478</v>
      </c>
      <c r="J4" s="49">
        <v>0.5</v>
      </c>
      <c r="K4" s="20" t="s">
        <v>478</v>
      </c>
      <c r="L4" s="49"/>
      <c r="M4" s="20" t="s">
        <v>2</v>
      </c>
      <c r="N4" s="20">
        <v>1</v>
      </c>
      <c r="O4" s="49"/>
      <c r="P4" s="20"/>
      <c r="Q4" s="40">
        <v>0.3</v>
      </c>
      <c r="R4" s="40" t="s">
        <v>503</v>
      </c>
      <c r="S4" s="40">
        <v>0.1</v>
      </c>
      <c r="T4" s="40" t="s">
        <v>503</v>
      </c>
      <c r="U4" s="40">
        <v>0.3</v>
      </c>
      <c r="V4" s="40" t="s">
        <v>504</v>
      </c>
      <c r="W4" s="40">
        <v>0.1</v>
      </c>
      <c r="X4" s="40" t="s">
        <v>503</v>
      </c>
      <c r="Y4" s="40" t="s">
        <v>1</v>
      </c>
      <c r="Z4" s="40"/>
      <c r="AA4" s="40" t="s">
        <v>1</v>
      </c>
      <c r="AB4" s="40"/>
      <c r="AC4" s="42">
        <v>1</v>
      </c>
      <c r="AD4" s="42">
        <v>9</v>
      </c>
      <c r="AE4" s="42">
        <v>1</v>
      </c>
      <c r="AF4" s="42">
        <v>9</v>
      </c>
      <c r="AG4" s="42"/>
      <c r="AH4" s="42"/>
      <c r="AI4" s="62">
        <v>1</v>
      </c>
      <c r="AJ4" s="20"/>
      <c r="AK4" s="66">
        <v>0.92</v>
      </c>
      <c r="AL4" s="66">
        <v>0.92</v>
      </c>
      <c r="AM4" s="62">
        <v>0.5</v>
      </c>
      <c r="AN4" s="62"/>
      <c r="AO4" s="43">
        <f>VLOOKUP(A4,[1]!IABKGRD,7,FALSE)</f>
        <v>0</v>
      </c>
      <c r="AS4" s="20"/>
      <c r="AU4" s="47">
        <f t="shared" si="0"/>
        <v>0</v>
      </c>
      <c r="AV4" s="20"/>
      <c r="AW4" s="49">
        <f t="shared" si="1"/>
        <v>0</v>
      </c>
      <c r="AX4" s="26">
        <f t="shared" si="2"/>
        <v>0.66</v>
      </c>
      <c r="AY4" s="26">
        <f t="shared" si="3"/>
        <v>0.5</v>
      </c>
      <c r="AZ4" s="23">
        <v>16100</v>
      </c>
      <c r="BA4" s="20">
        <v>22</v>
      </c>
      <c r="BB4" s="23">
        <v>1.1400000000000001E-4</v>
      </c>
      <c r="BC4" s="20">
        <v>22</v>
      </c>
      <c r="BD4" s="27">
        <v>4.6652479947618276E-3</v>
      </c>
      <c r="BE4" s="20">
        <v>154</v>
      </c>
      <c r="BF4" s="20">
        <v>13</v>
      </c>
      <c r="BG4" s="23">
        <v>2.9000000000000001E-2</v>
      </c>
      <c r="BH4" s="26">
        <v>3.94</v>
      </c>
      <c r="BI4" s="34">
        <v>13</v>
      </c>
      <c r="BJ4" s="19">
        <v>2500</v>
      </c>
      <c r="BK4" s="20">
        <v>13</v>
      </c>
      <c r="BL4" s="20"/>
      <c r="BM4" s="20"/>
      <c r="BN4" s="22"/>
      <c r="BO4" s="49">
        <f>IF(BE4=0,0,IF(BH4=0,0,10^(-2.8+0.66*BH4-0.0056*BE4)))</f>
        <v>8.669618757582169E-2</v>
      </c>
      <c r="BP4" s="24"/>
      <c r="BQ4" s="24"/>
      <c r="BR4" s="44"/>
      <c r="BS4" s="44">
        <f t="shared" si="4"/>
        <v>1000</v>
      </c>
      <c r="BT4" s="44" t="str">
        <f t="shared" ref="BT4:BT67" si="7">IF($BS4=$BN4,"Soil Saturation",IF($BS4=100,"Ceiling (Low)",IF($BS4=500,"Ceiling (Medium)","Ceiling (High)")))</f>
        <v>Ceiling (High)</v>
      </c>
      <c r="BU4" s="44"/>
      <c r="BV4" s="44">
        <f t="shared" si="5"/>
        <v>3000</v>
      </c>
      <c r="BW4" s="44" t="str">
        <f t="shared" ref="BW4:BW67" si="8">IF(BV4=$BN4,"Soil Saturation",IF(BV4=500,"Ceiling (Low)",IF(BV4=1000,"Ceiling (Medium)","Ceiling (High)")))</f>
        <v>Ceiling (High)</v>
      </c>
      <c r="BX4" s="44"/>
      <c r="BY4" s="44">
        <f t="shared" si="6"/>
        <v>5000</v>
      </c>
      <c r="BZ4" s="44" t="str">
        <f t="shared" ref="BZ4:BZ67" si="9">IF(BY4=$BN4,"Soil Saturation",IF(BY4=500,"High Volatility",IF(BY4=1000,"Ceiling (Low)",IF(BY4=3000,"Ceiling (Medium)","Ceiling (High)"))))</f>
        <v>Ceiling (High)</v>
      </c>
      <c r="CA4" s="44">
        <v>50000</v>
      </c>
      <c r="CB4" s="45" t="s">
        <v>0</v>
      </c>
      <c r="CC4" s="325"/>
    </row>
    <row r="5" spans="1:81" s="26" customFormat="1" x14ac:dyDescent="0.2">
      <c r="A5" s="371" t="s">
        <v>230</v>
      </c>
      <c r="B5" s="52" t="s">
        <v>229</v>
      </c>
      <c r="C5" s="72">
        <v>42922</v>
      </c>
      <c r="D5" s="48">
        <v>0.9</v>
      </c>
      <c r="E5" s="20">
        <v>1</v>
      </c>
      <c r="F5" s="48">
        <v>2.7</v>
      </c>
      <c r="G5" s="20" t="s">
        <v>334</v>
      </c>
      <c r="H5" s="49">
        <v>0.8</v>
      </c>
      <c r="I5" s="20">
        <v>3</v>
      </c>
      <c r="J5" s="49">
        <v>0.8</v>
      </c>
      <c r="K5" s="20" t="s">
        <v>488</v>
      </c>
      <c r="L5" s="49"/>
      <c r="M5" s="21" t="s">
        <v>2</v>
      </c>
      <c r="N5" s="21">
        <v>1</v>
      </c>
      <c r="O5" s="49"/>
      <c r="P5" s="20"/>
      <c r="Q5" s="40">
        <v>1</v>
      </c>
      <c r="R5" s="40" t="s">
        <v>504</v>
      </c>
      <c r="S5" s="40">
        <v>0.03</v>
      </c>
      <c r="T5" s="40" t="s">
        <v>504</v>
      </c>
      <c r="U5" s="40">
        <v>1</v>
      </c>
      <c r="V5" s="40" t="s">
        <v>504</v>
      </c>
      <c r="W5" s="40">
        <v>0.03</v>
      </c>
      <c r="X5" s="40" t="s">
        <v>504</v>
      </c>
      <c r="Y5" s="40" t="s">
        <v>1</v>
      </c>
      <c r="Z5" s="40"/>
      <c r="AA5" s="40" t="s">
        <v>1</v>
      </c>
      <c r="AB5" s="40"/>
      <c r="AC5" s="42">
        <v>1</v>
      </c>
      <c r="AD5" s="42">
        <v>9</v>
      </c>
      <c r="AE5" s="42">
        <v>1</v>
      </c>
      <c r="AF5" s="42">
        <v>9</v>
      </c>
      <c r="AG5" s="42"/>
      <c r="AH5" s="42"/>
      <c r="AI5" s="62"/>
      <c r="AJ5" s="20"/>
      <c r="AK5" s="66">
        <v>1</v>
      </c>
      <c r="AL5" s="66" t="s">
        <v>1</v>
      </c>
      <c r="AM5" s="62"/>
      <c r="AN5" s="62"/>
      <c r="AO5" s="43">
        <f>VLOOKUP(A5,[1]!IABKGRD,7,FALSE)</f>
        <v>91</v>
      </c>
      <c r="AQ5" s="26">
        <v>11.4</v>
      </c>
      <c r="AR5" s="26">
        <v>20000</v>
      </c>
      <c r="AS5" s="20">
        <v>13</v>
      </c>
      <c r="AT5" s="26">
        <v>30862</v>
      </c>
      <c r="AU5" s="47">
        <f t="shared" si="0"/>
        <v>13.010611494252872</v>
      </c>
      <c r="AV5" s="20">
        <v>13</v>
      </c>
      <c r="AW5" s="49">
        <f t="shared" si="1"/>
        <v>20.752291321531356</v>
      </c>
      <c r="AX5" s="26">
        <f t="shared" si="2"/>
        <v>0.1</v>
      </c>
      <c r="AY5" s="26">
        <f t="shared" si="3"/>
        <v>100</v>
      </c>
      <c r="AZ5" s="23">
        <v>1000000000</v>
      </c>
      <c r="BA5" s="20">
        <v>22</v>
      </c>
      <c r="BB5" s="23">
        <v>3.9700000000000003E-5</v>
      </c>
      <c r="BC5" s="20">
        <v>22</v>
      </c>
      <c r="BD5" s="27">
        <v>1.6246521525617942E-3</v>
      </c>
      <c r="BE5" s="20">
        <v>58</v>
      </c>
      <c r="BF5" s="20">
        <v>13</v>
      </c>
      <c r="BG5" s="26">
        <v>270</v>
      </c>
      <c r="BH5" s="26">
        <v>-0.24</v>
      </c>
      <c r="BI5" s="34">
        <v>17</v>
      </c>
      <c r="BJ5" s="19">
        <v>0.57499999999999996</v>
      </c>
      <c r="BK5" s="20" t="s">
        <v>467</v>
      </c>
      <c r="BL5" s="20">
        <v>-94.8</v>
      </c>
      <c r="BM5" s="20">
        <v>17</v>
      </c>
      <c r="BN5" s="22"/>
      <c r="BO5" s="49">
        <f>IF(BE5=0,0,IF(BH5=0,0,10^(-2.8+0.66*BH5-0.0056*BE5)))</f>
        <v>5.2095474732855506E-4</v>
      </c>
      <c r="BP5" s="24"/>
      <c r="BQ5" s="24"/>
      <c r="BR5" s="44"/>
      <c r="BS5" s="44">
        <f t="shared" si="4"/>
        <v>500</v>
      </c>
      <c r="BT5" s="44" t="str">
        <f t="shared" si="7"/>
        <v>Ceiling (Medium)</v>
      </c>
      <c r="BU5" s="44"/>
      <c r="BV5" s="44">
        <f t="shared" si="5"/>
        <v>1000</v>
      </c>
      <c r="BW5" s="44" t="str">
        <f t="shared" si="8"/>
        <v>Ceiling (Medium)</v>
      </c>
      <c r="BX5" s="44"/>
      <c r="BY5" s="44">
        <f t="shared" si="6"/>
        <v>3000</v>
      </c>
      <c r="BZ5" s="44" t="str">
        <f t="shared" si="9"/>
        <v>Ceiling (Medium)</v>
      </c>
      <c r="CA5" s="44">
        <v>50000</v>
      </c>
      <c r="CB5" s="45" t="s">
        <v>0</v>
      </c>
      <c r="CC5" s="325"/>
    </row>
    <row r="6" spans="1:81" s="26" customFormat="1" x14ac:dyDescent="0.2">
      <c r="A6" s="371" t="s">
        <v>228</v>
      </c>
      <c r="B6" s="52" t="s">
        <v>227</v>
      </c>
      <c r="C6" s="72">
        <v>42922</v>
      </c>
      <c r="D6" s="48">
        <v>3.0000000000000001E-5</v>
      </c>
      <c r="E6" s="20">
        <v>1</v>
      </c>
      <c r="F6" s="48">
        <v>4.0000000000000003E-5</v>
      </c>
      <c r="G6" s="20">
        <v>6</v>
      </c>
      <c r="H6" s="49">
        <v>1.1E-4</v>
      </c>
      <c r="I6" s="20" t="s">
        <v>475</v>
      </c>
      <c r="J6" s="49">
        <v>2.0000000000000001E-4</v>
      </c>
      <c r="K6" s="20" t="s">
        <v>475</v>
      </c>
      <c r="L6" s="49">
        <v>17</v>
      </c>
      <c r="M6" s="21" t="s">
        <v>15</v>
      </c>
      <c r="N6" s="21">
        <v>1</v>
      </c>
      <c r="O6" s="49">
        <v>4.8999999999999998E-3</v>
      </c>
      <c r="P6" s="20">
        <v>1</v>
      </c>
      <c r="Q6" s="40">
        <v>1</v>
      </c>
      <c r="R6" s="40" t="s">
        <v>504</v>
      </c>
      <c r="S6" s="40">
        <v>0.1</v>
      </c>
      <c r="T6" s="40" t="s">
        <v>504</v>
      </c>
      <c r="U6" s="40">
        <v>1</v>
      </c>
      <c r="V6" s="40" t="s">
        <v>504</v>
      </c>
      <c r="W6" s="40">
        <v>0.1</v>
      </c>
      <c r="X6" s="40" t="s">
        <v>504</v>
      </c>
      <c r="Y6" s="40">
        <v>1</v>
      </c>
      <c r="Z6" s="40" t="s">
        <v>504</v>
      </c>
      <c r="AA6" s="40">
        <v>0.1</v>
      </c>
      <c r="AB6" s="40" t="s">
        <v>504</v>
      </c>
      <c r="AC6" s="42">
        <v>1</v>
      </c>
      <c r="AD6" s="42">
        <v>9</v>
      </c>
      <c r="AE6" s="42">
        <v>1</v>
      </c>
      <c r="AF6" s="42">
        <v>9</v>
      </c>
      <c r="AG6" s="42">
        <v>1</v>
      </c>
      <c r="AH6" s="42">
        <v>9</v>
      </c>
      <c r="AI6" s="62"/>
      <c r="AJ6" s="20"/>
      <c r="AK6" s="66">
        <v>0.8</v>
      </c>
      <c r="AL6" s="66">
        <v>0.8</v>
      </c>
      <c r="AM6" s="62"/>
      <c r="AN6" s="62"/>
      <c r="AO6" s="43">
        <f>VLOOKUP(A6,[1]!IABKGRD,7,FALSE)</f>
        <v>0</v>
      </c>
      <c r="AR6" s="26">
        <v>17</v>
      </c>
      <c r="AS6" s="20">
        <v>13</v>
      </c>
      <c r="AT6" s="26">
        <v>263</v>
      </c>
      <c r="AU6" s="47">
        <f t="shared" si="0"/>
        <v>1.7618321039690899E-2</v>
      </c>
      <c r="AV6" s="20">
        <v>28</v>
      </c>
      <c r="AW6" s="49">
        <f t="shared" si="1"/>
        <v>1.3054592403092865E-3</v>
      </c>
      <c r="AX6" s="26">
        <f t="shared" si="2"/>
        <v>2.6800000000000001E-3</v>
      </c>
      <c r="AY6" s="26">
        <f t="shared" si="3"/>
        <v>0.5</v>
      </c>
      <c r="AZ6" s="23">
        <v>17</v>
      </c>
      <c r="BA6" s="20">
        <v>22</v>
      </c>
      <c r="BB6" s="23">
        <v>4.3999999999999999E-5</v>
      </c>
      <c r="BC6" s="20">
        <v>22</v>
      </c>
      <c r="BD6" s="27">
        <v>1.8006220330659681E-3</v>
      </c>
      <c r="BE6" s="20">
        <v>365</v>
      </c>
      <c r="BF6" s="20">
        <v>13</v>
      </c>
      <c r="BG6" s="23">
        <v>2.3E-5</v>
      </c>
      <c r="BH6" s="26">
        <v>6.5</v>
      </c>
      <c r="BI6" s="34">
        <v>16</v>
      </c>
      <c r="BJ6" s="19">
        <v>48700</v>
      </c>
      <c r="BK6" s="20" t="s">
        <v>466</v>
      </c>
      <c r="BL6" s="20">
        <v>104</v>
      </c>
      <c r="BM6" s="20">
        <v>17</v>
      </c>
      <c r="BN6" s="22"/>
      <c r="BO6" s="49">
        <f>IF(BE6=0,0,IF(BH6=0,0,10^(-2.8+0.66*BH6-0.0056*BE6)))</f>
        <v>0.27925438412373388</v>
      </c>
      <c r="BP6" s="24"/>
      <c r="BQ6" s="24"/>
      <c r="BR6" s="44"/>
      <c r="BS6" s="44">
        <f t="shared" si="4"/>
        <v>1000</v>
      </c>
      <c r="BT6" s="44" t="str">
        <f t="shared" si="7"/>
        <v>Ceiling (High)</v>
      </c>
      <c r="BU6" s="44"/>
      <c r="BV6" s="44">
        <f t="shared" si="5"/>
        <v>3000</v>
      </c>
      <c r="BW6" s="44" t="str">
        <f t="shared" si="8"/>
        <v>Ceiling (High)</v>
      </c>
      <c r="BX6" s="44"/>
      <c r="BY6" s="44">
        <f t="shared" si="6"/>
        <v>5000</v>
      </c>
      <c r="BZ6" s="44" t="str">
        <f t="shared" si="9"/>
        <v>Ceiling (High)</v>
      </c>
      <c r="CA6" s="44">
        <v>50000</v>
      </c>
      <c r="CB6" s="45" t="s">
        <v>0</v>
      </c>
      <c r="CC6" s="325"/>
    </row>
    <row r="7" spans="1:81" s="26" customFormat="1" x14ac:dyDescent="0.2">
      <c r="A7" s="371" t="s">
        <v>226</v>
      </c>
      <c r="B7" s="52" t="s">
        <v>225</v>
      </c>
      <c r="C7" s="72">
        <v>42922</v>
      </c>
      <c r="D7" s="48">
        <v>0.3</v>
      </c>
      <c r="E7" s="20">
        <v>1</v>
      </c>
      <c r="F7" s="48">
        <v>1</v>
      </c>
      <c r="G7" s="20">
        <v>6</v>
      </c>
      <c r="H7" s="49">
        <v>0.05</v>
      </c>
      <c r="I7" s="20" t="s">
        <v>478</v>
      </c>
      <c r="J7" s="49">
        <v>0.5</v>
      </c>
      <c r="K7" s="20" t="s">
        <v>478</v>
      </c>
      <c r="L7" s="49"/>
      <c r="M7" s="20" t="s">
        <v>2</v>
      </c>
      <c r="N7" s="20">
        <v>1</v>
      </c>
      <c r="O7" s="49"/>
      <c r="P7" s="20"/>
      <c r="Q7" s="40">
        <v>0.3</v>
      </c>
      <c r="R7" s="40" t="s">
        <v>503</v>
      </c>
      <c r="S7" s="40">
        <v>0.1</v>
      </c>
      <c r="T7" s="40" t="s">
        <v>503</v>
      </c>
      <c r="U7" s="40">
        <v>0.3</v>
      </c>
      <c r="V7" s="40" t="s">
        <v>503</v>
      </c>
      <c r="W7" s="40">
        <v>0.1</v>
      </c>
      <c r="X7" s="40" t="s">
        <v>503</v>
      </c>
      <c r="Y7" s="40" t="s">
        <v>1</v>
      </c>
      <c r="Z7" s="40"/>
      <c r="AA7" s="40" t="s">
        <v>1</v>
      </c>
      <c r="AB7" s="40"/>
      <c r="AC7" s="42">
        <v>1</v>
      </c>
      <c r="AD7" s="42">
        <v>9</v>
      </c>
      <c r="AE7" s="42">
        <v>1</v>
      </c>
      <c r="AF7" s="42">
        <v>9</v>
      </c>
      <c r="AG7" s="42"/>
      <c r="AH7" s="42"/>
      <c r="AI7" s="62">
        <v>4</v>
      </c>
      <c r="AJ7" s="20"/>
      <c r="AK7" s="66">
        <v>0.92</v>
      </c>
      <c r="AL7" s="66" t="s">
        <v>1</v>
      </c>
      <c r="AM7" s="62">
        <v>1</v>
      </c>
      <c r="AN7" s="62"/>
      <c r="AO7" s="43">
        <f>VLOOKUP(A7,[1]!IABKGRD,7,FALSE)</f>
        <v>0</v>
      </c>
      <c r="AS7" s="20"/>
      <c r="AU7" s="47">
        <f t="shared" si="0"/>
        <v>0</v>
      </c>
      <c r="AV7" s="20"/>
      <c r="AW7" s="49">
        <f t="shared" si="1"/>
        <v>0</v>
      </c>
      <c r="AX7" s="26">
        <f t="shared" si="2"/>
        <v>0.66</v>
      </c>
      <c r="AY7" s="26">
        <f t="shared" si="3"/>
        <v>0.5</v>
      </c>
      <c r="AZ7" s="23">
        <v>43.4</v>
      </c>
      <c r="BA7" s="20">
        <v>22</v>
      </c>
      <c r="BB7" s="23">
        <v>5.5600000000000003E-5</v>
      </c>
      <c r="BC7" s="20">
        <v>22</v>
      </c>
      <c r="BD7" s="27">
        <v>2.2753314781469966E-3</v>
      </c>
      <c r="BE7" s="20">
        <v>178</v>
      </c>
      <c r="BF7" s="20">
        <v>13</v>
      </c>
      <c r="BG7" s="23">
        <v>1.7E-5</v>
      </c>
      <c r="BH7" s="26">
        <v>4.45</v>
      </c>
      <c r="BI7" s="34">
        <v>17</v>
      </c>
      <c r="BJ7" s="19">
        <v>23500</v>
      </c>
      <c r="BK7" s="20" t="s">
        <v>466</v>
      </c>
      <c r="BL7" s="20">
        <v>215</v>
      </c>
      <c r="BM7" s="20">
        <v>17</v>
      </c>
      <c r="BN7" s="22"/>
      <c r="BO7" s="49">
        <f>IF(BE7=0,0,IF(BH7=0,0,10^(-2.8+0.66*BH7-0.0056*BE7)))</f>
        <v>0.13810201014445478</v>
      </c>
      <c r="BR7" s="44"/>
      <c r="BS7" s="44">
        <f t="shared" si="4"/>
        <v>1000</v>
      </c>
      <c r="BT7" s="44" t="str">
        <f t="shared" si="7"/>
        <v>Ceiling (High)</v>
      </c>
      <c r="BU7" s="44"/>
      <c r="BV7" s="44">
        <f t="shared" si="5"/>
        <v>3000</v>
      </c>
      <c r="BW7" s="44" t="str">
        <f t="shared" si="8"/>
        <v>Ceiling (High)</v>
      </c>
      <c r="BX7" s="44"/>
      <c r="BY7" s="44">
        <f t="shared" si="6"/>
        <v>5000</v>
      </c>
      <c r="BZ7" s="44" t="str">
        <f t="shared" si="9"/>
        <v>Ceiling (High)</v>
      </c>
      <c r="CA7" s="44">
        <v>50000</v>
      </c>
      <c r="CB7" s="45" t="s">
        <v>0</v>
      </c>
      <c r="CC7" s="325"/>
    </row>
    <row r="8" spans="1:81" s="26" customFormat="1" ht="10.5" x14ac:dyDescent="0.25">
      <c r="A8" s="371" t="s">
        <v>224</v>
      </c>
      <c r="B8" s="52" t="s">
        <v>223</v>
      </c>
      <c r="C8" s="72">
        <v>42922</v>
      </c>
      <c r="D8" s="48">
        <v>4.0000000000000002E-4</v>
      </c>
      <c r="E8" s="20">
        <v>1</v>
      </c>
      <c r="F8" s="48">
        <v>4.0000000000000002E-4</v>
      </c>
      <c r="G8" s="20">
        <v>6</v>
      </c>
      <c r="H8" s="77">
        <v>2.0000000000000001E-4</v>
      </c>
      <c r="I8" s="20">
        <v>1</v>
      </c>
      <c r="J8" s="77">
        <v>2.0000000000000001E-4</v>
      </c>
      <c r="K8" s="20">
        <v>6</v>
      </c>
      <c r="L8" s="49"/>
      <c r="M8" s="21"/>
      <c r="N8" s="21"/>
      <c r="O8" s="49"/>
      <c r="P8" s="20"/>
      <c r="Q8" s="40">
        <v>1</v>
      </c>
      <c r="R8" s="40" t="s">
        <v>504</v>
      </c>
      <c r="S8" s="40">
        <v>0.1</v>
      </c>
      <c r="T8" s="40" t="s">
        <v>504</v>
      </c>
      <c r="U8" s="40">
        <v>1</v>
      </c>
      <c r="V8" s="40" t="s">
        <v>504</v>
      </c>
      <c r="W8" s="40">
        <v>0.1</v>
      </c>
      <c r="X8" s="40" t="s">
        <v>504</v>
      </c>
      <c r="Y8" s="40" t="s">
        <v>1</v>
      </c>
      <c r="Z8" s="40"/>
      <c r="AA8" s="40" t="s">
        <v>1</v>
      </c>
      <c r="AB8" s="40"/>
      <c r="AC8" s="42">
        <v>1</v>
      </c>
      <c r="AD8" s="42">
        <v>9</v>
      </c>
      <c r="AE8" s="42">
        <v>1</v>
      </c>
      <c r="AF8" s="42">
        <v>9</v>
      </c>
      <c r="AG8" s="42"/>
      <c r="AH8" s="42"/>
      <c r="AI8" s="62">
        <v>7</v>
      </c>
      <c r="AJ8" s="20"/>
      <c r="AK8" s="66">
        <v>0.1</v>
      </c>
      <c r="AL8" s="66" t="s">
        <v>1</v>
      </c>
      <c r="AM8" s="62">
        <v>1</v>
      </c>
      <c r="AN8" s="62"/>
      <c r="AO8" s="43">
        <f>VLOOKUP(A8,[1]!IABKGRD,7,FALSE)</f>
        <v>0</v>
      </c>
      <c r="AS8" s="20"/>
      <c r="AU8" s="47">
        <f t="shared" si="0"/>
        <v>0</v>
      </c>
      <c r="AV8" s="20"/>
      <c r="AW8" s="49">
        <f t="shared" si="1"/>
        <v>0</v>
      </c>
      <c r="AX8" s="26">
        <f t="shared" si="2"/>
        <v>6.4</v>
      </c>
      <c r="AY8" s="26">
        <f t="shared" si="3"/>
        <v>32</v>
      </c>
      <c r="AZ8" s="29">
        <v>0</v>
      </c>
      <c r="BA8" s="20"/>
      <c r="BB8" s="29"/>
      <c r="BC8" s="29"/>
      <c r="BD8" s="27">
        <v>0</v>
      </c>
      <c r="BE8" s="20">
        <v>122</v>
      </c>
      <c r="BF8" s="20">
        <v>13</v>
      </c>
      <c r="BG8" s="25"/>
      <c r="BH8" s="26">
        <v>0.73</v>
      </c>
      <c r="BI8" s="34"/>
      <c r="BJ8" s="29">
        <v>0</v>
      </c>
      <c r="BK8" s="29"/>
      <c r="BL8" s="29"/>
      <c r="BM8" s="29"/>
      <c r="BN8" s="22"/>
      <c r="BO8" s="49">
        <v>1E-3</v>
      </c>
      <c r="BP8" s="24"/>
      <c r="BQ8" s="24"/>
      <c r="BR8" s="44"/>
      <c r="BS8" s="44">
        <f t="shared" si="4"/>
        <v>1000</v>
      </c>
      <c r="BT8" s="44" t="str">
        <f t="shared" si="7"/>
        <v>Ceiling (High)</v>
      </c>
      <c r="BU8" s="44"/>
      <c r="BV8" s="44">
        <f t="shared" si="5"/>
        <v>3000</v>
      </c>
      <c r="BW8" s="44" t="str">
        <f t="shared" si="8"/>
        <v>Ceiling (High)</v>
      </c>
      <c r="BX8" s="44"/>
      <c r="BY8" s="44">
        <f t="shared" si="6"/>
        <v>5000</v>
      </c>
      <c r="BZ8" s="44" t="str">
        <f t="shared" si="9"/>
        <v>Ceiling (High)</v>
      </c>
      <c r="CA8" s="44">
        <v>50000</v>
      </c>
      <c r="CB8" s="45" t="s">
        <v>0</v>
      </c>
      <c r="CC8" s="325" t="s">
        <v>680</v>
      </c>
    </row>
    <row r="9" spans="1:81" s="26" customFormat="1" x14ac:dyDescent="0.2">
      <c r="A9" s="371" t="s">
        <v>222</v>
      </c>
      <c r="B9" s="52" t="s">
        <v>221</v>
      </c>
      <c r="C9" s="72">
        <v>42923</v>
      </c>
      <c r="D9" s="48">
        <v>2.9999999999999997E-4</v>
      </c>
      <c r="E9" s="20">
        <v>1</v>
      </c>
      <c r="F9" s="48">
        <v>2.9999999999999997E-4</v>
      </c>
      <c r="G9" s="20">
        <v>2</v>
      </c>
      <c r="H9" s="49">
        <v>2.0000000000000002E-5</v>
      </c>
      <c r="I9" s="20" t="s">
        <v>518</v>
      </c>
      <c r="J9" s="49">
        <v>2.0000000000000002E-5</v>
      </c>
      <c r="K9" s="20" t="s">
        <v>488</v>
      </c>
      <c r="L9" s="49">
        <v>1.5</v>
      </c>
      <c r="M9" s="20" t="s">
        <v>9</v>
      </c>
      <c r="N9" s="20">
        <v>1</v>
      </c>
      <c r="O9" s="49">
        <v>3.0000000000000001E-3</v>
      </c>
      <c r="P9" s="20" t="s">
        <v>518</v>
      </c>
      <c r="Q9" s="40">
        <v>0.5</v>
      </c>
      <c r="R9" s="40" t="s">
        <v>504</v>
      </c>
      <c r="S9" s="40">
        <v>0.03</v>
      </c>
      <c r="T9" s="40" t="s">
        <v>505</v>
      </c>
      <c r="U9" s="40">
        <v>0.5</v>
      </c>
      <c r="V9" s="40" t="s">
        <v>504</v>
      </c>
      <c r="W9" s="40">
        <v>0.03</v>
      </c>
      <c r="X9" s="40" t="s">
        <v>505</v>
      </c>
      <c r="Y9" s="40">
        <v>0.5</v>
      </c>
      <c r="Z9" s="40" t="s">
        <v>504</v>
      </c>
      <c r="AA9" s="40">
        <v>0.03</v>
      </c>
      <c r="AB9" s="40" t="s">
        <v>504</v>
      </c>
      <c r="AC9" s="42">
        <v>1</v>
      </c>
      <c r="AD9" s="42">
        <v>9</v>
      </c>
      <c r="AE9" s="42">
        <v>1</v>
      </c>
      <c r="AF9" s="42">
        <v>9</v>
      </c>
      <c r="AG9" s="42">
        <v>1</v>
      </c>
      <c r="AH9" s="42">
        <v>9</v>
      </c>
      <c r="AI9" s="62">
        <v>20</v>
      </c>
      <c r="AJ9" s="20"/>
      <c r="AK9" s="66">
        <v>0.98</v>
      </c>
      <c r="AL9" s="66">
        <v>0.98</v>
      </c>
      <c r="AM9" s="62">
        <v>20</v>
      </c>
      <c r="AN9" s="62">
        <v>5.5</v>
      </c>
      <c r="AO9" s="43">
        <f>VLOOKUP(A9,[1]!IABKGRD,7,FALSE)</f>
        <v>0</v>
      </c>
      <c r="AS9" s="20"/>
      <c r="AU9" s="47">
        <f t="shared" si="0"/>
        <v>0</v>
      </c>
      <c r="AV9" s="20"/>
      <c r="AW9" s="49">
        <f t="shared" si="1"/>
        <v>0</v>
      </c>
      <c r="AX9" s="26">
        <f t="shared" si="2"/>
        <v>10.6</v>
      </c>
      <c r="AY9" s="26">
        <f t="shared" si="3"/>
        <v>50</v>
      </c>
      <c r="AZ9" s="29">
        <v>0</v>
      </c>
      <c r="BA9" s="20"/>
      <c r="BB9" s="29"/>
      <c r="BC9" s="29"/>
      <c r="BD9" s="27">
        <v>0</v>
      </c>
      <c r="BE9" s="20">
        <v>75</v>
      </c>
      <c r="BF9" s="20">
        <v>13</v>
      </c>
      <c r="BG9" s="25"/>
      <c r="BH9" s="26">
        <v>0.68</v>
      </c>
      <c r="BI9" s="34"/>
      <c r="BJ9" s="29">
        <v>0</v>
      </c>
      <c r="BK9" s="29"/>
      <c r="BL9" s="29"/>
      <c r="BM9" s="29"/>
      <c r="BN9" s="22"/>
      <c r="BO9" s="49">
        <v>1E-3</v>
      </c>
      <c r="BP9" s="31">
        <v>0.05</v>
      </c>
      <c r="BQ9" s="32"/>
      <c r="BR9" s="44"/>
      <c r="BS9" s="44">
        <f t="shared" si="4"/>
        <v>1000</v>
      </c>
      <c r="BT9" s="44" t="str">
        <f t="shared" si="7"/>
        <v>Ceiling (High)</v>
      </c>
      <c r="BU9" s="44"/>
      <c r="BV9" s="44">
        <f t="shared" si="5"/>
        <v>3000</v>
      </c>
      <c r="BW9" s="44" t="str">
        <f t="shared" si="8"/>
        <v>Ceiling (High)</v>
      </c>
      <c r="BX9" s="44"/>
      <c r="BY9" s="44">
        <f t="shared" si="6"/>
        <v>5000</v>
      </c>
      <c r="BZ9" s="44" t="str">
        <f t="shared" si="9"/>
        <v>Ceiling (High)</v>
      </c>
      <c r="CA9" s="44">
        <v>50000</v>
      </c>
      <c r="CB9" s="45" t="s">
        <v>0</v>
      </c>
      <c r="CC9" s="325" t="s">
        <v>680</v>
      </c>
    </row>
    <row r="10" spans="1:81" s="26" customFormat="1" x14ac:dyDescent="0.2">
      <c r="A10" s="371" t="s">
        <v>220</v>
      </c>
      <c r="B10" s="52" t="s">
        <v>219</v>
      </c>
      <c r="C10" s="72">
        <v>42923</v>
      </c>
      <c r="D10" s="48">
        <v>0.2</v>
      </c>
      <c r="E10" s="20">
        <v>1</v>
      </c>
      <c r="F10" s="49">
        <v>0.2</v>
      </c>
      <c r="G10" s="20" t="s">
        <v>188</v>
      </c>
      <c r="H10" s="49">
        <v>5.0000000000000001E-4</v>
      </c>
      <c r="I10" s="20" t="s">
        <v>338</v>
      </c>
      <c r="J10" s="49">
        <v>5.0000000000000001E-3</v>
      </c>
      <c r="K10" s="20" t="s">
        <v>335</v>
      </c>
      <c r="L10" s="49"/>
      <c r="M10" s="20"/>
      <c r="N10" s="20"/>
      <c r="O10" s="49"/>
      <c r="P10" s="20"/>
      <c r="Q10" s="40">
        <v>1</v>
      </c>
      <c r="R10" s="40" t="s">
        <v>504</v>
      </c>
      <c r="S10" s="40">
        <v>0.1</v>
      </c>
      <c r="T10" s="40" t="s">
        <v>504</v>
      </c>
      <c r="U10" s="40">
        <v>1</v>
      </c>
      <c r="V10" s="40" t="s">
        <v>504</v>
      </c>
      <c r="W10" s="40">
        <v>0.1</v>
      </c>
      <c r="X10" s="40" t="s">
        <v>504</v>
      </c>
      <c r="Y10" s="40" t="s">
        <v>1</v>
      </c>
      <c r="Z10" s="40"/>
      <c r="AA10" s="40" t="s">
        <v>1</v>
      </c>
      <c r="AB10" s="40"/>
      <c r="AC10" s="42">
        <v>1</v>
      </c>
      <c r="AD10" s="42">
        <v>9</v>
      </c>
      <c r="AE10" s="42">
        <v>1</v>
      </c>
      <c r="AF10" s="42">
        <v>9</v>
      </c>
      <c r="AG10" s="42"/>
      <c r="AH10" s="42"/>
      <c r="AI10" s="62">
        <v>50</v>
      </c>
      <c r="AJ10" s="20"/>
      <c r="AK10" s="66">
        <v>0.91</v>
      </c>
      <c r="AL10" s="66" t="s">
        <v>1</v>
      </c>
      <c r="AM10" s="62">
        <v>50</v>
      </c>
      <c r="AN10" s="62"/>
      <c r="AO10" s="43">
        <f>VLOOKUP(A10,[1]!IABKGRD,7,FALSE)</f>
        <v>0</v>
      </c>
      <c r="AS10" s="20"/>
      <c r="AU10" s="47">
        <f t="shared" si="0"/>
        <v>0</v>
      </c>
      <c r="AV10" s="20"/>
      <c r="AW10" s="49">
        <f t="shared" si="1"/>
        <v>0</v>
      </c>
      <c r="AX10" s="26">
        <f t="shared" si="2"/>
        <v>0</v>
      </c>
      <c r="AY10" s="26">
        <f t="shared" si="3"/>
        <v>2</v>
      </c>
      <c r="AZ10" s="26">
        <v>0</v>
      </c>
      <c r="BA10" s="20"/>
      <c r="BC10" s="20"/>
      <c r="BD10" s="27">
        <v>0</v>
      </c>
      <c r="BE10" s="20">
        <v>137</v>
      </c>
      <c r="BF10" s="20">
        <v>11</v>
      </c>
      <c r="BH10" s="26">
        <v>0.23</v>
      </c>
      <c r="BI10" s="34"/>
      <c r="BK10" s="20"/>
      <c r="BL10" s="20"/>
      <c r="BM10" s="20"/>
      <c r="BN10" s="22"/>
      <c r="BO10" s="49">
        <v>1E-3</v>
      </c>
      <c r="BP10" s="24"/>
      <c r="BQ10" s="24"/>
      <c r="BR10" s="44"/>
      <c r="BS10" s="44">
        <f t="shared" si="4"/>
        <v>1000</v>
      </c>
      <c r="BT10" s="44" t="str">
        <f t="shared" si="7"/>
        <v>Ceiling (High)</v>
      </c>
      <c r="BU10" s="44"/>
      <c r="BV10" s="44">
        <f t="shared" si="5"/>
        <v>3000</v>
      </c>
      <c r="BW10" s="44" t="str">
        <f t="shared" si="8"/>
        <v>Ceiling (High)</v>
      </c>
      <c r="BX10" s="44"/>
      <c r="BY10" s="44">
        <f t="shared" si="6"/>
        <v>5000</v>
      </c>
      <c r="BZ10" s="44" t="str">
        <f t="shared" si="9"/>
        <v>Ceiling (High)</v>
      </c>
      <c r="CA10" s="44">
        <v>50000</v>
      </c>
      <c r="CB10" s="45" t="s">
        <v>0</v>
      </c>
      <c r="CC10" s="325" t="s">
        <v>680</v>
      </c>
    </row>
    <row r="11" spans="1:81" s="26" customFormat="1" ht="10.5" x14ac:dyDescent="0.25">
      <c r="A11" s="371" t="s">
        <v>218</v>
      </c>
      <c r="B11" s="52" t="s">
        <v>217</v>
      </c>
      <c r="C11" s="72">
        <v>42922</v>
      </c>
      <c r="D11" s="48">
        <v>4.0000000000000001E-3</v>
      </c>
      <c r="E11" s="20">
        <v>1</v>
      </c>
      <c r="F11" s="74">
        <v>0.01</v>
      </c>
      <c r="G11" s="20" t="s">
        <v>334</v>
      </c>
      <c r="H11" s="77">
        <v>3.0000000000000001E-3</v>
      </c>
      <c r="I11" s="20" t="s">
        <v>518</v>
      </c>
      <c r="J11" s="77">
        <v>3.0000000000000001E-3</v>
      </c>
      <c r="K11" s="20" t="s">
        <v>488</v>
      </c>
      <c r="L11" s="49">
        <v>5.5E-2</v>
      </c>
      <c r="M11" s="20" t="s">
        <v>9</v>
      </c>
      <c r="N11" s="20">
        <v>1</v>
      </c>
      <c r="O11" s="49">
        <v>7.7999999999999999E-6</v>
      </c>
      <c r="P11" s="20">
        <v>1</v>
      </c>
      <c r="Q11" s="40">
        <v>1</v>
      </c>
      <c r="R11" s="40" t="s">
        <v>504</v>
      </c>
      <c r="S11" s="40">
        <v>0.03</v>
      </c>
      <c r="T11" s="40" t="s">
        <v>504</v>
      </c>
      <c r="U11" s="40">
        <v>1</v>
      </c>
      <c r="V11" s="40" t="s">
        <v>504</v>
      </c>
      <c r="W11" s="40">
        <v>0.03</v>
      </c>
      <c r="X11" s="40" t="s">
        <v>504</v>
      </c>
      <c r="Y11" s="40">
        <v>1</v>
      </c>
      <c r="Z11" s="40" t="s">
        <v>504</v>
      </c>
      <c r="AA11" s="40">
        <v>0.03</v>
      </c>
      <c r="AB11" s="40" t="s">
        <v>504</v>
      </c>
      <c r="AC11" s="42">
        <v>1</v>
      </c>
      <c r="AD11" s="42">
        <v>9</v>
      </c>
      <c r="AE11" s="42">
        <v>1</v>
      </c>
      <c r="AF11" s="42">
        <v>9</v>
      </c>
      <c r="AG11" s="42">
        <v>1</v>
      </c>
      <c r="AH11" s="42">
        <v>9</v>
      </c>
      <c r="AI11" s="62"/>
      <c r="AJ11" s="20"/>
      <c r="AK11" s="66">
        <v>1</v>
      </c>
      <c r="AL11" s="66">
        <v>1</v>
      </c>
      <c r="AM11" s="62"/>
      <c r="AN11" s="62"/>
      <c r="AO11" s="43">
        <f>VLOOKUP(A11,[1]!IABKGRD,7,FALSE)</f>
        <v>11</v>
      </c>
      <c r="AP11" s="26">
        <v>20</v>
      </c>
      <c r="AQ11" s="26">
        <v>6.5830000000000002</v>
      </c>
      <c r="AR11" s="26">
        <v>2000</v>
      </c>
      <c r="AS11" s="20">
        <v>13</v>
      </c>
      <c r="AT11" s="26">
        <v>4890</v>
      </c>
      <c r="AU11" s="47">
        <f t="shared" si="0"/>
        <v>1.5329072978303746</v>
      </c>
      <c r="AV11" s="20">
        <v>13</v>
      </c>
      <c r="AW11" s="49">
        <f t="shared" si="1"/>
        <v>61.973741096059626</v>
      </c>
      <c r="AX11" s="26">
        <f t="shared" si="2"/>
        <v>0.1</v>
      </c>
      <c r="AY11" s="26">
        <f t="shared" si="3"/>
        <v>0.5</v>
      </c>
      <c r="AZ11" s="23">
        <v>1790000</v>
      </c>
      <c r="BA11" s="64">
        <v>22</v>
      </c>
      <c r="BB11" s="23">
        <v>5.5500000000000002E-3</v>
      </c>
      <c r="BC11" s="20">
        <v>22</v>
      </c>
      <c r="BD11" s="27">
        <v>0.22712391553445738</v>
      </c>
      <c r="BE11" s="20">
        <v>78</v>
      </c>
      <c r="BF11" s="20">
        <v>13</v>
      </c>
      <c r="BG11" s="26">
        <v>95</v>
      </c>
      <c r="BH11" s="26">
        <v>2.13</v>
      </c>
      <c r="BI11" s="34">
        <v>16</v>
      </c>
      <c r="BJ11" s="19">
        <v>61.7</v>
      </c>
      <c r="BK11" s="20" t="s">
        <v>466</v>
      </c>
      <c r="BL11" s="20">
        <v>5.5</v>
      </c>
      <c r="BM11" s="20">
        <v>17</v>
      </c>
      <c r="BN11" s="22"/>
      <c r="BO11" s="49">
        <f>IF(BE11=0,0,IF(BH11=0,0,10^(-2.8+0.66*BH11-0.0056*BE11)))</f>
        <v>1.4757065332758943E-2</v>
      </c>
      <c r="BP11" s="24"/>
      <c r="BQ11" s="24"/>
      <c r="BR11" s="44"/>
      <c r="BS11" s="44">
        <f t="shared" si="4"/>
        <v>500</v>
      </c>
      <c r="BT11" s="44" t="str">
        <f t="shared" si="7"/>
        <v>Ceiling (Medium)</v>
      </c>
      <c r="BU11" s="44"/>
      <c r="BV11" s="44">
        <f t="shared" si="5"/>
        <v>1000</v>
      </c>
      <c r="BW11" s="44" t="str">
        <f t="shared" si="8"/>
        <v>Ceiling (Medium)</v>
      </c>
      <c r="BX11" s="44"/>
      <c r="BY11" s="44">
        <f t="shared" si="6"/>
        <v>3000</v>
      </c>
      <c r="BZ11" s="44" t="str">
        <f t="shared" si="9"/>
        <v>Ceiling (Medium)</v>
      </c>
      <c r="CA11" s="44">
        <v>50000</v>
      </c>
      <c r="CB11" s="45" t="s">
        <v>0</v>
      </c>
      <c r="CC11" s="325"/>
    </row>
    <row r="12" spans="1:81" s="26" customFormat="1" ht="10.5" x14ac:dyDescent="0.25">
      <c r="A12" s="371" t="s">
        <v>216</v>
      </c>
      <c r="B12" s="52" t="s">
        <v>215</v>
      </c>
      <c r="C12" s="72">
        <v>42922</v>
      </c>
      <c r="D12" s="48">
        <v>0.03</v>
      </c>
      <c r="E12" s="20" t="s">
        <v>478</v>
      </c>
      <c r="F12" s="48">
        <v>0.3</v>
      </c>
      <c r="G12" s="20" t="s">
        <v>478</v>
      </c>
      <c r="H12" s="49">
        <v>0.05</v>
      </c>
      <c r="I12" s="20" t="s">
        <v>478</v>
      </c>
      <c r="J12" s="49">
        <v>0.5</v>
      </c>
      <c r="K12" s="20" t="s">
        <v>478</v>
      </c>
      <c r="L12" s="77">
        <v>0.1</v>
      </c>
      <c r="M12" s="20" t="s">
        <v>15</v>
      </c>
      <c r="N12" s="20" t="s">
        <v>10</v>
      </c>
      <c r="O12" s="77">
        <v>6.0000000000000002E-5</v>
      </c>
      <c r="P12" s="79" t="s">
        <v>10</v>
      </c>
      <c r="Q12" s="40">
        <v>0.3</v>
      </c>
      <c r="R12" s="40" t="s">
        <v>503</v>
      </c>
      <c r="S12" s="71">
        <v>0.02</v>
      </c>
      <c r="T12" s="40" t="s">
        <v>503</v>
      </c>
      <c r="U12" s="40">
        <v>0.3</v>
      </c>
      <c r="V12" s="40" t="s">
        <v>503</v>
      </c>
      <c r="W12" s="40">
        <v>0.02</v>
      </c>
      <c r="X12" s="40" t="s">
        <v>503</v>
      </c>
      <c r="Y12" s="40">
        <v>0.3</v>
      </c>
      <c r="Z12" s="40" t="s">
        <v>503</v>
      </c>
      <c r="AA12" s="40">
        <v>0.02</v>
      </c>
      <c r="AB12" s="40" t="s">
        <v>503</v>
      </c>
      <c r="AC12" s="42">
        <v>1</v>
      </c>
      <c r="AD12" s="42">
        <v>9</v>
      </c>
      <c r="AE12" s="42">
        <v>1</v>
      </c>
      <c r="AF12" s="42">
        <v>9</v>
      </c>
      <c r="AG12" s="42">
        <v>1</v>
      </c>
      <c r="AH12" s="42">
        <v>9</v>
      </c>
      <c r="AI12" s="62">
        <v>9</v>
      </c>
      <c r="AJ12" s="20" t="s">
        <v>630</v>
      </c>
      <c r="AK12" s="66">
        <v>0.92</v>
      </c>
      <c r="AL12" s="66">
        <v>0.92</v>
      </c>
      <c r="AM12" s="62">
        <v>2</v>
      </c>
      <c r="AN12" s="62"/>
      <c r="AO12" s="43">
        <f>VLOOKUP(A12,[1]!IABKGRD,7,FALSE)</f>
        <v>0</v>
      </c>
      <c r="AS12" s="20"/>
      <c r="AU12" s="47">
        <f t="shared" si="0"/>
        <v>0</v>
      </c>
      <c r="AV12" s="20"/>
      <c r="AW12" s="49">
        <f t="shared" si="1"/>
        <v>0</v>
      </c>
      <c r="AX12" s="26">
        <f t="shared" si="2"/>
        <v>0.66</v>
      </c>
      <c r="AY12" s="26">
        <f t="shared" si="3"/>
        <v>1</v>
      </c>
      <c r="AZ12" s="23">
        <v>9.4</v>
      </c>
      <c r="BA12" s="20">
        <v>22</v>
      </c>
      <c r="BB12" s="23">
        <v>1.2E-5</v>
      </c>
      <c r="BC12" s="20">
        <v>22</v>
      </c>
      <c r="BD12" s="27">
        <v>4.9107873629071865E-4</v>
      </c>
      <c r="BE12" s="20">
        <v>228</v>
      </c>
      <c r="BF12" s="20">
        <v>13</v>
      </c>
      <c r="BG12" s="23">
        <v>5.0000000000000001E-9</v>
      </c>
      <c r="BH12" s="26">
        <v>5.76</v>
      </c>
      <c r="BI12" s="34">
        <v>16</v>
      </c>
      <c r="BJ12" s="19">
        <v>358000</v>
      </c>
      <c r="BK12" s="20" t="s">
        <v>466</v>
      </c>
      <c r="BL12" s="20">
        <v>84</v>
      </c>
      <c r="BM12" s="20">
        <v>17</v>
      </c>
      <c r="BN12" s="22"/>
      <c r="BO12" s="49">
        <f t="shared" ref="BO12:BO23" si="10">IF(BE12=0,0,IF(BH12=0,0,10^(-2.8+0.66*BH12-0.0056*BE12)))</f>
        <v>0.53064001919477521</v>
      </c>
      <c r="BP12" s="24"/>
      <c r="BQ12" s="24"/>
      <c r="BR12" s="44"/>
      <c r="BS12" s="44">
        <f t="shared" si="4"/>
        <v>1000</v>
      </c>
      <c r="BT12" s="44" t="str">
        <f t="shared" si="7"/>
        <v>Ceiling (High)</v>
      </c>
      <c r="BU12" s="44"/>
      <c r="BV12" s="44">
        <f t="shared" si="5"/>
        <v>3000</v>
      </c>
      <c r="BW12" s="44" t="str">
        <f t="shared" si="8"/>
        <v>Ceiling (High)</v>
      </c>
      <c r="BX12" s="44"/>
      <c r="BY12" s="44">
        <f t="shared" si="6"/>
        <v>5000</v>
      </c>
      <c r="BZ12" s="44" t="str">
        <f t="shared" si="9"/>
        <v>Ceiling (High)</v>
      </c>
      <c r="CA12" s="44">
        <v>50000</v>
      </c>
      <c r="CB12" s="45" t="s">
        <v>0</v>
      </c>
      <c r="CC12" s="325"/>
    </row>
    <row r="13" spans="1:81" s="26" customFormat="1" ht="10.5" x14ac:dyDescent="0.25">
      <c r="A13" s="371" t="s">
        <v>214</v>
      </c>
      <c r="B13" s="52" t="s">
        <v>213</v>
      </c>
      <c r="C13" s="72">
        <v>42914</v>
      </c>
      <c r="D13" s="78">
        <v>2.9999999999999997E-4</v>
      </c>
      <c r="E13" s="79">
        <v>1</v>
      </c>
      <c r="F13" s="78">
        <v>2.9999999999999997E-4</v>
      </c>
      <c r="G13" s="20"/>
      <c r="H13" s="77">
        <v>1.9999999999999999E-6</v>
      </c>
      <c r="I13" s="79">
        <v>1</v>
      </c>
      <c r="J13" s="77">
        <v>1.9999999999999999E-6</v>
      </c>
      <c r="K13" s="20"/>
      <c r="L13" s="77">
        <v>1</v>
      </c>
      <c r="M13" s="20" t="s">
        <v>15</v>
      </c>
      <c r="N13" s="20">
        <v>1</v>
      </c>
      <c r="O13" s="77">
        <v>5.9999999999999995E-4</v>
      </c>
      <c r="P13" s="20">
        <v>1</v>
      </c>
      <c r="Q13" s="40">
        <v>0.3</v>
      </c>
      <c r="R13" s="40" t="s">
        <v>503</v>
      </c>
      <c r="S13" s="40">
        <v>0.02</v>
      </c>
      <c r="T13" s="40" t="s">
        <v>503</v>
      </c>
      <c r="U13" s="40">
        <v>0.3</v>
      </c>
      <c r="V13" s="40" t="s">
        <v>503</v>
      </c>
      <c r="W13" s="40">
        <v>0.02</v>
      </c>
      <c r="X13" s="40" t="s">
        <v>503</v>
      </c>
      <c r="Y13" s="40">
        <v>0.3</v>
      </c>
      <c r="Z13" s="40" t="s">
        <v>503</v>
      </c>
      <c r="AA13" s="40">
        <v>0.02</v>
      </c>
      <c r="AB13" s="40" t="s">
        <v>503</v>
      </c>
      <c r="AC13" s="42">
        <v>1</v>
      </c>
      <c r="AD13" s="42">
        <v>9</v>
      </c>
      <c r="AE13" s="42">
        <v>1</v>
      </c>
      <c r="AF13" s="42">
        <v>9</v>
      </c>
      <c r="AG13" s="42">
        <v>1</v>
      </c>
      <c r="AH13" s="42">
        <v>9</v>
      </c>
      <c r="AI13" s="62">
        <v>7</v>
      </c>
      <c r="AJ13" s="20" t="s">
        <v>630</v>
      </c>
      <c r="AK13" s="66">
        <v>0.92</v>
      </c>
      <c r="AL13" s="66">
        <v>0.92</v>
      </c>
      <c r="AM13" s="62">
        <v>2</v>
      </c>
      <c r="AN13" s="62"/>
      <c r="AO13" s="43">
        <f>VLOOKUP(A13,[1]!IABKGRD,7,FALSE)</f>
        <v>0</v>
      </c>
      <c r="AS13" s="20"/>
      <c r="AU13" s="47">
        <f t="shared" si="0"/>
        <v>0</v>
      </c>
      <c r="AV13" s="20"/>
      <c r="AW13" s="49">
        <f t="shared" si="1"/>
        <v>0</v>
      </c>
      <c r="AX13" s="26">
        <f t="shared" si="2"/>
        <v>0.66</v>
      </c>
      <c r="AY13" s="26">
        <f t="shared" si="3"/>
        <v>0.5</v>
      </c>
      <c r="AZ13" s="23">
        <v>1.62</v>
      </c>
      <c r="BA13" s="20">
        <v>22</v>
      </c>
      <c r="BB13" s="23">
        <v>4.5699999999999998E-7</v>
      </c>
      <c r="BC13" s="20">
        <v>22</v>
      </c>
      <c r="BD13" s="27">
        <v>1.8701915207071535E-5</v>
      </c>
      <c r="BE13" s="20">
        <v>252</v>
      </c>
      <c r="BF13" s="20">
        <v>13</v>
      </c>
      <c r="BG13" s="23">
        <v>5.0000000000000001E-9</v>
      </c>
      <c r="BH13" s="26">
        <v>6.13</v>
      </c>
      <c r="BI13" s="34">
        <v>16</v>
      </c>
      <c r="BJ13" s="19">
        <v>969000</v>
      </c>
      <c r="BK13" s="20" t="s">
        <v>466</v>
      </c>
      <c r="BL13" s="20">
        <v>176.5</v>
      </c>
      <c r="BM13" s="20">
        <v>17</v>
      </c>
      <c r="BN13" s="22"/>
      <c r="BO13" s="49">
        <f t="shared" si="10"/>
        <v>0.68328203136919874</v>
      </c>
      <c r="BR13" s="44"/>
      <c r="BS13" s="44">
        <f t="shared" si="4"/>
        <v>1000</v>
      </c>
      <c r="BT13" s="44" t="str">
        <f t="shared" si="7"/>
        <v>Ceiling (High)</v>
      </c>
      <c r="BU13" s="44"/>
      <c r="BV13" s="44">
        <f t="shared" si="5"/>
        <v>3000</v>
      </c>
      <c r="BW13" s="44" t="str">
        <f t="shared" si="8"/>
        <v>Ceiling (High)</v>
      </c>
      <c r="BX13" s="44"/>
      <c r="BY13" s="44">
        <f t="shared" si="6"/>
        <v>5000</v>
      </c>
      <c r="BZ13" s="44" t="str">
        <f t="shared" si="9"/>
        <v>Ceiling (High)</v>
      </c>
      <c r="CA13" s="44">
        <v>50000</v>
      </c>
      <c r="CB13" s="45" t="s">
        <v>0</v>
      </c>
      <c r="CC13" s="325"/>
    </row>
    <row r="14" spans="1:81" s="26" customFormat="1" ht="10.5" x14ac:dyDescent="0.25">
      <c r="A14" s="371" t="s">
        <v>212</v>
      </c>
      <c r="B14" s="52" t="s">
        <v>211</v>
      </c>
      <c r="C14" s="72">
        <v>42922</v>
      </c>
      <c r="D14" s="48">
        <v>0.03</v>
      </c>
      <c r="E14" s="20" t="s">
        <v>478</v>
      </c>
      <c r="F14" s="48">
        <v>0.3</v>
      </c>
      <c r="G14" s="20" t="s">
        <v>478</v>
      </c>
      <c r="H14" s="49">
        <v>0.05</v>
      </c>
      <c r="I14" s="20" t="s">
        <v>478</v>
      </c>
      <c r="J14" s="49">
        <v>0.5</v>
      </c>
      <c r="K14" s="20" t="s">
        <v>478</v>
      </c>
      <c r="L14" s="77">
        <v>0.1</v>
      </c>
      <c r="M14" s="20" t="s">
        <v>15</v>
      </c>
      <c r="N14" s="20" t="s">
        <v>10</v>
      </c>
      <c r="O14" s="77">
        <v>6.0000000000000002E-5</v>
      </c>
      <c r="P14" s="79" t="s">
        <v>10</v>
      </c>
      <c r="Q14" s="40">
        <v>0.3</v>
      </c>
      <c r="R14" s="40" t="s">
        <v>503</v>
      </c>
      <c r="S14" s="40">
        <v>0.02</v>
      </c>
      <c r="T14" s="40" t="s">
        <v>503</v>
      </c>
      <c r="U14" s="40">
        <v>0.3</v>
      </c>
      <c r="V14" s="40" t="s">
        <v>503</v>
      </c>
      <c r="W14" s="40">
        <v>0.02</v>
      </c>
      <c r="X14" s="40" t="s">
        <v>503</v>
      </c>
      <c r="Y14" s="40">
        <v>0.3</v>
      </c>
      <c r="Z14" s="40" t="s">
        <v>503</v>
      </c>
      <c r="AA14" s="40">
        <v>0.02</v>
      </c>
      <c r="AB14" s="40" t="s">
        <v>503</v>
      </c>
      <c r="AC14" s="42">
        <v>1</v>
      </c>
      <c r="AD14" s="42">
        <v>9</v>
      </c>
      <c r="AE14" s="42">
        <v>1</v>
      </c>
      <c r="AF14" s="42">
        <v>9</v>
      </c>
      <c r="AG14" s="42">
        <v>1</v>
      </c>
      <c r="AH14" s="42">
        <v>9</v>
      </c>
      <c r="AI14" s="62">
        <v>8</v>
      </c>
      <c r="AJ14" s="20" t="s">
        <v>630</v>
      </c>
      <c r="AK14" s="66">
        <v>0.92</v>
      </c>
      <c r="AL14" s="66">
        <v>0.92</v>
      </c>
      <c r="AM14" s="62">
        <v>2</v>
      </c>
      <c r="AN14" s="62"/>
      <c r="AO14" s="43">
        <f>VLOOKUP(A14,[1]!IABKGRD,7,FALSE)</f>
        <v>0</v>
      </c>
      <c r="AS14" s="20"/>
      <c r="AU14" s="47">
        <f t="shared" si="0"/>
        <v>0</v>
      </c>
      <c r="AV14" s="20"/>
      <c r="AW14" s="49">
        <f t="shared" si="1"/>
        <v>0</v>
      </c>
      <c r="AX14" s="26">
        <f t="shared" si="2"/>
        <v>0.66</v>
      </c>
      <c r="AY14" s="26">
        <f t="shared" si="3"/>
        <v>1</v>
      </c>
      <c r="AZ14" s="23">
        <v>1.5</v>
      </c>
      <c r="BA14" s="20">
        <v>22</v>
      </c>
      <c r="BB14" s="23">
        <v>6.5700000000000002E-7</v>
      </c>
      <c r="BC14" s="20">
        <v>22</v>
      </c>
      <c r="BD14" s="27">
        <v>2.6886560811916847E-5</v>
      </c>
      <c r="BE14" s="20">
        <v>252</v>
      </c>
      <c r="BF14" s="20">
        <v>13</v>
      </c>
      <c r="BG14" s="20"/>
      <c r="BH14" s="26">
        <v>5.78</v>
      </c>
      <c r="BI14" s="34">
        <v>16</v>
      </c>
      <c r="BJ14" s="19">
        <v>1230000</v>
      </c>
      <c r="BK14" s="20" t="s">
        <v>467</v>
      </c>
      <c r="BL14" s="20">
        <v>168</v>
      </c>
      <c r="BM14" s="20">
        <v>17</v>
      </c>
      <c r="BN14" s="22"/>
      <c r="BO14" s="49">
        <f t="shared" si="10"/>
        <v>0.40142091820432163</v>
      </c>
      <c r="BR14" s="44"/>
      <c r="BS14" s="44">
        <f t="shared" si="4"/>
        <v>1000</v>
      </c>
      <c r="BT14" s="44" t="str">
        <f t="shared" si="7"/>
        <v>Ceiling (High)</v>
      </c>
      <c r="BU14" s="44"/>
      <c r="BV14" s="44">
        <f t="shared" si="5"/>
        <v>3000</v>
      </c>
      <c r="BW14" s="44" t="str">
        <f t="shared" si="8"/>
        <v>Ceiling (High)</v>
      </c>
      <c r="BX14" s="44"/>
      <c r="BY14" s="44">
        <f t="shared" si="6"/>
        <v>5000</v>
      </c>
      <c r="BZ14" s="44" t="str">
        <f t="shared" si="9"/>
        <v>Ceiling (High)</v>
      </c>
      <c r="CA14" s="44">
        <v>50000</v>
      </c>
      <c r="CB14" s="45" t="s">
        <v>0</v>
      </c>
      <c r="CC14" s="325"/>
    </row>
    <row r="15" spans="1:81" s="26" customFormat="1" x14ac:dyDescent="0.2">
      <c r="A15" s="371" t="s">
        <v>210</v>
      </c>
      <c r="B15" s="52" t="s">
        <v>209</v>
      </c>
      <c r="C15" s="72">
        <v>42922</v>
      </c>
      <c r="D15" s="48">
        <v>0.03</v>
      </c>
      <c r="E15" s="20" t="s">
        <v>478</v>
      </c>
      <c r="F15" s="48">
        <v>0.3</v>
      </c>
      <c r="G15" s="20" t="s">
        <v>478</v>
      </c>
      <c r="H15" s="49">
        <v>0.05</v>
      </c>
      <c r="I15" s="20" t="s">
        <v>478</v>
      </c>
      <c r="J15" s="49">
        <v>0.5</v>
      </c>
      <c r="K15" s="20" t="s">
        <v>478</v>
      </c>
      <c r="L15" s="49"/>
      <c r="M15" s="21"/>
      <c r="N15" s="21"/>
      <c r="O15" s="49"/>
      <c r="P15" s="20"/>
      <c r="Q15" s="40">
        <v>0.3</v>
      </c>
      <c r="R15" s="40" t="s">
        <v>503</v>
      </c>
      <c r="S15" s="40">
        <v>0.1</v>
      </c>
      <c r="T15" s="40" t="s">
        <v>503</v>
      </c>
      <c r="U15" s="40">
        <v>0.3</v>
      </c>
      <c r="V15" s="40" t="s">
        <v>503</v>
      </c>
      <c r="W15" s="40">
        <v>0.1</v>
      </c>
      <c r="X15" s="40" t="s">
        <v>503</v>
      </c>
      <c r="Y15" s="40" t="s">
        <v>1</v>
      </c>
      <c r="Z15" s="40"/>
      <c r="AA15" s="40" t="s">
        <v>1</v>
      </c>
      <c r="AB15" s="40"/>
      <c r="AC15" s="42">
        <v>1</v>
      </c>
      <c r="AD15" s="42">
        <v>9</v>
      </c>
      <c r="AE15" s="42">
        <v>1</v>
      </c>
      <c r="AF15" s="42">
        <v>9</v>
      </c>
      <c r="AG15" s="42"/>
      <c r="AH15" s="42"/>
      <c r="AI15" s="62">
        <v>3</v>
      </c>
      <c r="AJ15" s="20"/>
      <c r="AK15" s="66">
        <v>0.92</v>
      </c>
      <c r="AL15" s="66" t="s">
        <v>1</v>
      </c>
      <c r="AM15" s="62">
        <v>1</v>
      </c>
      <c r="AN15" s="62"/>
      <c r="AO15" s="43">
        <f>VLOOKUP(A15,[1]!IABKGRD,7,FALSE)</f>
        <v>0</v>
      </c>
      <c r="AS15" s="20"/>
      <c r="AU15" s="47">
        <f t="shared" si="0"/>
        <v>0</v>
      </c>
      <c r="AV15" s="20"/>
      <c r="AW15" s="49">
        <f t="shared" si="1"/>
        <v>0</v>
      </c>
      <c r="AX15" s="26">
        <f t="shared" si="2"/>
        <v>0.66</v>
      </c>
      <c r="AY15" s="26">
        <f t="shared" si="3"/>
        <v>0.5</v>
      </c>
      <c r="AZ15" s="23">
        <v>0.26</v>
      </c>
      <c r="BA15" s="20">
        <v>22</v>
      </c>
      <c r="BB15" s="23">
        <v>3.3099999999999999E-7</v>
      </c>
      <c r="BC15" s="20">
        <v>22</v>
      </c>
      <c r="BD15" s="27">
        <v>1.3545588476018988E-5</v>
      </c>
      <c r="BE15" s="20">
        <v>276</v>
      </c>
      <c r="BF15" s="20">
        <v>13</v>
      </c>
      <c r="BG15" s="23">
        <v>1E-10</v>
      </c>
      <c r="BH15" s="26">
        <v>6.63</v>
      </c>
      <c r="BI15" s="34">
        <v>13</v>
      </c>
      <c r="BJ15" s="19">
        <v>1600000</v>
      </c>
      <c r="BK15" s="20">
        <v>13</v>
      </c>
      <c r="BL15" s="20"/>
      <c r="BM15" s="20"/>
      <c r="BN15" s="22"/>
      <c r="BO15" s="49">
        <f t="shared" si="10"/>
        <v>1.0720128717525927</v>
      </c>
      <c r="BR15" s="44"/>
      <c r="BS15" s="44">
        <f t="shared" si="4"/>
        <v>1000</v>
      </c>
      <c r="BT15" s="44" t="str">
        <f t="shared" si="7"/>
        <v>Ceiling (High)</v>
      </c>
      <c r="BU15" s="44"/>
      <c r="BV15" s="44">
        <f t="shared" si="5"/>
        <v>3000</v>
      </c>
      <c r="BW15" s="44" t="str">
        <f t="shared" si="8"/>
        <v>Ceiling (High)</v>
      </c>
      <c r="BX15" s="44"/>
      <c r="BY15" s="44">
        <f t="shared" si="6"/>
        <v>5000</v>
      </c>
      <c r="BZ15" s="44" t="str">
        <f t="shared" si="9"/>
        <v>Ceiling (High)</v>
      </c>
      <c r="CA15" s="44">
        <v>50000</v>
      </c>
      <c r="CB15" s="45" t="s">
        <v>0</v>
      </c>
      <c r="CC15" s="325"/>
    </row>
    <row r="16" spans="1:81" s="26" customFormat="1" ht="10.5" x14ac:dyDescent="0.25">
      <c r="A16" s="371" t="s">
        <v>208</v>
      </c>
      <c r="B16" s="52" t="s">
        <v>207</v>
      </c>
      <c r="C16" s="72">
        <v>42922</v>
      </c>
      <c r="D16" s="48">
        <v>0.03</v>
      </c>
      <c r="E16" s="20" t="s">
        <v>478</v>
      </c>
      <c r="F16" s="48">
        <v>0.3</v>
      </c>
      <c r="G16" s="20" t="s">
        <v>478</v>
      </c>
      <c r="H16" s="49">
        <v>0.05</v>
      </c>
      <c r="I16" s="20" t="s">
        <v>478</v>
      </c>
      <c r="J16" s="49">
        <v>0.5</v>
      </c>
      <c r="K16" s="20" t="s">
        <v>478</v>
      </c>
      <c r="L16" s="77">
        <v>0.01</v>
      </c>
      <c r="M16" s="20" t="s">
        <v>15</v>
      </c>
      <c r="N16" s="20" t="s">
        <v>10</v>
      </c>
      <c r="O16" s="77">
        <v>6.0000000000000002E-6</v>
      </c>
      <c r="P16" s="79" t="s">
        <v>10</v>
      </c>
      <c r="Q16" s="40">
        <v>0.3</v>
      </c>
      <c r="R16" s="40" t="s">
        <v>503</v>
      </c>
      <c r="S16" s="40">
        <v>0.02</v>
      </c>
      <c r="T16" s="40" t="s">
        <v>503</v>
      </c>
      <c r="U16" s="40">
        <v>0.3</v>
      </c>
      <c r="V16" s="40" t="s">
        <v>504</v>
      </c>
      <c r="W16" s="40">
        <v>0.02</v>
      </c>
      <c r="X16" s="40" t="s">
        <v>503</v>
      </c>
      <c r="Y16" s="40">
        <v>0.3</v>
      </c>
      <c r="Z16" s="40" t="s">
        <v>503</v>
      </c>
      <c r="AA16" s="40">
        <v>0.02</v>
      </c>
      <c r="AB16" s="40" t="s">
        <v>503</v>
      </c>
      <c r="AC16" s="42">
        <v>1</v>
      </c>
      <c r="AD16" s="42">
        <v>9</v>
      </c>
      <c r="AE16" s="42">
        <v>1</v>
      </c>
      <c r="AF16" s="42">
        <v>9</v>
      </c>
      <c r="AG16" s="42">
        <v>1</v>
      </c>
      <c r="AH16" s="42">
        <v>9</v>
      </c>
      <c r="AI16" s="62">
        <v>4</v>
      </c>
      <c r="AJ16" s="20" t="s">
        <v>630</v>
      </c>
      <c r="AK16" s="66">
        <v>0.92</v>
      </c>
      <c r="AL16" s="66">
        <v>0.92</v>
      </c>
      <c r="AM16" s="62">
        <v>1</v>
      </c>
      <c r="AN16" s="62"/>
      <c r="AO16" s="43">
        <f>VLOOKUP(A16,[1]!IABKGRD,7,FALSE)</f>
        <v>0</v>
      </c>
      <c r="AS16" s="20"/>
      <c r="AU16" s="47">
        <f t="shared" si="0"/>
        <v>0</v>
      </c>
      <c r="AV16" s="20"/>
      <c r="AW16" s="49">
        <f t="shared" si="1"/>
        <v>0</v>
      </c>
      <c r="AX16" s="26">
        <f t="shared" si="2"/>
        <v>0.66</v>
      </c>
      <c r="AY16" s="26">
        <f t="shared" si="3"/>
        <v>1</v>
      </c>
      <c r="AZ16" s="23">
        <v>0.8</v>
      </c>
      <c r="BA16" s="20">
        <v>22</v>
      </c>
      <c r="BB16" s="23">
        <v>5.8400000000000004E-7</v>
      </c>
      <c r="BC16" s="20">
        <v>22</v>
      </c>
      <c r="BD16" s="27">
        <v>2.3899165166148309E-5</v>
      </c>
      <c r="BE16" s="20">
        <v>252</v>
      </c>
      <c r="BF16" s="20">
        <v>13</v>
      </c>
      <c r="BG16" s="23">
        <v>9.59E-11</v>
      </c>
      <c r="BH16" s="26">
        <v>6.11</v>
      </c>
      <c r="BI16" s="34">
        <v>13</v>
      </c>
      <c r="BJ16" s="19">
        <v>1230000</v>
      </c>
      <c r="BK16" s="20" t="s">
        <v>467</v>
      </c>
      <c r="BL16" s="20">
        <v>217</v>
      </c>
      <c r="BM16" s="20">
        <v>17</v>
      </c>
      <c r="BN16" s="22"/>
      <c r="BO16" s="49">
        <f t="shared" si="10"/>
        <v>0.66282670860827375</v>
      </c>
      <c r="BR16" s="44"/>
      <c r="BS16" s="44">
        <f t="shared" si="4"/>
        <v>1000</v>
      </c>
      <c r="BT16" s="44" t="str">
        <f t="shared" si="7"/>
        <v>Ceiling (High)</v>
      </c>
      <c r="BU16" s="44"/>
      <c r="BV16" s="44">
        <f t="shared" si="5"/>
        <v>3000</v>
      </c>
      <c r="BW16" s="44" t="str">
        <f t="shared" si="8"/>
        <v>Ceiling (High)</v>
      </c>
      <c r="BX16" s="44"/>
      <c r="BY16" s="44">
        <f t="shared" si="6"/>
        <v>5000</v>
      </c>
      <c r="BZ16" s="44" t="str">
        <f t="shared" si="9"/>
        <v>Ceiling (High)</v>
      </c>
      <c r="CA16" s="44">
        <v>50000</v>
      </c>
      <c r="CB16" s="45" t="s">
        <v>0</v>
      </c>
      <c r="CC16" s="325"/>
    </row>
    <row r="17" spans="1:81" s="26" customFormat="1" x14ac:dyDescent="0.2">
      <c r="A17" s="371" t="s">
        <v>206</v>
      </c>
      <c r="B17" s="52" t="s">
        <v>205</v>
      </c>
      <c r="C17" s="72">
        <v>42923</v>
      </c>
      <c r="D17" s="48">
        <v>2E-3</v>
      </c>
      <c r="E17" s="20">
        <v>1</v>
      </c>
      <c r="F17" s="48">
        <v>5.0000000000000001E-3</v>
      </c>
      <c r="G17" s="20">
        <v>2</v>
      </c>
      <c r="H17" s="49">
        <v>2.0000000000000002E-5</v>
      </c>
      <c r="I17" s="20">
        <v>1</v>
      </c>
      <c r="J17" s="49">
        <v>2.0000000000000002E-5</v>
      </c>
      <c r="K17" s="20" t="s">
        <v>204</v>
      </c>
      <c r="L17" s="49"/>
      <c r="M17" s="21"/>
      <c r="N17" s="21"/>
      <c r="O17" s="49">
        <v>2.3999999999999998E-3</v>
      </c>
      <c r="P17" s="20">
        <v>1</v>
      </c>
      <c r="Q17" s="40">
        <v>1</v>
      </c>
      <c r="R17" s="40" t="s">
        <v>504</v>
      </c>
      <c r="S17" s="40">
        <v>0.1</v>
      </c>
      <c r="T17" s="40" t="s">
        <v>504</v>
      </c>
      <c r="U17" s="40">
        <v>1</v>
      </c>
      <c r="V17" s="40" t="s">
        <v>504</v>
      </c>
      <c r="W17" s="40">
        <v>0.1</v>
      </c>
      <c r="X17" s="40" t="s">
        <v>504</v>
      </c>
      <c r="Y17" s="40" t="s">
        <v>1</v>
      </c>
      <c r="Z17" s="40"/>
      <c r="AA17" s="40"/>
      <c r="AB17" s="40"/>
      <c r="AC17" s="42">
        <v>1</v>
      </c>
      <c r="AD17" s="42">
        <v>9</v>
      </c>
      <c r="AE17" s="42">
        <v>1</v>
      </c>
      <c r="AF17" s="42">
        <v>9</v>
      </c>
      <c r="AG17" s="42">
        <v>1</v>
      </c>
      <c r="AH17" s="42">
        <v>9</v>
      </c>
      <c r="AI17" s="62">
        <v>0.9</v>
      </c>
      <c r="AJ17" s="20"/>
      <c r="AK17" s="66">
        <v>0.01</v>
      </c>
      <c r="AL17" s="66">
        <v>0.01</v>
      </c>
      <c r="AM17" s="62">
        <v>0.4</v>
      </c>
      <c r="AN17" s="62"/>
      <c r="AO17" s="43">
        <f>VLOOKUP(A17,[1]!IABKGRD,7,FALSE)</f>
        <v>0</v>
      </c>
      <c r="AS17" s="20"/>
      <c r="AU17" s="47">
        <f t="shared" si="0"/>
        <v>0</v>
      </c>
      <c r="AV17" s="20"/>
      <c r="AW17" s="49">
        <f t="shared" si="1"/>
        <v>0</v>
      </c>
      <c r="AX17" s="26">
        <f t="shared" si="2"/>
        <v>0.06</v>
      </c>
      <c r="AY17" s="26">
        <f t="shared" si="3"/>
        <v>0.3</v>
      </c>
      <c r="AZ17" s="29">
        <v>0</v>
      </c>
      <c r="BA17" s="20"/>
      <c r="BB17" s="29"/>
      <c r="BC17" s="29"/>
      <c r="BD17" s="27">
        <v>0</v>
      </c>
      <c r="BE17" s="20">
        <v>9</v>
      </c>
      <c r="BF17" s="20">
        <v>13</v>
      </c>
      <c r="BG17" s="25"/>
      <c r="BH17" s="26">
        <v>-0.56999999999999995</v>
      </c>
      <c r="BI17" s="34"/>
      <c r="BJ17" s="29">
        <v>0</v>
      </c>
      <c r="BK17" s="29"/>
      <c r="BL17" s="29"/>
      <c r="BM17" s="29"/>
      <c r="BN17" s="22"/>
      <c r="BO17" s="49">
        <v>1E-3</v>
      </c>
      <c r="BP17" s="24"/>
      <c r="BQ17" s="24"/>
      <c r="BR17" s="44"/>
      <c r="BS17" s="44">
        <f t="shared" si="4"/>
        <v>1000</v>
      </c>
      <c r="BT17" s="44" t="str">
        <f t="shared" si="7"/>
        <v>Ceiling (High)</v>
      </c>
      <c r="BU17" s="44"/>
      <c r="BV17" s="44">
        <f t="shared" si="5"/>
        <v>3000</v>
      </c>
      <c r="BW17" s="44" t="str">
        <f t="shared" si="8"/>
        <v>Ceiling (High)</v>
      </c>
      <c r="BX17" s="44"/>
      <c r="BY17" s="44">
        <f t="shared" si="6"/>
        <v>5000</v>
      </c>
      <c r="BZ17" s="44" t="str">
        <f t="shared" si="9"/>
        <v>Ceiling (High)</v>
      </c>
      <c r="CA17" s="44">
        <v>50000</v>
      </c>
      <c r="CB17" s="45" t="s">
        <v>0</v>
      </c>
      <c r="CC17" s="325" t="s">
        <v>680</v>
      </c>
    </row>
    <row r="18" spans="1:81" s="26" customFormat="1" ht="10.5" x14ac:dyDescent="0.25">
      <c r="A18" s="371" t="s">
        <v>203</v>
      </c>
      <c r="B18" s="52" t="s">
        <v>202</v>
      </c>
      <c r="C18" s="72">
        <v>42922</v>
      </c>
      <c r="D18" s="48">
        <v>0.05</v>
      </c>
      <c r="E18" s="20">
        <v>1</v>
      </c>
      <c r="F18" s="48">
        <v>0.1</v>
      </c>
      <c r="G18" s="20">
        <v>6</v>
      </c>
      <c r="H18" s="49">
        <v>2E-3</v>
      </c>
      <c r="I18" s="20">
        <v>3</v>
      </c>
      <c r="J18" s="49">
        <v>2E-3</v>
      </c>
      <c r="K18" s="20" t="s">
        <v>488</v>
      </c>
      <c r="L18" s="75">
        <v>8.0000000000000002E-3</v>
      </c>
      <c r="M18" s="21" t="s">
        <v>2</v>
      </c>
      <c r="N18" s="21">
        <v>1</v>
      </c>
      <c r="O18" s="49"/>
      <c r="P18" s="20"/>
      <c r="Q18" s="40">
        <v>1</v>
      </c>
      <c r="R18" s="40" t="s">
        <v>504</v>
      </c>
      <c r="S18" s="76">
        <v>0.1</v>
      </c>
      <c r="T18" s="76" t="s">
        <v>504</v>
      </c>
      <c r="U18" s="40">
        <v>1</v>
      </c>
      <c r="V18" s="40" t="s">
        <v>504</v>
      </c>
      <c r="W18" s="76">
        <v>0.1</v>
      </c>
      <c r="X18" s="76" t="s">
        <v>504</v>
      </c>
      <c r="Y18" s="76">
        <v>1</v>
      </c>
      <c r="Z18" s="76" t="s">
        <v>504</v>
      </c>
      <c r="AA18" s="76">
        <v>0.1</v>
      </c>
      <c r="AB18" s="76" t="s">
        <v>504</v>
      </c>
      <c r="AC18" s="42">
        <v>1</v>
      </c>
      <c r="AD18" s="42">
        <v>9</v>
      </c>
      <c r="AE18" s="42">
        <v>1</v>
      </c>
      <c r="AF18" s="42">
        <v>9</v>
      </c>
      <c r="AG18" s="42">
        <v>1</v>
      </c>
      <c r="AH18" s="42">
        <v>9</v>
      </c>
      <c r="AI18" s="62"/>
      <c r="AJ18" s="20"/>
      <c r="AK18" s="66">
        <v>1</v>
      </c>
      <c r="AL18" s="66">
        <v>0.9</v>
      </c>
      <c r="AM18" s="62"/>
      <c r="AN18" s="62"/>
      <c r="AO18" s="43">
        <f>VLOOKUP(A18,[1]!IABKGRD,7,FALSE)</f>
        <v>0</v>
      </c>
      <c r="AS18" s="20"/>
      <c r="AT18" s="26">
        <v>60</v>
      </c>
      <c r="AU18" s="47">
        <f t="shared" si="0"/>
        <v>9.5264735264735251E-3</v>
      </c>
      <c r="AV18" s="20">
        <v>27</v>
      </c>
      <c r="AW18" s="49">
        <f t="shared" si="1"/>
        <v>0</v>
      </c>
      <c r="AX18" s="26">
        <f t="shared" si="2"/>
        <v>0.05</v>
      </c>
      <c r="AY18" s="26">
        <f t="shared" si="3"/>
        <v>0.1</v>
      </c>
      <c r="AZ18" s="23">
        <v>6940</v>
      </c>
      <c r="BA18" s="20">
        <v>22</v>
      </c>
      <c r="BB18" s="22">
        <v>3.0800000000000001E-4</v>
      </c>
      <c r="BC18" s="20">
        <v>22</v>
      </c>
      <c r="BD18" s="27">
        <v>1.2604354231461778E-2</v>
      </c>
      <c r="BE18" s="20">
        <v>154</v>
      </c>
      <c r="BF18" s="20">
        <v>11</v>
      </c>
      <c r="BG18" s="25"/>
      <c r="BH18" s="26">
        <v>3.98</v>
      </c>
      <c r="BI18" s="34">
        <v>20</v>
      </c>
      <c r="BJ18" s="22">
        <v>2820</v>
      </c>
      <c r="BK18" s="20">
        <v>21</v>
      </c>
      <c r="BL18" s="20"/>
      <c r="BM18" s="20"/>
      <c r="BN18" s="22"/>
      <c r="BO18" s="49">
        <f t="shared" si="10"/>
        <v>9.2129772766855619E-2</v>
      </c>
      <c r="BP18" s="24"/>
      <c r="BQ18" s="24"/>
      <c r="BR18" s="44"/>
      <c r="BS18" s="44">
        <f t="shared" si="4"/>
        <v>1000</v>
      </c>
      <c r="BT18" s="44" t="str">
        <f t="shared" si="7"/>
        <v>Ceiling (High)</v>
      </c>
      <c r="BU18" s="44"/>
      <c r="BV18" s="44">
        <f t="shared" si="5"/>
        <v>3000</v>
      </c>
      <c r="BW18" s="44" t="str">
        <f t="shared" si="8"/>
        <v>Ceiling (High)</v>
      </c>
      <c r="BX18" s="44"/>
      <c r="BY18" s="44">
        <f t="shared" si="6"/>
        <v>5000</v>
      </c>
      <c r="BZ18" s="44" t="str">
        <f t="shared" si="9"/>
        <v>Ceiling (High)</v>
      </c>
      <c r="CA18" s="44">
        <v>50000</v>
      </c>
      <c r="CB18" s="45" t="s">
        <v>0</v>
      </c>
      <c r="CC18" s="325"/>
    </row>
    <row r="19" spans="1:81" s="26" customFormat="1" ht="10.5" x14ac:dyDescent="0.25">
      <c r="A19" s="371" t="s">
        <v>201</v>
      </c>
      <c r="B19" s="52" t="s">
        <v>200</v>
      </c>
      <c r="C19" s="72">
        <v>42922</v>
      </c>
      <c r="D19" s="20"/>
      <c r="E19" s="20"/>
      <c r="F19" s="20"/>
      <c r="G19" s="20"/>
      <c r="H19" s="49"/>
      <c r="I19" s="20"/>
      <c r="J19" s="49"/>
      <c r="K19" s="20"/>
      <c r="L19" s="49">
        <v>1.1000000000000001</v>
      </c>
      <c r="M19" s="21" t="s">
        <v>15</v>
      </c>
      <c r="N19" s="21">
        <v>1</v>
      </c>
      <c r="O19" s="49">
        <v>3.3E-4</v>
      </c>
      <c r="P19" s="20">
        <v>1</v>
      </c>
      <c r="Q19" s="40">
        <v>1</v>
      </c>
      <c r="R19" s="40" t="s">
        <v>504</v>
      </c>
      <c r="S19" s="40">
        <v>0.03</v>
      </c>
      <c r="T19" s="40" t="s">
        <v>504</v>
      </c>
      <c r="U19" s="40">
        <v>1</v>
      </c>
      <c r="V19" s="40" t="s">
        <v>504</v>
      </c>
      <c r="W19" s="40">
        <v>0.03</v>
      </c>
      <c r="X19" s="40" t="s">
        <v>504</v>
      </c>
      <c r="Y19" s="40">
        <v>1</v>
      </c>
      <c r="Z19" s="40" t="s">
        <v>504</v>
      </c>
      <c r="AA19" s="40">
        <v>0.03</v>
      </c>
      <c r="AB19" s="40" t="s">
        <v>504</v>
      </c>
      <c r="AC19" s="42"/>
      <c r="AD19" s="42"/>
      <c r="AE19" s="42"/>
      <c r="AF19" s="42"/>
      <c r="AG19" s="42">
        <v>1</v>
      </c>
      <c r="AH19" s="42">
        <v>9</v>
      </c>
      <c r="AI19" s="62"/>
      <c r="AJ19" s="20"/>
      <c r="AK19" s="81">
        <v>0.98</v>
      </c>
      <c r="AL19" s="66">
        <v>0.98</v>
      </c>
      <c r="AM19" s="62"/>
      <c r="AN19" s="62"/>
      <c r="AO19" s="43">
        <f>VLOOKUP(A19,[1]!IABKGRD,7,FALSE)</f>
        <v>0</v>
      </c>
      <c r="AS19" s="20"/>
      <c r="AT19" s="26">
        <v>287</v>
      </c>
      <c r="AU19" s="47">
        <f t="shared" si="0"/>
        <v>4.9073552088936698E-2</v>
      </c>
      <c r="AV19" s="20">
        <v>13</v>
      </c>
      <c r="AW19" s="49">
        <f t="shared" si="1"/>
        <v>14.468078420597246</v>
      </c>
      <c r="AX19" s="26">
        <f t="shared" si="2"/>
        <v>0.66</v>
      </c>
      <c r="AY19" s="26">
        <f t="shared" si="3"/>
        <v>28.5</v>
      </c>
      <c r="AZ19" s="23">
        <v>17200000</v>
      </c>
      <c r="BA19" s="20">
        <v>22</v>
      </c>
      <c r="BB19" s="23">
        <v>1.7E-5</v>
      </c>
      <c r="BC19" s="20">
        <v>22</v>
      </c>
      <c r="BD19" s="27">
        <v>6.9569487641185136E-4</v>
      </c>
      <c r="BE19" s="20">
        <v>143</v>
      </c>
      <c r="BF19" s="20">
        <v>13</v>
      </c>
      <c r="BG19" s="23">
        <v>0.71</v>
      </c>
      <c r="BH19" s="26">
        <v>1.29</v>
      </c>
      <c r="BI19" s="34">
        <v>16</v>
      </c>
      <c r="BJ19" s="19">
        <v>75.900000000000006</v>
      </c>
      <c r="BK19" s="20" t="s">
        <v>466</v>
      </c>
      <c r="BL19" s="20">
        <v>-51.9</v>
      </c>
      <c r="BM19" s="20">
        <v>17</v>
      </c>
      <c r="BN19" s="22"/>
      <c r="BO19" s="49">
        <f t="shared" si="10"/>
        <v>1.7807378917032942E-3</v>
      </c>
      <c r="BP19" s="24"/>
      <c r="BQ19" s="24"/>
      <c r="BR19" s="44"/>
      <c r="BS19" s="44">
        <f t="shared" si="4"/>
        <v>500</v>
      </c>
      <c r="BT19" s="44" t="str">
        <f t="shared" si="7"/>
        <v>Ceiling (Medium)</v>
      </c>
      <c r="BU19" s="44"/>
      <c r="BV19" s="44">
        <f t="shared" si="5"/>
        <v>1000</v>
      </c>
      <c r="BW19" s="44" t="str">
        <f t="shared" si="8"/>
        <v>Ceiling (Medium)</v>
      </c>
      <c r="BX19" s="44"/>
      <c r="BY19" s="44">
        <f t="shared" si="6"/>
        <v>3000</v>
      </c>
      <c r="BZ19" s="44" t="str">
        <f t="shared" si="9"/>
        <v>Ceiling (Medium)</v>
      </c>
      <c r="CA19" s="44">
        <v>50000</v>
      </c>
      <c r="CB19" s="45" t="s">
        <v>0</v>
      </c>
      <c r="CC19" s="325"/>
    </row>
    <row r="20" spans="1:81" s="26" customFormat="1" x14ac:dyDescent="0.2">
      <c r="A20" s="371" t="s">
        <v>199</v>
      </c>
      <c r="B20" s="52" t="s">
        <v>514</v>
      </c>
      <c r="C20" s="72">
        <v>42922</v>
      </c>
      <c r="D20" s="48">
        <v>0.04</v>
      </c>
      <c r="E20" s="20">
        <v>1</v>
      </c>
      <c r="F20" s="48">
        <v>0.04</v>
      </c>
      <c r="G20" s="20" t="s">
        <v>188</v>
      </c>
      <c r="H20" s="49">
        <v>0.14000000000000001</v>
      </c>
      <c r="I20" s="20" t="s">
        <v>475</v>
      </c>
      <c r="J20" s="49">
        <v>0.14000000000000001</v>
      </c>
      <c r="K20" s="20" t="s">
        <v>488</v>
      </c>
      <c r="L20" s="49">
        <v>7.0000000000000007E-2</v>
      </c>
      <c r="M20" s="21" t="s">
        <v>23</v>
      </c>
      <c r="N20" s="21" t="s">
        <v>337</v>
      </c>
      <c r="O20" s="49">
        <v>1.0000000000000001E-5</v>
      </c>
      <c r="P20" s="20">
        <v>2</v>
      </c>
      <c r="Q20" s="40">
        <v>1</v>
      </c>
      <c r="R20" s="40" t="s">
        <v>504</v>
      </c>
      <c r="S20" s="40">
        <v>0.03</v>
      </c>
      <c r="T20" s="40" t="s">
        <v>504</v>
      </c>
      <c r="U20" s="71">
        <v>1</v>
      </c>
      <c r="V20" s="40">
        <v>9</v>
      </c>
      <c r="W20" s="40">
        <v>0.03</v>
      </c>
      <c r="X20" s="40" t="s">
        <v>504</v>
      </c>
      <c r="Y20" s="40">
        <v>1</v>
      </c>
      <c r="Z20" s="40" t="s">
        <v>504</v>
      </c>
      <c r="AA20" s="40">
        <v>0.03</v>
      </c>
      <c r="AB20" s="40" t="s">
        <v>504</v>
      </c>
      <c r="AC20" s="42">
        <v>1</v>
      </c>
      <c r="AD20" s="42">
        <v>9</v>
      </c>
      <c r="AE20" s="42">
        <v>1</v>
      </c>
      <c r="AF20" s="42">
        <v>9</v>
      </c>
      <c r="AG20" s="42">
        <v>1</v>
      </c>
      <c r="AH20" s="42">
        <v>9</v>
      </c>
      <c r="AI20" s="62"/>
      <c r="AJ20" s="20"/>
      <c r="AK20" s="66">
        <v>0.98</v>
      </c>
      <c r="AL20" s="66">
        <v>0.98</v>
      </c>
      <c r="AM20" s="62"/>
      <c r="AN20" s="62"/>
      <c r="AO20" s="43">
        <f>VLOOKUP(A20,[1]!IABKGRD,7,FALSE)</f>
        <v>0</v>
      </c>
      <c r="AR20" s="26">
        <v>320</v>
      </c>
      <c r="AS20" s="20">
        <v>24</v>
      </c>
      <c r="AT20" s="26">
        <v>2240</v>
      </c>
      <c r="AU20" s="47">
        <f t="shared" si="0"/>
        <v>0.32029749587644324</v>
      </c>
      <c r="AV20" s="20">
        <v>24</v>
      </c>
      <c r="AW20" s="49">
        <f t="shared" si="1"/>
        <v>2.6537828454578141</v>
      </c>
      <c r="AX20" s="26">
        <f t="shared" si="2"/>
        <v>0.66</v>
      </c>
      <c r="AY20" s="26">
        <f t="shared" si="3"/>
        <v>28.5</v>
      </c>
      <c r="AZ20" s="23">
        <v>39930</v>
      </c>
      <c r="BA20" s="20">
        <v>23</v>
      </c>
      <c r="BB20" s="23">
        <v>3.3199999999999999E-4</v>
      </c>
      <c r="BC20" s="20">
        <v>23</v>
      </c>
      <c r="BD20" s="27">
        <v>1.3599999999999999E-2</v>
      </c>
      <c r="BE20" s="20">
        <v>171</v>
      </c>
      <c r="BF20" s="20">
        <v>11</v>
      </c>
      <c r="BG20" s="23">
        <v>0.85</v>
      </c>
      <c r="BH20" s="26">
        <v>2.1</v>
      </c>
      <c r="BI20" s="34">
        <v>11</v>
      </c>
      <c r="BJ20" s="19">
        <v>61</v>
      </c>
      <c r="BK20" s="20">
        <v>11</v>
      </c>
      <c r="BL20" s="20"/>
      <c r="BM20" s="20"/>
      <c r="BN20" s="22"/>
      <c r="BO20" s="49">
        <f t="shared" si="10"/>
        <v>4.250108331760467E-3</v>
      </c>
      <c r="BP20" s="24"/>
      <c r="BQ20" s="24"/>
      <c r="BR20" s="44"/>
      <c r="BS20" s="44">
        <f t="shared" si="4"/>
        <v>500</v>
      </c>
      <c r="BT20" s="44" t="str">
        <f t="shared" si="7"/>
        <v>Ceiling (Medium)</v>
      </c>
      <c r="BU20" s="44"/>
      <c r="BV20" s="44">
        <f t="shared" si="5"/>
        <v>1000</v>
      </c>
      <c r="BW20" s="44" t="str">
        <f t="shared" si="8"/>
        <v>Ceiling (Medium)</v>
      </c>
      <c r="BX20" s="44"/>
      <c r="BY20" s="44">
        <f t="shared" si="6"/>
        <v>3000</v>
      </c>
      <c r="BZ20" s="44" t="str">
        <f t="shared" si="9"/>
        <v>Ceiling (Medium)</v>
      </c>
      <c r="CA20" s="44">
        <v>50000</v>
      </c>
      <c r="CB20" s="45" t="s">
        <v>0</v>
      </c>
      <c r="CC20" s="325"/>
    </row>
    <row r="21" spans="1:81" s="26" customFormat="1" x14ac:dyDescent="0.2">
      <c r="A21" s="371" t="s">
        <v>198</v>
      </c>
      <c r="B21" s="52" t="s">
        <v>197</v>
      </c>
      <c r="C21" s="72">
        <v>42923</v>
      </c>
      <c r="D21" s="48">
        <v>0.02</v>
      </c>
      <c r="E21" s="20">
        <v>1</v>
      </c>
      <c r="F21" s="48">
        <v>0.02</v>
      </c>
      <c r="G21" s="20" t="s">
        <v>337</v>
      </c>
      <c r="H21" s="49">
        <v>7.0000000000000001E-3</v>
      </c>
      <c r="I21" s="20">
        <v>3</v>
      </c>
      <c r="J21" s="49">
        <v>7.0000000000000001E-3</v>
      </c>
      <c r="K21" s="20" t="s">
        <v>488</v>
      </c>
      <c r="L21" s="49">
        <v>1.4E-2</v>
      </c>
      <c r="M21" s="20" t="s">
        <v>15</v>
      </c>
      <c r="N21" s="20">
        <v>1</v>
      </c>
      <c r="O21" s="49">
        <v>1.3E-6</v>
      </c>
      <c r="P21" s="20">
        <v>3</v>
      </c>
      <c r="Q21" s="40">
        <v>1</v>
      </c>
      <c r="R21" s="40" t="s">
        <v>504</v>
      </c>
      <c r="S21" s="40">
        <v>0.1</v>
      </c>
      <c r="T21" s="40" t="s">
        <v>504</v>
      </c>
      <c r="U21" s="40">
        <v>1</v>
      </c>
      <c r="V21" s="40" t="s">
        <v>504</v>
      </c>
      <c r="W21" s="40">
        <v>0.1</v>
      </c>
      <c r="X21" s="40" t="s">
        <v>504</v>
      </c>
      <c r="Y21" s="40">
        <v>1</v>
      </c>
      <c r="Z21" s="40" t="s">
        <v>504</v>
      </c>
      <c r="AA21" s="40">
        <v>0.1</v>
      </c>
      <c r="AB21" s="40" t="s">
        <v>504</v>
      </c>
      <c r="AC21" s="42">
        <v>1</v>
      </c>
      <c r="AD21" s="42">
        <v>9</v>
      </c>
      <c r="AE21" s="42">
        <v>1</v>
      </c>
      <c r="AF21" s="42">
        <v>9</v>
      </c>
      <c r="AG21" s="42">
        <v>1</v>
      </c>
      <c r="AH21" s="42">
        <v>9</v>
      </c>
      <c r="AI21" s="62"/>
      <c r="AJ21" s="20"/>
      <c r="AK21" s="66">
        <v>1</v>
      </c>
      <c r="AL21" s="66">
        <v>1</v>
      </c>
      <c r="AM21" s="62"/>
      <c r="AN21" s="62"/>
      <c r="AO21" s="43">
        <f>VLOOKUP(A21,[1]!IABKGRD,7,FALSE)</f>
        <v>0</v>
      </c>
      <c r="AS21" s="20"/>
      <c r="AU21" s="47">
        <f t="shared" si="0"/>
        <v>0</v>
      </c>
      <c r="AV21" s="20"/>
      <c r="AW21" s="49">
        <f t="shared" si="1"/>
        <v>0</v>
      </c>
      <c r="AX21" s="26">
        <f t="shared" si="2"/>
        <v>0.66</v>
      </c>
      <c r="AY21" s="26">
        <f t="shared" si="3"/>
        <v>4</v>
      </c>
      <c r="AZ21" s="23">
        <v>270</v>
      </c>
      <c r="BA21" s="20">
        <v>22</v>
      </c>
      <c r="BB21" s="23">
        <v>2.7000000000000001E-7</v>
      </c>
      <c r="BC21" s="20">
        <v>22</v>
      </c>
      <c r="BD21" s="27">
        <v>1.104927156654117E-5</v>
      </c>
      <c r="BE21" s="20">
        <v>391</v>
      </c>
      <c r="BF21" s="20">
        <v>13</v>
      </c>
      <c r="BG21" s="25"/>
      <c r="BH21" s="26">
        <v>7.6</v>
      </c>
      <c r="BI21" s="34">
        <v>16</v>
      </c>
      <c r="BJ21" s="19">
        <v>111000</v>
      </c>
      <c r="BK21" s="20" t="s">
        <v>466</v>
      </c>
      <c r="BL21" s="20">
        <v>-55</v>
      </c>
      <c r="BM21" s="20">
        <v>17</v>
      </c>
      <c r="BN21" s="22"/>
      <c r="BO21" s="49">
        <f t="shared" si="10"/>
        <v>1.0626738654024654</v>
      </c>
      <c r="BP21" s="24"/>
      <c r="BQ21" s="24"/>
      <c r="BR21" s="44"/>
      <c r="BS21" s="44">
        <f t="shared" si="4"/>
        <v>1000</v>
      </c>
      <c r="BT21" s="44" t="str">
        <f t="shared" si="7"/>
        <v>Ceiling (High)</v>
      </c>
      <c r="BU21" s="44"/>
      <c r="BV21" s="44">
        <f t="shared" si="5"/>
        <v>3000</v>
      </c>
      <c r="BW21" s="44" t="str">
        <f t="shared" si="8"/>
        <v>Ceiling (High)</v>
      </c>
      <c r="BX21" s="44"/>
      <c r="BY21" s="44">
        <f t="shared" si="6"/>
        <v>5000</v>
      </c>
      <c r="BZ21" s="44" t="str">
        <f t="shared" si="9"/>
        <v>Ceiling (High)</v>
      </c>
      <c r="CA21" s="44">
        <v>50000</v>
      </c>
      <c r="CB21" s="45" t="s">
        <v>0</v>
      </c>
      <c r="CC21" s="325"/>
    </row>
    <row r="22" spans="1:81" s="26" customFormat="1" x14ac:dyDescent="0.2">
      <c r="A22" s="371" t="s">
        <v>196</v>
      </c>
      <c r="B22" s="52" t="s">
        <v>195</v>
      </c>
      <c r="C22" s="72">
        <v>42922</v>
      </c>
      <c r="D22" s="48">
        <v>3.0000000000000001E-3</v>
      </c>
      <c r="E22" s="20" t="s">
        <v>8</v>
      </c>
      <c r="F22" s="48">
        <v>8.0000000000000002E-3</v>
      </c>
      <c r="G22" s="20">
        <v>6</v>
      </c>
      <c r="H22" s="49">
        <v>0.01</v>
      </c>
      <c r="I22" s="20" t="s">
        <v>475</v>
      </c>
      <c r="J22" s="49">
        <v>0.02</v>
      </c>
      <c r="K22" s="20">
        <v>6</v>
      </c>
      <c r="L22" s="49">
        <v>6.2E-2</v>
      </c>
      <c r="M22" s="21" t="s">
        <v>15</v>
      </c>
      <c r="N22" s="21">
        <v>1</v>
      </c>
      <c r="O22" s="49">
        <v>1.7714285714285713E-5</v>
      </c>
      <c r="P22" s="20" t="s">
        <v>474</v>
      </c>
      <c r="Q22" s="40">
        <v>1</v>
      </c>
      <c r="R22" s="40" t="s">
        <v>504</v>
      </c>
      <c r="S22" s="40">
        <v>0.03</v>
      </c>
      <c r="T22" s="40" t="s">
        <v>504</v>
      </c>
      <c r="U22" s="40">
        <v>1</v>
      </c>
      <c r="V22" s="40" t="s">
        <v>504</v>
      </c>
      <c r="W22" s="40">
        <v>0.03</v>
      </c>
      <c r="X22" s="40" t="s">
        <v>504</v>
      </c>
      <c r="Y22" s="40">
        <v>1</v>
      </c>
      <c r="Z22" s="40" t="s">
        <v>504</v>
      </c>
      <c r="AA22" s="40">
        <v>0.03</v>
      </c>
      <c r="AB22" s="40" t="s">
        <v>504</v>
      </c>
      <c r="AC22" s="42">
        <v>1</v>
      </c>
      <c r="AD22" s="42">
        <v>9</v>
      </c>
      <c r="AE22" s="42">
        <v>1</v>
      </c>
      <c r="AF22" s="42">
        <v>9</v>
      </c>
      <c r="AG22" s="42">
        <v>1</v>
      </c>
      <c r="AH22" s="42">
        <v>9</v>
      </c>
      <c r="AI22" s="62"/>
      <c r="AJ22" s="20"/>
      <c r="AK22" s="66">
        <v>0.98</v>
      </c>
      <c r="AL22" s="66">
        <v>0.98</v>
      </c>
      <c r="AM22" s="62"/>
      <c r="AN22" s="62"/>
      <c r="AO22" s="43">
        <f>VLOOKUP(A22,[1]!IABKGRD,7,FALSE)</f>
        <v>0</v>
      </c>
      <c r="AS22" s="20"/>
      <c r="AU22" s="47">
        <f t="shared" si="0"/>
        <v>0</v>
      </c>
      <c r="AV22" s="20"/>
      <c r="AW22" s="49">
        <f t="shared" si="1"/>
        <v>0</v>
      </c>
      <c r="AX22" s="26">
        <f t="shared" si="2"/>
        <v>0.1</v>
      </c>
      <c r="AY22" s="26">
        <f t="shared" si="3"/>
        <v>2.5</v>
      </c>
      <c r="AZ22" s="23">
        <v>3030000</v>
      </c>
      <c r="BA22" s="20">
        <v>23</v>
      </c>
      <c r="BB22" s="23">
        <v>2.1199999999999999E-3</v>
      </c>
      <c r="BC22" s="20">
        <v>22</v>
      </c>
      <c r="BD22" s="27">
        <v>8.6757243411360291E-2</v>
      </c>
      <c r="BE22" s="20">
        <v>164</v>
      </c>
      <c r="BF22" s="20">
        <v>13</v>
      </c>
      <c r="BG22" s="26">
        <v>50</v>
      </c>
      <c r="BH22" s="26">
        <v>2</v>
      </c>
      <c r="BI22" s="34">
        <v>16</v>
      </c>
      <c r="BJ22" s="19">
        <v>55</v>
      </c>
      <c r="BK22" s="20" t="s">
        <v>467</v>
      </c>
      <c r="BL22" s="20">
        <v>-57</v>
      </c>
      <c r="BM22" s="20">
        <v>17</v>
      </c>
      <c r="BN22" s="22"/>
      <c r="BO22" s="49">
        <f t="shared" si="10"/>
        <v>3.9957655661880549E-3</v>
      </c>
      <c r="BP22" s="24"/>
      <c r="BQ22" s="24"/>
      <c r="BR22" s="44"/>
      <c r="BS22" s="44">
        <f t="shared" si="4"/>
        <v>100</v>
      </c>
      <c r="BT22" s="44" t="str">
        <f t="shared" si="7"/>
        <v>Ceiling (Low)</v>
      </c>
      <c r="BU22" s="44"/>
      <c r="BV22" s="44">
        <f t="shared" si="5"/>
        <v>500</v>
      </c>
      <c r="BW22" s="44" t="str">
        <f t="shared" si="8"/>
        <v>Ceiling (Low)</v>
      </c>
      <c r="BX22" s="44"/>
      <c r="BY22" s="44">
        <f t="shared" si="6"/>
        <v>500</v>
      </c>
      <c r="BZ22" s="44" t="str">
        <f t="shared" si="9"/>
        <v>High Volatility</v>
      </c>
      <c r="CA22" s="44">
        <v>50000</v>
      </c>
      <c r="CB22" s="45" t="s">
        <v>0</v>
      </c>
      <c r="CC22" s="325"/>
    </row>
    <row r="23" spans="1:81" s="26" customFormat="1" x14ac:dyDescent="0.2">
      <c r="A23" s="371" t="s">
        <v>194</v>
      </c>
      <c r="B23" s="52" t="s">
        <v>193</v>
      </c>
      <c r="C23" s="72">
        <v>42922</v>
      </c>
      <c r="D23" s="48">
        <v>0.02</v>
      </c>
      <c r="E23" s="20">
        <v>1</v>
      </c>
      <c r="F23" s="48">
        <v>0.03</v>
      </c>
      <c r="G23" s="20">
        <v>6</v>
      </c>
      <c r="H23" s="49">
        <v>7.0000000000000007E-2</v>
      </c>
      <c r="I23" s="20" t="s">
        <v>475</v>
      </c>
      <c r="J23" s="49">
        <v>0.09</v>
      </c>
      <c r="K23" s="20" t="s">
        <v>475</v>
      </c>
      <c r="L23" s="49">
        <v>7.9000000000000008E-3</v>
      </c>
      <c r="M23" s="21" t="s">
        <v>15</v>
      </c>
      <c r="N23" s="21">
        <v>1</v>
      </c>
      <c r="O23" s="49">
        <v>1.1000000000000001E-6</v>
      </c>
      <c r="P23" s="20">
        <v>1</v>
      </c>
      <c r="Q23" s="40">
        <v>1</v>
      </c>
      <c r="R23" s="40" t="s">
        <v>504</v>
      </c>
      <c r="S23" s="40">
        <v>0.03</v>
      </c>
      <c r="T23" s="40" t="s">
        <v>504</v>
      </c>
      <c r="U23" s="40">
        <v>1</v>
      </c>
      <c r="V23" s="40" t="s">
        <v>504</v>
      </c>
      <c r="W23" s="40">
        <v>0.03</v>
      </c>
      <c r="X23" s="40" t="s">
        <v>504</v>
      </c>
      <c r="Y23" s="40">
        <v>1</v>
      </c>
      <c r="Z23" s="40" t="s">
        <v>504</v>
      </c>
      <c r="AA23" s="40">
        <v>0.03</v>
      </c>
      <c r="AB23" s="40" t="s">
        <v>504</v>
      </c>
      <c r="AC23" s="42">
        <v>1</v>
      </c>
      <c r="AD23" s="42">
        <v>9</v>
      </c>
      <c r="AE23" s="42">
        <v>1</v>
      </c>
      <c r="AF23" s="42">
        <v>9</v>
      </c>
      <c r="AG23" s="42">
        <v>1</v>
      </c>
      <c r="AH23" s="42">
        <v>9</v>
      </c>
      <c r="AI23" s="62"/>
      <c r="AJ23" s="20"/>
      <c r="AK23" s="66">
        <v>0.9</v>
      </c>
      <c r="AL23" s="66">
        <v>0.9</v>
      </c>
      <c r="AM23" s="62"/>
      <c r="AN23" s="62"/>
      <c r="AO23" s="43">
        <f>VLOOKUP(A23,[1]!IABKGRD,7,FALSE)</f>
        <v>0</v>
      </c>
      <c r="AR23" s="26">
        <v>510</v>
      </c>
      <c r="AS23" s="20">
        <v>13</v>
      </c>
      <c r="AT23" s="26">
        <v>13450</v>
      </c>
      <c r="AU23" s="47">
        <f t="shared" si="0"/>
        <v>1.2998804094456267</v>
      </c>
      <c r="AV23" s="20">
        <v>13</v>
      </c>
      <c r="AW23" s="49">
        <f t="shared" si="1"/>
        <v>4.3080886205434004</v>
      </c>
      <c r="AX23" s="26">
        <f t="shared" si="2"/>
        <v>0.1</v>
      </c>
      <c r="AY23" s="26">
        <f t="shared" si="3"/>
        <v>3.5</v>
      </c>
      <c r="AZ23" s="23">
        <v>3100000</v>
      </c>
      <c r="BA23" s="20">
        <v>22</v>
      </c>
      <c r="BB23" s="23">
        <v>5.3499999999999999E-4</v>
      </c>
      <c r="BC23" s="20">
        <v>22</v>
      </c>
      <c r="BD23" s="27">
        <v>2.1893926992961204E-2</v>
      </c>
      <c r="BE23" s="20">
        <v>253</v>
      </c>
      <c r="BF23" s="20">
        <v>13</v>
      </c>
      <c r="BG23" s="26">
        <v>5.6</v>
      </c>
      <c r="BH23" s="26">
        <v>2.4</v>
      </c>
      <c r="BI23" s="34">
        <v>16</v>
      </c>
      <c r="BJ23" s="19">
        <v>126</v>
      </c>
      <c r="BK23" s="20" t="s">
        <v>466</v>
      </c>
      <c r="BL23" s="20">
        <v>8</v>
      </c>
      <c r="BM23" s="20">
        <v>17</v>
      </c>
      <c r="BN23" s="22"/>
      <c r="BO23" s="49">
        <f t="shared" si="10"/>
        <v>2.3291636302139665E-3</v>
      </c>
      <c r="BP23" s="24"/>
      <c r="BQ23" s="24"/>
      <c r="BR23" s="44"/>
      <c r="BS23" s="44">
        <f t="shared" si="4"/>
        <v>500</v>
      </c>
      <c r="BT23" s="44" t="str">
        <f t="shared" si="7"/>
        <v>Ceiling (Medium)</v>
      </c>
      <c r="BU23" s="44"/>
      <c r="BV23" s="44">
        <f t="shared" si="5"/>
        <v>1000</v>
      </c>
      <c r="BW23" s="44" t="str">
        <f t="shared" si="8"/>
        <v>Ceiling (Medium)</v>
      </c>
      <c r="BX23" s="44"/>
      <c r="BY23" s="44">
        <f t="shared" si="6"/>
        <v>3000</v>
      </c>
      <c r="BZ23" s="44" t="str">
        <f t="shared" si="9"/>
        <v>Ceiling (Medium)</v>
      </c>
      <c r="CA23" s="44">
        <v>50000</v>
      </c>
      <c r="CB23" s="45" t="s">
        <v>0</v>
      </c>
      <c r="CC23" s="325"/>
    </row>
    <row r="24" spans="1:81" s="26" customFormat="1" x14ac:dyDescent="0.2">
      <c r="A24" s="371" t="s">
        <v>192</v>
      </c>
      <c r="B24" s="52" t="s">
        <v>191</v>
      </c>
      <c r="C24" s="72">
        <v>42922</v>
      </c>
      <c r="D24" s="48">
        <v>1.4E-3</v>
      </c>
      <c r="E24" s="20">
        <v>1</v>
      </c>
      <c r="F24" s="48">
        <v>5.0000000000000001E-3</v>
      </c>
      <c r="G24" s="20">
        <v>6</v>
      </c>
      <c r="H24" s="49">
        <v>5.0000000000000001E-3</v>
      </c>
      <c r="I24" s="20">
        <v>1</v>
      </c>
      <c r="J24" s="49">
        <v>0.1</v>
      </c>
      <c r="K24" s="20">
        <v>6</v>
      </c>
      <c r="L24" s="49"/>
      <c r="M24" s="21" t="s">
        <v>2</v>
      </c>
      <c r="N24" s="21">
        <v>1</v>
      </c>
      <c r="O24" s="49"/>
      <c r="P24" s="20"/>
      <c r="Q24" s="40">
        <v>1</v>
      </c>
      <c r="R24" s="40" t="s">
        <v>504</v>
      </c>
      <c r="S24" s="40">
        <v>0.03</v>
      </c>
      <c r="T24" s="40" t="s">
        <v>504</v>
      </c>
      <c r="U24" s="40">
        <v>1</v>
      </c>
      <c r="V24" s="40" t="s">
        <v>504</v>
      </c>
      <c r="W24" s="40">
        <v>0.03</v>
      </c>
      <c r="X24" s="40" t="s">
        <v>504</v>
      </c>
      <c r="Y24" s="40" t="s">
        <v>1</v>
      </c>
      <c r="Z24" s="40"/>
      <c r="AA24" s="40" t="s">
        <v>1</v>
      </c>
      <c r="AB24" s="40"/>
      <c r="AC24" s="42">
        <v>1</v>
      </c>
      <c r="AD24" s="42">
        <v>9</v>
      </c>
      <c r="AE24" s="42">
        <v>1</v>
      </c>
      <c r="AF24" s="42">
        <v>9</v>
      </c>
      <c r="AG24" s="42"/>
      <c r="AH24" s="42"/>
      <c r="AI24" s="62"/>
      <c r="AJ24" s="20"/>
      <c r="AK24" s="66">
        <v>0.97</v>
      </c>
      <c r="AL24" s="66" t="s">
        <v>1</v>
      </c>
      <c r="AM24" s="62"/>
      <c r="AN24" s="62"/>
      <c r="AO24" s="43">
        <f>VLOOKUP(A24,[1]!IABKGRD,7,FALSE)</f>
        <v>0.6</v>
      </c>
      <c r="AS24" s="20"/>
      <c r="AT24" s="26">
        <v>80000</v>
      </c>
      <c r="AU24" s="47">
        <f t="shared" si="0"/>
        <v>20.59055330634278</v>
      </c>
      <c r="AV24" s="20">
        <v>13</v>
      </c>
      <c r="AW24" s="49">
        <f t="shared" si="1"/>
        <v>68.963664010067106</v>
      </c>
      <c r="AX24" s="26">
        <f t="shared" si="2"/>
        <v>0.5</v>
      </c>
      <c r="AY24" s="26">
        <f t="shared" si="3"/>
        <v>0.55000000000000004</v>
      </c>
      <c r="AZ24" s="23">
        <v>15200000</v>
      </c>
      <c r="BA24" s="20">
        <v>22</v>
      </c>
      <c r="BB24" s="23">
        <v>7.3400000000000002E-3</v>
      </c>
      <c r="BC24" s="20">
        <v>22</v>
      </c>
      <c r="BD24" s="27">
        <v>0.30037649369782288</v>
      </c>
      <c r="BE24" s="20">
        <v>95</v>
      </c>
      <c r="BF24" s="20">
        <v>13</v>
      </c>
      <c r="BG24" s="26">
        <v>1420</v>
      </c>
      <c r="BH24" s="26">
        <v>1.19</v>
      </c>
      <c r="BI24" s="34"/>
      <c r="BJ24" s="19">
        <f>10^0.77</f>
        <v>5.8884365535558905</v>
      </c>
      <c r="BK24" s="20">
        <v>13</v>
      </c>
      <c r="BL24" s="20"/>
      <c r="BM24" s="20"/>
      <c r="BN24" s="22"/>
      <c r="BO24" s="49"/>
      <c r="BP24" s="24"/>
      <c r="BQ24" s="24"/>
      <c r="BR24" s="44"/>
      <c r="BS24" s="44">
        <f t="shared" si="4"/>
        <v>500</v>
      </c>
      <c r="BT24" s="44" t="str">
        <f t="shared" si="7"/>
        <v>Ceiling (Medium)</v>
      </c>
      <c r="BU24" s="44"/>
      <c r="BV24" s="44">
        <f t="shared" si="5"/>
        <v>1000</v>
      </c>
      <c r="BW24" s="44" t="str">
        <f t="shared" si="8"/>
        <v>Ceiling (Medium)</v>
      </c>
      <c r="BX24" s="44"/>
      <c r="BY24" s="44">
        <f t="shared" si="6"/>
        <v>3000</v>
      </c>
      <c r="BZ24" s="44" t="str">
        <f t="shared" si="9"/>
        <v>Ceiling (Medium)</v>
      </c>
      <c r="CA24" s="44">
        <v>50000</v>
      </c>
      <c r="CB24" s="45" t="s">
        <v>0</v>
      </c>
      <c r="CC24" s="325"/>
    </row>
    <row r="25" spans="1:81" s="26" customFormat="1" ht="10.5" x14ac:dyDescent="0.25">
      <c r="A25" s="371" t="s">
        <v>190</v>
      </c>
      <c r="B25" s="52" t="s">
        <v>189</v>
      </c>
      <c r="C25" s="72">
        <v>42922</v>
      </c>
      <c r="D25" s="48">
        <v>5.0000000000000001E-4</v>
      </c>
      <c r="E25" s="20" t="s">
        <v>331</v>
      </c>
      <c r="F25" s="48">
        <v>5.0000000000000001E-4</v>
      </c>
      <c r="G25" s="20" t="s">
        <v>188</v>
      </c>
      <c r="H25" s="77">
        <v>1.0000000000000001E-5</v>
      </c>
      <c r="I25" s="79" t="s">
        <v>518</v>
      </c>
      <c r="J25" s="77">
        <v>1.0000000000000001E-5</v>
      </c>
      <c r="K25" s="20" t="s">
        <v>488</v>
      </c>
      <c r="L25" s="49"/>
      <c r="M25" s="20" t="s">
        <v>187</v>
      </c>
      <c r="N25" s="20">
        <v>1</v>
      </c>
      <c r="O25" s="77">
        <v>4.1999999999999997E-3</v>
      </c>
      <c r="P25" s="79" t="s">
        <v>518</v>
      </c>
      <c r="Q25" s="40">
        <v>0.5</v>
      </c>
      <c r="R25" s="40" t="s">
        <v>515</v>
      </c>
      <c r="S25" s="40">
        <v>0.01</v>
      </c>
      <c r="T25" s="40" t="s">
        <v>504</v>
      </c>
      <c r="U25" s="40">
        <v>0.5</v>
      </c>
      <c r="V25" s="40" t="s">
        <v>515</v>
      </c>
      <c r="W25" s="40">
        <v>0.01</v>
      </c>
      <c r="X25" s="40" t="s">
        <v>504</v>
      </c>
      <c r="Y25" s="40" t="s">
        <v>1</v>
      </c>
      <c r="Z25" s="40"/>
      <c r="AA25" s="40" t="s">
        <v>1</v>
      </c>
      <c r="AB25" s="40"/>
      <c r="AC25" s="42">
        <v>1</v>
      </c>
      <c r="AD25" s="42">
        <v>9</v>
      </c>
      <c r="AE25" s="42">
        <v>1</v>
      </c>
      <c r="AF25" s="42">
        <v>9</v>
      </c>
      <c r="AG25" s="42"/>
      <c r="AH25" s="42"/>
      <c r="AI25" s="62">
        <v>3</v>
      </c>
      <c r="AJ25" s="20"/>
      <c r="AK25" s="66">
        <v>7.0000000000000007E-2</v>
      </c>
      <c r="AL25" s="66" t="s">
        <v>1</v>
      </c>
      <c r="AM25" s="62">
        <v>2</v>
      </c>
      <c r="AN25" s="62">
        <v>4.2</v>
      </c>
      <c r="AO25" s="43">
        <f>VLOOKUP(A25,[1]!IABKGRD,7,FALSE)</f>
        <v>0</v>
      </c>
      <c r="AS25" s="20"/>
      <c r="AU25" s="47">
        <f t="shared" si="0"/>
        <v>0</v>
      </c>
      <c r="AV25" s="20"/>
      <c r="AW25" s="49">
        <f t="shared" si="1"/>
        <v>0</v>
      </c>
      <c r="AX25" s="26">
        <f t="shared" si="2"/>
        <v>0.8</v>
      </c>
      <c r="AY25" s="26">
        <f t="shared" si="3"/>
        <v>4</v>
      </c>
      <c r="AZ25" s="20">
        <v>0</v>
      </c>
      <c r="BA25" s="20"/>
      <c r="BB25" s="20"/>
      <c r="BC25" s="20"/>
      <c r="BD25" s="27">
        <v>0</v>
      </c>
      <c r="BE25" s="20">
        <v>112</v>
      </c>
      <c r="BF25" s="20">
        <v>13</v>
      </c>
      <c r="BG25" s="25"/>
      <c r="BH25" s="26">
        <v>-7.0000000000000007E-2</v>
      </c>
      <c r="BI25" s="34"/>
      <c r="BJ25" s="20">
        <v>0</v>
      </c>
      <c r="BK25" s="20"/>
      <c r="BL25" s="20"/>
      <c r="BM25" s="20"/>
      <c r="BN25" s="22"/>
      <c r="BO25" s="49">
        <v>1E-3</v>
      </c>
      <c r="BP25" s="26">
        <v>1.9</v>
      </c>
      <c r="BR25" s="44"/>
      <c r="BS25" s="44">
        <f t="shared" si="4"/>
        <v>1000</v>
      </c>
      <c r="BT25" s="44" t="str">
        <f t="shared" si="7"/>
        <v>Ceiling (High)</v>
      </c>
      <c r="BU25" s="44"/>
      <c r="BV25" s="44">
        <f t="shared" si="5"/>
        <v>3000</v>
      </c>
      <c r="BW25" s="44" t="str">
        <f t="shared" si="8"/>
        <v>Ceiling (High)</v>
      </c>
      <c r="BX25" s="44"/>
      <c r="BY25" s="44">
        <f t="shared" si="6"/>
        <v>5000</v>
      </c>
      <c r="BZ25" s="44" t="str">
        <f t="shared" si="9"/>
        <v>Ceiling (High)</v>
      </c>
      <c r="CA25" s="44">
        <v>50000</v>
      </c>
      <c r="CB25" s="45" t="s">
        <v>0</v>
      </c>
      <c r="CC25" s="325" t="s">
        <v>680</v>
      </c>
    </row>
    <row r="26" spans="1:81" s="26" customFormat="1" x14ac:dyDescent="0.2">
      <c r="A26" s="371" t="s">
        <v>186</v>
      </c>
      <c r="B26" s="52" t="s">
        <v>185</v>
      </c>
      <c r="C26" s="72">
        <v>42922</v>
      </c>
      <c r="D26" s="48">
        <v>4.0000000000000001E-3</v>
      </c>
      <c r="E26" s="20">
        <v>1</v>
      </c>
      <c r="F26" s="48">
        <v>0.01</v>
      </c>
      <c r="G26" s="20" t="s">
        <v>334</v>
      </c>
      <c r="H26" s="49">
        <v>0.1</v>
      </c>
      <c r="I26" s="20">
        <v>1</v>
      </c>
      <c r="J26" s="49">
        <v>0.1</v>
      </c>
      <c r="K26" s="20" t="s">
        <v>488</v>
      </c>
      <c r="L26" s="49">
        <v>7.0000000000000007E-2</v>
      </c>
      <c r="M26" s="20" t="s">
        <v>15</v>
      </c>
      <c r="N26" s="20">
        <v>1</v>
      </c>
      <c r="O26" s="49">
        <v>6.0000000000000002E-6</v>
      </c>
      <c r="P26" s="20">
        <v>1</v>
      </c>
      <c r="Q26" s="40">
        <v>1</v>
      </c>
      <c r="R26" s="40" t="s">
        <v>504</v>
      </c>
      <c r="S26" s="40">
        <v>0.03</v>
      </c>
      <c r="T26" s="40" t="s">
        <v>504</v>
      </c>
      <c r="U26" s="40">
        <v>1</v>
      </c>
      <c r="V26" s="40" t="s">
        <v>504</v>
      </c>
      <c r="W26" s="40">
        <v>0.03</v>
      </c>
      <c r="X26" s="40" t="s">
        <v>504</v>
      </c>
      <c r="Y26" s="40">
        <v>1</v>
      </c>
      <c r="Z26" s="40" t="s">
        <v>504</v>
      </c>
      <c r="AA26" s="40">
        <v>0.03</v>
      </c>
      <c r="AB26" s="40" t="s">
        <v>504</v>
      </c>
      <c r="AC26" s="42">
        <v>1</v>
      </c>
      <c r="AD26" s="42">
        <v>9</v>
      </c>
      <c r="AE26" s="42">
        <v>1</v>
      </c>
      <c r="AF26" s="42">
        <v>9</v>
      </c>
      <c r="AG26" s="42">
        <v>1</v>
      </c>
      <c r="AH26" s="42">
        <v>9</v>
      </c>
      <c r="AI26" s="62"/>
      <c r="AJ26" s="20"/>
      <c r="AK26" s="66">
        <v>1</v>
      </c>
      <c r="AL26" s="66">
        <v>1</v>
      </c>
      <c r="AM26" s="62"/>
      <c r="AN26" s="62"/>
      <c r="AO26" s="43">
        <f>VLOOKUP(A26,[1]!IABKGRD,7,FALSE)</f>
        <v>0.86</v>
      </c>
      <c r="AP26" s="26">
        <v>20</v>
      </c>
      <c r="AQ26" s="26">
        <v>0.13400000000000001</v>
      </c>
      <c r="AR26" s="26">
        <v>520</v>
      </c>
      <c r="AS26" s="20">
        <v>13</v>
      </c>
      <c r="AT26" s="26">
        <v>63000</v>
      </c>
      <c r="AU26" s="47">
        <f t="shared" si="0"/>
        <v>10.002797202797201</v>
      </c>
      <c r="AV26" s="20">
        <v>13</v>
      </c>
      <c r="AW26" s="49">
        <f t="shared" si="1"/>
        <v>11.296840044742732</v>
      </c>
      <c r="AX26" s="26">
        <f t="shared" si="2"/>
        <v>0.1</v>
      </c>
      <c r="AY26" s="26">
        <f t="shared" si="3"/>
        <v>1.5</v>
      </c>
      <c r="AZ26" s="23">
        <v>793000</v>
      </c>
      <c r="BA26" s="20">
        <v>22</v>
      </c>
      <c r="BB26" s="23">
        <v>2.76E-2</v>
      </c>
      <c r="BC26" s="20">
        <v>22</v>
      </c>
      <c r="BD26" s="27">
        <v>1.1294810934686528</v>
      </c>
      <c r="BE26" s="20">
        <v>154</v>
      </c>
      <c r="BF26" s="20">
        <v>13</v>
      </c>
      <c r="BG26" s="26">
        <v>113</v>
      </c>
      <c r="BH26" s="26">
        <v>2.83</v>
      </c>
      <c r="BI26" s="34">
        <v>16</v>
      </c>
      <c r="BJ26" s="19">
        <v>152</v>
      </c>
      <c r="BK26" s="20" t="s">
        <v>466</v>
      </c>
      <c r="BL26" s="20">
        <v>-23</v>
      </c>
      <c r="BM26" s="20">
        <v>17</v>
      </c>
      <c r="BN26" s="22"/>
      <c r="BO26" s="49">
        <f t="shared" ref="BO26:BO31" si="11">IF(BE26=0,0,IF(BH26=0,0,10^(-2.8+0.66*BH26-0.0056*BE26)))</f>
        <v>1.6047227144931665E-2</v>
      </c>
      <c r="BP26" s="24"/>
      <c r="BQ26" s="24"/>
      <c r="BR26" s="44"/>
      <c r="BS26" s="44">
        <f t="shared" si="4"/>
        <v>500</v>
      </c>
      <c r="BT26" s="44" t="str">
        <f t="shared" si="7"/>
        <v>Ceiling (Medium)</v>
      </c>
      <c r="BU26" s="44"/>
      <c r="BV26" s="44">
        <f t="shared" si="5"/>
        <v>1000</v>
      </c>
      <c r="BW26" s="44" t="str">
        <f t="shared" si="8"/>
        <v>Ceiling (Medium)</v>
      </c>
      <c r="BX26" s="44"/>
      <c r="BY26" s="44">
        <f t="shared" si="6"/>
        <v>3000</v>
      </c>
      <c r="BZ26" s="44" t="str">
        <f t="shared" si="9"/>
        <v>Ceiling (Medium)</v>
      </c>
      <c r="CA26" s="44">
        <v>50000</v>
      </c>
      <c r="CB26" s="45" t="s">
        <v>0</v>
      </c>
      <c r="CC26" s="325"/>
    </row>
    <row r="27" spans="1:81" s="26" customFormat="1" x14ac:dyDescent="0.2">
      <c r="A27" s="371" t="s">
        <v>184</v>
      </c>
      <c r="B27" s="52" t="s">
        <v>183</v>
      </c>
      <c r="C27" s="72">
        <v>42922</v>
      </c>
      <c r="D27" s="48">
        <v>5.0000000000000001E-4</v>
      </c>
      <c r="E27" s="20">
        <v>1</v>
      </c>
      <c r="F27" s="48">
        <v>5.0000000000000001E-4</v>
      </c>
      <c r="G27" s="20" t="s">
        <v>188</v>
      </c>
      <c r="H27" s="49">
        <v>6.9999999999999999E-4</v>
      </c>
      <c r="I27" s="20">
        <v>1</v>
      </c>
      <c r="J27" s="49">
        <v>7.0000000000000001E-3</v>
      </c>
      <c r="K27" s="20" t="s">
        <v>64</v>
      </c>
      <c r="L27" s="49">
        <v>0.35</v>
      </c>
      <c r="M27" s="21" t="s">
        <v>15</v>
      </c>
      <c r="N27" s="20">
        <v>1</v>
      </c>
      <c r="O27" s="49">
        <v>1E-4</v>
      </c>
      <c r="P27" s="20">
        <v>1</v>
      </c>
      <c r="Q27" s="40">
        <v>1</v>
      </c>
      <c r="R27" s="40" t="s">
        <v>504</v>
      </c>
      <c r="S27" s="40">
        <v>0.04</v>
      </c>
      <c r="T27" s="40" t="s">
        <v>504</v>
      </c>
      <c r="U27" s="40">
        <v>1</v>
      </c>
      <c r="V27" s="40" t="s">
        <v>504</v>
      </c>
      <c r="W27" s="40">
        <v>0.04</v>
      </c>
      <c r="X27" s="40" t="s">
        <v>504</v>
      </c>
      <c r="Y27" s="40">
        <v>1</v>
      </c>
      <c r="Z27" s="40" t="s">
        <v>504</v>
      </c>
      <c r="AA27" s="40">
        <v>0.04</v>
      </c>
      <c r="AB27" s="40" t="s">
        <v>504</v>
      </c>
      <c r="AC27" s="42">
        <v>1</v>
      </c>
      <c r="AD27" s="42">
        <v>9</v>
      </c>
      <c r="AE27" s="42">
        <v>1</v>
      </c>
      <c r="AF27" s="42">
        <v>9</v>
      </c>
      <c r="AG27" s="42">
        <v>1</v>
      </c>
      <c r="AH27" s="42">
        <v>9</v>
      </c>
      <c r="AI27" s="62"/>
      <c r="AJ27" s="20"/>
      <c r="AK27" s="66">
        <v>0.8</v>
      </c>
      <c r="AL27" s="66">
        <v>0.8</v>
      </c>
      <c r="AM27" s="62"/>
      <c r="AN27" s="62"/>
      <c r="AO27" s="43">
        <f>VLOOKUP(A27,[1]!IABKGRD,7,FALSE)</f>
        <v>0</v>
      </c>
      <c r="AR27" s="26">
        <v>205</v>
      </c>
      <c r="AS27" s="20">
        <v>24</v>
      </c>
      <c r="AT27" s="26">
        <v>8.4</v>
      </c>
      <c r="AU27" s="47">
        <f t="shared" si="0"/>
        <v>5.0095309568480291E-4</v>
      </c>
      <c r="AV27" s="20"/>
      <c r="AW27" s="49">
        <f t="shared" si="1"/>
        <v>1.9961948705656766E-2</v>
      </c>
      <c r="AX27" s="26">
        <f t="shared" si="2"/>
        <v>0.7</v>
      </c>
      <c r="AY27" s="26">
        <f t="shared" si="3"/>
        <v>1.5</v>
      </c>
      <c r="AZ27" s="23">
        <v>13</v>
      </c>
      <c r="BA27" s="20">
        <v>22</v>
      </c>
      <c r="BB27" s="23">
        <v>7.0300000000000001E-5</v>
      </c>
      <c r="BC27" s="20">
        <v>22</v>
      </c>
      <c r="BD27" s="27">
        <v>2.8769029301031267E-3</v>
      </c>
      <c r="BE27" s="20">
        <v>410</v>
      </c>
      <c r="BF27" s="20">
        <v>13</v>
      </c>
      <c r="BG27" s="23">
        <v>1.0000000000000001E-5</v>
      </c>
      <c r="BH27" s="26">
        <v>6.26</v>
      </c>
      <c r="BI27" s="34">
        <v>16</v>
      </c>
      <c r="BJ27" s="19">
        <v>51300</v>
      </c>
      <c r="BK27" s="20" t="s">
        <v>466</v>
      </c>
      <c r="BL27" s="20">
        <v>106</v>
      </c>
      <c r="BM27" s="20">
        <v>17</v>
      </c>
      <c r="BN27" s="22"/>
      <c r="BO27" s="49">
        <f t="shared" si="11"/>
        <v>0.10854254493068262</v>
      </c>
      <c r="BP27" s="33">
        <v>11.104166666666666</v>
      </c>
      <c r="BR27" s="44"/>
      <c r="BS27" s="44">
        <f t="shared" si="4"/>
        <v>1000</v>
      </c>
      <c r="BT27" s="44" t="str">
        <f t="shared" si="7"/>
        <v>Ceiling (High)</v>
      </c>
      <c r="BU27" s="44"/>
      <c r="BV27" s="44">
        <f t="shared" si="5"/>
        <v>3000</v>
      </c>
      <c r="BW27" s="44" t="str">
        <f t="shared" si="8"/>
        <v>Ceiling (High)</v>
      </c>
      <c r="BX27" s="44"/>
      <c r="BY27" s="44">
        <f t="shared" si="6"/>
        <v>5000</v>
      </c>
      <c r="BZ27" s="44" t="str">
        <f t="shared" si="9"/>
        <v>Ceiling (High)</v>
      </c>
      <c r="CA27" s="44">
        <v>50000</v>
      </c>
      <c r="CB27" s="45" t="s">
        <v>0</v>
      </c>
      <c r="CC27" s="325"/>
    </row>
    <row r="28" spans="1:81" s="26" customFormat="1" x14ac:dyDescent="0.2">
      <c r="A28" s="371" t="s">
        <v>182</v>
      </c>
      <c r="B28" s="52" t="s">
        <v>181</v>
      </c>
      <c r="C28" s="72">
        <v>42922</v>
      </c>
      <c r="D28" s="48">
        <v>5.0000000000000001E-4</v>
      </c>
      <c r="E28" s="20" t="s">
        <v>5</v>
      </c>
      <c r="F28" s="48">
        <v>5.0000000000000001E-4</v>
      </c>
      <c r="G28" s="20">
        <v>6</v>
      </c>
      <c r="H28" s="49">
        <v>2E-3</v>
      </c>
      <c r="I28" s="20" t="s">
        <v>475</v>
      </c>
      <c r="J28" s="49">
        <v>2E-3</v>
      </c>
      <c r="K28" s="20" t="s">
        <v>488</v>
      </c>
      <c r="L28" s="49">
        <v>0.2</v>
      </c>
      <c r="M28" s="21"/>
      <c r="N28" s="20">
        <v>6</v>
      </c>
      <c r="O28" s="49"/>
      <c r="P28" s="20"/>
      <c r="Q28" s="40">
        <v>1</v>
      </c>
      <c r="R28" s="40" t="s">
        <v>504</v>
      </c>
      <c r="S28" s="40">
        <v>0.1</v>
      </c>
      <c r="T28" s="40" t="s">
        <v>504</v>
      </c>
      <c r="U28" s="40">
        <v>1</v>
      </c>
      <c r="V28" s="40" t="s">
        <v>504</v>
      </c>
      <c r="W28" s="40">
        <v>0.1</v>
      </c>
      <c r="X28" s="40" t="s">
        <v>504</v>
      </c>
      <c r="Y28" s="40">
        <v>1</v>
      </c>
      <c r="Z28" s="40" t="s">
        <v>504</v>
      </c>
      <c r="AA28" s="40">
        <v>0.1</v>
      </c>
      <c r="AB28" s="40" t="s">
        <v>504</v>
      </c>
      <c r="AC28" s="42">
        <v>1</v>
      </c>
      <c r="AD28" s="42">
        <v>9</v>
      </c>
      <c r="AE28" s="42">
        <v>1</v>
      </c>
      <c r="AF28" s="42">
        <v>9</v>
      </c>
      <c r="AG28" s="42">
        <v>1</v>
      </c>
      <c r="AH28" s="42">
        <v>9</v>
      </c>
      <c r="AI28" s="62"/>
      <c r="AJ28" s="20"/>
      <c r="AK28" s="66">
        <v>1</v>
      </c>
      <c r="AL28" s="66">
        <v>1</v>
      </c>
      <c r="AM28" s="62"/>
      <c r="AN28" s="62"/>
      <c r="AO28" s="43">
        <f>VLOOKUP(A28,[1]!IABKGRD,7,FALSE)</f>
        <v>0</v>
      </c>
      <c r="AS28" s="20"/>
      <c r="AU28" s="47">
        <f t="shared" si="0"/>
        <v>0</v>
      </c>
      <c r="AV28" s="20"/>
      <c r="AW28" s="49">
        <f t="shared" si="1"/>
        <v>0</v>
      </c>
      <c r="AX28" s="26">
        <f t="shared" si="2"/>
        <v>1.3</v>
      </c>
      <c r="AY28" s="26">
        <f t="shared" si="3"/>
        <v>20</v>
      </c>
      <c r="AZ28" s="23">
        <v>3900000</v>
      </c>
      <c r="BA28" s="20">
        <v>22</v>
      </c>
      <c r="BB28" s="23">
        <v>1.1599999999999999E-6</v>
      </c>
      <c r="BC28" s="20">
        <v>22</v>
      </c>
      <c r="BD28" s="27">
        <v>4.7470944508102797E-5</v>
      </c>
      <c r="BE28" s="20">
        <v>128</v>
      </c>
      <c r="BF28" s="20">
        <v>12</v>
      </c>
      <c r="BG28" s="23">
        <v>1.4999999999999999E-2</v>
      </c>
      <c r="BH28" s="26">
        <v>1.83</v>
      </c>
      <c r="BI28" s="34">
        <v>17</v>
      </c>
      <c r="BJ28" s="19">
        <v>66.099999999999994</v>
      </c>
      <c r="BK28" s="20" t="s">
        <v>467</v>
      </c>
      <c r="BL28" s="20">
        <v>72.5</v>
      </c>
      <c r="BM28" s="20">
        <v>17</v>
      </c>
      <c r="BN28" s="22"/>
      <c r="BO28" s="49">
        <f t="shared" si="11"/>
        <v>4.909078761526034E-3</v>
      </c>
      <c r="BP28" s="24"/>
      <c r="BQ28" s="24"/>
      <c r="BR28" s="44"/>
      <c r="BS28" s="44">
        <f t="shared" si="4"/>
        <v>1000</v>
      </c>
      <c r="BT28" s="44" t="str">
        <f t="shared" si="7"/>
        <v>Ceiling (High)</v>
      </c>
      <c r="BU28" s="44"/>
      <c r="BV28" s="44">
        <f t="shared" si="5"/>
        <v>3000</v>
      </c>
      <c r="BW28" s="44" t="str">
        <f t="shared" si="8"/>
        <v>Ceiling (High)</v>
      </c>
      <c r="BX28" s="44"/>
      <c r="BY28" s="44">
        <f t="shared" si="6"/>
        <v>5000</v>
      </c>
      <c r="BZ28" s="44" t="str">
        <f t="shared" si="9"/>
        <v>Ceiling (High)</v>
      </c>
      <c r="CA28" s="44">
        <v>50000</v>
      </c>
      <c r="CB28" s="45" t="s">
        <v>0</v>
      </c>
      <c r="CC28" s="325"/>
    </row>
    <row r="29" spans="1:81" s="26" customFormat="1" x14ac:dyDescent="0.2">
      <c r="A29" s="371" t="s">
        <v>180</v>
      </c>
      <c r="B29" s="52" t="s">
        <v>179</v>
      </c>
      <c r="C29" s="72">
        <v>42922</v>
      </c>
      <c r="D29" s="48">
        <v>0.02</v>
      </c>
      <c r="E29" s="20">
        <v>1</v>
      </c>
      <c r="F29" s="49">
        <v>7.0000000000000007E-2</v>
      </c>
      <c r="G29" s="20">
        <v>6</v>
      </c>
      <c r="H29" s="49">
        <v>0.05</v>
      </c>
      <c r="I29" s="20">
        <v>6</v>
      </c>
      <c r="J29" s="49">
        <v>0.5</v>
      </c>
      <c r="K29" s="20">
        <v>6</v>
      </c>
      <c r="L29" s="49"/>
      <c r="M29" s="20" t="s">
        <v>2</v>
      </c>
      <c r="N29" s="20">
        <v>1</v>
      </c>
      <c r="O29" s="49"/>
      <c r="P29" s="20"/>
      <c r="Q29" s="40">
        <v>1</v>
      </c>
      <c r="R29" s="40" t="s">
        <v>504</v>
      </c>
      <c r="S29" s="40">
        <v>0.03</v>
      </c>
      <c r="T29" s="40" t="s">
        <v>504</v>
      </c>
      <c r="U29" s="40">
        <v>1</v>
      </c>
      <c r="V29" s="40" t="s">
        <v>504</v>
      </c>
      <c r="W29" s="40">
        <v>0.03</v>
      </c>
      <c r="X29" s="40" t="s">
        <v>504</v>
      </c>
      <c r="Y29" s="40" t="s">
        <v>1</v>
      </c>
      <c r="Z29" s="40"/>
      <c r="AA29" s="40" t="s">
        <v>1</v>
      </c>
      <c r="AB29" s="40"/>
      <c r="AC29" s="42">
        <v>1</v>
      </c>
      <c r="AD29" s="42">
        <v>9</v>
      </c>
      <c r="AE29" s="42">
        <v>1</v>
      </c>
      <c r="AF29" s="42">
        <v>9</v>
      </c>
      <c r="AG29" s="42"/>
      <c r="AH29" s="42"/>
      <c r="AI29" s="62"/>
      <c r="AJ29" s="20"/>
      <c r="AK29" s="66">
        <v>1</v>
      </c>
      <c r="AL29" s="66" t="s">
        <v>1</v>
      </c>
      <c r="AM29" s="62"/>
      <c r="AN29" s="62"/>
      <c r="AO29" s="43">
        <f>VLOOKUP(A29,[1]!IABKGRD,7,FALSE)</f>
        <v>10</v>
      </c>
      <c r="AP29" s="26">
        <v>10</v>
      </c>
      <c r="AR29" s="26">
        <v>50</v>
      </c>
      <c r="AS29" s="20">
        <v>13</v>
      </c>
      <c r="AT29" s="26">
        <v>1000</v>
      </c>
      <c r="AU29" s="47">
        <f t="shared" si="0"/>
        <v>0.21638302700249598</v>
      </c>
      <c r="AV29" s="20">
        <v>13</v>
      </c>
      <c r="AW29" s="49">
        <f t="shared" si="1"/>
        <v>54.532927852349012</v>
      </c>
      <c r="AX29" s="26">
        <f t="shared" si="2"/>
        <v>0.1</v>
      </c>
      <c r="AY29" s="26">
        <f t="shared" si="3"/>
        <v>0.5</v>
      </c>
      <c r="AZ29" s="23">
        <v>498000</v>
      </c>
      <c r="BA29" s="20">
        <v>22</v>
      </c>
      <c r="BB29" s="23">
        <v>3.1099999999999999E-3</v>
      </c>
      <c r="BC29" s="20">
        <v>22</v>
      </c>
      <c r="BD29" s="27">
        <v>0.12727123915534458</v>
      </c>
      <c r="BE29" s="20">
        <v>113</v>
      </c>
      <c r="BF29" s="20">
        <v>13</v>
      </c>
      <c r="BG29" s="26">
        <v>11.8</v>
      </c>
      <c r="BH29" s="26">
        <v>2.84</v>
      </c>
      <c r="BI29" s="34">
        <v>16</v>
      </c>
      <c r="BJ29" s="19">
        <v>224</v>
      </c>
      <c r="BK29" s="20" t="s">
        <v>466</v>
      </c>
      <c r="BL29" s="20">
        <v>-45.2</v>
      </c>
      <c r="BM29" s="20">
        <v>17</v>
      </c>
      <c r="BN29" s="22"/>
      <c r="BO29" s="49">
        <f t="shared" si="11"/>
        <v>2.7643943712203363E-2</v>
      </c>
      <c r="BP29" s="24"/>
      <c r="BQ29" s="24"/>
      <c r="BR29" s="44"/>
      <c r="BS29" s="44">
        <f t="shared" si="4"/>
        <v>500</v>
      </c>
      <c r="BT29" s="44" t="str">
        <f t="shared" si="7"/>
        <v>Ceiling (Medium)</v>
      </c>
      <c r="BU29" s="44"/>
      <c r="BV29" s="44">
        <f t="shared" si="5"/>
        <v>1000</v>
      </c>
      <c r="BW29" s="44" t="str">
        <f t="shared" si="8"/>
        <v>Ceiling (Medium)</v>
      </c>
      <c r="BX29" s="44"/>
      <c r="BY29" s="44">
        <f t="shared" si="6"/>
        <v>3000</v>
      </c>
      <c r="BZ29" s="44" t="str">
        <f t="shared" si="9"/>
        <v>Ceiling (Medium)</v>
      </c>
      <c r="CA29" s="44">
        <v>50000</v>
      </c>
      <c r="CB29" s="45" t="s">
        <v>0</v>
      </c>
      <c r="CC29" s="325"/>
    </row>
    <row r="30" spans="1:81" s="26" customFormat="1" x14ac:dyDescent="0.2">
      <c r="A30" s="371" t="s">
        <v>178</v>
      </c>
      <c r="B30" s="52" t="s">
        <v>177</v>
      </c>
      <c r="C30" s="72">
        <v>42923</v>
      </c>
      <c r="D30" s="48">
        <v>0.01</v>
      </c>
      <c r="E30" s="20">
        <v>1</v>
      </c>
      <c r="F30" s="48">
        <v>0.01</v>
      </c>
      <c r="G30" s="20">
        <v>2</v>
      </c>
      <c r="H30" s="49">
        <v>0.66</v>
      </c>
      <c r="I30" s="20">
        <v>3</v>
      </c>
      <c r="J30" s="49">
        <v>0.66</v>
      </c>
      <c r="K30" s="20" t="s">
        <v>488</v>
      </c>
      <c r="L30" s="49"/>
      <c r="M30" s="20" t="s">
        <v>15</v>
      </c>
      <c r="N30" s="20">
        <v>1</v>
      </c>
      <c r="O30" s="49">
        <v>2.3E-5</v>
      </c>
      <c r="P30" s="20">
        <v>1</v>
      </c>
      <c r="Q30" s="40">
        <v>1</v>
      </c>
      <c r="R30" s="40" t="s">
        <v>504</v>
      </c>
      <c r="S30" s="40">
        <v>0.03</v>
      </c>
      <c r="T30" s="40" t="s">
        <v>504</v>
      </c>
      <c r="U30" s="40">
        <v>1</v>
      </c>
      <c r="V30" s="40" t="s">
        <v>504</v>
      </c>
      <c r="W30" s="40">
        <v>0.03</v>
      </c>
      <c r="X30" s="40" t="s">
        <v>504</v>
      </c>
      <c r="Y30" s="40" t="s">
        <v>1</v>
      </c>
      <c r="Z30" s="40"/>
      <c r="AA30" s="40" t="s">
        <v>1</v>
      </c>
      <c r="AB30" s="40"/>
      <c r="AC30" s="42">
        <v>1</v>
      </c>
      <c r="AD30" s="42">
        <v>9</v>
      </c>
      <c r="AE30" s="42">
        <v>1</v>
      </c>
      <c r="AF30" s="42">
        <v>9</v>
      </c>
      <c r="AG30" s="42"/>
      <c r="AH30" s="42"/>
      <c r="AI30" s="62"/>
      <c r="AJ30" s="20"/>
      <c r="AK30" s="66">
        <v>1</v>
      </c>
      <c r="AL30" s="66">
        <v>1</v>
      </c>
      <c r="AM30" s="62"/>
      <c r="AN30" s="62"/>
      <c r="AO30" s="43">
        <f>VLOOKUP(A30,[1]!IABKGRD,7,FALSE)</f>
        <v>3</v>
      </c>
      <c r="AP30" s="26">
        <v>15</v>
      </c>
      <c r="AQ30" s="26">
        <v>0.69099999999999995</v>
      </c>
      <c r="AR30" s="26">
        <v>2400</v>
      </c>
      <c r="AS30" s="20">
        <v>13</v>
      </c>
      <c r="AT30" s="26">
        <v>421600</v>
      </c>
      <c r="AU30" s="47">
        <f t="shared" si="0"/>
        <v>86.627399267399255</v>
      </c>
      <c r="AV30" s="20">
        <v>13</v>
      </c>
      <c r="AW30" s="49">
        <f t="shared" si="1"/>
        <v>1.8469906906256768</v>
      </c>
      <c r="AX30" s="26">
        <f t="shared" si="2"/>
        <v>0.1</v>
      </c>
      <c r="AY30" s="26">
        <f t="shared" si="3"/>
        <v>1</v>
      </c>
      <c r="AZ30" s="23">
        <v>7950000</v>
      </c>
      <c r="BA30" s="20">
        <v>22</v>
      </c>
      <c r="BB30" s="23">
        <v>3.6700000000000001E-3</v>
      </c>
      <c r="BC30" s="20">
        <v>22</v>
      </c>
      <c r="BD30" s="27">
        <v>0.15018824684891144</v>
      </c>
      <c r="BE30" s="20">
        <v>119</v>
      </c>
      <c r="BF30" s="20">
        <v>13</v>
      </c>
      <c r="BG30" s="26">
        <v>160</v>
      </c>
      <c r="BH30" s="26">
        <v>1.97</v>
      </c>
      <c r="BI30" s="34">
        <v>16</v>
      </c>
      <c r="BJ30" s="19">
        <v>52.5</v>
      </c>
      <c r="BK30" s="20" t="s">
        <v>466</v>
      </c>
      <c r="BL30" s="20">
        <v>-63.6</v>
      </c>
      <c r="BM30" s="20">
        <v>17</v>
      </c>
      <c r="BN30" s="22"/>
      <c r="BO30" s="49">
        <f t="shared" si="11"/>
        <v>6.8202453790326776E-3</v>
      </c>
      <c r="BP30" s="24"/>
      <c r="BQ30" s="24"/>
      <c r="BR30" s="44"/>
      <c r="BS30" s="44">
        <f t="shared" si="4"/>
        <v>500</v>
      </c>
      <c r="BT30" s="44" t="str">
        <f t="shared" si="7"/>
        <v>Ceiling (Medium)</v>
      </c>
      <c r="BU30" s="44"/>
      <c r="BV30" s="44">
        <f t="shared" si="5"/>
        <v>1000</v>
      </c>
      <c r="BW30" s="44" t="str">
        <f t="shared" si="8"/>
        <v>Ceiling (Medium)</v>
      </c>
      <c r="BX30" s="44"/>
      <c r="BY30" s="44">
        <f t="shared" si="6"/>
        <v>3000</v>
      </c>
      <c r="BZ30" s="44" t="str">
        <f t="shared" si="9"/>
        <v>Ceiling (Medium)</v>
      </c>
      <c r="CA30" s="44">
        <v>50000</v>
      </c>
      <c r="CB30" s="45" t="s">
        <v>0</v>
      </c>
      <c r="CC30" s="325"/>
    </row>
    <row r="31" spans="1:81" s="26" customFormat="1" x14ac:dyDescent="0.2">
      <c r="A31" s="371" t="s">
        <v>176</v>
      </c>
      <c r="B31" s="52" t="s">
        <v>175</v>
      </c>
      <c r="C31" s="72">
        <v>42922</v>
      </c>
      <c r="D31" s="48">
        <v>5.0000000000000001E-3</v>
      </c>
      <c r="E31" s="20">
        <v>1</v>
      </c>
      <c r="F31" s="48">
        <v>8.0000000000000002E-3</v>
      </c>
      <c r="G31" s="20">
        <v>6</v>
      </c>
      <c r="H31" s="49">
        <v>1.7999999999999999E-2</v>
      </c>
      <c r="I31" s="20" t="s">
        <v>475</v>
      </c>
      <c r="J31" s="48">
        <v>0.03</v>
      </c>
      <c r="K31" s="20">
        <v>6</v>
      </c>
      <c r="L31" s="49"/>
      <c r="M31" s="21"/>
      <c r="N31" s="21"/>
      <c r="O31" s="49"/>
      <c r="P31" s="20"/>
      <c r="Q31" s="40">
        <v>1</v>
      </c>
      <c r="R31" s="40" t="s">
        <v>504</v>
      </c>
      <c r="S31" s="40">
        <v>0.3</v>
      </c>
      <c r="T31" s="40" t="s">
        <v>501</v>
      </c>
      <c r="U31" s="40">
        <v>1</v>
      </c>
      <c r="V31" s="40" t="s">
        <v>504</v>
      </c>
      <c r="W31" s="40">
        <v>0.3</v>
      </c>
      <c r="X31" s="40" t="s">
        <v>504</v>
      </c>
      <c r="Y31" s="40" t="s">
        <v>1</v>
      </c>
      <c r="Z31" s="40"/>
      <c r="AA31" s="40" t="s">
        <v>1</v>
      </c>
      <c r="AB31" s="40"/>
      <c r="AC31" s="42">
        <v>1</v>
      </c>
      <c r="AD31" s="42">
        <v>9</v>
      </c>
      <c r="AE31" s="42">
        <v>1</v>
      </c>
      <c r="AF31" s="42">
        <v>9</v>
      </c>
      <c r="AG31" s="42"/>
      <c r="AH31" s="42"/>
      <c r="AI31" s="62"/>
      <c r="AJ31" s="20"/>
      <c r="AK31" s="66">
        <v>1</v>
      </c>
      <c r="AL31" s="66" t="s">
        <v>1</v>
      </c>
      <c r="AM31" s="62"/>
      <c r="AN31" s="62"/>
      <c r="AO31" s="43">
        <f>VLOOKUP(A31,[1]!IABKGRD,7,FALSE)</f>
        <v>0</v>
      </c>
      <c r="AR31" s="26">
        <v>0.18</v>
      </c>
      <c r="AS31" s="20">
        <v>24</v>
      </c>
      <c r="AT31" s="26">
        <v>19</v>
      </c>
      <c r="AU31" s="47">
        <f t="shared" si="0"/>
        <v>3.6013516199562708E-3</v>
      </c>
      <c r="AV31" s="20"/>
      <c r="AW31" s="49">
        <f t="shared" si="1"/>
        <v>0</v>
      </c>
      <c r="AX31" s="26">
        <f t="shared" si="2"/>
        <v>0.66</v>
      </c>
      <c r="AY31" s="26">
        <f t="shared" si="3"/>
        <v>10</v>
      </c>
      <c r="AZ31" s="23">
        <v>11300000</v>
      </c>
      <c r="BA31" s="20">
        <v>22</v>
      </c>
      <c r="BB31" s="23">
        <v>1.1199999999999999E-5</v>
      </c>
      <c r="BC31" s="20">
        <v>22</v>
      </c>
      <c r="BD31" s="27">
        <v>4.5834015387133734E-4</v>
      </c>
      <c r="BE31" s="20">
        <v>129</v>
      </c>
      <c r="BF31" s="20">
        <v>12</v>
      </c>
      <c r="BG31" s="25"/>
      <c r="BH31" s="26">
        <v>2.15</v>
      </c>
      <c r="BI31" s="34">
        <v>16</v>
      </c>
      <c r="BJ31" s="19">
        <v>286</v>
      </c>
      <c r="BK31" s="20" t="s">
        <v>467</v>
      </c>
      <c r="BL31" s="20">
        <v>-9.8000000000000007</v>
      </c>
      <c r="BM31" s="20">
        <v>17</v>
      </c>
      <c r="BN31" s="22"/>
      <c r="BO31" s="49">
        <f t="shared" si="11"/>
        <v>7.8813388509341598E-3</v>
      </c>
      <c r="BP31" s="24"/>
      <c r="BQ31" s="24"/>
      <c r="BR31" s="44"/>
      <c r="BS31" s="44">
        <f t="shared" si="4"/>
        <v>1000</v>
      </c>
      <c r="BT31" s="44" t="str">
        <f t="shared" si="7"/>
        <v>Ceiling (High)</v>
      </c>
      <c r="BU31" s="44"/>
      <c r="BV31" s="44">
        <f t="shared" si="5"/>
        <v>3000</v>
      </c>
      <c r="BW31" s="44" t="str">
        <f t="shared" si="8"/>
        <v>Ceiling (High)</v>
      </c>
      <c r="BX31" s="44"/>
      <c r="BY31" s="44">
        <f t="shared" si="6"/>
        <v>5000</v>
      </c>
      <c r="BZ31" s="44" t="str">
        <f t="shared" si="9"/>
        <v>Ceiling (High)</v>
      </c>
      <c r="CA31" s="44">
        <v>50000</v>
      </c>
      <c r="CB31" s="45" t="s">
        <v>0</v>
      </c>
      <c r="CC31" s="325"/>
    </row>
    <row r="32" spans="1:81" s="26" customFormat="1" ht="10.5" x14ac:dyDescent="0.25">
      <c r="A32" s="371" t="s">
        <v>174</v>
      </c>
      <c r="B32" s="52" t="s">
        <v>173</v>
      </c>
      <c r="C32" s="72">
        <v>42923</v>
      </c>
      <c r="D32" s="48">
        <v>3.0000000000000001E-3</v>
      </c>
      <c r="E32" s="20">
        <v>1</v>
      </c>
      <c r="F32" s="48">
        <v>0.02</v>
      </c>
      <c r="G32" s="20">
        <v>2</v>
      </c>
      <c r="H32" s="49">
        <v>1E-4</v>
      </c>
      <c r="I32" s="20">
        <v>1</v>
      </c>
      <c r="J32" s="49">
        <v>3.0000000000000003E-4</v>
      </c>
      <c r="K32" s="20" t="s">
        <v>64</v>
      </c>
      <c r="L32" s="49"/>
      <c r="M32" s="20"/>
      <c r="N32" s="20"/>
      <c r="O32" s="49">
        <v>1.2E-2</v>
      </c>
      <c r="P32" s="20">
        <v>1</v>
      </c>
      <c r="Q32" s="40">
        <v>1</v>
      </c>
      <c r="R32" s="40" t="s">
        <v>504</v>
      </c>
      <c r="S32" s="40">
        <v>0.1</v>
      </c>
      <c r="T32" s="40" t="s">
        <v>504</v>
      </c>
      <c r="U32" s="40">
        <v>1</v>
      </c>
      <c r="V32" s="40" t="s">
        <v>504</v>
      </c>
      <c r="W32" s="40">
        <v>0.1</v>
      </c>
      <c r="X32" s="40" t="s">
        <v>504</v>
      </c>
      <c r="Y32" s="40" t="s">
        <v>1</v>
      </c>
      <c r="Z32" s="40"/>
      <c r="AA32" s="40" t="s">
        <v>1</v>
      </c>
      <c r="AB32" s="40"/>
      <c r="AC32" s="80">
        <v>1</v>
      </c>
      <c r="AD32" s="80">
        <v>9</v>
      </c>
      <c r="AE32" s="80">
        <v>1</v>
      </c>
      <c r="AF32" s="80">
        <v>9</v>
      </c>
      <c r="AG32" s="80"/>
      <c r="AH32" s="80"/>
      <c r="AI32" s="62">
        <v>40</v>
      </c>
      <c r="AJ32" s="20"/>
      <c r="AK32" s="81">
        <v>0.11</v>
      </c>
      <c r="AL32" s="66" t="s">
        <v>1</v>
      </c>
      <c r="AM32" s="62">
        <v>30</v>
      </c>
      <c r="AN32" s="62">
        <v>4.9000000000000004</v>
      </c>
      <c r="AO32" s="43">
        <f>VLOOKUP(A32,[1]!IABKGRD,7,FALSE)</f>
        <v>0</v>
      </c>
      <c r="AS32" s="20"/>
      <c r="AU32" s="47"/>
      <c r="AV32" s="20"/>
      <c r="AW32" s="49">
        <f t="shared" si="1"/>
        <v>0</v>
      </c>
      <c r="AX32" s="26">
        <f t="shared" si="2"/>
        <v>0</v>
      </c>
      <c r="AY32" s="82">
        <f t="shared" si="3"/>
        <v>0.5</v>
      </c>
      <c r="AZ32" s="20">
        <v>0</v>
      </c>
      <c r="BA32" s="20"/>
      <c r="BB32" s="20"/>
      <c r="BC32" s="20"/>
      <c r="BD32" s="27">
        <v>0</v>
      </c>
      <c r="BE32" s="79">
        <v>52</v>
      </c>
      <c r="BF32" s="20"/>
      <c r="BG32" s="20"/>
      <c r="BH32" s="26">
        <v>0.23</v>
      </c>
      <c r="BI32" s="34"/>
      <c r="BJ32" s="20">
        <v>0</v>
      </c>
      <c r="BK32" s="20"/>
      <c r="BL32" s="20"/>
      <c r="BM32" s="20"/>
      <c r="BN32" s="22"/>
      <c r="BO32" s="49">
        <v>2E-3</v>
      </c>
      <c r="BP32" s="24"/>
      <c r="BQ32" s="24"/>
      <c r="BR32" s="44"/>
      <c r="BS32" s="83">
        <f t="shared" si="4"/>
        <v>1000</v>
      </c>
      <c r="BT32" s="83" t="str">
        <f t="shared" si="7"/>
        <v>Ceiling (High)</v>
      </c>
      <c r="BU32" s="83"/>
      <c r="BV32" s="83">
        <f t="shared" si="5"/>
        <v>3000</v>
      </c>
      <c r="BW32" s="83" t="str">
        <f t="shared" si="8"/>
        <v>Ceiling (High)</v>
      </c>
      <c r="BX32" s="83"/>
      <c r="BY32" s="83">
        <f t="shared" si="6"/>
        <v>5000</v>
      </c>
      <c r="BZ32" s="83" t="str">
        <f t="shared" si="9"/>
        <v>Ceiling (High)</v>
      </c>
      <c r="CA32" s="83">
        <v>50000</v>
      </c>
      <c r="CB32" s="45" t="s">
        <v>0</v>
      </c>
      <c r="CC32" s="325" t="s">
        <v>680</v>
      </c>
    </row>
    <row r="33" spans="1:81" s="26" customFormat="1" x14ac:dyDescent="0.2">
      <c r="A33" s="371" t="s">
        <v>172</v>
      </c>
      <c r="B33" s="52" t="s">
        <v>171</v>
      </c>
      <c r="C33" s="72">
        <v>42922</v>
      </c>
      <c r="D33" s="48">
        <v>1.5</v>
      </c>
      <c r="E33" s="20">
        <v>1</v>
      </c>
      <c r="F33" s="48">
        <v>1.5</v>
      </c>
      <c r="G33" s="20" t="s">
        <v>188</v>
      </c>
      <c r="H33" s="49">
        <v>1E-4</v>
      </c>
      <c r="I33" s="20" t="s">
        <v>333</v>
      </c>
      <c r="J33" s="49">
        <v>3.0000000000000003E-4</v>
      </c>
      <c r="K33" s="20" t="s">
        <v>64</v>
      </c>
      <c r="L33" s="49"/>
      <c r="M33" s="21"/>
      <c r="N33" s="21"/>
      <c r="O33" s="49"/>
      <c r="P33" s="20"/>
      <c r="Q33" s="40">
        <v>1</v>
      </c>
      <c r="R33" s="40" t="s">
        <v>504</v>
      </c>
      <c r="S33" s="40">
        <v>0.1</v>
      </c>
      <c r="T33" s="40" t="s">
        <v>504</v>
      </c>
      <c r="U33" s="40">
        <v>1</v>
      </c>
      <c r="V33" s="40" t="s">
        <v>504</v>
      </c>
      <c r="W33" s="40">
        <v>0.1</v>
      </c>
      <c r="X33" s="40" t="s">
        <v>504</v>
      </c>
      <c r="Y33" s="40" t="s">
        <v>1</v>
      </c>
      <c r="Z33" s="40"/>
      <c r="AA33" s="40" t="s">
        <v>1</v>
      </c>
      <c r="AB33" s="40"/>
      <c r="AC33" s="42">
        <v>1</v>
      </c>
      <c r="AD33" s="42">
        <v>9</v>
      </c>
      <c r="AE33" s="42">
        <v>1</v>
      </c>
      <c r="AF33" s="42">
        <v>9</v>
      </c>
      <c r="AG33" s="42"/>
      <c r="AH33" s="42"/>
      <c r="AI33" s="62">
        <v>40</v>
      </c>
      <c r="AJ33" s="20"/>
      <c r="AK33" s="66">
        <v>0.25</v>
      </c>
      <c r="AL33" s="66" t="s">
        <v>1</v>
      </c>
      <c r="AM33" s="62">
        <v>30</v>
      </c>
      <c r="AN33" s="62">
        <v>4.9000000000000004</v>
      </c>
      <c r="AO33" s="43">
        <f>VLOOKUP(A33,[1]!IABKGRD,7,FALSE)</f>
        <v>0</v>
      </c>
      <c r="AS33" s="20"/>
      <c r="AU33" s="47">
        <f t="shared" ref="AU33:AU60" si="12">AT33*22.4*(298/273)*(760/760)/(BE33*1000)</f>
        <v>0</v>
      </c>
      <c r="AV33" s="20"/>
      <c r="AW33" s="49">
        <f t="shared" si="1"/>
        <v>0</v>
      </c>
      <c r="AX33" s="26">
        <f t="shared" si="2"/>
        <v>1.4</v>
      </c>
      <c r="AY33" s="26">
        <f t="shared" si="3"/>
        <v>7</v>
      </c>
      <c r="AZ33" s="20">
        <v>0</v>
      </c>
      <c r="BA33" s="20"/>
      <c r="BB33" s="20"/>
      <c r="BC33" s="20"/>
      <c r="BD33" s="27">
        <v>0</v>
      </c>
      <c r="BE33" s="20">
        <v>52</v>
      </c>
      <c r="BF33" s="20">
        <v>13</v>
      </c>
      <c r="BG33" s="20"/>
      <c r="BI33" s="34"/>
      <c r="BJ33" s="20">
        <v>0</v>
      </c>
      <c r="BK33" s="20"/>
      <c r="BL33" s="20"/>
      <c r="BM33" s="20"/>
      <c r="BN33" s="22"/>
      <c r="BO33" s="49">
        <v>1E-3</v>
      </c>
      <c r="BP33" s="26">
        <v>9.5000000000000001E-2</v>
      </c>
      <c r="BR33" s="44"/>
      <c r="BS33" s="44">
        <f t="shared" ref="BS33:BS64" si="13">IF($AW33=0,IF($BG33&gt;1,100,1000),IF($AW33&lt;0.1,1000,IF($AW33&lt;100,500,100)))</f>
        <v>1000</v>
      </c>
      <c r="BT33" s="44" t="str">
        <f t="shared" si="7"/>
        <v>Ceiling (High)</v>
      </c>
      <c r="BU33" s="44"/>
      <c r="BV33" s="44">
        <f t="shared" ref="BV33:BV64" si="14">IF($AW33=0,IF($BG33&gt;1,500,3000),IF($AW33&lt;0.1,3000,IF($AW33&lt;100,1000,500)))</f>
        <v>3000</v>
      </c>
      <c r="BW33" s="44" t="str">
        <f t="shared" si="8"/>
        <v>Ceiling (High)</v>
      </c>
      <c r="BX33" s="44"/>
      <c r="BY33" s="44">
        <f t="shared" ref="BY33:BY64" si="15">IF($AW33=0,IF($BG33&gt;1,500,5000),IF($AW33&lt;0.1,5000,IF($AW33&lt;100,3000,1000)))</f>
        <v>5000</v>
      </c>
      <c r="BZ33" s="44" t="str">
        <f t="shared" si="9"/>
        <v>Ceiling (High)</v>
      </c>
      <c r="CA33" s="44">
        <v>50000</v>
      </c>
      <c r="CB33" s="45" t="s">
        <v>0</v>
      </c>
      <c r="CC33" s="325" t="s">
        <v>680</v>
      </c>
    </row>
    <row r="34" spans="1:81" s="26" customFormat="1" ht="10.5" x14ac:dyDescent="0.25">
      <c r="A34" s="371" t="s">
        <v>170</v>
      </c>
      <c r="B34" s="52" t="s">
        <v>169</v>
      </c>
      <c r="C34" s="72">
        <v>42923</v>
      </c>
      <c r="D34" s="48">
        <v>3.0000000000000001E-3</v>
      </c>
      <c r="E34" s="20">
        <v>1</v>
      </c>
      <c r="F34" s="48">
        <v>0.02</v>
      </c>
      <c r="G34" s="20">
        <v>2</v>
      </c>
      <c r="H34" s="49">
        <v>1E-4</v>
      </c>
      <c r="I34" s="20">
        <v>1</v>
      </c>
      <c r="J34" s="49">
        <v>3.0000000000000003E-4</v>
      </c>
      <c r="K34" s="20" t="s">
        <v>64</v>
      </c>
      <c r="L34" s="77"/>
      <c r="M34" s="20"/>
      <c r="N34" s="79"/>
      <c r="O34" s="49">
        <v>1.2E-2</v>
      </c>
      <c r="P34" s="20">
        <v>1</v>
      </c>
      <c r="Q34" s="40">
        <v>1</v>
      </c>
      <c r="R34" s="40" t="s">
        <v>504</v>
      </c>
      <c r="S34" s="40">
        <v>0.1</v>
      </c>
      <c r="T34" s="40" t="s">
        <v>504</v>
      </c>
      <c r="U34" s="40">
        <v>1</v>
      </c>
      <c r="V34" s="40" t="s">
        <v>503</v>
      </c>
      <c r="W34" s="40">
        <v>0.1</v>
      </c>
      <c r="X34" s="40" t="s">
        <v>504</v>
      </c>
      <c r="Y34" s="40" t="s">
        <v>1</v>
      </c>
      <c r="Z34" s="40"/>
      <c r="AA34" s="40" t="s">
        <v>1</v>
      </c>
      <c r="AB34" s="40"/>
      <c r="AC34" s="42">
        <v>1</v>
      </c>
      <c r="AD34" s="42">
        <v>9</v>
      </c>
      <c r="AE34" s="42">
        <v>1</v>
      </c>
      <c r="AF34" s="42">
        <v>9</v>
      </c>
      <c r="AG34" s="42">
        <v>1</v>
      </c>
      <c r="AH34" s="42">
        <v>9</v>
      </c>
      <c r="AI34" s="62">
        <v>40</v>
      </c>
      <c r="AJ34" s="206"/>
      <c r="AK34" s="66">
        <v>0.11</v>
      </c>
      <c r="AL34" s="81">
        <v>0.11</v>
      </c>
      <c r="AM34" s="62">
        <v>30</v>
      </c>
      <c r="AN34" s="62">
        <v>4.9000000000000004</v>
      </c>
      <c r="AO34" s="43">
        <f>VLOOKUP(A34,[1]!IABKGRD,7,FALSE)</f>
        <v>0</v>
      </c>
      <c r="AS34" s="20"/>
      <c r="AU34" s="47">
        <f t="shared" si="12"/>
        <v>0</v>
      </c>
      <c r="AV34" s="20"/>
      <c r="AW34" s="49">
        <f t="shared" si="1"/>
        <v>0</v>
      </c>
      <c r="AX34" s="26">
        <f t="shared" si="2"/>
        <v>0</v>
      </c>
      <c r="AY34" s="26">
        <f t="shared" si="3"/>
        <v>0.5</v>
      </c>
      <c r="AZ34" s="20">
        <v>0</v>
      </c>
      <c r="BA34" s="20"/>
      <c r="BB34" s="20"/>
      <c r="BC34" s="20"/>
      <c r="BD34" s="27">
        <v>0</v>
      </c>
      <c r="BE34" s="20">
        <v>52</v>
      </c>
      <c r="BF34" s="20">
        <v>13</v>
      </c>
      <c r="BG34" s="20"/>
      <c r="BI34" s="34"/>
      <c r="BJ34" s="20">
        <v>0</v>
      </c>
      <c r="BK34" s="20"/>
      <c r="BL34" s="20"/>
      <c r="BM34" s="20"/>
      <c r="BN34" s="22"/>
      <c r="BO34" s="49">
        <v>2E-3</v>
      </c>
      <c r="BP34" s="26">
        <v>9.5000000000000001E-2</v>
      </c>
      <c r="BR34" s="44"/>
      <c r="BS34" s="44">
        <f t="shared" si="13"/>
        <v>1000</v>
      </c>
      <c r="BT34" s="44" t="str">
        <f t="shared" si="7"/>
        <v>Ceiling (High)</v>
      </c>
      <c r="BU34" s="44"/>
      <c r="BV34" s="44">
        <f t="shared" si="14"/>
        <v>3000</v>
      </c>
      <c r="BW34" s="44" t="str">
        <f t="shared" si="8"/>
        <v>Ceiling (High)</v>
      </c>
      <c r="BX34" s="44"/>
      <c r="BY34" s="44">
        <f t="shared" si="15"/>
        <v>5000</v>
      </c>
      <c r="BZ34" s="44" t="str">
        <f t="shared" si="9"/>
        <v>Ceiling (High)</v>
      </c>
      <c r="CA34" s="44">
        <v>50000</v>
      </c>
      <c r="CB34" s="45" t="s">
        <v>0</v>
      </c>
      <c r="CC34" s="325" t="s">
        <v>680</v>
      </c>
    </row>
    <row r="35" spans="1:81" s="26" customFormat="1" ht="10.5" x14ac:dyDescent="0.25">
      <c r="A35" s="371" t="s">
        <v>168</v>
      </c>
      <c r="B35" s="52" t="s">
        <v>167</v>
      </c>
      <c r="C35" s="72">
        <v>42922</v>
      </c>
      <c r="D35" s="48">
        <v>0.03</v>
      </c>
      <c r="E35" s="20" t="s">
        <v>478</v>
      </c>
      <c r="F35" s="48">
        <v>0.3</v>
      </c>
      <c r="G35" s="20" t="s">
        <v>478</v>
      </c>
      <c r="H35" s="49">
        <v>0.05</v>
      </c>
      <c r="I35" s="20" t="s">
        <v>478</v>
      </c>
      <c r="J35" s="49">
        <v>0.5</v>
      </c>
      <c r="K35" s="20" t="s">
        <v>478</v>
      </c>
      <c r="L35" s="77">
        <v>0.01</v>
      </c>
      <c r="M35" s="20" t="s">
        <v>15</v>
      </c>
      <c r="N35" s="20" t="s">
        <v>10</v>
      </c>
      <c r="O35" s="77">
        <v>5.9999999999999997E-7</v>
      </c>
      <c r="P35" s="79" t="s">
        <v>10</v>
      </c>
      <c r="Q35" s="40">
        <v>0.3</v>
      </c>
      <c r="R35" s="40" t="s">
        <v>503</v>
      </c>
      <c r="S35" s="40">
        <v>0.02</v>
      </c>
      <c r="T35" s="40" t="s">
        <v>503</v>
      </c>
      <c r="U35" s="40">
        <v>0.3</v>
      </c>
      <c r="V35" s="40" t="s">
        <v>504</v>
      </c>
      <c r="W35" s="40">
        <v>0.02</v>
      </c>
      <c r="X35" s="40" t="s">
        <v>503</v>
      </c>
      <c r="Y35" s="40">
        <v>0.3</v>
      </c>
      <c r="Z35" s="40" t="s">
        <v>503</v>
      </c>
      <c r="AA35" s="40">
        <v>0.02</v>
      </c>
      <c r="AB35" s="40" t="s">
        <v>503</v>
      </c>
      <c r="AC35" s="42">
        <v>1</v>
      </c>
      <c r="AD35" s="42">
        <v>9</v>
      </c>
      <c r="AE35" s="42">
        <v>1</v>
      </c>
      <c r="AF35" s="42">
        <v>9</v>
      </c>
      <c r="AG35" s="42">
        <v>1</v>
      </c>
      <c r="AH35" s="42">
        <v>9</v>
      </c>
      <c r="AI35" s="62">
        <v>7</v>
      </c>
      <c r="AJ35" s="20" t="s">
        <v>630</v>
      </c>
      <c r="AK35" s="66">
        <v>0.92</v>
      </c>
      <c r="AL35" s="66">
        <v>0.92</v>
      </c>
      <c r="AM35" s="62">
        <v>2</v>
      </c>
      <c r="AN35" s="62"/>
      <c r="AO35" s="43">
        <f>VLOOKUP(A35,[1]!IABKGRD,7,FALSE)</f>
        <v>0</v>
      </c>
      <c r="AS35" s="20"/>
      <c r="AU35" s="47">
        <f t="shared" si="12"/>
        <v>0</v>
      </c>
      <c r="AV35" s="20"/>
      <c r="AW35" s="49">
        <f t="shared" ref="AW35:AW66" si="16">IF(AT35=0,0,BG35/AU35)</f>
        <v>0</v>
      </c>
      <c r="AX35" s="26">
        <f t="shared" ref="AX35:AX66" si="17">VLOOKUP(A35,PQL,4,FALSE)</f>
        <v>0.66</v>
      </c>
      <c r="AY35" s="26">
        <f t="shared" ref="AY35:AY66" si="18">VLOOKUP(A35,PQL,3,FALSE)</f>
        <v>1.5</v>
      </c>
      <c r="AZ35" s="23">
        <v>2</v>
      </c>
      <c r="BA35" s="20">
        <v>22</v>
      </c>
      <c r="BB35" s="23">
        <v>5.2299999999999999E-6</v>
      </c>
      <c r="BC35" s="20">
        <v>22</v>
      </c>
      <c r="BD35" s="27">
        <v>2.1402848256670486E-4</v>
      </c>
      <c r="BE35" s="20">
        <v>228</v>
      </c>
      <c r="BF35" s="20">
        <v>13</v>
      </c>
      <c r="BG35" s="23">
        <v>6.3000000000000002E-9</v>
      </c>
      <c r="BH35" s="26">
        <v>5.81</v>
      </c>
      <c r="BI35" s="34">
        <v>16</v>
      </c>
      <c r="BJ35" s="19">
        <v>398000</v>
      </c>
      <c r="BK35" s="20" t="s">
        <v>467</v>
      </c>
      <c r="BL35" s="20">
        <v>258.2</v>
      </c>
      <c r="BM35" s="20">
        <v>17</v>
      </c>
      <c r="BN35" s="22"/>
      <c r="BO35" s="49">
        <f>IF(BE35=0,0,IF(BH35=0,0,10^(-2.8+0.66*BH35-0.0056*BE35)))</f>
        <v>0.57253230939417599</v>
      </c>
      <c r="BR35" s="44"/>
      <c r="BS35" s="44">
        <f t="shared" si="13"/>
        <v>1000</v>
      </c>
      <c r="BT35" s="44" t="str">
        <f t="shared" si="7"/>
        <v>Ceiling (High)</v>
      </c>
      <c r="BU35" s="44"/>
      <c r="BV35" s="44">
        <f t="shared" si="14"/>
        <v>3000</v>
      </c>
      <c r="BW35" s="44" t="str">
        <f t="shared" si="8"/>
        <v>Ceiling (High)</v>
      </c>
      <c r="BX35" s="44"/>
      <c r="BY35" s="44">
        <f t="shared" si="15"/>
        <v>5000</v>
      </c>
      <c r="BZ35" s="44" t="str">
        <f t="shared" si="9"/>
        <v>Ceiling (High)</v>
      </c>
      <c r="CA35" s="44">
        <v>50000</v>
      </c>
      <c r="CB35" s="45" t="s">
        <v>0</v>
      </c>
      <c r="CC35" s="325"/>
    </row>
    <row r="36" spans="1:81" s="26" customFormat="1" x14ac:dyDescent="0.2">
      <c r="A36" s="371" t="s">
        <v>165</v>
      </c>
      <c r="B36" s="52" t="s">
        <v>164</v>
      </c>
      <c r="C36" s="72">
        <v>42922</v>
      </c>
      <c r="D36" s="49">
        <v>5.9999999999999995E-4</v>
      </c>
      <c r="E36" s="20">
        <v>1</v>
      </c>
      <c r="F36" s="49">
        <v>6.0000000000000001E-3</v>
      </c>
      <c r="G36" s="20" t="s">
        <v>334</v>
      </c>
      <c r="H36" s="49">
        <v>8.0000000000000004E-4</v>
      </c>
      <c r="I36" s="20">
        <v>1</v>
      </c>
      <c r="J36" s="49">
        <v>3.0000000000000001E-3</v>
      </c>
      <c r="K36" s="20" t="s">
        <v>64</v>
      </c>
      <c r="L36" s="49"/>
      <c r="M36" s="20" t="s">
        <v>2</v>
      </c>
      <c r="N36" s="20">
        <v>1</v>
      </c>
      <c r="O36" s="49"/>
      <c r="P36" s="20"/>
      <c r="Q36" s="40">
        <v>1</v>
      </c>
      <c r="R36" s="40" t="s">
        <v>504</v>
      </c>
      <c r="S36" s="40">
        <v>0.1</v>
      </c>
      <c r="T36" s="40" t="s">
        <v>504</v>
      </c>
      <c r="U36" s="40">
        <v>1</v>
      </c>
      <c r="V36" s="40" t="s">
        <v>504</v>
      </c>
      <c r="W36" s="40">
        <v>0.1</v>
      </c>
      <c r="X36" s="40" t="s">
        <v>504</v>
      </c>
      <c r="Y36" s="40" t="s">
        <v>1</v>
      </c>
      <c r="Z36" s="40"/>
      <c r="AA36" s="40" t="s">
        <v>1</v>
      </c>
      <c r="AB36" s="40"/>
      <c r="AC36" s="42">
        <v>1</v>
      </c>
      <c r="AD36" s="42">
        <v>9</v>
      </c>
      <c r="AE36" s="42">
        <v>1</v>
      </c>
      <c r="AF36" s="42">
        <v>9</v>
      </c>
      <c r="AG36" s="42"/>
      <c r="AH36" s="42"/>
      <c r="AI36" s="62"/>
      <c r="AJ36" s="20"/>
      <c r="AK36" s="66">
        <v>1</v>
      </c>
      <c r="AL36" s="66" t="s">
        <v>1</v>
      </c>
      <c r="AM36" s="62"/>
      <c r="AN36" s="62"/>
      <c r="AO36" s="43">
        <f>VLOOKUP(A36,[1]!IABKGRD,7,FALSE)</f>
        <v>0</v>
      </c>
      <c r="AR36" s="26">
        <v>170</v>
      </c>
      <c r="AS36" s="20">
        <v>13</v>
      </c>
      <c r="AT36" s="26">
        <v>652</v>
      </c>
      <c r="AU36" s="47">
        <f t="shared" si="12"/>
        <v>0.5904531813865147</v>
      </c>
      <c r="AV36" s="20">
        <v>13</v>
      </c>
      <c r="AW36" s="49">
        <f t="shared" si="16"/>
        <v>1050.0409169514555</v>
      </c>
      <c r="AX36" s="26">
        <f t="shared" si="17"/>
        <v>1</v>
      </c>
      <c r="AY36" s="26">
        <f t="shared" si="18"/>
        <v>0.1</v>
      </c>
      <c r="AZ36" s="22">
        <v>95400000</v>
      </c>
      <c r="BA36" s="20">
        <v>22</v>
      </c>
      <c r="BB36" s="23">
        <v>2.4199999999999999E-2</v>
      </c>
      <c r="BC36" s="20">
        <v>22</v>
      </c>
      <c r="BD36" s="27">
        <v>0.99034211818628248</v>
      </c>
      <c r="BE36" s="20">
        <v>27</v>
      </c>
      <c r="BF36" s="20">
        <v>13</v>
      </c>
      <c r="BG36" s="26">
        <v>620</v>
      </c>
      <c r="BH36" s="26">
        <v>-0.69</v>
      </c>
      <c r="BI36" s="34"/>
      <c r="BJ36" s="19">
        <v>0</v>
      </c>
      <c r="BK36" s="20"/>
      <c r="BL36" s="20"/>
      <c r="BM36" s="20"/>
      <c r="BN36" s="22"/>
      <c r="BO36" s="49">
        <v>1E-3</v>
      </c>
      <c r="BP36" s="24"/>
      <c r="BQ36" s="24"/>
      <c r="BR36" s="44"/>
      <c r="BS36" s="44">
        <f t="shared" si="13"/>
        <v>100</v>
      </c>
      <c r="BT36" s="44" t="str">
        <f t="shared" si="7"/>
        <v>Ceiling (Low)</v>
      </c>
      <c r="BU36" s="44"/>
      <c r="BV36" s="44">
        <f t="shared" si="14"/>
        <v>500</v>
      </c>
      <c r="BW36" s="44" t="str">
        <f t="shared" si="8"/>
        <v>Ceiling (Low)</v>
      </c>
      <c r="BX36" s="44"/>
      <c r="BY36" s="44">
        <f t="shared" si="15"/>
        <v>1000</v>
      </c>
      <c r="BZ36" s="44" t="str">
        <f t="shared" si="9"/>
        <v>Ceiling (Low)</v>
      </c>
      <c r="CA36" s="44">
        <v>50000</v>
      </c>
      <c r="CB36" s="45" t="s">
        <v>0</v>
      </c>
      <c r="CC36" s="325" t="s">
        <v>680</v>
      </c>
    </row>
    <row r="37" spans="1:81" s="26" customFormat="1" ht="10.5" x14ac:dyDescent="0.25">
      <c r="A37" s="371" t="s">
        <v>163</v>
      </c>
      <c r="B37" s="52" t="s">
        <v>162</v>
      </c>
      <c r="C37" s="72">
        <v>42922</v>
      </c>
      <c r="D37" s="48">
        <v>0.03</v>
      </c>
      <c r="E37" s="20" t="s">
        <v>478</v>
      </c>
      <c r="F37" s="48">
        <v>0.3</v>
      </c>
      <c r="G37" s="20" t="s">
        <v>478</v>
      </c>
      <c r="H37" s="49">
        <v>0.05</v>
      </c>
      <c r="I37" s="20" t="s">
        <v>478</v>
      </c>
      <c r="J37" s="49">
        <v>0.5</v>
      </c>
      <c r="K37" s="20" t="s">
        <v>478</v>
      </c>
      <c r="L37" s="77">
        <v>1</v>
      </c>
      <c r="M37" s="20" t="s">
        <v>15</v>
      </c>
      <c r="N37" s="20" t="s">
        <v>10</v>
      </c>
      <c r="O37" s="77">
        <v>5.9999999999999995E-4</v>
      </c>
      <c r="P37" s="79" t="s">
        <v>10</v>
      </c>
      <c r="Q37" s="40">
        <v>0.3</v>
      </c>
      <c r="R37" s="40" t="s">
        <v>503</v>
      </c>
      <c r="S37" s="40">
        <v>0.02</v>
      </c>
      <c r="T37" s="40" t="s">
        <v>503</v>
      </c>
      <c r="U37" s="40">
        <v>0.3</v>
      </c>
      <c r="V37" s="40" t="s">
        <v>503</v>
      </c>
      <c r="W37" s="40">
        <v>0.02</v>
      </c>
      <c r="X37" s="40" t="s">
        <v>503</v>
      </c>
      <c r="Y37" s="40">
        <v>0.3</v>
      </c>
      <c r="Z37" s="40" t="s">
        <v>503</v>
      </c>
      <c r="AA37" s="40">
        <v>0.02</v>
      </c>
      <c r="AB37" s="40" t="s">
        <v>503</v>
      </c>
      <c r="AC37" s="42">
        <v>1</v>
      </c>
      <c r="AD37" s="42">
        <v>9</v>
      </c>
      <c r="AE37" s="42">
        <v>1</v>
      </c>
      <c r="AF37" s="42">
        <v>9</v>
      </c>
      <c r="AG37" s="42">
        <v>1</v>
      </c>
      <c r="AH37" s="42">
        <v>9</v>
      </c>
      <c r="AI37" s="62">
        <v>1</v>
      </c>
      <c r="AJ37" s="20" t="s">
        <v>630</v>
      </c>
      <c r="AK37" s="66">
        <v>0.92</v>
      </c>
      <c r="AL37" s="66">
        <v>0.92</v>
      </c>
      <c r="AM37" s="62">
        <v>0.5</v>
      </c>
      <c r="AN37" s="62"/>
      <c r="AO37" s="43">
        <f>VLOOKUP(A37,[1]!IABKGRD,7,FALSE)</f>
        <v>0</v>
      </c>
      <c r="AS37" s="20"/>
      <c r="AU37" s="47">
        <f t="shared" si="12"/>
        <v>0</v>
      </c>
      <c r="AV37" s="20"/>
      <c r="AW37" s="49">
        <f t="shared" si="16"/>
        <v>0</v>
      </c>
      <c r="AX37" s="26">
        <f t="shared" si="17"/>
        <v>0.66</v>
      </c>
      <c r="AY37" s="26">
        <f t="shared" si="18"/>
        <v>0.5</v>
      </c>
      <c r="AZ37" s="23">
        <v>2.4900000000000002</v>
      </c>
      <c r="BA37" s="20">
        <v>22</v>
      </c>
      <c r="BB37" s="23">
        <v>1.23E-7</v>
      </c>
      <c r="BC37" s="20">
        <v>22</v>
      </c>
      <c r="BD37" s="27">
        <v>5.0335570469798661E-6</v>
      </c>
      <c r="BE37" s="20">
        <v>278</v>
      </c>
      <c r="BF37" s="20">
        <v>13</v>
      </c>
      <c r="BG37" s="23">
        <v>1E-10</v>
      </c>
      <c r="BH37" s="26">
        <v>6.75</v>
      </c>
      <c r="BI37" s="34">
        <v>16</v>
      </c>
      <c r="BJ37" s="19">
        <v>1790000</v>
      </c>
      <c r="BK37" s="20" t="s">
        <v>466</v>
      </c>
      <c r="BL37" s="20">
        <v>269.5</v>
      </c>
      <c r="BM37" s="20">
        <v>17</v>
      </c>
      <c r="BN37" s="22"/>
      <c r="BO37" s="49">
        <f t="shared" ref="BO37:BO75" si="19">IF(BE37=0,0,IF(BH37=0,0,10^(-2.8+0.66*BH37-0.0056*BE37)))</f>
        <v>1.253718400680121</v>
      </c>
      <c r="BP37" s="24"/>
      <c r="BQ37" s="24"/>
      <c r="BR37" s="44"/>
      <c r="BS37" s="44">
        <f t="shared" si="13"/>
        <v>1000</v>
      </c>
      <c r="BT37" s="44" t="str">
        <f t="shared" si="7"/>
        <v>Ceiling (High)</v>
      </c>
      <c r="BU37" s="44"/>
      <c r="BV37" s="44">
        <f t="shared" si="14"/>
        <v>3000</v>
      </c>
      <c r="BW37" s="44" t="str">
        <f t="shared" si="8"/>
        <v>Ceiling (High)</v>
      </c>
      <c r="BX37" s="44"/>
      <c r="BY37" s="44">
        <f t="shared" si="15"/>
        <v>5000</v>
      </c>
      <c r="BZ37" s="44" t="str">
        <f t="shared" si="9"/>
        <v>Ceiling (High)</v>
      </c>
      <c r="CA37" s="44">
        <v>50000</v>
      </c>
      <c r="CB37" s="45" t="s">
        <v>0</v>
      </c>
      <c r="CC37" s="325"/>
    </row>
    <row r="38" spans="1:81" s="26" customFormat="1" x14ac:dyDescent="0.2">
      <c r="A38" s="371" t="s">
        <v>161</v>
      </c>
      <c r="B38" s="52" t="s">
        <v>160</v>
      </c>
      <c r="C38" s="72">
        <v>42922</v>
      </c>
      <c r="D38" s="48">
        <v>0.02</v>
      </c>
      <c r="E38" s="20">
        <v>1</v>
      </c>
      <c r="F38" s="48">
        <v>7.0000000000000007E-2</v>
      </c>
      <c r="G38" s="20">
        <v>6</v>
      </c>
      <c r="H38" s="49">
        <v>7.0000000000000007E-2</v>
      </c>
      <c r="I38" s="20" t="s">
        <v>475</v>
      </c>
      <c r="J38" s="49">
        <v>0.2</v>
      </c>
      <c r="K38" s="20" t="s">
        <v>475</v>
      </c>
      <c r="L38" s="49">
        <v>8.4000000000000005E-2</v>
      </c>
      <c r="M38" s="21" t="s">
        <v>23</v>
      </c>
      <c r="N38" s="21">
        <v>1</v>
      </c>
      <c r="O38" s="49">
        <v>2.4000000000000001E-5</v>
      </c>
      <c r="P38" s="20" t="s">
        <v>474</v>
      </c>
      <c r="Q38" s="40">
        <v>1</v>
      </c>
      <c r="R38" s="40" t="s">
        <v>504</v>
      </c>
      <c r="S38" s="40">
        <v>0.03</v>
      </c>
      <c r="T38" s="40" t="s">
        <v>504</v>
      </c>
      <c r="U38" s="40">
        <v>1</v>
      </c>
      <c r="V38" s="40" t="s">
        <v>504</v>
      </c>
      <c r="W38" s="40">
        <v>0.03</v>
      </c>
      <c r="X38" s="40" t="s">
        <v>504</v>
      </c>
      <c r="Y38" s="40">
        <v>1</v>
      </c>
      <c r="Z38" s="40" t="s">
        <v>504</v>
      </c>
      <c r="AA38" s="40">
        <v>0.03</v>
      </c>
      <c r="AB38" s="40" t="s">
        <v>504</v>
      </c>
      <c r="AC38" s="42">
        <v>1</v>
      </c>
      <c r="AD38" s="42">
        <v>9</v>
      </c>
      <c r="AE38" s="42">
        <v>1</v>
      </c>
      <c r="AF38" s="42">
        <v>9</v>
      </c>
      <c r="AG38" s="42">
        <v>1</v>
      </c>
      <c r="AH38" s="42">
        <v>9</v>
      </c>
      <c r="AI38" s="62"/>
      <c r="AJ38" s="20"/>
      <c r="AK38" s="66">
        <v>0.98</v>
      </c>
      <c r="AL38" s="66">
        <v>0.98</v>
      </c>
      <c r="AM38" s="62"/>
      <c r="AN38" s="62"/>
      <c r="AO38" s="43">
        <f>VLOOKUP(A38,[1]!IABKGRD,7,FALSE)</f>
        <v>0</v>
      </c>
      <c r="AS38" s="20"/>
      <c r="AU38" s="47">
        <f t="shared" si="12"/>
        <v>0</v>
      </c>
      <c r="AV38" s="20"/>
      <c r="AW38" s="49">
        <f t="shared" si="16"/>
        <v>0</v>
      </c>
      <c r="AX38" s="26">
        <f t="shared" si="17"/>
        <v>5.0000000000000001E-3</v>
      </c>
      <c r="AY38" s="26">
        <f t="shared" si="18"/>
        <v>2</v>
      </c>
      <c r="AZ38" s="23">
        <v>2700000</v>
      </c>
      <c r="BA38" s="20">
        <v>22</v>
      </c>
      <c r="BB38" s="23">
        <v>7.8299999999999995E-4</v>
      </c>
      <c r="BC38" s="20">
        <v>22</v>
      </c>
      <c r="BD38" s="27">
        <v>3.2042887542969391E-2</v>
      </c>
      <c r="BE38" s="20">
        <v>208</v>
      </c>
      <c r="BF38" s="20">
        <v>13</v>
      </c>
      <c r="BG38" s="26">
        <v>76</v>
      </c>
      <c r="BH38" s="26">
        <v>2.16</v>
      </c>
      <c r="BI38" s="34">
        <v>17</v>
      </c>
      <c r="BJ38" s="19">
        <v>63.1</v>
      </c>
      <c r="BK38" s="20" t="s">
        <v>467</v>
      </c>
      <c r="BL38" s="20">
        <v>-20</v>
      </c>
      <c r="BM38" s="20">
        <v>17</v>
      </c>
      <c r="BN38" s="22"/>
      <c r="BO38" s="49">
        <f t="shared" si="19"/>
        <v>2.8893489815590818E-3</v>
      </c>
      <c r="BP38" s="24"/>
      <c r="BQ38" s="24"/>
      <c r="BR38" s="44"/>
      <c r="BS38" s="44">
        <f t="shared" si="13"/>
        <v>100</v>
      </c>
      <c r="BT38" s="44" t="str">
        <f t="shared" si="7"/>
        <v>Ceiling (Low)</v>
      </c>
      <c r="BU38" s="44"/>
      <c r="BV38" s="44">
        <f t="shared" si="14"/>
        <v>500</v>
      </c>
      <c r="BW38" s="44" t="str">
        <f t="shared" si="8"/>
        <v>Ceiling (Low)</v>
      </c>
      <c r="BX38" s="44"/>
      <c r="BY38" s="44">
        <f t="shared" si="15"/>
        <v>500</v>
      </c>
      <c r="BZ38" s="44" t="str">
        <f t="shared" si="9"/>
        <v>High Volatility</v>
      </c>
      <c r="CA38" s="44">
        <v>50000</v>
      </c>
      <c r="CB38" s="45" t="s">
        <v>0</v>
      </c>
      <c r="CC38" s="325"/>
    </row>
    <row r="39" spans="1:81" s="26" customFormat="1" x14ac:dyDescent="0.2">
      <c r="A39" s="371" t="s">
        <v>159</v>
      </c>
      <c r="B39" s="52" t="s">
        <v>158</v>
      </c>
      <c r="C39" s="72">
        <v>42923</v>
      </c>
      <c r="D39" s="48">
        <v>0.09</v>
      </c>
      <c r="E39" s="20">
        <v>1</v>
      </c>
      <c r="F39" s="48">
        <v>0.9</v>
      </c>
      <c r="G39" s="20" t="s">
        <v>337</v>
      </c>
      <c r="H39" s="49">
        <v>0.8</v>
      </c>
      <c r="I39" s="20" t="s">
        <v>512</v>
      </c>
      <c r="J39" s="49">
        <v>2.4</v>
      </c>
      <c r="K39" s="20" t="s">
        <v>512</v>
      </c>
      <c r="L39" s="49"/>
      <c r="M39" s="21" t="s">
        <v>2</v>
      </c>
      <c r="N39" s="21">
        <v>1</v>
      </c>
      <c r="O39" s="49"/>
      <c r="P39" s="20"/>
      <c r="Q39" s="40">
        <v>1</v>
      </c>
      <c r="R39" s="40" t="s">
        <v>504</v>
      </c>
      <c r="S39" s="40">
        <v>0.03</v>
      </c>
      <c r="T39" s="40" t="s">
        <v>504</v>
      </c>
      <c r="U39" s="40">
        <v>1</v>
      </c>
      <c r="V39" s="40" t="s">
        <v>504</v>
      </c>
      <c r="W39" s="40">
        <v>0.03</v>
      </c>
      <c r="X39" s="40" t="s">
        <v>504</v>
      </c>
      <c r="Y39" s="40" t="s">
        <v>1</v>
      </c>
      <c r="Z39" s="40"/>
      <c r="AA39" s="40" t="s">
        <v>1</v>
      </c>
      <c r="AB39" s="40"/>
      <c r="AC39" s="42">
        <v>1</v>
      </c>
      <c r="AD39" s="42">
        <v>9</v>
      </c>
      <c r="AE39" s="42">
        <v>1</v>
      </c>
      <c r="AF39" s="42">
        <v>9</v>
      </c>
      <c r="AG39" s="42"/>
      <c r="AH39" s="42"/>
      <c r="AI39" s="62"/>
      <c r="AJ39" s="20"/>
      <c r="AK39" s="66">
        <v>1</v>
      </c>
      <c r="AL39" s="66" t="s">
        <v>1</v>
      </c>
      <c r="AM39" s="62"/>
      <c r="AN39" s="62"/>
      <c r="AO39" s="43">
        <f>VLOOKUP(A39,[1]!IABKGRD,7,FALSE)</f>
        <v>0.72</v>
      </c>
      <c r="AQ39" s="26">
        <f>2.5-(AQ40+AQ41)</f>
        <v>0.6359999999999999</v>
      </c>
      <c r="AR39" s="26">
        <v>10</v>
      </c>
      <c r="AS39" s="20">
        <v>24</v>
      </c>
      <c r="AT39" s="26">
        <v>305000</v>
      </c>
      <c r="AU39" s="47">
        <f t="shared" si="12"/>
        <v>50.732251875109014</v>
      </c>
      <c r="AV39" s="20">
        <v>24</v>
      </c>
      <c r="AW39" s="49">
        <f t="shared" si="16"/>
        <v>2.9566990317966776E-2</v>
      </c>
      <c r="AX39" s="26">
        <f t="shared" si="17"/>
        <v>0.66</v>
      </c>
      <c r="AY39" s="26">
        <f t="shared" si="18"/>
        <v>5</v>
      </c>
      <c r="AZ39" s="23">
        <v>156000</v>
      </c>
      <c r="BA39" s="20">
        <v>22</v>
      </c>
      <c r="BB39" s="23">
        <v>1.92E-3</v>
      </c>
      <c r="BC39" s="20">
        <v>22</v>
      </c>
      <c r="BD39" s="27">
        <v>7.8572597806514988E-2</v>
      </c>
      <c r="BE39" s="20">
        <v>147</v>
      </c>
      <c r="BF39" s="20">
        <v>11</v>
      </c>
      <c r="BG39" s="26">
        <v>1.5</v>
      </c>
      <c r="BH39" s="26">
        <v>3.43</v>
      </c>
      <c r="BI39" s="34">
        <v>16</v>
      </c>
      <c r="BJ39" s="19">
        <v>379</v>
      </c>
      <c r="BK39" s="20" t="s">
        <v>466</v>
      </c>
      <c r="BL39" s="20">
        <v>-16.7</v>
      </c>
      <c r="BM39" s="20">
        <v>17</v>
      </c>
      <c r="BN39" s="22"/>
      <c r="BO39" s="49">
        <f t="shared" si="19"/>
        <v>4.3711931792622442E-2</v>
      </c>
      <c r="BP39" s="24"/>
      <c r="BQ39" s="24"/>
      <c r="BR39" s="44"/>
      <c r="BS39" s="44">
        <f t="shared" si="13"/>
        <v>1000</v>
      </c>
      <c r="BT39" s="44" t="str">
        <f t="shared" si="7"/>
        <v>Ceiling (High)</v>
      </c>
      <c r="BU39" s="44"/>
      <c r="BV39" s="44">
        <f t="shared" si="14"/>
        <v>3000</v>
      </c>
      <c r="BW39" s="44" t="str">
        <f t="shared" si="8"/>
        <v>Ceiling (High)</v>
      </c>
      <c r="BX39" s="44"/>
      <c r="BY39" s="44">
        <f t="shared" si="15"/>
        <v>5000</v>
      </c>
      <c r="BZ39" s="44" t="str">
        <f t="shared" si="9"/>
        <v>Ceiling (High)</v>
      </c>
      <c r="CA39" s="44">
        <v>50000</v>
      </c>
      <c r="CB39" s="45" t="s">
        <v>0</v>
      </c>
      <c r="CC39" s="325"/>
    </row>
    <row r="40" spans="1:81" s="26" customFormat="1" x14ac:dyDescent="0.2">
      <c r="A40" s="371" t="s">
        <v>157</v>
      </c>
      <c r="B40" s="52" t="s">
        <v>156</v>
      </c>
      <c r="C40" s="72">
        <v>42923</v>
      </c>
      <c r="D40" s="48">
        <v>0.09</v>
      </c>
      <c r="E40" s="20" t="s">
        <v>153</v>
      </c>
      <c r="F40" s="48">
        <v>0.9</v>
      </c>
      <c r="G40" s="20" t="s">
        <v>152</v>
      </c>
      <c r="H40" s="49">
        <v>0.8</v>
      </c>
      <c r="I40" s="20" t="s">
        <v>512</v>
      </c>
      <c r="J40" s="49">
        <v>2.4</v>
      </c>
      <c r="K40" s="20" t="s">
        <v>512</v>
      </c>
      <c r="L40" s="49"/>
      <c r="M40" s="21" t="s">
        <v>2</v>
      </c>
      <c r="N40" s="21">
        <v>1</v>
      </c>
      <c r="O40" s="49"/>
      <c r="P40" s="20"/>
      <c r="Q40" s="40">
        <v>1</v>
      </c>
      <c r="R40" s="40" t="s">
        <v>504</v>
      </c>
      <c r="S40" s="40">
        <v>0.03</v>
      </c>
      <c r="T40" s="40" t="s">
        <v>504</v>
      </c>
      <c r="U40" s="40">
        <v>1</v>
      </c>
      <c r="V40" s="40" t="s">
        <v>504</v>
      </c>
      <c r="W40" s="40">
        <v>0.03</v>
      </c>
      <c r="X40" s="40" t="s">
        <v>504</v>
      </c>
      <c r="Y40" s="40" t="s">
        <v>1</v>
      </c>
      <c r="Z40" s="40"/>
      <c r="AA40" s="40" t="s">
        <v>1</v>
      </c>
      <c r="AB40" s="40"/>
      <c r="AC40" s="42">
        <v>1</v>
      </c>
      <c r="AD40" s="42">
        <v>9</v>
      </c>
      <c r="AE40" s="42">
        <v>1</v>
      </c>
      <c r="AF40" s="42">
        <v>9</v>
      </c>
      <c r="AG40" s="42"/>
      <c r="AH40" s="42"/>
      <c r="AI40" s="62"/>
      <c r="AJ40" s="20"/>
      <c r="AK40" s="66">
        <v>1</v>
      </c>
      <c r="AL40" s="66" t="s">
        <v>1</v>
      </c>
      <c r="AM40" s="62"/>
      <c r="AN40" s="62"/>
      <c r="AO40" s="43">
        <f>VLOOKUP(A40,[1]!IABKGRD,7,FALSE)</f>
        <v>0.6</v>
      </c>
      <c r="AP40" s="26">
        <v>5</v>
      </c>
      <c r="AQ40" s="26">
        <v>0.93200000000000005</v>
      </c>
      <c r="AS40" s="20"/>
      <c r="AU40" s="47">
        <f t="shared" si="12"/>
        <v>0</v>
      </c>
      <c r="AV40" s="20"/>
      <c r="AW40" s="49">
        <f t="shared" si="16"/>
        <v>0</v>
      </c>
      <c r="AX40" s="26">
        <f t="shared" si="17"/>
        <v>0.66</v>
      </c>
      <c r="AY40" s="26">
        <f t="shared" si="18"/>
        <v>0.6</v>
      </c>
      <c r="AZ40" s="23">
        <v>125000</v>
      </c>
      <c r="BA40" s="20">
        <v>22</v>
      </c>
      <c r="BB40" s="23">
        <v>2.63E-3</v>
      </c>
      <c r="BC40" s="20">
        <v>22</v>
      </c>
      <c r="BD40" s="27">
        <v>0.10762808970371583</v>
      </c>
      <c r="BE40" s="20">
        <v>147</v>
      </c>
      <c r="BF40" s="20">
        <v>11</v>
      </c>
      <c r="BG40" s="25">
        <v>1.5</v>
      </c>
      <c r="BH40" s="26">
        <v>3.53</v>
      </c>
      <c r="BI40" s="34">
        <v>16</v>
      </c>
      <c r="BJ40" s="19">
        <v>1700</v>
      </c>
      <c r="BK40" s="20">
        <v>11</v>
      </c>
      <c r="BL40" s="20"/>
      <c r="BM40" s="20"/>
      <c r="BN40" s="22"/>
      <c r="BO40" s="49">
        <f t="shared" si="19"/>
        <v>5.0886197595607759E-2</v>
      </c>
      <c r="BP40" s="24"/>
      <c r="BQ40" s="24"/>
      <c r="BR40" s="44"/>
      <c r="BS40" s="44">
        <f t="shared" si="13"/>
        <v>100</v>
      </c>
      <c r="BT40" s="44" t="str">
        <f t="shared" si="7"/>
        <v>Ceiling (Low)</v>
      </c>
      <c r="BU40" s="44"/>
      <c r="BV40" s="44">
        <f t="shared" si="14"/>
        <v>500</v>
      </c>
      <c r="BW40" s="44" t="str">
        <f t="shared" si="8"/>
        <v>Ceiling (Low)</v>
      </c>
      <c r="BX40" s="44"/>
      <c r="BY40" s="44">
        <f t="shared" si="15"/>
        <v>500</v>
      </c>
      <c r="BZ40" s="44" t="str">
        <f t="shared" si="9"/>
        <v>High Volatility</v>
      </c>
      <c r="CA40" s="44">
        <v>50000</v>
      </c>
      <c r="CB40" s="45" t="s">
        <v>0</v>
      </c>
      <c r="CC40" s="325"/>
    </row>
    <row r="41" spans="1:81" s="26" customFormat="1" x14ac:dyDescent="0.2">
      <c r="A41" s="371" t="s">
        <v>155</v>
      </c>
      <c r="B41" s="52" t="s">
        <v>154</v>
      </c>
      <c r="C41" s="72">
        <v>42923</v>
      </c>
      <c r="D41" s="48">
        <v>0.09</v>
      </c>
      <c r="E41" s="20" t="s">
        <v>153</v>
      </c>
      <c r="F41" s="48">
        <v>0.9</v>
      </c>
      <c r="G41" s="20" t="s">
        <v>152</v>
      </c>
      <c r="H41" s="49">
        <v>0.8</v>
      </c>
      <c r="I41" s="20">
        <v>1</v>
      </c>
      <c r="J41" s="49">
        <v>2.4</v>
      </c>
      <c r="K41" s="20" t="s">
        <v>64</v>
      </c>
      <c r="L41" s="49">
        <v>2.4E-2</v>
      </c>
      <c r="M41" s="21" t="s">
        <v>23</v>
      </c>
      <c r="N41" s="21">
        <v>2</v>
      </c>
      <c r="O41" s="49">
        <v>6.8571428571428571E-6</v>
      </c>
      <c r="P41" s="20" t="s">
        <v>474</v>
      </c>
      <c r="Q41" s="40">
        <v>1</v>
      </c>
      <c r="R41" s="40" t="s">
        <v>504</v>
      </c>
      <c r="S41" s="40">
        <v>0.03</v>
      </c>
      <c r="T41" s="40" t="s">
        <v>504</v>
      </c>
      <c r="U41" s="40">
        <v>1</v>
      </c>
      <c r="V41" s="40" t="s">
        <v>504</v>
      </c>
      <c r="W41" s="40">
        <v>0.03</v>
      </c>
      <c r="X41" s="40" t="s">
        <v>504</v>
      </c>
      <c r="Y41" s="40">
        <v>1</v>
      </c>
      <c r="Z41" s="40" t="s">
        <v>504</v>
      </c>
      <c r="AA41" s="40">
        <v>0.03</v>
      </c>
      <c r="AB41" s="40" t="s">
        <v>504</v>
      </c>
      <c r="AC41" s="42">
        <v>1</v>
      </c>
      <c r="AD41" s="42">
        <v>9</v>
      </c>
      <c r="AE41" s="42">
        <v>1</v>
      </c>
      <c r="AF41" s="42">
        <v>9</v>
      </c>
      <c r="AG41" s="42">
        <v>1</v>
      </c>
      <c r="AH41" s="42">
        <v>9</v>
      </c>
      <c r="AI41" s="62"/>
      <c r="AJ41" s="20"/>
      <c r="AK41" s="66">
        <v>1</v>
      </c>
      <c r="AL41" s="66">
        <v>1</v>
      </c>
      <c r="AM41" s="62"/>
      <c r="AN41" s="62"/>
      <c r="AO41" s="43">
        <f>VLOOKUP(A41,[1]!IABKGRD,7,FALSE)</f>
        <v>1.5</v>
      </c>
      <c r="AP41" s="26">
        <v>20</v>
      </c>
      <c r="AQ41" s="26">
        <v>0.93200000000000005</v>
      </c>
      <c r="AR41" s="26">
        <v>11</v>
      </c>
      <c r="AS41" s="20">
        <v>13</v>
      </c>
      <c r="AT41" s="26">
        <v>1100</v>
      </c>
      <c r="AU41" s="47">
        <f t="shared" si="12"/>
        <v>0.18296877725449154</v>
      </c>
      <c r="AV41" s="20">
        <v>13</v>
      </c>
      <c r="AW41" s="49">
        <f t="shared" si="16"/>
        <v>9.8377440512507626</v>
      </c>
      <c r="AX41" s="26">
        <f t="shared" si="17"/>
        <v>0.66</v>
      </c>
      <c r="AY41" s="26">
        <f t="shared" si="18"/>
        <v>0.2</v>
      </c>
      <c r="AZ41" s="23">
        <v>81300</v>
      </c>
      <c r="BA41" s="20">
        <v>22</v>
      </c>
      <c r="BB41" s="23">
        <v>2.4099999999999998E-3</v>
      </c>
      <c r="BC41" s="20">
        <v>22</v>
      </c>
      <c r="BD41" s="27">
        <v>9.8624979538385976E-2</v>
      </c>
      <c r="BE41" s="20">
        <v>147</v>
      </c>
      <c r="BF41" s="20">
        <v>13</v>
      </c>
      <c r="BG41" s="26">
        <v>1.8</v>
      </c>
      <c r="BH41" s="26">
        <v>3.44</v>
      </c>
      <c r="BI41" s="34">
        <v>16</v>
      </c>
      <c r="BJ41" s="19">
        <v>616</v>
      </c>
      <c r="BK41" s="20" t="s">
        <v>466</v>
      </c>
      <c r="BL41" s="20">
        <v>52.7</v>
      </c>
      <c r="BM41" s="20">
        <v>17</v>
      </c>
      <c r="BN41" s="22"/>
      <c r="BO41" s="49">
        <f t="shared" si="19"/>
        <v>4.4381298030813886E-2</v>
      </c>
      <c r="BP41" s="24"/>
      <c r="BQ41" s="24"/>
      <c r="BR41" s="44"/>
      <c r="BS41" s="44">
        <f t="shared" si="13"/>
        <v>500</v>
      </c>
      <c r="BT41" s="44" t="str">
        <f t="shared" si="7"/>
        <v>Ceiling (Medium)</v>
      </c>
      <c r="BU41" s="44"/>
      <c r="BV41" s="44">
        <f t="shared" si="14"/>
        <v>1000</v>
      </c>
      <c r="BW41" s="44" t="str">
        <f t="shared" si="8"/>
        <v>Ceiling (Medium)</v>
      </c>
      <c r="BX41" s="44"/>
      <c r="BY41" s="44">
        <f t="shared" si="15"/>
        <v>3000</v>
      </c>
      <c r="BZ41" s="44" t="str">
        <f t="shared" si="9"/>
        <v>Ceiling (Medium)</v>
      </c>
      <c r="CA41" s="44">
        <v>50000</v>
      </c>
      <c r="CB41" s="45" t="s">
        <v>0</v>
      </c>
      <c r="CC41" s="325"/>
    </row>
    <row r="42" spans="1:81" s="26" customFormat="1" x14ac:dyDescent="0.2">
      <c r="A42" s="371" t="s">
        <v>151</v>
      </c>
      <c r="B42" s="52" t="s">
        <v>150</v>
      </c>
      <c r="C42" s="72">
        <v>42922</v>
      </c>
      <c r="D42" s="20"/>
      <c r="E42" s="20"/>
      <c r="F42" s="20"/>
      <c r="G42" s="20"/>
      <c r="H42" s="49"/>
      <c r="I42" s="20"/>
      <c r="J42" s="49"/>
      <c r="K42" s="20"/>
      <c r="L42" s="49">
        <v>0.45</v>
      </c>
      <c r="M42" s="21" t="s">
        <v>15</v>
      </c>
      <c r="N42" s="21">
        <v>1</v>
      </c>
      <c r="O42" s="49">
        <v>1.2857142857142858E-4</v>
      </c>
      <c r="P42" s="20" t="s">
        <v>474</v>
      </c>
      <c r="Q42" s="40">
        <v>1</v>
      </c>
      <c r="R42" s="40" t="s">
        <v>504</v>
      </c>
      <c r="S42" s="40">
        <v>0.1</v>
      </c>
      <c r="T42" s="40" t="s">
        <v>504</v>
      </c>
      <c r="U42" s="40">
        <v>1</v>
      </c>
      <c r="V42" s="40" t="s">
        <v>504</v>
      </c>
      <c r="W42" s="40">
        <v>0.1</v>
      </c>
      <c r="X42" s="40" t="s">
        <v>504</v>
      </c>
      <c r="Y42" s="40">
        <v>1</v>
      </c>
      <c r="Z42" s="40" t="s">
        <v>504</v>
      </c>
      <c r="AA42" s="40">
        <v>0.1</v>
      </c>
      <c r="AB42" s="40" t="s">
        <v>504</v>
      </c>
      <c r="AC42" s="42"/>
      <c r="AD42" s="42"/>
      <c r="AE42" s="42">
        <v>1</v>
      </c>
      <c r="AF42" s="42">
        <v>9</v>
      </c>
      <c r="AG42" s="42">
        <v>1</v>
      </c>
      <c r="AH42" s="42">
        <v>9</v>
      </c>
      <c r="AI42" s="62"/>
      <c r="AJ42" s="20"/>
      <c r="AK42" s="66">
        <v>0.9</v>
      </c>
      <c r="AL42" s="66">
        <v>0.9</v>
      </c>
      <c r="AM42" s="62"/>
      <c r="AN42" s="62"/>
      <c r="AO42" s="43">
        <f>VLOOKUP(A42,[1]!IABKGRD,7,FALSE)</f>
        <v>0</v>
      </c>
      <c r="AS42" s="20"/>
      <c r="AU42" s="47">
        <f t="shared" si="12"/>
        <v>0</v>
      </c>
      <c r="AV42" s="20"/>
      <c r="AW42" s="49">
        <f t="shared" si="16"/>
        <v>0</v>
      </c>
      <c r="AX42" s="26">
        <f t="shared" si="17"/>
        <v>1.3</v>
      </c>
      <c r="AY42" s="26">
        <f t="shared" si="18"/>
        <v>82.5</v>
      </c>
      <c r="AZ42" s="23">
        <v>3100</v>
      </c>
      <c r="BA42" s="20">
        <v>22</v>
      </c>
      <c r="BB42" s="23">
        <v>2.84E-11</v>
      </c>
      <c r="BC42" s="20">
        <v>22</v>
      </c>
      <c r="BD42" s="27">
        <v>1.1622196758880341E-9</v>
      </c>
      <c r="BE42" s="20">
        <v>253</v>
      </c>
      <c r="BF42" s="20">
        <v>11</v>
      </c>
      <c r="BG42" s="23">
        <v>4.4999999999999998E-9</v>
      </c>
      <c r="BH42" s="26">
        <v>3.51</v>
      </c>
      <c r="BI42" s="34">
        <v>16</v>
      </c>
      <c r="BJ42" s="19">
        <v>724</v>
      </c>
      <c r="BK42" s="20" t="s">
        <v>467</v>
      </c>
      <c r="BL42" s="20">
        <v>132.5</v>
      </c>
      <c r="BM42" s="20">
        <v>17</v>
      </c>
      <c r="BN42" s="22"/>
      <c r="BO42" s="49">
        <f t="shared" si="19"/>
        <v>1.2583457886902842E-2</v>
      </c>
      <c r="BP42" s="24"/>
      <c r="BQ42" s="24"/>
      <c r="BR42" s="44"/>
      <c r="BS42" s="44">
        <f t="shared" si="13"/>
        <v>1000</v>
      </c>
      <c r="BT42" s="44" t="str">
        <f t="shared" si="7"/>
        <v>Ceiling (High)</v>
      </c>
      <c r="BU42" s="44"/>
      <c r="BV42" s="44">
        <f t="shared" si="14"/>
        <v>3000</v>
      </c>
      <c r="BW42" s="44" t="str">
        <f t="shared" si="8"/>
        <v>Ceiling (High)</v>
      </c>
      <c r="BX42" s="44"/>
      <c r="BY42" s="44">
        <f t="shared" si="15"/>
        <v>5000</v>
      </c>
      <c r="BZ42" s="44" t="str">
        <f t="shared" si="9"/>
        <v>Ceiling (High)</v>
      </c>
      <c r="CA42" s="44">
        <v>50000</v>
      </c>
      <c r="CB42" s="45" t="s">
        <v>0</v>
      </c>
      <c r="CC42" s="325"/>
    </row>
    <row r="43" spans="1:81" s="26" customFormat="1" x14ac:dyDescent="0.2">
      <c r="A43" s="371" t="s">
        <v>149</v>
      </c>
      <c r="B43" s="52" t="s">
        <v>148</v>
      </c>
      <c r="C43" s="72">
        <v>42923</v>
      </c>
      <c r="D43" s="48">
        <v>5.0000000000000001E-4</v>
      </c>
      <c r="E43" s="20" t="s">
        <v>82</v>
      </c>
      <c r="F43" s="48">
        <v>5.0000000000000001E-4</v>
      </c>
      <c r="G43" s="20" t="s">
        <v>339</v>
      </c>
      <c r="H43" s="49">
        <v>1.8E-3</v>
      </c>
      <c r="I43" s="20" t="s">
        <v>475</v>
      </c>
      <c r="J43" s="49">
        <v>1.8E-3</v>
      </c>
      <c r="K43" s="20" t="s">
        <v>488</v>
      </c>
      <c r="L43" s="49">
        <v>0.24</v>
      </c>
      <c r="M43" s="21" t="s">
        <v>15</v>
      </c>
      <c r="N43" s="21">
        <v>1</v>
      </c>
      <c r="O43" s="49">
        <v>6.8571428571428567E-5</v>
      </c>
      <c r="P43" s="20" t="s">
        <v>474</v>
      </c>
      <c r="Q43" s="40">
        <v>1</v>
      </c>
      <c r="R43" s="40" t="s">
        <v>504</v>
      </c>
      <c r="S43" s="40">
        <v>0.03</v>
      </c>
      <c r="T43" s="40" t="s">
        <v>504</v>
      </c>
      <c r="U43" s="40">
        <v>1</v>
      </c>
      <c r="V43" s="40" t="s">
        <v>504</v>
      </c>
      <c r="W43" s="40">
        <v>0.03</v>
      </c>
      <c r="X43" s="40" t="s">
        <v>504</v>
      </c>
      <c r="Y43" s="40">
        <v>1</v>
      </c>
      <c r="Z43" s="40" t="s">
        <v>504</v>
      </c>
      <c r="AA43" s="40">
        <v>0.03</v>
      </c>
      <c r="AB43" s="40" t="s">
        <v>504</v>
      </c>
      <c r="AC43" s="42">
        <v>1</v>
      </c>
      <c r="AD43" s="42">
        <v>9</v>
      </c>
      <c r="AE43" s="42">
        <v>1</v>
      </c>
      <c r="AF43" s="42">
        <v>9</v>
      </c>
      <c r="AG43" s="42">
        <v>1</v>
      </c>
      <c r="AH43" s="42">
        <v>9</v>
      </c>
      <c r="AI43" s="62"/>
      <c r="AJ43" s="20"/>
      <c r="AK43" s="66">
        <v>0.9</v>
      </c>
      <c r="AL43" s="66">
        <v>0.6</v>
      </c>
      <c r="AM43" s="62"/>
      <c r="AN43" s="62"/>
      <c r="AO43" s="43">
        <f>VLOOKUP(A43,[1]!IABKGRD,7,FALSE)</f>
        <v>0</v>
      </c>
      <c r="AS43" s="20"/>
      <c r="AU43" s="47">
        <f t="shared" si="12"/>
        <v>0</v>
      </c>
      <c r="AV43" s="20"/>
      <c r="AW43" s="49">
        <f t="shared" si="16"/>
        <v>0</v>
      </c>
      <c r="AX43" s="26">
        <f t="shared" si="17"/>
        <v>7.3699999999999998E-3</v>
      </c>
      <c r="AY43" s="26">
        <f t="shared" si="18"/>
        <v>1.2500000000000001E-2</v>
      </c>
      <c r="AZ43" s="23">
        <v>90</v>
      </c>
      <c r="BA43" s="20">
        <v>22</v>
      </c>
      <c r="BB43" s="23">
        <v>6.6000000000000003E-6</v>
      </c>
      <c r="BC43" s="20">
        <v>22</v>
      </c>
      <c r="BD43" s="27">
        <v>2.7009330495989523E-4</v>
      </c>
      <c r="BE43" s="20">
        <v>320</v>
      </c>
      <c r="BF43" s="20">
        <v>13</v>
      </c>
      <c r="BG43" s="23">
        <v>9.9999999999999995E-7</v>
      </c>
      <c r="BH43" s="26">
        <v>6.02</v>
      </c>
      <c r="BI43" s="34">
        <v>16</v>
      </c>
      <c r="BJ43" s="19">
        <v>45800</v>
      </c>
      <c r="BK43" s="20" t="s">
        <v>466</v>
      </c>
      <c r="BL43" s="20">
        <v>109.5</v>
      </c>
      <c r="BM43" s="20">
        <v>17</v>
      </c>
      <c r="BN43" s="22"/>
      <c r="BO43" s="49">
        <f t="shared" si="19"/>
        <v>0.24054703049880952</v>
      </c>
      <c r="BP43" s="24"/>
      <c r="BQ43" s="24"/>
      <c r="BR43" s="44"/>
      <c r="BS43" s="44">
        <f t="shared" si="13"/>
        <v>1000</v>
      </c>
      <c r="BT43" s="44" t="str">
        <f t="shared" si="7"/>
        <v>Ceiling (High)</v>
      </c>
      <c r="BU43" s="44"/>
      <c r="BV43" s="44">
        <f t="shared" si="14"/>
        <v>3000</v>
      </c>
      <c r="BW43" s="44" t="str">
        <f t="shared" si="8"/>
        <v>Ceiling (High)</v>
      </c>
      <c r="BX43" s="44"/>
      <c r="BY43" s="44">
        <f t="shared" si="15"/>
        <v>5000</v>
      </c>
      <c r="BZ43" s="44" t="str">
        <f t="shared" si="9"/>
        <v>Ceiling (High)</v>
      </c>
      <c r="CA43" s="44">
        <v>50000</v>
      </c>
      <c r="CB43" s="45" t="s">
        <v>0</v>
      </c>
      <c r="CC43" s="325"/>
    </row>
    <row r="44" spans="1:81" s="26" customFormat="1" ht="20" x14ac:dyDescent="0.2">
      <c r="A44" s="371" t="s">
        <v>147</v>
      </c>
      <c r="B44" s="52" t="s">
        <v>146</v>
      </c>
      <c r="C44" s="72">
        <v>42923</v>
      </c>
      <c r="D44" s="48">
        <v>5.0000000000000001E-4</v>
      </c>
      <c r="E44" s="20" t="s">
        <v>82</v>
      </c>
      <c r="F44" s="48">
        <v>5.0000000000000001E-4</v>
      </c>
      <c r="G44" s="20" t="s">
        <v>339</v>
      </c>
      <c r="H44" s="49">
        <v>1.8E-3</v>
      </c>
      <c r="I44" s="20" t="s">
        <v>475</v>
      </c>
      <c r="J44" s="49">
        <v>1.8E-3</v>
      </c>
      <c r="K44" s="20" t="s">
        <v>488</v>
      </c>
      <c r="L44" s="49">
        <v>0.34</v>
      </c>
      <c r="M44" s="21" t="s">
        <v>15</v>
      </c>
      <c r="N44" s="21">
        <v>1</v>
      </c>
      <c r="O44" s="49">
        <v>9.7142857142857165E-5</v>
      </c>
      <c r="P44" s="20" t="s">
        <v>474</v>
      </c>
      <c r="Q44" s="40">
        <v>1</v>
      </c>
      <c r="R44" s="40" t="s">
        <v>504</v>
      </c>
      <c r="S44" s="40">
        <v>0.03</v>
      </c>
      <c r="T44" s="40" t="s">
        <v>504</v>
      </c>
      <c r="U44" s="40">
        <v>1</v>
      </c>
      <c r="V44" s="40" t="s">
        <v>504</v>
      </c>
      <c r="W44" s="40">
        <v>0.03</v>
      </c>
      <c r="X44" s="40" t="s">
        <v>504</v>
      </c>
      <c r="Y44" s="40">
        <v>1</v>
      </c>
      <c r="Z44" s="40" t="s">
        <v>504</v>
      </c>
      <c r="AA44" s="40">
        <v>0.03</v>
      </c>
      <c r="AB44" s="40" t="s">
        <v>504</v>
      </c>
      <c r="AC44" s="42">
        <v>1</v>
      </c>
      <c r="AD44" s="42">
        <v>9</v>
      </c>
      <c r="AE44" s="42">
        <v>1</v>
      </c>
      <c r="AF44" s="42">
        <v>9</v>
      </c>
      <c r="AG44" s="42">
        <v>1</v>
      </c>
      <c r="AH44" s="42">
        <v>9</v>
      </c>
      <c r="AI44" s="62"/>
      <c r="AJ44" s="20"/>
      <c r="AK44" s="66">
        <v>0.9</v>
      </c>
      <c r="AL44" s="66">
        <v>0.6</v>
      </c>
      <c r="AM44" s="62"/>
      <c r="AN44" s="62"/>
      <c r="AO44" s="43">
        <f>VLOOKUP(A44,[1]!IABKGRD,7,FALSE)</f>
        <v>0</v>
      </c>
      <c r="AS44" s="20"/>
      <c r="AU44" s="47">
        <f t="shared" si="12"/>
        <v>0</v>
      </c>
      <c r="AV44" s="20"/>
      <c r="AW44" s="49">
        <f t="shared" si="16"/>
        <v>0</v>
      </c>
      <c r="AX44" s="26">
        <f t="shared" si="17"/>
        <v>2.6800000000000001E-3</v>
      </c>
      <c r="AY44" s="26">
        <f t="shared" si="18"/>
        <v>0.05</v>
      </c>
      <c r="AZ44" s="23">
        <v>40</v>
      </c>
      <c r="BA44" s="20">
        <v>22</v>
      </c>
      <c r="BB44" s="23">
        <v>4.1600000000000002E-5</v>
      </c>
      <c r="BC44" s="20">
        <v>22</v>
      </c>
      <c r="BD44" s="27">
        <v>1.7024062858078247E-3</v>
      </c>
      <c r="BE44" s="20">
        <v>318</v>
      </c>
      <c r="BF44" s="20">
        <v>13</v>
      </c>
      <c r="BG44" s="23">
        <v>6.4999999999999996E-6</v>
      </c>
      <c r="BH44" s="26">
        <v>6.51</v>
      </c>
      <c r="BI44" s="34">
        <v>16</v>
      </c>
      <c r="BJ44" s="19">
        <v>86400</v>
      </c>
      <c r="BK44" s="20" t="s">
        <v>466</v>
      </c>
      <c r="BL44" s="20">
        <v>89</v>
      </c>
      <c r="BM44" s="20">
        <v>17</v>
      </c>
      <c r="BN44" s="22"/>
      <c r="BO44" s="49">
        <f t="shared" si="19"/>
        <v>0.51975658465836161</v>
      </c>
      <c r="BP44" s="24"/>
      <c r="BQ44" s="24"/>
      <c r="BR44" s="44"/>
      <c r="BS44" s="44">
        <f t="shared" si="13"/>
        <v>1000</v>
      </c>
      <c r="BT44" s="44" t="str">
        <f t="shared" si="7"/>
        <v>Ceiling (High)</v>
      </c>
      <c r="BU44" s="44"/>
      <c r="BV44" s="44">
        <f t="shared" si="14"/>
        <v>3000</v>
      </c>
      <c r="BW44" s="44" t="str">
        <f t="shared" si="8"/>
        <v>Ceiling (High)</v>
      </c>
      <c r="BX44" s="44"/>
      <c r="BY44" s="44">
        <f t="shared" si="15"/>
        <v>5000</v>
      </c>
      <c r="BZ44" s="44" t="str">
        <f t="shared" si="9"/>
        <v>Ceiling (High)</v>
      </c>
      <c r="CA44" s="44">
        <v>50000</v>
      </c>
      <c r="CB44" s="45" t="s">
        <v>0</v>
      </c>
      <c r="CC44" s="325"/>
    </row>
    <row r="45" spans="1:81" s="26" customFormat="1" ht="20" x14ac:dyDescent="0.2">
      <c r="A45" s="371" t="s">
        <v>145</v>
      </c>
      <c r="B45" s="52" t="s">
        <v>144</v>
      </c>
      <c r="C45" s="72">
        <v>42923</v>
      </c>
      <c r="D45" s="48">
        <v>5.0000000000000001E-4</v>
      </c>
      <c r="E45" s="20">
        <v>1</v>
      </c>
      <c r="F45" s="48">
        <v>5.0000000000000001E-4</v>
      </c>
      <c r="G45" s="20">
        <v>2</v>
      </c>
      <c r="H45" s="49">
        <v>1.8E-3</v>
      </c>
      <c r="I45" s="20" t="s">
        <v>475</v>
      </c>
      <c r="J45" s="49">
        <v>1.8E-3</v>
      </c>
      <c r="K45" s="20" t="s">
        <v>488</v>
      </c>
      <c r="L45" s="49">
        <v>0.34</v>
      </c>
      <c r="M45" s="21" t="s">
        <v>15</v>
      </c>
      <c r="N45" s="21">
        <v>1</v>
      </c>
      <c r="O45" s="49">
        <v>9.7E-5</v>
      </c>
      <c r="P45" s="20">
        <v>1</v>
      </c>
      <c r="Q45" s="40">
        <v>1</v>
      </c>
      <c r="R45" s="40" t="s">
        <v>504</v>
      </c>
      <c r="S45" s="40">
        <v>0.03</v>
      </c>
      <c r="T45" s="40" t="s">
        <v>504</v>
      </c>
      <c r="U45" s="40">
        <v>1</v>
      </c>
      <c r="V45" s="40" t="s">
        <v>504</v>
      </c>
      <c r="W45" s="40">
        <v>0.03</v>
      </c>
      <c r="X45" s="40" t="s">
        <v>504</v>
      </c>
      <c r="Y45" s="40">
        <v>1</v>
      </c>
      <c r="Z45" s="40" t="s">
        <v>504</v>
      </c>
      <c r="AA45" s="40">
        <v>0.03</v>
      </c>
      <c r="AB45" s="40" t="s">
        <v>504</v>
      </c>
      <c r="AC45" s="42">
        <v>1</v>
      </c>
      <c r="AD45" s="42">
        <v>9</v>
      </c>
      <c r="AE45" s="42">
        <v>1</v>
      </c>
      <c r="AF45" s="42">
        <v>9</v>
      </c>
      <c r="AG45" s="42">
        <v>1</v>
      </c>
      <c r="AH45" s="42">
        <v>9</v>
      </c>
      <c r="AI45" s="62"/>
      <c r="AJ45" s="20"/>
      <c r="AK45" s="66">
        <v>0.9</v>
      </c>
      <c r="AL45" s="66">
        <v>0.6</v>
      </c>
      <c r="AM45" s="62"/>
      <c r="AN45" s="62"/>
      <c r="AO45" s="43">
        <f>VLOOKUP(A45,[1]!IABKGRD,7,FALSE)</f>
        <v>0</v>
      </c>
      <c r="AR45" s="26">
        <v>350</v>
      </c>
      <c r="AS45" s="20">
        <v>13</v>
      </c>
      <c r="AU45" s="47">
        <f t="shared" si="12"/>
        <v>0</v>
      </c>
      <c r="AV45" s="20"/>
      <c r="AW45" s="49">
        <f t="shared" si="16"/>
        <v>0</v>
      </c>
      <c r="AX45" s="26">
        <f t="shared" si="17"/>
        <v>8.0399999999999985E-3</v>
      </c>
      <c r="AY45" s="26">
        <f t="shared" si="18"/>
        <v>0.3</v>
      </c>
      <c r="AZ45" s="23">
        <v>5.5</v>
      </c>
      <c r="BA45" s="20">
        <v>22</v>
      </c>
      <c r="BB45" s="23">
        <v>8.32E-6</v>
      </c>
      <c r="BC45" s="20">
        <v>22</v>
      </c>
      <c r="BD45" s="27">
        <v>3.4048125716156489E-4</v>
      </c>
      <c r="BE45" s="20">
        <v>354</v>
      </c>
      <c r="BF45" s="20">
        <v>13</v>
      </c>
      <c r="BG45" s="23">
        <v>1.4999999999999999E-7</v>
      </c>
      <c r="BH45" s="26">
        <v>6.91</v>
      </c>
      <c r="BI45" s="34">
        <v>16</v>
      </c>
      <c r="BJ45" s="19">
        <v>618000</v>
      </c>
      <c r="BK45" s="20" t="s">
        <v>466</v>
      </c>
      <c r="BL45" s="20">
        <v>108.5</v>
      </c>
      <c r="BM45" s="20">
        <v>17</v>
      </c>
      <c r="BN45" s="22"/>
      <c r="BO45" s="49">
        <f t="shared" si="19"/>
        <v>0.6000673538641168</v>
      </c>
      <c r="BP45" s="24"/>
      <c r="BQ45" s="24"/>
      <c r="BR45" s="44"/>
      <c r="BS45" s="44">
        <f t="shared" si="13"/>
        <v>1000</v>
      </c>
      <c r="BT45" s="44" t="str">
        <f t="shared" si="7"/>
        <v>Ceiling (High)</v>
      </c>
      <c r="BU45" s="44"/>
      <c r="BV45" s="44">
        <f t="shared" si="14"/>
        <v>3000</v>
      </c>
      <c r="BW45" s="44" t="str">
        <f t="shared" si="8"/>
        <v>Ceiling (High)</v>
      </c>
      <c r="BX45" s="44"/>
      <c r="BY45" s="44">
        <f t="shared" si="15"/>
        <v>5000</v>
      </c>
      <c r="BZ45" s="44" t="str">
        <f t="shared" si="9"/>
        <v>Ceiling (High)</v>
      </c>
      <c r="CA45" s="44">
        <v>50000</v>
      </c>
      <c r="CB45" s="45" t="s">
        <v>0</v>
      </c>
      <c r="CC45" s="325"/>
    </row>
    <row r="46" spans="1:81" s="26" customFormat="1" x14ac:dyDescent="0.2">
      <c r="A46" s="371" t="s">
        <v>143</v>
      </c>
      <c r="B46" s="52" t="s">
        <v>142</v>
      </c>
      <c r="C46" s="72">
        <v>42922</v>
      </c>
      <c r="D46" s="48">
        <v>0.2</v>
      </c>
      <c r="E46" s="20">
        <v>6</v>
      </c>
      <c r="F46" s="48">
        <v>2</v>
      </c>
      <c r="G46" s="20">
        <v>6</v>
      </c>
      <c r="H46" s="49">
        <v>0.8</v>
      </c>
      <c r="I46" s="20" t="s">
        <v>475</v>
      </c>
      <c r="J46" s="49">
        <v>8</v>
      </c>
      <c r="K46" s="20" t="s">
        <v>475</v>
      </c>
      <c r="L46" s="49"/>
      <c r="M46" s="20" t="s">
        <v>23</v>
      </c>
      <c r="N46" s="20">
        <v>1</v>
      </c>
      <c r="O46" s="49"/>
      <c r="P46" s="20"/>
      <c r="Q46" s="40">
        <v>1</v>
      </c>
      <c r="R46" s="40" t="s">
        <v>504</v>
      </c>
      <c r="S46" s="40">
        <v>0.03</v>
      </c>
      <c r="T46" s="40" t="s">
        <v>504</v>
      </c>
      <c r="U46" s="40">
        <v>1</v>
      </c>
      <c r="V46" s="40" t="s">
        <v>504</v>
      </c>
      <c r="W46" s="40">
        <v>0.03</v>
      </c>
      <c r="X46" s="40" t="s">
        <v>504</v>
      </c>
      <c r="Y46" s="40" t="s">
        <v>1</v>
      </c>
      <c r="Z46" s="40"/>
      <c r="AA46" s="40" t="s">
        <v>1</v>
      </c>
      <c r="AB46" s="40"/>
      <c r="AC46" s="42">
        <v>1</v>
      </c>
      <c r="AD46" s="42">
        <v>9</v>
      </c>
      <c r="AE46" s="42">
        <v>1</v>
      </c>
      <c r="AF46" s="42">
        <v>9</v>
      </c>
      <c r="AG46" s="42"/>
      <c r="AH46" s="42"/>
      <c r="AI46" s="62"/>
      <c r="AJ46" s="20"/>
      <c r="AK46" s="66">
        <v>0.75</v>
      </c>
      <c r="AL46" s="66" t="s">
        <v>1</v>
      </c>
      <c r="AM46" s="62"/>
      <c r="AN46" s="62"/>
      <c r="AO46" s="43">
        <f>VLOOKUP(A46,[1]!IABKGRD,7,FALSE)</f>
        <v>0</v>
      </c>
      <c r="AS46" s="20"/>
      <c r="AT46" s="26">
        <v>125000</v>
      </c>
      <c r="AU46" s="47">
        <f t="shared" si="12"/>
        <v>30.872830872830868</v>
      </c>
      <c r="AV46" s="20">
        <v>13</v>
      </c>
      <c r="AW46" s="49">
        <f t="shared" si="16"/>
        <v>7.5794798657718134</v>
      </c>
      <c r="AX46" s="26">
        <f t="shared" si="17"/>
        <v>0.1</v>
      </c>
      <c r="AY46" s="26">
        <f t="shared" si="18"/>
        <v>1</v>
      </c>
      <c r="AZ46" s="23">
        <v>5040000</v>
      </c>
      <c r="BA46" s="20">
        <v>22</v>
      </c>
      <c r="BB46" s="23">
        <v>5.62E-3</v>
      </c>
      <c r="BC46" s="20">
        <v>22</v>
      </c>
      <c r="BD46" s="27">
        <v>0.22998854149615322</v>
      </c>
      <c r="BE46" s="20">
        <v>99</v>
      </c>
      <c r="BF46" s="20">
        <v>13</v>
      </c>
      <c r="BG46" s="26">
        <v>234</v>
      </c>
      <c r="BH46" s="26">
        <v>1.79</v>
      </c>
      <c r="BI46" s="34">
        <v>16</v>
      </c>
      <c r="BJ46" s="19">
        <v>53.4</v>
      </c>
      <c r="BK46" s="20" t="s">
        <v>466</v>
      </c>
      <c r="BL46" s="20">
        <v>-96.9</v>
      </c>
      <c r="BM46" s="20">
        <v>17</v>
      </c>
      <c r="BN46" s="22"/>
      <c r="BO46" s="49">
        <f t="shared" si="19"/>
        <v>6.7142885292595178E-3</v>
      </c>
      <c r="BP46" s="24"/>
      <c r="BQ46" s="24"/>
      <c r="BR46" s="44"/>
      <c r="BS46" s="44">
        <f t="shared" si="13"/>
        <v>500</v>
      </c>
      <c r="BT46" s="44" t="str">
        <f t="shared" si="7"/>
        <v>Ceiling (Medium)</v>
      </c>
      <c r="BU46" s="44"/>
      <c r="BV46" s="44">
        <f t="shared" si="14"/>
        <v>1000</v>
      </c>
      <c r="BW46" s="44" t="str">
        <f t="shared" si="8"/>
        <v>Ceiling (Medium)</v>
      </c>
      <c r="BX46" s="44"/>
      <c r="BY46" s="44">
        <f t="shared" si="15"/>
        <v>3000</v>
      </c>
      <c r="BZ46" s="44" t="str">
        <f t="shared" si="9"/>
        <v>Ceiling (Medium)</v>
      </c>
      <c r="CA46" s="44">
        <v>50000</v>
      </c>
      <c r="CB46" s="45" t="s">
        <v>0</v>
      </c>
      <c r="CC46" s="325"/>
    </row>
    <row r="47" spans="1:81" s="26" customFormat="1" x14ac:dyDescent="0.2">
      <c r="A47" s="371" t="s">
        <v>141</v>
      </c>
      <c r="B47" s="52" t="s">
        <v>140</v>
      </c>
      <c r="C47" s="72">
        <v>42922</v>
      </c>
      <c r="D47" s="48">
        <v>0.02</v>
      </c>
      <c r="E47" s="20">
        <v>4</v>
      </c>
      <c r="F47" s="48">
        <v>0.02</v>
      </c>
      <c r="G47" s="20">
        <v>6</v>
      </c>
      <c r="H47" s="49">
        <v>7.0000000000000001E-3</v>
      </c>
      <c r="I47" s="20">
        <v>6</v>
      </c>
      <c r="J47" s="49">
        <v>7.0000000000000007E-2</v>
      </c>
      <c r="K47" s="20">
        <v>6</v>
      </c>
      <c r="L47" s="49">
        <v>9.0999999999999998E-2</v>
      </c>
      <c r="M47" s="20" t="s">
        <v>15</v>
      </c>
      <c r="N47" s="20">
        <v>1</v>
      </c>
      <c r="O47" s="49">
        <v>2.5999999999999998E-5</v>
      </c>
      <c r="P47" s="20">
        <v>1</v>
      </c>
      <c r="Q47" s="40">
        <v>1</v>
      </c>
      <c r="R47" s="40" t="s">
        <v>504</v>
      </c>
      <c r="S47" s="40">
        <v>0.03</v>
      </c>
      <c r="T47" s="40" t="s">
        <v>504</v>
      </c>
      <c r="U47" s="40">
        <v>1</v>
      </c>
      <c r="V47" s="40" t="s">
        <v>504</v>
      </c>
      <c r="W47" s="40">
        <v>0.03</v>
      </c>
      <c r="X47" s="40" t="s">
        <v>504</v>
      </c>
      <c r="Y47" s="40">
        <v>1</v>
      </c>
      <c r="Z47" s="40" t="s">
        <v>504</v>
      </c>
      <c r="AA47" s="40">
        <v>0.03</v>
      </c>
      <c r="AB47" s="40" t="s">
        <v>504</v>
      </c>
      <c r="AC47" s="42">
        <v>1</v>
      </c>
      <c r="AD47" s="42">
        <v>9</v>
      </c>
      <c r="AE47" s="42">
        <v>1</v>
      </c>
      <c r="AF47" s="42">
        <v>9</v>
      </c>
      <c r="AG47" s="42">
        <v>1</v>
      </c>
      <c r="AH47" s="42">
        <v>9</v>
      </c>
      <c r="AI47" s="62"/>
      <c r="AJ47" s="20"/>
      <c r="AK47" s="66">
        <v>1</v>
      </c>
      <c r="AL47" s="66">
        <v>1</v>
      </c>
      <c r="AM47" s="62"/>
      <c r="AN47" s="62"/>
      <c r="AO47" s="43">
        <f>VLOOKUP(A47,[1]!IABKGRD,7,FALSE)</f>
        <v>0</v>
      </c>
      <c r="AR47" s="26">
        <v>20000</v>
      </c>
      <c r="AS47" s="20">
        <v>13</v>
      </c>
      <c r="AT47" s="26">
        <v>2424</v>
      </c>
      <c r="AU47" s="47">
        <f t="shared" si="12"/>
        <v>0.59868593628593625</v>
      </c>
      <c r="AV47" s="20">
        <v>13</v>
      </c>
      <c r="AW47" s="49">
        <f t="shared" si="16"/>
        <v>131.95566358229783</v>
      </c>
      <c r="AX47" s="26">
        <f t="shared" si="17"/>
        <v>0.1</v>
      </c>
      <c r="AY47" s="26">
        <f t="shared" si="18"/>
        <v>1</v>
      </c>
      <c r="AZ47" s="23">
        <v>8600000</v>
      </c>
      <c r="BA47" s="20">
        <v>22</v>
      </c>
      <c r="BB47" s="23">
        <v>1.1800000000000001E-3</v>
      </c>
      <c r="BC47" s="20">
        <v>22</v>
      </c>
      <c r="BD47" s="27">
        <v>4.8289409068587336E-2</v>
      </c>
      <c r="BE47" s="20">
        <v>99</v>
      </c>
      <c r="BF47" s="20">
        <v>13</v>
      </c>
      <c r="BG47" s="26">
        <v>79</v>
      </c>
      <c r="BH47" s="26">
        <v>1</v>
      </c>
      <c r="BI47" s="34">
        <v>16</v>
      </c>
      <c r="BJ47" s="19">
        <v>38</v>
      </c>
      <c r="BK47" s="20" t="s">
        <v>466</v>
      </c>
      <c r="BL47" s="20">
        <v>-35.5</v>
      </c>
      <c r="BM47" s="20">
        <v>17</v>
      </c>
      <c r="BN47" s="22"/>
      <c r="BO47" s="49">
        <f t="shared" si="19"/>
        <v>2.0211567669607537E-3</v>
      </c>
      <c r="BP47" s="24"/>
      <c r="BQ47" s="24"/>
      <c r="BR47" s="44"/>
      <c r="BS47" s="44">
        <f t="shared" si="13"/>
        <v>100</v>
      </c>
      <c r="BT47" s="44" t="str">
        <f t="shared" si="7"/>
        <v>Ceiling (Low)</v>
      </c>
      <c r="BU47" s="44"/>
      <c r="BV47" s="44">
        <f t="shared" si="14"/>
        <v>500</v>
      </c>
      <c r="BW47" s="44" t="str">
        <f t="shared" si="8"/>
        <v>Ceiling (Low)</v>
      </c>
      <c r="BX47" s="44"/>
      <c r="BY47" s="44">
        <f t="shared" si="15"/>
        <v>1000</v>
      </c>
      <c r="BZ47" s="44" t="str">
        <f t="shared" si="9"/>
        <v>Ceiling (Low)</v>
      </c>
      <c r="CA47" s="44">
        <v>50000</v>
      </c>
      <c r="CB47" s="45" t="s">
        <v>0</v>
      </c>
      <c r="CC47" s="325"/>
    </row>
    <row r="48" spans="1:81" s="26" customFormat="1" x14ac:dyDescent="0.2">
      <c r="A48" s="371" t="s">
        <v>139</v>
      </c>
      <c r="B48" s="52" t="s">
        <v>138</v>
      </c>
      <c r="C48" s="72">
        <v>42922</v>
      </c>
      <c r="D48" s="48">
        <v>0.05</v>
      </c>
      <c r="E48" s="20">
        <v>1</v>
      </c>
      <c r="F48" s="48">
        <v>0.05</v>
      </c>
      <c r="G48" s="20" t="s">
        <v>188</v>
      </c>
      <c r="H48" s="49">
        <v>0.2</v>
      </c>
      <c r="I48" s="20">
        <v>1</v>
      </c>
      <c r="J48" s="49">
        <v>0.2</v>
      </c>
      <c r="K48" s="20" t="s">
        <v>204</v>
      </c>
      <c r="L48" s="49"/>
      <c r="M48" s="20" t="s">
        <v>23</v>
      </c>
      <c r="N48" s="20">
        <v>1</v>
      </c>
      <c r="O48" s="49"/>
      <c r="P48" s="20">
        <v>1</v>
      </c>
      <c r="Q48" s="40">
        <v>1</v>
      </c>
      <c r="R48" s="40" t="s">
        <v>504</v>
      </c>
      <c r="S48" s="40">
        <v>0.03</v>
      </c>
      <c r="T48" s="40" t="s">
        <v>504</v>
      </c>
      <c r="U48" s="40">
        <v>1</v>
      </c>
      <c r="V48" s="40" t="s">
        <v>504</v>
      </c>
      <c r="W48" s="40">
        <v>0.03</v>
      </c>
      <c r="X48" s="40" t="s">
        <v>504</v>
      </c>
      <c r="Y48" s="40" t="s">
        <v>1</v>
      </c>
      <c r="Z48" s="40"/>
      <c r="AA48" s="40" t="s">
        <v>1</v>
      </c>
      <c r="AB48" s="40"/>
      <c r="AC48" s="42">
        <v>1</v>
      </c>
      <c r="AD48" s="42">
        <v>9</v>
      </c>
      <c r="AE48" s="42">
        <v>1</v>
      </c>
      <c r="AF48" s="42">
        <v>9</v>
      </c>
      <c r="AG48" s="42"/>
      <c r="AH48" s="42"/>
      <c r="AI48" s="62"/>
      <c r="AJ48" s="20"/>
      <c r="AK48" s="66">
        <v>1</v>
      </c>
      <c r="AL48" s="66">
        <v>0.98</v>
      </c>
      <c r="AM48" s="62"/>
      <c r="AN48" s="62"/>
      <c r="AO48" s="43">
        <f>VLOOKUP(A48,[1]!IABKGRD,7,FALSE)</f>
        <v>0</v>
      </c>
      <c r="AS48" s="20"/>
      <c r="AT48" s="26">
        <v>125000</v>
      </c>
      <c r="AU48" s="47">
        <f t="shared" si="12"/>
        <v>31.509384086703669</v>
      </c>
      <c r="AV48" s="20">
        <v>13</v>
      </c>
      <c r="AW48" s="49">
        <f t="shared" si="16"/>
        <v>18.756317114093964</v>
      </c>
      <c r="AX48" s="26">
        <f t="shared" si="17"/>
        <v>0.1</v>
      </c>
      <c r="AY48" s="26">
        <f t="shared" si="18"/>
        <v>1</v>
      </c>
      <c r="AZ48" s="23">
        <v>2420000</v>
      </c>
      <c r="BA48" s="20">
        <v>22</v>
      </c>
      <c r="BB48" s="23">
        <v>2.6100000000000002E-2</v>
      </c>
      <c r="BC48" s="20">
        <v>22</v>
      </c>
      <c r="BD48" s="27">
        <v>1.0680962514323131</v>
      </c>
      <c r="BE48" s="20">
        <v>97</v>
      </c>
      <c r="BF48" s="20">
        <v>13</v>
      </c>
      <c r="BG48" s="26">
        <v>591</v>
      </c>
      <c r="BH48" s="26">
        <v>1.48</v>
      </c>
      <c r="BI48" s="34">
        <v>16</v>
      </c>
      <c r="BJ48" s="19">
        <v>65</v>
      </c>
      <c r="BK48" s="20" t="s">
        <v>466</v>
      </c>
      <c r="BL48" s="20">
        <v>-122.5</v>
      </c>
      <c r="BM48" s="20">
        <v>17</v>
      </c>
      <c r="BN48" s="22"/>
      <c r="BO48" s="49">
        <f t="shared" si="19"/>
        <v>4.3013026338213599E-3</v>
      </c>
      <c r="BP48" s="24"/>
      <c r="BQ48" s="24"/>
      <c r="BR48" s="44"/>
      <c r="BS48" s="44">
        <f t="shared" si="13"/>
        <v>500</v>
      </c>
      <c r="BT48" s="44" t="str">
        <f t="shared" si="7"/>
        <v>Ceiling (Medium)</v>
      </c>
      <c r="BU48" s="44"/>
      <c r="BV48" s="44">
        <f t="shared" si="14"/>
        <v>1000</v>
      </c>
      <c r="BW48" s="44" t="str">
        <f t="shared" si="8"/>
        <v>Ceiling (Medium)</v>
      </c>
      <c r="BX48" s="44"/>
      <c r="BY48" s="44">
        <f t="shared" si="15"/>
        <v>3000</v>
      </c>
      <c r="BZ48" s="44" t="str">
        <f t="shared" si="9"/>
        <v>Ceiling (Medium)</v>
      </c>
      <c r="CA48" s="44">
        <v>50000</v>
      </c>
      <c r="CB48" s="45" t="s">
        <v>0</v>
      </c>
      <c r="CC48" s="325"/>
    </row>
    <row r="49" spans="1:81" s="26" customFormat="1" ht="10.5" x14ac:dyDescent="0.25">
      <c r="A49" s="371" t="s">
        <v>137</v>
      </c>
      <c r="B49" s="52" t="s">
        <v>136</v>
      </c>
      <c r="C49" s="72">
        <v>42922</v>
      </c>
      <c r="D49" s="48">
        <v>2E-3</v>
      </c>
      <c r="E49" s="20">
        <v>1</v>
      </c>
      <c r="F49" s="48">
        <v>0.02</v>
      </c>
      <c r="G49" s="20">
        <v>6</v>
      </c>
      <c r="H49" s="77">
        <v>7.0000000000000001E-3</v>
      </c>
      <c r="I49" s="20" t="s">
        <v>475</v>
      </c>
      <c r="J49" s="77">
        <v>7.0000000000000007E-2</v>
      </c>
      <c r="K49" s="20" t="s">
        <v>475</v>
      </c>
      <c r="L49" s="49"/>
      <c r="M49" s="21" t="s">
        <v>2</v>
      </c>
      <c r="N49" s="21">
        <v>1</v>
      </c>
      <c r="O49" s="49"/>
      <c r="P49" s="20"/>
      <c r="Q49" s="40">
        <v>1</v>
      </c>
      <c r="R49" s="40" t="s">
        <v>504</v>
      </c>
      <c r="S49" s="40">
        <v>0.03</v>
      </c>
      <c r="T49" s="40" t="s">
        <v>504</v>
      </c>
      <c r="U49" s="40">
        <v>1</v>
      </c>
      <c r="V49" s="40" t="s">
        <v>504</v>
      </c>
      <c r="W49" s="40">
        <v>0.03</v>
      </c>
      <c r="X49" s="40" t="s">
        <v>504</v>
      </c>
      <c r="Y49" s="40" t="s">
        <v>1</v>
      </c>
      <c r="Z49" s="40"/>
      <c r="AA49" s="40" t="s">
        <v>1</v>
      </c>
      <c r="AB49" s="40"/>
      <c r="AC49" s="42">
        <v>1</v>
      </c>
      <c r="AD49" s="42">
        <v>9</v>
      </c>
      <c r="AE49" s="42">
        <v>1</v>
      </c>
      <c r="AF49" s="42">
        <v>9</v>
      </c>
      <c r="AG49" s="42"/>
      <c r="AH49" s="42"/>
      <c r="AI49" s="62"/>
      <c r="AJ49" s="20"/>
      <c r="AK49" s="66">
        <v>0.84</v>
      </c>
      <c r="AL49" s="66" t="s">
        <v>1</v>
      </c>
      <c r="AM49" s="62"/>
      <c r="AN49" s="62"/>
      <c r="AO49" s="43">
        <f>VLOOKUP(A49,[1]!IABKGRD,7,FALSE)</f>
        <v>0</v>
      </c>
      <c r="AS49" s="20"/>
      <c r="AU49" s="47">
        <f t="shared" si="12"/>
        <v>0</v>
      </c>
      <c r="AV49" s="20"/>
      <c r="AW49" s="49">
        <f t="shared" si="16"/>
        <v>0</v>
      </c>
      <c r="AX49" s="26">
        <f t="shared" si="17"/>
        <v>0.1</v>
      </c>
      <c r="AY49" s="26">
        <f t="shared" si="18"/>
        <v>0.6</v>
      </c>
      <c r="AZ49" s="23">
        <v>6410000</v>
      </c>
      <c r="BA49" s="20">
        <v>22</v>
      </c>
      <c r="BB49" s="23">
        <v>4.0800000000000003E-3</v>
      </c>
      <c r="BC49" s="20">
        <v>22</v>
      </c>
      <c r="BD49" s="27">
        <v>0.16696677033884436</v>
      </c>
      <c r="BE49" s="20">
        <v>97</v>
      </c>
      <c r="BF49" s="20">
        <v>13</v>
      </c>
      <c r="BG49" s="26">
        <v>202</v>
      </c>
      <c r="BH49" s="26">
        <v>1.76</v>
      </c>
      <c r="BI49" s="34">
        <v>17</v>
      </c>
      <c r="BJ49" s="19">
        <v>35.5</v>
      </c>
      <c r="BK49" s="20" t="s">
        <v>467</v>
      </c>
      <c r="BL49" s="20">
        <v>-80</v>
      </c>
      <c r="BM49" s="20">
        <v>17</v>
      </c>
      <c r="BN49" s="22"/>
      <c r="BO49" s="49">
        <f t="shared" si="19"/>
        <v>6.5826384164090132E-3</v>
      </c>
      <c r="BP49" s="24"/>
      <c r="BQ49" s="24"/>
      <c r="BR49" s="44"/>
      <c r="BS49" s="44">
        <f t="shared" si="13"/>
        <v>100</v>
      </c>
      <c r="BT49" s="44" t="str">
        <f t="shared" si="7"/>
        <v>Ceiling (Low)</v>
      </c>
      <c r="BU49" s="44"/>
      <c r="BV49" s="44">
        <f t="shared" si="14"/>
        <v>500</v>
      </c>
      <c r="BW49" s="44" t="str">
        <f t="shared" si="8"/>
        <v>Ceiling (Low)</v>
      </c>
      <c r="BX49" s="44"/>
      <c r="BY49" s="44">
        <f t="shared" si="15"/>
        <v>500</v>
      </c>
      <c r="BZ49" s="44" t="str">
        <f t="shared" si="9"/>
        <v>High Volatility</v>
      </c>
      <c r="CA49" s="44">
        <v>50000</v>
      </c>
      <c r="CB49" s="45" t="s">
        <v>0</v>
      </c>
      <c r="CC49" s="325"/>
    </row>
    <row r="50" spans="1:81" s="26" customFormat="1" ht="10.5" x14ac:dyDescent="0.25">
      <c r="A50" s="371" t="s">
        <v>135</v>
      </c>
      <c r="B50" s="52" t="s">
        <v>134</v>
      </c>
      <c r="C50" s="72">
        <v>42922</v>
      </c>
      <c r="D50" s="48">
        <v>0.02</v>
      </c>
      <c r="E50" s="20">
        <v>1</v>
      </c>
      <c r="F50" s="48">
        <v>0.2</v>
      </c>
      <c r="G50" s="20" t="s">
        <v>334</v>
      </c>
      <c r="H50" s="77">
        <v>7.0000000000000007E-2</v>
      </c>
      <c r="I50" s="79" t="s">
        <v>475</v>
      </c>
      <c r="J50" s="77">
        <v>0.7</v>
      </c>
      <c r="K50" s="79" t="s">
        <v>475</v>
      </c>
      <c r="L50" s="49"/>
      <c r="M50" s="21"/>
      <c r="N50" s="21"/>
      <c r="O50" s="49"/>
      <c r="P50" s="20"/>
      <c r="Q50" s="40">
        <v>1</v>
      </c>
      <c r="R50" s="40" t="s">
        <v>504</v>
      </c>
      <c r="S50" s="40">
        <v>0.03</v>
      </c>
      <c r="T50" s="40" t="s">
        <v>504</v>
      </c>
      <c r="U50" s="40">
        <v>1</v>
      </c>
      <c r="V50" s="40" t="s">
        <v>504</v>
      </c>
      <c r="W50" s="40">
        <v>0.03</v>
      </c>
      <c r="X50" s="40" t="s">
        <v>504</v>
      </c>
      <c r="Y50" s="40" t="s">
        <v>1</v>
      </c>
      <c r="Z50" s="40"/>
      <c r="AA50" s="40" t="s">
        <v>1</v>
      </c>
      <c r="AB50" s="40"/>
      <c r="AC50" s="42">
        <v>1</v>
      </c>
      <c r="AD50" s="42">
        <v>9</v>
      </c>
      <c r="AE50" s="42">
        <v>1</v>
      </c>
      <c r="AF50" s="42">
        <v>9</v>
      </c>
      <c r="AG50" s="42"/>
      <c r="AH50" s="42"/>
      <c r="AI50" s="62"/>
      <c r="AJ50" s="20"/>
      <c r="AK50" s="66">
        <v>0.84</v>
      </c>
      <c r="AL50" s="66" t="s">
        <v>1</v>
      </c>
      <c r="AM50" s="62"/>
      <c r="AN50" s="62"/>
      <c r="AO50" s="43">
        <f>VLOOKUP(A50,[1]!IABKGRD,7,FALSE)</f>
        <v>0</v>
      </c>
      <c r="AR50" s="26">
        <v>260</v>
      </c>
      <c r="AS50" s="20">
        <v>13</v>
      </c>
      <c r="AT50" s="26">
        <v>67320</v>
      </c>
      <c r="AU50" s="47">
        <f t="shared" si="12"/>
        <v>16.96969389373513</v>
      </c>
      <c r="AV50" s="20">
        <v>13</v>
      </c>
      <c r="AW50" s="49">
        <f t="shared" si="16"/>
        <v>19.505360678438553</v>
      </c>
      <c r="AX50" s="26">
        <f t="shared" si="17"/>
        <v>0.1</v>
      </c>
      <c r="AY50" s="26">
        <f t="shared" si="18"/>
        <v>0.3</v>
      </c>
      <c r="AZ50" s="23">
        <v>4520000</v>
      </c>
      <c r="BA50" s="20">
        <v>22</v>
      </c>
      <c r="BB50" s="23">
        <v>9.3799999999999994E-3</v>
      </c>
      <c r="BC50" s="20">
        <v>22</v>
      </c>
      <c r="BD50" s="27">
        <v>0.38385987886724504</v>
      </c>
      <c r="BE50" s="20">
        <v>97</v>
      </c>
      <c r="BF50" s="20">
        <v>13</v>
      </c>
      <c r="BG50" s="26">
        <v>331</v>
      </c>
      <c r="BH50" s="26">
        <v>2.09</v>
      </c>
      <c r="BI50" s="34">
        <v>16</v>
      </c>
      <c r="BJ50" s="19">
        <v>38</v>
      </c>
      <c r="BK50" s="20" t="s">
        <v>466</v>
      </c>
      <c r="BL50" s="20">
        <v>-49.8</v>
      </c>
      <c r="BM50" s="20">
        <v>17</v>
      </c>
      <c r="BN50" s="22"/>
      <c r="BO50" s="49">
        <f t="shared" si="19"/>
        <v>1.0869260563262276E-2</v>
      </c>
      <c r="BP50" s="24"/>
      <c r="BQ50" s="24"/>
      <c r="BR50" s="44"/>
      <c r="BS50" s="44">
        <f t="shared" si="13"/>
        <v>500</v>
      </c>
      <c r="BT50" s="44" t="str">
        <f t="shared" si="7"/>
        <v>Ceiling (Medium)</v>
      </c>
      <c r="BU50" s="44"/>
      <c r="BV50" s="44">
        <f t="shared" si="14"/>
        <v>1000</v>
      </c>
      <c r="BW50" s="44" t="str">
        <f t="shared" si="8"/>
        <v>Ceiling (Medium)</v>
      </c>
      <c r="BX50" s="44"/>
      <c r="BY50" s="44">
        <f t="shared" si="15"/>
        <v>3000</v>
      </c>
      <c r="BZ50" s="44" t="str">
        <f t="shared" si="9"/>
        <v>Ceiling (Medium)</v>
      </c>
      <c r="CA50" s="44">
        <v>50000</v>
      </c>
      <c r="CB50" s="45" t="s">
        <v>0</v>
      </c>
      <c r="CC50" s="325"/>
    </row>
    <row r="51" spans="1:81" s="26" customFormat="1" x14ac:dyDescent="0.2">
      <c r="A51" s="371" t="s">
        <v>133</v>
      </c>
      <c r="B51" s="52" t="s">
        <v>132</v>
      </c>
      <c r="C51" s="72">
        <v>42922</v>
      </c>
      <c r="D51" s="48">
        <v>6.0000000000000001E-3</v>
      </c>
      <c r="E51" s="20">
        <v>1</v>
      </c>
      <c r="F51" s="48">
        <v>6.0000000000000001E-3</v>
      </c>
      <c r="G51" s="20" t="s">
        <v>188</v>
      </c>
      <c r="H51" s="49">
        <v>0.6</v>
      </c>
      <c r="I51" s="20">
        <v>1</v>
      </c>
      <c r="J51" s="49">
        <v>0.6</v>
      </c>
      <c r="K51" s="20" t="s">
        <v>204</v>
      </c>
      <c r="L51" s="49">
        <v>2E-3</v>
      </c>
      <c r="M51" s="20" t="s">
        <v>15</v>
      </c>
      <c r="N51" s="20">
        <v>1</v>
      </c>
      <c r="O51" s="49">
        <v>1E-8</v>
      </c>
      <c r="P51" s="20">
        <v>1</v>
      </c>
      <c r="Q51" s="40">
        <v>1</v>
      </c>
      <c r="R51" s="40" t="s">
        <v>504</v>
      </c>
      <c r="S51" s="40">
        <v>0.03</v>
      </c>
      <c r="T51" s="40" t="s">
        <v>504</v>
      </c>
      <c r="U51" s="40">
        <v>1</v>
      </c>
      <c r="V51" s="40" t="s">
        <v>504</v>
      </c>
      <c r="W51" s="40">
        <v>0.03</v>
      </c>
      <c r="X51" s="40" t="s">
        <v>504</v>
      </c>
      <c r="Y51" s="40">
        <v>1</v>
      </c>
      <c r="Z51" s="40" t="s">
        <v>504</v>
      </c>
      <c r="AA51" s="40">
        <v>0.03</v>
      </c>
      <c r="AB51" s="40" t="s">
        <v>504</v>
      </c>
      <c r="AC51" s="42">
        <v>1</v>
      </c>
      <c r="AD51" s="42">
        <v>9</v>
      </c>
      <c r="AE51" s="42">
        <v>1</v>
      </c>
      <c r="AF51" s="42">
        <v>9</v>
      </c>
      <c r="AG51" s="42">
        <v>1</v>
      </c>
      <c r="AH51" s="42">
        <v>9</v>
      </c>
      <c r="AI51" s="62"/>
      <c r="AJ51" s="20" t="s">
        <v>630</v>
      </c>
      <c r="AK51" s="66">
        <v>1</v>
      </c>
      <c r="AL51" s="66">
        <v>1</v>
      </c>
      <c r="AM51" s="62"/>
      <c r="AN51" s="62"/>
      <c r="AO51" s="43">
        <f>VLOOKUP(A51,[1]!IABKGRD,7,FALSE)</f>
        <v>11</v>
      </c>
      <c r="AP51" s="26">
        <v>600</v>
      </c>
      <c r="AR51" s="26">
        <v>9100</v>
      </c>
      <c r="AS51" s="20">
        <v>13</v>
      </c>
      <c r="AT51" s="26">
        <v>540000</v>
      </c>
      <c r="AU51" s="47">
        <f t="shared" si="12"/>
        <v>155.33755656108596</v>
      </c>
      <c r="AV51" s="20">
        <v>13</v>
      </c>
      <c r="AW51" s="49">
        <f t="shared" si="16"/>
        <v>2.761727488814318</v>
      </c>
      <c r="AX51" s="26">
        <f t="shared" si="17"/>
        <v>0.1</v>
      </c>
      <c r="AY51" s="26">
        <f t="shared" si="18"/>
        <v>5</v>
      </c>
      <c r="AZ51" s="23">
        <v>13000000</v>
      </c>
      <c r="BA51" s="20">
        <v>22</v>
      </c>
      <c r="BB51" s="23">
        <v>3.2499999999999999E-3</v>
      </c>
      <c r="BC51" s="20">
        <v>22</v>
      </c>
      <c r="BD51" s="27">
        <v>0.13300049107873629</v>
      </c>
      <c r="BE51" s="20">
        <v>85</v>
      </c>
      <c r="BF51" s="20">
        <v>13</v>
      </c>
      <c r="BG51" s="26">
        <v>429</v>
      </c>
      <c r="BH51" s="26">
        <v>1.25</v>
      </c>
      <c r="BI51" s="34">
        <v>16</v>
      </c>
      <c r="BJ51" s="19">
        <v>10</v>
      </c>
      <c r="BK51" s="20" t="s">
        <v>466</v>
      </c>
      <c r="BL51" s="20">
        <v>-95.1</v>
      </c>
      <c r="BM51" s="20">
        <v>17</v>
      </c>
      <c r="BN51" s="22"/>
      <c r="BO51" s="49">
        <f t="shared" si="19"/>
        <v>3.5399734108343484E-3</v>
      </c>
      <c r="BP51" s="24"/>
      <c r="BQ51" s="24"/>
      <c r="BR51" s="44"/>
      <c r="BS51" s="44">
        <f t="shared" si="13"/>
        <v>500</v>
      </c>
      <c r="BT51" s="44" t="str">
        <f t="shared" si="7"/>
        <v>Ceiling (Medium)</v>
      </c>
      <c r="BU51" s="44"/>
      <c r="BV51" s="44">
        <f t="shared" si="14"/>
        <v>1000</v>
      </c>
      <c r="BW51" s="44" t="str">
        <f t="shared" si="8"/>
        <v>Ceiling (Medium)</v>
      </c>
      <c r="BX51" s="44"/>
      <c r="BY51" s="44">
        <f t="shared" si="15"/>
        <v>3000</v>
      </c>
      <c r="BZ51" s="44" t="str">
        <f t="shared" si="9"/>
        <v>Ceiling (Medium)</v>
      </c>
      <c r="CA51" s="44">
        <v>50000</v>
      </c>
      <c r="CB51" s="45" t="s">
        <v>0</v>
      </c>
      <c r="CC51" s="325"/>
    </row>
    <row r="52" spans="1:81" s="26" customFormat="1" ht="10.5" x14ac:dyDescent="0.25">
      <c r="A52" s="371" t="s">
        <v>131</v>
      </c>
      <c r="B52" s="52" t="s">
        <v>130</v>
      </c>
      <c r="C52" s="72">
        <v>42922</v>
      </c>
      <c r="D52" s="48">
        <v>3.0000000000000001E-3</v>
      </c>
      <c r="E52" s="20">
        <v>1</v>
      </c>
      <c r="F52" s="48">
        <v>0.02</v>
      </c>
      <c r="G52" s="20">
        <v>6</v>
      </c>
      <c r="H52" s="49">
        <v>1.0999999999999999E-2</v>
      </c>
      <c r="I52" s="20" t="s">
        <v>475</v>
      </c>
      <c r="J52" s="49">
        <v>0.06</v>
      </c>
      <c r="K52" s="20" t="s">
        <v>475</v>
      </c>
      <c r="L52" s="49"/>
      <c r="M52" s="21"/>
      <c r="N52" s="21"/>
      <c r="O52" s="49"/>
      <c r="P52" s="20"/>
      <c r="Q52" s="40">
        <v>1</v>
      </c>
      <c r="R52" s="40" t="s">
        <v>504</v>
      </c>
      <c r="S52" s="76">
        <v>0.3</v>
      </c>
      <c r="T52" s="76" t="s">
        <v>501</v>
      </c>
      <c r="U52" s="40">
        <v>1</v>
      </c>
      <c r="V52" s="40" t="s">
        <v>504</v>
      </c>
      <c r="W52" s="76">
        <v>0.3</v>
      </c>
      <c r="X52" s="76" t="s">
        <v>501</v>
      </c>
      <c r="Y52" s="40" t="s">
        <v>1</v>
      </c>
      <c r="Z52" s="40"/>
      <c r="AA52" s="40" t="s">
        <v>1</v>
      </c>
      <c r="AB52" s="40"/>
      <c r="AC52" s="42">
        <v>1</v>
      </c>
      <c r="AD52" s="42">
        <v>9</v>
      </c>
      <c r="AE52" s="42">
        <v>1</v>
      </c>
      <c r="AF52" s="42">
        <v>9</v>
      </c>
      <c r="AG52" s="42"/>
      <c r="AH52" s="42"/>
      <c r="AI52" s="62"/>
      <c r="AJ52" s="20"/>
      <c r="AK52" s="66">
        <v>1</v>
      </c>
      <c r="AL52" s="66" t="s">
        <v>1</v>
      </c>
      <c r="AM52" s="62"/>
      <c r="AN52" s="62"/>
      <c r="AO52" s="43">
        <f>VLOOKUP(A52,[1]!IABKGRD,7,FALSE)</f>
        <v>0</v>
      </c>
      <c r="AR52" s="26">
        <v>0.3</v>
      </c>
      <c r="AS52" s="20">
        <v>13</v>
      </c>
      <c r="AT52" s="26">
        <v>1400.7</v>
      </c>
      <c r="AU52" s="47">
        <f t="shared" si="12"/>
        <v>0.21011601698914581</v>
      </c>
      <c r="AV52" s="20">
        <v>13</v>
      </c>
      <c r="AW52" s="49">
        <f t="shared" si="16"/>
        <v>0.31887145473284456</v>
      </c>
      <c r="AX52" s="26">
        <f t="shared" si="17"/>
        <v>0.66</v>
      </c>
      <c r="AY52" s="26">
        <f t="shared" si="18"/>
        <v>13.5</v>
      </c>
      <c r="AZ52" s="23">
        <v>4500000</v>
      </c>
      <c r="BA52" s="20">
        <v>22</v>
      </c>
      <c r="BB52" s="23">
        <v>5.5099999999999998E-6</v>
      </c>
      <c r="BC52" s="20">
        <v>22</v>
      </c>
      <c r="BD52" s="27">
        <v>2.254869864134883E-4</v>
      </c>
      <c r="BE52" s="20">
        <v>163</v>
      </c>
      <c r="BF52" s="20">
        <v>13</v>
      </c>
      <c r="BG52" s="23">
        <v>6.7000000000000004E-2</v>
      </c>
      <c r="BH52" s="26">
        <v>3.06</v>
      </c>
      <c r="BI52" s="34">
        <v>16</v>
      </c>
      <c r="BJ52" s="19">
        <v>72</v>
      </c>
      <c r="BK52" s="20" t="s">
        <v>467</v>
      </c>
      <c r="BL52" s="20">
        <v>45</v>
      </c>
      <c r="BM52" s="20">
        <v>17</v>
      </c>
      <c r="BN52" s="22"/>
      <c r="BO52" s="49">
        <f t="shared" si="19"/>
        <v>2.026749152098967E-2</v>
      </c>
      <c r="BP52" s="24"/>
      <c r="BQ52" s="24"/>
      <c r="BR52" s="44"/>
      <c r="BS52" s="44">
        <f t="shared" si="13"/>
        <v>500</v>
      </c>
      <c r="BT52" s="44" t="str">
        <f t="shared" si="7"/>
        <v>Ceiling (Medium)</v>
      </c>
      <c r="BU52" s="44"/>
      <c r="BV52" s="44">
        <f t="shared" si="14"/>
        <v>1000</v>
      </c>
      <c r="BW52" s="44" t="str">
        <f t="shared" si="8"/>
        <v>Ceiling (Medium)</v>
      </c>
      <c r="BX52" s="44"/>
      <c r="BY52" s="44">
        <f t="shared" si="15"/>
        <v>3000</v>
      </c>
      <c r="BZ52" s="44" t="str">
        <f t="shared" si="9"/>
        <v>Ceiling (Medium)</v>
      </c>
      <c r="CA52" s="44">
        <v>50000</v>
      </c>
      <c r="CB52" s="45" t="s">
        <v>0</v>
      </c>
      <c r="CC52" s="325"/>
    </row>
    <row r="53" spans="1:81" s="26" customFormat="1" ht="10.5" x14ac:dyDescent="0.25">
      <c r="A53" s="371" t="s">
        <v>129</v>
      </c>
      <c r="B53" s="52" t="s">
        <v>128</v>
      </c>
      <c r="C53" s="72">
        <v>42923</v>
      </c>
      <c r="D53" s="78">
        <v>0.04</v>
      </c>
      <c r="E53" s="79">
        <v>6</v>
      </c>
      <c r="F53" s="78">
        <v>0.04</v>
      </c>
      <c r="G53" s="79">
        <v>6</v>
      </c>
      <c r="H53" s="49">
        <v>4.0000000000000001E-3</v>
      </c>
      <c r="I53" s="20">
        <v>1</v>
      </c>
      <c r="J53" s="49">
        <v>1.2E-2</v>
      </c>
      <c r="K53" s="20" t="s">
        <v>64</v>
      </c>
      <c r="L53" s="77">
        <v>3.6999999999999998E-2</v>
      </c>
      <c r="M53" s="21" t="s">
        <v>15</v>
      </c>
      <c r="N53" s="86">
        <v>6</v>
      </c>
      <c r="O53" s="49">
        <v>1.9000000000000001E-5</v>
      </c>
      <c r="P53" s="20">
        <v>3</v>
      </c>
      <c r="Q53" s="40">
        <v>1</v>
      </c>
      <c r="R53" s="40" t="s">
        <v>504</v>
      </c>
      <c r="S53" s="40">
        <v>0.03</v>
      </c>
      <c r="T53" s="40" t="s">
        <v>504</v>
      </c>
      <c r="U53" s="40">
        <v>1</v>
      </c>
      <c r="V53" s="40" t="s">
        <v>504</v>
      </c>
      <c r="W53" s="40">
        <v>0.03</v>
      </c>
      <c r="X53" s="40" t="s">
        <v>504</v>
      </c>
      <c r="Y53" s="40">
        <v>1</v>
      </c>
      <c r="Z53" s="40" t="s">
        <v>504</v>
      </c>
      <c r="AA53" s="40">
        <v>0.03</v>
      </c>
      <c r="AB53" s="40" t="s">
        <v>504</v>
      </c>
      <c r="AC53" s="42">
        <v>1</v>
      </c>
      <c r="AD53" s="42">
        <v>9</v>
      </c>
      <c r="AE53" s="42">
        <v>1</v>
      </c>
      <c r="AF53" s="42">
        <v>9</v>
      </c>
      <c r="AG53" s="42">
        <v>1</v>
      </c>
      <c r="AH53" s="42">
        <v>9</v>
      </c>
      <c r="AI53" s="62"/>
      <c r="AJ53" s="20"/>
      <c r="AK53" s="66">
        <v>1</v>
      </c>
      <c r="AL53" s="66">
        <v>1</v>
      </c>
      <c r="AM53" s="62"/>
      <c r="AN53" s="62"/>
      <c r="AO53" s="43">
        <f>VLOOKUP(A53,[1]!IABKGRD,7,FALSE)</f>
        <v>0</v>
      </c>
      <c r="AR53" s="26">
        <v>10</v>
      </c>
      <c r="AS53" s="20">
        <v>13</v>
      </c>
      <c r="AT53" s="26">
        <v>1190.5</v>
      </c>
      <c r="AU53" s="47">
        <f t="shared" si="12"/>
        <v>0.25760399364647146</v>
      </c>
      <c r="AV53" s="20">
        <v>13</v>
      </c>
      <c r="AW53" s="49">
        <f t="shared" si="16"/>
        <v>163.0409505903842</v>
      </c>
      <c r="AX53" s="26">
        <f t="shared" si="17"/>
        <v>0.1</v>
      </c>
      <c r="AY53" s="26">
        <f t="shared" si="18"/>
        <v>1</v>
      </c>
      <c r="AZ53" s="23">
        <v>2800000</v>
      </c>
      <c r="BA53" s="20">
        <v>22</v>
      </c>
      <c r="BB53" s="23">
        <v>2.82E-3</v>
      </c>
      <c r="BC53" s="20">
        <v>22</v>
      </c>
      <c r="BD53" s="27">
        <v>0.11540350302831888</v>
      </c>
      <c r="BE53" s="20">
        <v>113</v>
      </c>
      <c r="BF53" s="20">
        <v>13</v>
      </c>
      <c r="BG53" s="26">
        <v>42</v>
      </c>
      <c r="BH53" s="26">
        <v>1.98</v>
      </c>
      <c r="BI53" s="34">
        <v>16</v>
      </c>
      <c r="BJ53" s="19">
        <f>10^1.67</f>
        <v>46.773514128719818</v>
      </c>
      <c r="BK53" s="20" t="s">
        <v>466</v>
      </c>
      <c r="BL53" s="20">
        <v>-70</v>
      </c>
      <c r="BM53" s="20">
        <v>17</v>
      </c>
      <c r="BN53" s="22"/>
      <c r="BO53" s="49">
        <f t="shared" si="19"/>
        <v>7.481695005111544E-3</v>
      </c>
      <c r="BP53" s="24"/>
      <c r="BQ53" s="24"/>
      <c r="BR53" s="44"/>
      <c r="BS53" s="44">
        <f t="shared" si="13"/>
        <v>100</v>
      </c>
      <c r="BT53" s="44" t="str">
        <f t="shared" si="7"/>
        <v>Ceiling (Low)</v>
      </c>
      <c r="BU53" s="44"/>
      <c r="BV53" s="44">
        <f t="shared" si="14"/>
        <v>500</v>
      </c>
      <c r="BW53" s="44" t="str">
        <f t="shared" si="8"/>
        <v>Ceiling (Low)</v>
      </c>
      <c r="BX53" s="44"/>
      <c r="BY53" s="44">
        <f t="shared" si="15"/>
        <v>1000</v>
      </c>
      <c r="BZ53" s="44" t="str">
        <f t="shared" si="9"/>
        <v>Ceiling (Low)</v>
      </c>
      <c r="CA53" s="44">
        <v>50000</v>
      </c>
      <c r="CB53" s="45" t="s">
        <v>0</v>
      </c>
      <c r="CC53" s="325"/>
    </row>
    <row r="54" spans="1:81" s="26" customFormat="1" x14ac:dyDescent="0.2">
      <c r="A54" s="371" t="s">
        <v>127</v>
      </c>
      <c r="B54" s="52" t="s">
        <v>126</v>
      </c>
      <c r="C54" s="72">
        <v>42922</v>
      </c>
      <c r="D54" s="48">
        <v>0.03</v>
      </c>
      <c r="E54" s="20">
        <v>1</v>
      </c>
      <c r="F54" s="48">
        <v>0.03</v>
      </c>
      <c r="G54" s="20" t="s">
        <v>188</v>
      </c>
      <c r="H54" s="49">
        <v>0.02</v>
      </c>
      <c r="I54" s="20">
        <v>1</v>
      </c>
      <c r="J54" s="49">
        <v>0.02</v>
      </c>
      <c r="K54" s="20" t="s">
        <v>488</v>
      </c>
      <c r="L54" s="49">
        <v>0.1</v>
      </c>
      <c r="M54" s="21" t="s">
        <v>15</v>
      </c>
      <c r="N54" s="21">
        <v>1</v>
      </c>
      <c r="O54" s="49">
        <v>3.9999999999999998E-6</v>
      </c>
      <c r="P54" s="20">
        <v>1</v>
      </c>
      <c r="Q54" s="40">
        <v>1</v>
      </c>
      <c r="R54" s="40" t="s">
        <v>504</v>
      </c>
      <c r="S54" s="40">
        <v>0.03</v>
      </c>
      <c r="T54" s="40" t="s">
        <v>504</v>
      </c>
      <c r="U54" s="40">
        <v>1</v>
      </c>
      <c r="V54" s="40" t="s">
        <v>504</v>
      </c>
      <c r="W54" s="40">
        <v>0.03</v>
      </c>
      <c r="X54" s="40" t="s">
        <v>504</v>
      </c>
      <c r="Y54" s="40">
        <v>1</v>
      </c>
      <c r="Z54" s="40" t="s">
        <v>504</v>
      </c>
      <c r="AA54" s="40">
        <v>0.03</v>
      </c>
      <c r="AB54" s="40" t="s">
        <v>504</v>
      </c>
      <c r="AC54" s="42">
        <v>1</v>
      </c>
      <c r="AD54" s="42">
        <v>9</v>
      </c>
      <c r="AE54" s="42">
        <v>1</v>
      </c>
      <c r="AF54" s="42">
        <v>9</v>
      </c>
      <c r="AG54" s="42">
        <v>1</v>
      </c>
      <c r="AH54" s="42">
        <v>9</v>
      </c>
      <c r="AI54" s="62"/>
      <c r="AJ54" s="20"/>
      <c r="AK54" s="66">
        <v>1</v>
      </c>
      <c r="AL54" s="66">
        <v>1</v>
      </c>
      <c r="AM54" s="62"/>
      <c r="AN54" s="62"/>
      <c r="AO54" s="43">
        <f>VLOOKUP(A54,[1]!IABKGRD,7,FALSE)</f>
        <v>0</v>
      </c>
      <c r="AS54" s="20"/>
      <c r="AT54" s="26">
        <v>4610</v>
      </c>
      <c r="AU54" s="47">
        <f t="shared" si="12"/>
        <v>1.0154991914991915</v>
      </c>
      <c r="AV54" s="20">
        <v>13</v>
      </c>
      <c r="AW54" s="49">
        <f t="shared" si="16"/>
        <v>42.343706779833738</v>
      </c>
      <c r="AX54" s="26">
        <f t="shared" si="17"/>
        <v>5.0000000000000001E-3</v>
      </c>
      <c r="AY54" s="26">
        <f t="shared" si="18"/>
        <v>5</v>
      </c>
      <c r="AZ54" s="23">
        <v>2800000</v>
      </c>
      <c r="BA54" s="20">
        <v>22</v>
      </c>
      <c r="BB54" s="23">
        <v>3.5500000000000002E-3</v>
      </c>
      <c r="BC54" s="20">
        <v>22</v>
      </c>
      <c r="BD54" s="27">
        <v>0.14527745948600426</v>
      </c>
      <c r="BE54" s="20">
        <v>111</v>
      </c>
      <c r="BF54" s="20">
        <v>13</v>
      </c>
      <c r="BG54" s="26">
        <v>43</v>
      </c>
      <c r="BH54" s="26">
        <v>2.04</v>
      </c>
      <c r="BI54" s="34">
        <v>16</v>
      </c>
      <c r="BJ54" s="19">
        <v>27.1</v>
      </c>
      <c r="BK54" s="20" t="s">
        <v>466</v>
      </c>
      <c r="BL54" s="20"/>
      <c r="BM54" s="20"/>
      <c r="BN54" s="22"/>
      <c r="BO54" s="49">
        <f t="shared" si="19"/>
        <v>8.4100775406923331E-3</v>
      </c>
      <c r="BP54" s="24"/>
      <c r="BQ54" s="24"/>
      <c r="BR54" s="44"/>
      <c r="BS54" s="44">
        <f t="shared" si="13"/>
        <v>500</v>
      </c>
      <c r="BT54" s="44" t="str">
        <f t="shared" si="7"/>
        <v>Ceiling (Medium)</v>
      </c>
      <c r="BU54" s="44"/>
      <c r="BV54" s="44">
        <f t="shared" si="14"/>
        <v>1000</v>
      </c>
      <c r="BW54" s="44" t="str">
        <f t="shared" si="8"/>
        <v>Ceiling (Medium)</v>
      </c>
      <c r="BX54" s="44"/>
      <c r="BY54" s="44">
        <f t="shared" si="15"/>
        <v>3000</v>
      </c>
      <c r="BZ54" s="44" t="str">
        <f t="shared" si="9"/>
        <v>Ceiling (Medium)</v>
      </c>
      <c r="CA54" s="44">
        <v>50000</v>
      </c>
      <c r="CB54" s="45" t="s">
        <v>0</v>
      </c>
      <c r="CC54" s="325"/>
    </row>
    <row r="55" spans="1:81" s="26" customFormat="1" x14ac:dyDescent="0.2">
      <c r="A55" s="371" t="s">
        <v>125</v>
      </c>
      <c r="B55" s="52" t="s">
        <v>124</v>
      </c>
      <c r="C55" s="72">
        <v>42923</v>
      </c>
      <c r="D55" s="48">
        <v>5.0000000000000002E-5</v>
      </c>
      <c r="E55" s="20">
        <v>1</v>
      </c>
      <c r="F55" s="48">
        <v>5.0000000000000002E-5</v>
      </c>
      <c r="G55" s="20">
        <v>2</v>
      </c>
      <c r="H55" s="49">
        <v>1.8000000000000001E-4</v>
      </c>
      <c r="I55" s="20" t="s">
        <v>475</v>
      </c>
      <c r="J55" s="49">
        <v>1.8000000000000001E-4</v>
      </c>
      <c r="K55" s="20" t="s">
        <v>488</v>
      </c>
      <c r="L55" s="49">
        <v>16</v>
      </c>
      <c r="M55" s="21" t="s">
        <v>15</v>
      </c>
      <c r="N55" s="21">
        <v>1</v>
      </c>
      <c r="O55" s="49">
        <v>4.5999999999999999E-3</v>
      </c>
      <c r="P55" s="20">
        <v>1</v>
      </c>
      <c r="Q55" s="40">
        <v>1</v>
      </c>
      <c r="R55" s="40" t="s">
        <v>504</v>
      </c>
      <c r="S55" s="40">
        <v>0.1</v>
      </c>
      <c r="T55" s="40" t="s">
        <v>504</v>
      </c>
      <c r="U55" s="40">
        <v>1</v>
      </c>
      <c r="V55" s="40" t="s">
        <v>504</v>
      </c>
      <c r="W55" s="40">
        <v>0.1</v>
      </c>
      <c r="X55" s="40" t="s">
        <v>504</v>
      </c>
      <c r="Y55" s="40">
        <v>1</v>
      </c>
      <c r="Z55" s="40" t="s">
        <v>504</v>
      </c>
      <c r="AA55" s="40">
        <v>0.1</v>
      </c>
      <c r="AB55" s="40" t="s">
        <v>504</v>
      </c>
      <c r="AC55" s="42">
        <v>1</v>
      </c>
      <c r="AD55" s="42">
        <v>9</v>
      </c>
      <c r="AE55" s="42">
        <v>1</v>
      </c>
      <c r="AF55" s="42">
        <v>9</v>
      </c>
      <c r="AG55" s="42">
        <v>1</v>
      </c>
      <c r="AH55" s="42">
        <v>9</v>
      </c>
      <c r="AI55" s="62"/>
      <c r="AJ55" s="20"/>
      <c r="AK55" s="66">
        <v>0.8</v>
      </c>
      <c r="AL55" s="66">
        <v>0.8</v>
      </c>
      <c r="AM55" s="62"/>
      <c r="AN55" s="62"/>
      <c r="AO55" s="43">
        <f>VLOOKUP(A55,[1]!IABKGRD,7,FALSE)</f>
        <v>0</v>
      </c>
      <c r="AR55" s="26">
        <v>41</v>
      </c>
      <c r="AS55" s="20">
        <v>13</v>
      </c>
      <c r="AU55" s="47">
        <f t="shared" si="12"/>
        <v>0</v>
      </c>
      <c r="AV55" s="20"/>
      <c r="AW55" s="49">
        <f t="shared" si="16"/>
        <v>0</v>
      </c>
      <c r="AX55" s="26">
        <f t="shared" si="17"/>
        <v>1.34E-3</v>
      </c>
      <c r="AY55" s="26">
        <f t="shared" si="18"/>
        <v>0.1</v>
      </c>
      <c r="AZ55" s="23">
        <v>195</v>
      </c>
      <c r="BA55" s="20">
        <v>22</v>
      </c>
      <c r="BB55" s="23">
        <v>1.0000000000000001E-5</v>
      </c>
      <c r="BC55" s="20">
        <v>22</v>
      </c>
      <c r="BD55" s="27">
        <v>4.0923228024226558E-4</v>
      </c>
      <c r="BE55" s="20">
        <v>381</v>
      </c>
      <c r="BF55" s="20">
        <v>13</v>
      </c>
      <c r="BG55" s="23">
        <v>1.8E-7</v>
      </c>
      <c r="BH55" s="26">
        <v>5.4</v>
      </c>
      <c r="BI55" s="34">
        <v>16</v>
      </c>
      <c r="BJ55" s="19">
        <v>25500</v>
      </c>
      <c r="BK55" s="20" t="s">
        <v>466</v>
      </c>
      <c r="BL55" s="20">
        <v>175.5</v>
      </c>
      <c r="BM55" s="20">
        <v>17</v>
      </c>
      <c r="BN55" s="22"/>
      <c r="BO55" s="49">
        <f t="shared" si="19"/>
        <v>4.2697259404803421E-2</v>
      </c>
      <c r="BP55" s="24"/>
      <c r="BQ55" s="24"/>
      <c r="BR55" s="44"/>
      <c r="BS55" s="44">
        <f t="shared" si="13"/>
        <v>1000</v>
      </c>
      <c r="BT55" s="44" t="str">
        <f t="shared" si="7"/>
        <v>Ceiling (High)</v>
      </c>
      <c r="BU55" s="44"/>
      <c r="BV55" s="44">
        <f t="shared" si="14"/>
        <v>3000</v>
      </c>
      <c r="BW55" s="44" t="str">
        <f t="shared" si="8"/>
        <v>Ceiling (High)</v>
      </c>
      <c r="BX55" s="44"/>
      <c r="BY55" s="44">
        <f t="shared" si="15"/>
        <v>5000</v>
      </c>
      <c r="BZ55" s="44" t="str">
        <f t="shared" si="9"/>
        <v>Ceiling (High)</v>
      </c>
      <c r="CA55" s="44">
        <v>50000</v>
      </c>
      <c r="CB55" s="45" t="s">
        <v>0</v>
      </c>
      <c r="CC55" s="325"/>
    </row>
    <row r="56" spans="1:81" s="26" customFormat="1" x14ac:dyDescent="0.2">
      <c r="A56" s="371" t="s">
        <v>123</v>
      </c>
      <c r="B56" s="52" t="s">
        <v>122</v>
      </c>
      <c r="C56" s="72">
        <v>42923</v>
      </c>
      <c r="D56" s="48">
        <v>0.8</v>
      </c>
      <c r="E56" s="20">
        <v>1</v>
      </c>
      <c r="F56" s="48">
        <v>8</v>
      </c>
      <c r="G56" s="20">
        <v>2</v>
      </c>
      <c r="H56" s="49">
        <v>2.8</v>
      </c>
      <c r="I56" s="20" t="s">
        <v>475</v>
      </c>
      <c r="J56" s="49">
        <v>28</v>
      </c>
      <c r="K56" s="20" t="s">
        <v>475</v>
      </c>
      <c r="L56" s="49"/>
      <c r="M56" s="21" t="s">
        <v>2</v>
      </c>
      <c r="N56" s="21">
        <v>1</v>
      </c>
      <c r="O56" s="49"/>
      <c r="P56" s="20"/>
      <c r="Q56" s="40">
        <v>1</v>
      </c>
      <c r="R56" s="40" t="s">
        <v>504</v>
      </c>
      <c r="S56" s="40">
        <v>0.1</v>
      </c>
      <c r="T56" s="40" t="s">
        <v>504</v>
      </c>
      <c r="U56" s="40">
        <v>1</v>
      </c>
      <c r="V56" s="40" t="s">
        <v>504</v>
      </c>
      <c r="W56" s="40">
        <v>0.1</v>
      </c>
      <c r="X56" s="40" t="s">
        <v>504</v>
      </c>
      <c r="Y56" s="40" t="s">
        <v>1</v>
      </c>
      <c r="Z56" s="40"/>
      <c r="AA56" s="40" t="s">
        <v>1</v>
      </c>
      <c r="AB56" s="40"/>
      <c r="AC56" s="42">
        <v>1</v>
      </c>
      <c r="AD56" s="42">
        <v>9</v>
      </c>
      <c r="AE56" s="42">
        <v>1</v>
      </c>
      <c r="AF56" s="42">
        <v>9</v>
      </c>
      <c r="AG56" s="42"/>
      <c r="AH56" s="42"/>
      <c r="AI56" s="62"/>
      <c r="AJ56" s="20"/>
      <c r="AK56" s="66">
        <v>1</v>
      </c>
      <c r="AL56" s="66" t="s">
        <v>1</v>
      </c>
      <c r="AM56" s="62"/>
      <c r="AN56" s="62"/>
      <c r="AO56" s="43">
        <f>VLOOKUP(A56,[1]!IABKGRD,7,FALSE)</f>
        <v>0</v>
      </c>
      <c r="AS56" s="20"/>
      <c r="AU56" s="47">
        <f t="shared" si="12"/>
        <v>0</v>
      </c>
      <c r="AV56" s="20"/>
      <c r="AW56" s="49">
        <f t="shared" si="16"/>
        <v>0</v>
      </c>
      <c r="AX56" s="26">
        <f t="shared" si="17"/>
        <v>0.66</v>
      </c>
      <c r="AY56" s="26">
        <f t="shared" si="18"/>
        <v>4</v>
      </c>
      <c r="AZ56" s="23">
        <v>1080000</v>
      </c>
      <c r="BA56" s="20">
        <v>22</v>
      </c>
      <c r="BB56" s="23">
        <v>6.0999999999999998E-7</v>
      </c>
      <c r="BC56" s="20">
        <v>22</v>
      </c>
      <c r="BD56" s="27">
        <v>2.4963169094778196E-5</v>
      </c>
      <c r="BE56" s="20">
        <v>222</v>
      </c>
      <c r="BF56" s="20">
        <v>11</v>
      </c>
      <c r="BG56" s="25"/>
      <c r="BH56" s="26">
        <v>2.42</v>
      </c>
      <c r="BI56" s="34">
        <v>16</v>
      </c>
      <c r="BJ56" s="19">
        <v>82.2</v>
      </c>
      <c r="BK56" s="20" t="s">
        <v>466</v>
      </c>
      <c r="BL56" s="20">
        <v>-40.5</v>
      </c>
      <c r="BM56" s="20">
        <v>17</v>
      </c>
      <c r="BN56" s="22"/>
      <c r="BO56" s="49">
        <f t="shared" si="19"/>
        <v>3.5809643710263614E-3</v>
      </c>
      <c r="BP56" s="24"/>
      <c r="BQ56" s="24"/>
      <c r="BR56" s="44"/>
      <c r="BS56" s="44">
        <f t="shared" si="13"/>
        <v>1000</v>
      </c>
      <c r="BT56" s="44" t="str">
        <f t="shared" si="7"/>
        <v>Ceiling (High)</v>
      </c>
      <c r="BU56" s="44"/>
      <c r="BV56" s="44">
        <f t="shared" si="14"/>
        <v>3000</v>
      </c>
      <c r="BW56" s="44" t="str">
        <f t="shared" si="8"/>
        <v>Ceiling (High)</v>
      </c>
      <c r="BX56" s="44"/>
      <c r="BY56" s="44">
        <f t="shared" si="15"/>
        <v>5000</v>
      </c>
      <c r="BZ56" s="44" t="str">
        <f t="shared" si="9"/>
        <v>Ceiling (High)</v>
      </c>
      <c r="CA56" s="44">
        <v>50000</v>
      </c>
      <c r="CB56" s="45" t="s">
        <v>0</v>
      </c>
      <c r="CC56" s="325"/>
    </row>
    <row r="57" spans="1:81" s="26" customFormat="1" x14ac:dyDescent="0.2">
      <c r="A57" s="371" t="s">
        <v>121</v>
      </c>
      <c r="B57" s="52" t="s">
        <v>120</v>
      </c>
      <c r="C57" s="72">
        <v>42922</v>
      </c>
      <c r="D57" s="48">
        <v>0.1</v>
      </c>
      <c r="E57" s="20" t="s">
        <v>5</v>
      </c>
      <c r="F57" s="48">
        <v>0.1</v>
      </c>
      <c r="G57" s="20" t="s">
        <v>473</v>
      </c>
      <c r="H57" s="49">
        <v>0.4</v>
      </c>
      <c r="I57" s="20" t="s">
        <v>475</v>
      </c>
      <c r="J57" s="49">
        <v>0.4</v>
      </c>
      <c r="K57" s="20" t="s">
        <v>475</v>
      </c>
      <c r="L57" s="49"/>
      <c r="M57" s="21" t="s">
        <v>2</v>
      </c>
      <c r="N57" s="21">
        <v>1</v>
      </c>
      <c r="O57" s="49"/>
      <c r="P57" s="20"/>
      <c r="Q57" s="40">
        <v>1</v>
      </c>
      <c r="R57" s="40" t="s">
        <v>504</v>
      </c>
      <c r="S57" s="40">
        <v>0.1</v>
      </c>
      <c r="T57" s="40" t="s">
        <v>504</v>
      </c>
      <c r="U57" s="40">
        <v>1</v>
      </c>
      <c r="V57" s="40" t="s">
        <v>504</v>
      </c>
      <c r="W57" s="40">
        <v>0.1</v>
      </c>
      <c r="X57" s="40" t="s">
        <v>504</v>
      </c>
      <c r="Y57" s="40" t="s">
        <v>1</v>
      </c>
      <c r="Z57" s="40"/>
      <c r="AA57" s="40" t="s">
        <v>1</v>
      </c>
      <c r="AB57" s="40"/>
      <c r="AC57" s="42">
        <v>1</v>
      </c>
      <c r="AD57" s="42">
        <v>9</v>
      </c>
      <c r="AE57" s="42">
        <v>1</v>
      </c>
      <c r="AF57" s="42">
        <v>9</v>
      </c>
      <c r="AG57" s="42"/>
      <c r="AH57" s="42"/>
      <c r="AI57" s="62"/>
      <c r="AJ57" s="20"/>
      <c r="AK57" s="66">
        <v>1</v>
      </c>
      <c r="AL57" s="66" t="s">
        <v>1</v>
      </c>
      <c r="AM57" s="62"/>
      <c r="AN57" s="62"/>
      <c r="AO57" s="43">
        <f>VLOOKUP(A57,[1]!IABKGRD,7,FALSE)</f>
        <v>0</v>
      </c>
      <c r="AS57" s="20"/>
      <c r="AU57" s="47">
        <f t="shared" si="12"/>
        <v>0</v>
      </c>
      <c r="AV57" s="20"/>
      <c r="AW57" s="49">
        <f t="shared" si="16"/>
        <v>0</v>
      </c>
      <c r="AX57" s="26">
        <f t="shared" si="17"/>
        <v>0.66</v>
      </c>
      <c r="AY57" s="26">
        <f t="shared" si="18"/>
        <v>1.5</v>
      </c>
      <c r="AZ57" s="23">
        <v>4000000</v>
      </c>
      <c r="BA57" s="20">
        <v>22</v>
      </c>
      <c r="BB57" s="23">
        <v>1.97E-7</v>
      </c>
      <c r="BC57" s="20">
        <v>22</v>
      </c>
      <c r="BD57" s="27">
        <v>8.0618759207726302E-6</v>
      </c>
      <c r="BE57" s="20">
        <v>194</v>
      </c>
      <c r="BF57" s="20">
        <v>15</v>
      </c>
      <c r="BG57" s="25"/>
      <c r="BH57" s="26">
        <v>1.6</v>
      </c>
      <c r="BI57" s="34">
        <v>16</v>
      </c>
      <c r="BJ57" s="19">
        <f>10^((0.72*BB57)+0.49)</f>
        <v>3.0902964418001324</v>
      </c>
      <c r="BK57" s="20" t="s">
        <v>67</v>
      </c>
      <c r="BL57" s="20"/>
      <c r="BM57" s="20"/>
      <c r="BN57" s="22"/>
      <c r="BO57" s="49">
        <f t="shared" si="19"/>
        <v>1.477746706171992E-3</v>
      </c>
      <c r="BP57" s="24"/>
      <c r="BQ57" s="24"/>
      <c r="BR57" s="44"/>
      <c r="BS57" s="44">
        <f t="shared" si="13"/>
        <v>1000</v>
      </c>
      <c r="BT57" s="44" t="str">
        <f t="shared" si="7"/>
        <v>Ceiling (High)</v>
      </c>
      <c r="BU57" s="44"/>
      <c r="BV57" s="44">
        <f t="shared" si="14"/>
        <v>3000</v>
      </c>
      <c r="BW57" s="44" t="str">
        <f t="shared" si="8"/>
        <v>Ceiling (High)</v>
      </c>
      <c r="BX57" s="44"/>
      <c r="BY57" s="44">
        <f t="shared" si="15"/>
        <v>5000</v>
      </c>
      <c r="BZ57" s="44" t="str">
        <f t="shared" si="9"/>
        <v>Ceiling (High)</v>
      </c>
      <c r="CA57" s="44">
        <v>50000</v>
      </c>
      <c r="CB57" s="45" t="s">
        <v>0</v>
      </c>
      <c r="CC57" s="325"/>
    </row>
    <row r="58" spans="1:81" s="26" customFormat="1" x14ac:dyDescent="0.2">
      <c r="A58" s="371" t="s">
        <v>119</v>
      </c>
      <c r="B58" s="52" t="s">
        <v>118</v>
      </c>
      <c r="C58" s="72">
        <v>42922</v>
      </c>
      <c r="D58" s="48">
        <v>0.02</v>
      </c>
      <c r="E58" s="20">
        <v>1</v>
      </c>
      <c r="F58" s="48">
        <v>0.05</v>
      </c>
      <c r="G58" s="20">
        <v>6</v>
      </c>
      <c r="H58" s="49">
        <v>7.0000000000000007E-2</v>
      </c>
      <c r="I58" s="20" t="s">
        <v>475</v>
      </c>
      <c r="J58" s="49">
        <v>0.2</v>
      </c>
      <c r="K58" s="20" t="s">
        <v>475</v>
      </c>
      <c r="L58" s="49"/>
      <c r="M58" s="21"/>
      <c r="N58" s="21"/>
      <c r="O58" s="49"/>
      <c r="P58" s="20"/>
      <c r="Q58" s="40">
        <v>1</v>
      </c>
      <c r="R58" s="40" t="s">
        <v>504</v>
      </c>
      <c r="S58" s="40">
        <v>0.3</v>
      </c>
      <c r="T58" s="40" t="s">
        <v>501</v>
      </c>
      <c r="U58" s="40">
        <v>1</v>
      </c>
      <c r="V58" s="40" t="s">
        <v>504</v>
      </c>
      <c r="W58" s="40">
        <v>0.3</v>
      </c>
      <c r="X58" s="40" t="s">
        <v>501</v>
      </c>
      <c r="Y58" s="40" t="s">
        <v>1</v>
      </c>
      <c r="Z58" s="40"/>
      <c r="AA58" s="40" t="s">
        <v>1</v>
      </c>
      <c r="AB58" s="40"/>
      <c r="AC58" s="42">
        <v>1</v>
      </c>
      <c r="AD58" s="42">
        <v>9</v>
      </c>
      <c r="AE58" s="42">
        <v>1</v>
      </c>
      <c r="AF58" s="42">
        <v>9</v>
      </c>
      <c r="AG58" s="42"/>
      <c r="AH58" s="42"/>
      <c r="AI58" s="62"/>
      <c r="AJ58" s="20"/>
      <c r="AK58" s="66">
        <v>1</v>
      </c>
      <c r="AL58" s="66" t="s">
        <v>1</v>
      </c>
      <c r="AM58" s="62"/>
      <c r="AN58" s="62"/>
      <c r="AO58" s="43">
        <f>VLOOKUP(A58,[1]!IABKGRD,7,FALSE)</f>
        <v>0</v>
      </c>
      <c r="AR58" s="26">
        <v>400</v>
      </c>
      <c r="AS58" s="20">
        <v>24</v>
      </c>
      <c r="AT58" s="26">
        <v>1</v>
      </c>
      <c r="AU58" s="47">
        <f t="shared" si="12"/>
        <v>2.0042034468263973E-4</v>
      </c>
      <c r="AV58" s="20">
        <v>24</v>
      </c>
      <c r="AW58" s="49">
        <f t="shared" si="16"/>
        <v>0</v>
      </c>
      <c r="AX58" s="26">
        <f t="shared" si="17"/>
        <v>0.66</v>
      </c>
      <c r="AY58" s="26">
        <f t="shared" si="18"/>
        <v>13.5</v>
      </c>
      <c r="AZ58" s="23">
        <v>7870000</v>
      </c>
      <c r="BA58" s="20">
        <v>22</v>
      </c>
      <c r="BB58" s="23">
        <v>9.5099999999999998E-7</v>
      </c>
      <c r="BC58" s="20">
        <v>22</v>
      </c>
      <c r="BD58" s="27">
        <v>3.8917989851039453E-5</v>
      </c>
      <c r="BE58" s="20">
        <v>122</v>
      </c>
      <c r="BF58" s="20">
        <v>15</v>
      </c>
      <c r="BG58" s="25"/>
      <c r="BH58" s="26">
        <v>2.2999999999999998</v>
      </c>
      <c r="BI58" s="34">
        <v>16</v>
      </c>
      <c r="BJ58" s="19">
        <v>209</v>
      </c>
      <c r="BK58" s="20" t="s">
        <v>467</v>
      </c>
      <c r="BL58" s="20">
        <v>24.5</v>
      </c>
      <c r="BM58" s="20">
        <v>17</v>
      </c>
      <c r="BN58" s="22"/>
      <c r="BO58" s="49">
        <f t="shared" si="19"/>
        <v>1.0834278621501391E-2</v>
      </c>
      <c r="BP58" s="24"/>
      <c r="BQ58" s="24"/>
      <c r="BR58" s="44"/>
      <c r="BS58" s="44">
        <f t="shared" si="13"/>
        <v>1000</v>
      </c>
      <c r="BT58" s="44" t="str">
        <f t="shared" si="7"/>
        <v>Ceiling (High)</v>
      </c>
      <c r="BU58" s="44"/>
      <c r="BV58" s="44">
        <f t="shared" si="14"/>
        <v>3000</v>
      </c>
      <c r="BW58" s="44" t="str">
        <f t="shared" si="8"/>
        <v>Ceiling (High)</v>
      </c>
      <c r="BX58" s="44"/>
      <c r="BY58" s="44">
        <f t="shared" si="15"/>
        <v>5000</v>
      </c>
      <c r="BZ58" s="44" t="str">
        <f t="shared" si="9"/>
        <v>Ceiling (High)</v>
      </c>
      <c r="CA58" s="44">
        <v>50000</v>
      </c>
      <c r="CB58" s="45" t="s">
        <v>0</v>
      </c>
      <c r="CC58" s="325"/>
    </row>
    <row r="59" spans="1:81" s="26" customFormat="1" x14ac:dyDescent="0.2">
      <c r="A59" s="371" t="s">
        <v>117</v>
      </c>
      <c r="B59" s="52" t="s">
        <v>116</v>
      </c>
      <c r="C59" s="72">
        <v>42922</v>
      </c>
      <c r="D59" s="48">
        <v>2E-3</v>
      </c>
      <c r="E59" s="20">
        <v>1</v>
      </c>
      <c r="F59" s="48">
        <v>0.02</v>
      </c>
      <c r="G59" s="20">
        <v>6</v>
      </c>
      <c r="H59" s="49">
        <v>7.000000000000001E-3</v>
      </c>
      <c r="I59" s="20" t="s">
        <v>475</v>
      </c>
      <c r="J59" s="49">
        <v>7.0000000000000007E-2</v>
      </c>
      <c r="K59" s="20" t="s">
        <v>475</v>
      </c>
      <c r="L59" s="49"/>
      <c r="M59" s="21"/>
      <c r="N59" s="21"/>
      <c r="O59" s="49"/>
      <c r="P59" s="20"/>
      <c r="Q59" s="40">
        <v>1</v>
      </c>
      <c r="R59" s="40" t="s">
        <v>504</v>
      </c>
      <c r="S59" s="40">
        <v>0.3</v>
      </c>
      <c r="T59" s="40" t="s">
        <v>501</v>
      </c>
      <c r="U59" s="40">
        <v>1</v>
      </c>
      <c r="V59" s="40" t="s">
        <v>504</v>
      </c>
      <c r="W59" s="40">
        <v>0.3</v>
      </c>
      <c r="X59" s="40" t="s">
        <v>501</v>
      </c>
      <c r="Y59" s="40" t="s">
        <v>1</v>
      </c>
      <c r="Z59" s="40"/>
      <c r="AA59" s="40" t="s">
        <v>1</v>
      </c>
      <c r="AB59" s="40"/>
      <c r="AC59" s="42">
        <v>1</v>
      </c>
      <c r="AD59" s="42">
        <v>9</v>
      </c>
      <c r="AE59" s="42">
        <v>1</v>
      </c>
      <c r="AF59" s="42">
        <v>9</v>
      </c>
      <c r="AG59" s="42"/>
      <c r="AH59" s="42"/>
      <c r="AI59" s="62"/>
      <c r="AJ59" s="20"/>
      <c r="AK59" s="66">
        <v>1</v>
      </c>
      <c r="AL59" s="66" t="s">
        <v>1</v>
      </c>
      <c r="AM59" s="62"/>
      <c r="AN59" s="62"/>
      <c r="AO59" s="43">
        <f>VLOOKUP(A59,[1]!IABKGRD,7,FALSE)</f>
        <v>0</v>
      </c>
      <c r="AS59" s="20"/>
      <c r="AU59" s="47">
        <f t="shared" si="12"/>
        <v>0</v>
      </c>
      <c r="AV59" s="20"/>
      <c r="AW59" s="49">
        <f t="shared" si="16"/>
        <v>0</v>
      </c>
      <c r="AX59" s="26">
        <f t="shared" si="17"/>
        <v>3.3</v>
      </c>
      <c r="AY59" s="26">
        <f t="shared" si="18"/>
        <v>210</v>
      </c>
      <c r="AZ59" s="23">
        <v>2790000</v>
      </c>
      <c r="BA59" s="20">
        <v>22</v>
      </c>
      <c r="BB59" s="23">
        <v>8.6000000000000002E-8</v>
      </c>
      <c r="BC59" s="20">
        <v>22</v>
      </c>
      <c r="BD59" s="27">
        <v>3.5193976100834837E-6</v>
      </c>
      <c r="BE59" s="20">
        <v>184</v>
      </c>
      <c r="BF59" s="20">
        <v>11</v>
      </c>
      <c r="BG59" s="20"/>
      <c r="BH59" s="26">
        <v>1.67</v>
      </c>
      <c r="BI59" s="34">
        <v>17</v>
      </c>
      <c r="BJ59" s="19">
        <v>0.01</v>
      </c>
      <c r="BK59" s="20" t="s">
        <v>467</v>
      </c>
      <c r="BL59" s="20">
        <v>115</v>
      </c>
      <c r="BM59" s="20">
        <v>17</v>
      </c>
      <c r="BN59" s="22"/>
      <c r="BO59" s="49">
        <f t="shared" si="19"/>
        <v>1.8698208577366485E-3</v>
      </c>
      <c r="BP59" s="24"/>
      <c r="BQ59" s="24"/>
      <c r="BR59" s="44"/>
      <c r="BS59" s="44">
        <f t="shared" si="13"/>
        <v>1000</v>
      </c>
      <c r="BT59" s="44" t="str">
        <f t="shared" si="7"/>
        <v>Ceiling (High)</v>
      </c>
      <c r="BU59" s="44"/>
      <c r="BV59" s="44">
        <f t="shared" si="14"/>
        <v>3000</v>
      </c>
      <c r="BW59" s="44" t="str">
        <f t="shared" si="8"/>
        <v>Ceiling (High)</v>
      </c>
      <c r="BX59" s="44"/>
      <c r="BY59" s="44">
        <f t="shared" si="15"/>
        <v>5000</v>
      </c>
      <c r="BZ59" s="44" t="str">
        <f t="shared" si="9"/>
        <v>Ceiling (High)</v>
      </c>
      <c r="CA59" s="44">
        <v>50000</v>
      </c>
      <c r="CB59" s="45" t="s">
        <v>0</v>
      </c>
      <c r="CC59" s="325"/>
    </row>
    <row r="60" spans="1:81" s="26" customFormat="1" x14ac:dyDescent="0.2">
      <c r="A60" s="371" t="s">
        <v>115</v>
      </c>
      <c r="B60" s="52" t="s">
        <v>114</v>
      </c>
      <c r="C60" s="72">
        <v>42922</v>
      </c>
      <c r="D60" s="48">
        <v>2E-3</v>
      </c>
      <c r="E60" s="20">
        <v>1</v>
      </c>
      <c r="F60" s="48">
        <v>0.02</v>
      </c>
      <c r="G60" s="20">
        <v>2</v>
      </c>
      <c r="H60" s="49">
        <v>7.000000000000001E-3</v>
      </c>
      <c r="I60" s="20" t="s">
        <v>475</v>
      </c>
      <c r="J60" s="49">
        <v>7.000000000000001E-3</v>
      </c>
      <c r="K60" s="20" t="s">
        <v>488</v>
      </c>
      <c r="L60" s="49">
        <v>0.68</v>
      </c>
      <c r="M60" s="20" t="s">
        <v>15</v>
      </c>
      <c r="N60" s="20" t="s">
        <v>330</v>
      </c>
      <c r="O60" s="49">
        <v>1.9428571428571433E-4</v>
      </c>
      <c r="P60" s="20" t="s">
        <v>474</v>
      </c>
      <c r="Q60" s="40">
        <v>1</v>
      </c>
      <c r="R60" s="40" t="s">
        <v>504</v>
      </c>
      <c r="S60" s="40">
        <v>0.1</v>
      </c>
      <c r="T60" s="40" t="s">
        <v>504</v>
      </c>
      <c r="U60" s="40">
        <v>1</v>
      </c>
      <c r="V60" s="40" t="s">
        <v>504</v>
      </c>
      <c r="W60" s="40">
        <v>0.1</v>
      </c>
      <c r="X60" s="40" t="s">
        <v>504</v>
      </c>
      <c r="Y60" s="40">
        <v>1</v>
      </c>
      <c r="Z60" s="40" t="s">
        <v>504</v>
      </c>
      <c r="AA60" s="40">
        <v>0.1</v>
      </c>
      <c r="AB60" s="40" t="s">
        <v>504</v>
      </c>
      <c r="AC60" s="42">
        <v>1</v>
      </c>
      <c r="AD60" s="42">
        <v>9</v>
      </c>
      <c r="AE60" s="42">
        <v>1</v>
      </c>
      <c r="AF60" s="42">
        <v>9</v>
      </c>
      <c r="AG60" s="42">
        <v>1</v>
      </c>
      <c r="AH60" s="42">
        <v>9</v>
      </c>
      <c r="AI60" s="62"/>
      <c r="AJ60" s="20"/>
      <c r="AK60" s="66">
        <v>0.9</v>
      </c>
      <c r="AL60" s="66">
        <v>0.9</v>
      </c>
      <c r="AM60" s="62"/>
      <c r="AN60" s="62"/>
      <c r="AO60" s="43">
        <f>VLOOKUP(A60,[1]!IABKGRD,7,FALSE)</f>
        <v>0</v>
      </c>
      <c r="AS60" s="20"/>
      <c r="AU60" s="47">
        <f t="shared" si="12"/>
        <v>0</v>
      </c>
      <c r="AV60" s="20"/>
      <c r="AW60" s="49">
        <f t="shared" si="16"/>
        <v>0</v>
      </c>
      <c r="AX60" s="26">
        <f t="shared" si="17"/>
        <v>0.66</v>
      </c>
      <c r="AY60" s="26">
        <f t="shared" si="18"/>
        <v>28.5</v>
      </c>
      <c r="AZ60" s="23">
        <v>270000</v>
      </c>
      <c r="BA60" s="20">
        <v>22</v>
      </c>
      <c r="BB60" s="23">
        <v>5.4E-8</v>
      </c>
      <c r="BC60" s="20">
        <v>22</v>
      </c>
      <c r="BD60" s="27">
        <v>2.209854313308234E-6</v>
      </c>
      <c r="BE60" s="20">
        <v>182</v>
      </c>
      <c r="BF60" s="20">
        <v>13</v>
      </c>
      <c r="BG60" s="23">
        <v>5.1000000000000004E-3</v>
      </c>
      <c r="BH60" s="26">
        <v>1.98</v>
      </c>
      <c r="BI60" s="34">
        <v>16</v>
      </c>
      <c r="BJ60" s="19">
        <v>95.5</v>
      </c>
      <c r="BK60" s="20" t="s">
        <v>467</v>
      </c>
      <c r="BL60" s="20">
        <v>71</v>
      </c>
      <c r="BM60" s="20">
        <v>17</v>
      </c>
      <c r="BN60" s="22"/>
      <c r="BO60" s="49">
        <f t="shared" si="19"/>
        <v>3.0732649292042956E-3</v>
      </c>
      <c r="BP60" s="24"/>
      <c r="BQ60" s="24"/>
      <c r="BR60" s="44"/>
      <c r="BS60" s="44">
        <f t="shared" si="13"/>
        <v>1000</v>
      </c>
      <c r="BT60" s="44" t="str">
        <f t="shared" si="7"/>
        <v>Ceiling (High)</v>
      </c>
      <c r="BU60" s="44"/>
      <c r="BV60" s="44">
        <f t="shared" si="14"/>
        <v>3000</v>
      </c>
      <c r="BW60" s="44" t="str">
        <f t="shared" si="8"/>
        <v>Ceiling (High)</v>
      </c>
      <c r="BX60" s="44"/>
      <c r="BY60" s="44">
        <f t="shared" si="15"/>
        <v>5000</v>
      </c>
      <c r="BZ60" s="44" t="str">
        <f t="shared" si="9"/>
        <v>Ceiling (High)</v>
      </c>
      <c r="CA60" s="44">
        <v>50000</v>
      </c>
      <c r="CB60" s="45" t="s">
        <v>0</v>
      </c>
      <c r="CC60" s="325"/>
    </row>
    <row r="61" spans="1:81" s="26" customFormat="1" ht="10.5" x14ac:dyDescent="0.25">
      <c r="A61" s="371" t="s">
        <v>113</v>
      </c>
      <c r="B61" s="52" t="s">
        <v>112</v>
      </c>
      <c r="C61" s="72">
        <v>42922</v>
      </c>
      <c r="D61" s="48">
        <v>0.03</v>
      </c>
      <c r="E61" s="20">
        <v>1</v>
      </c>
      <c r="F61" s="48">
        <v>0.03</v>
      </c>
      <c r="G61" s="20" t="s">
        <v>188</v>
      </c>
      <c r="H61" s="77">
        <v>0.03</v>
      </c>
      <c r="I61" s="79">
        <v>1</v>
      </c>
      <c r="J61" s="77">
        <v>0.03</v>
      </c>
      <c r="K61" s="79" t="s">
        <v>488</v>
      </c>
      <c r="L61" s="49">
        <v>0.1</v>
      </c>
      <c r="M61" s="20" t="s">
        <v>15</v>
      </c>
      <c r="N61" s="20">
        <v>1</v>
      </c>
      <c r="O61" s="77">
        <v>5.0000000000000004E-6</v>
      </c>
      <c r="P61" s="79">
        <v>1</v>
      </c>
      <c r="Q61" s="40">
        <v>1</v>
      </c>
      <c r="R61" s="40" t="s">
        <v>504</v>
      </c>
      <c r="S61" s="40">
        <v>0.03</v>
      </c>
      <c r="T61" s="40" t="s">
        <v>504</v>
      </c>
      <c r="U61" s="40">
        <v>1</v>
      </c>
      <c r="V61" s="40" t="s">
        <v>504</v>
      </c>
      <c r="W61" s="40">
        <v>0.03</v>
      </c>
      <c r="X61" s="40" t="s">
        <v>504</v>
      </c>
      <c r="Y61" s="40">
        <v>1</v>
      </c>
      <c r="Z61" s="40" t="s">
        <v>504</v>
      </c>
      <c r="AA61" s="40">
        <v>0.03</v>
      </c>
      <c r="AB61" s="40" t="s">
        <v>504</v>
      </c>
      <c r="AC61" s="42">
        <v>1</v>
      </c>
      <c r="AD61" s="42">
        <v>9</v>
      </c>
      <c r="AE61" s="42">
        <v>1</v>
      </c>
      <c r="AF61" s="42">
        <v>9</v>
      </c>
      <c r="AG61" s="42">
        <v>1</v>
      </c>
      <c r="AH61" s="42">
        <v>9</v>
      </c>
      <c r="AI61" s="62"/>
      <c r="AJ61" s="20"/>
      <c r="AK61" s="66">
        <v>1</v>
      </c>
      <c r="AL61" s="66">
        <v>1</v>
      </c>
      <c r="AM61" s="62"/>
      <c r="AN61" s="62"/>
      <c r="AO61" s="43">
        <f>VLOOKUP(A61,[1]!IABKGRD,7,FALSE)</f>
        <v>0.33</v>
      </c>
      <c r="AQ61" s="26">
        <v>9.1999999999999998E-2</v>
      </c>
      <c r="AS61" s="20"/>
      <c r="AU61" s="47">
        <v>24</v>
      </c>
      <c r="AV61" s="20">
        <v>16</v>
      </c>
      <c r="AW61" s="49">
        <f t="shared" si="16"/>
        <v>0</v>
      </c>
      <c r="AX61" s="26">
        <f t="shared" si="17"/>
        <v>0.15</v>
      </c>
      <c r="AY61" s="26">
        <f t="shared" si="18"/>
        <v>0.04</v>
      </c>
      <c r="AZ61" s="35">
        <v>1000000000</v>
      </c>
      <c r="BA61" s="20">
        <v>22</v>
      </c>
      <c r="BB61" s="22">
        <v>4.7999999999999998E-6</v>
      </c>
      <c r="BC61" s="20">
        <v>22</v>
      </c>
      <c r="BD61" s="27">
        <v>1.9643149451628743E-4</v>
      </c>
      <c r="BE61" s="20">
        <v>88</v>
      </c>
      <c r="BF61" s="20">
        <v>16</v>
      </c>
      <c r="BG61" s="23">
        <v>29</v>
      </c>
      <c r="BH61" s="26">
        <v>-0.27</v>
      </c>
      <c r="BI61" s="34">
        <v>19</v>
      </c>
      <c r="BJ61" s="19">
        <v>3.47</v>
      </c>
      <c r="BK61" s="20">
        <v>21</v>
      </c>
      <c r="BL61" s="20">
        <v>11.8</v>
      </c>
      <c r="BM61" s="20">
        <v>16</v>
      </c>
      <c r="BN61" s="22"/>
      <c r="BO61" s="49">
        <f t="shared" si="19"/>
        <v>3.3806483620598174E-4</v>
      </c>
      <c r="BP61" s="24"/>
      <c r="BQ61" s="24"/>
      <c r="BR61" s="44"/>
      <c r="BS61" s="44">
        <f t="shared" si="13"/>
        <v>100</v>
      </c>
      <c r="BT61" s="44" t="str">
        <f t="shared" si="7"/>
        <v>Ceiling (Low)</v>
      </c>
      <c r="BU61" s="44"/>
      <c r="BV61" s="44">
        <f t="shared" si="14"/>
        <v>500</v>
      </c>
      <c r="BW61" s="44" t="str">
        <f t="shared" si="8"/>
        <v>Ceiling (Low)</v>
      </c>
      <c r="BX61" s="44"/>
      <c r="BY61" s="44">
        <f t="shared" si="15"/>
        <v>500</v>
      </c>
      <c r="BZ61" s="44" t="str">
        <f t="shared" si="9"/>
        <v>High Volatility</v>
      </c>
      <c r="CA61" s="44">
        <v>50000</v>
      </c>
      <c r="CB61" s="45" t="s">
        <v>0</v>
      </c>
      <c r="CC61" s="325"/>
    </row>
    <row r="62" spans="1:81" s="26" customFormat="1" x14ac:dyDescent="0.2">
      <c r="A62" s="371" t="s">
        <v>111</v>
      </c>
      <c r="B62" s="52" t="s">
        <v>110</v>
      </c>
      <c r="C62" s="72">
        <v>42923</v>
      </c>
      <c r="D62" s="48">
        <v>6.0000000000000001E-3</v>
      </c>
      <c r="E62" s="20">
        <v>1</v>
      </c>
      <c r="F62" s="48">
        <v>6.0000000000000001E-3</v>
      </c>
      <c r="G62" s="20">
        <v>2</v>
      </c>
      <c r="H62" s="49">
        <v>2.1000000000000001E-2</v>
      </c>
      <c r="I62" s="20" t="s">
        <v>475</v>
      </c>
      <c r="J62" s="49">
        <v>2.1000000000000001E-2</v>
      </c>
      <c r="K62" s="20" t="s">
        <v>488</v>
      </c>
      <c r="L62" s="49"/>
      <c r="M62" s="21"/>
      <c r="N62" s="21"/>
      <c r="O62" s="49"/>
      <c r="P62" s="20"/>
      <c r="Q62" s="40">
        <v>1</v>
      </c>
      <c r="R62" s="40" t="s">
        <v>504</v>
      </c>
      <c r="S62" s="40">
        <v>0.1</v>
      </c>
      <c r="T62" s="40" t="s">
        <v>504</v>
      </c>
      <c r="U62" s="40">
        <v>1</v>
      </c>
      <c r="V62" s="40" t="s">
        <v>504</v>
      </c>
      <c r="W62" s="40">
        <v>0.1</v>
      </c>
      <c r="X62" s="40" t="s">
        <v>504</v>
      </c>
      <c r="Y62" s="40" t="s">
        <v>1</v>
      </c>
      <c r="Z62" s="40"/>
      <c r="AA62" s="40" t="s">
        <v>1</v>
      </c>
      <c r="AB62" s="40"/>
      <c r="AC62" s="42">
        <v>1</v>
      </c>
      <c r="AD62" s="42">
        <v>9</v>
      </c>
      <c r="AE62" s="42">
        <v>1</v>
      </c>
      <c r="AF62" s="42">
        <v>9</v>
      </c>
      <c r="AG62" s="42"/>
      <c r="AH62" s="42"/>
      <c r="AI62" s="62"/>
      <c r="AJ62" s="20"/>
      <c r="AK62" s="66">
        <v>1</v>
      </c>
      <c r="AL62" s="66" t="s">
        <v>1</v>
      </c>
      <c r="AM62" s="62"/>
      <c r="AN62" s="62"/>
      <c r="AO62" s="43">
        <f>VLOOKUP(A62,[1]!IABKGRD,7,FALSE)</f>
        <v>0</v>
      </c>
      <c r="AS62" s="20"/>
      <c r="AU62" s="47">
        <f t="shared" ref="AU62:AU73" si="20">AT62*22.4*(298/273)*(760/760)/(BE62*1000)</f>
        <v>0</v>
      </c>
      <c r="AV62" s="20"/>
      <c r="AW62" s="49">
        <f t="shared" si="16"/>
        <v>0</v>
      </c>
      <c r="AX62" s="26">
        <f t="shared" si="17"/>
        <v>9.3800000000000012E-3</v>
      </c>
      <c r="AY62" s="26">
        <f t="shared" si="18"/>
        <v>0.12</v>
      </c>
      <c r="AZ62" s="23">
        <v>325</v>
      </c>
      <c r="BA62" s="20">
        <v>22</v>
      </c>
      <c r="BB62" s="23">
        <v>6.4999999999999994E-5</v>
      </c>
      <c r="BC62" s="20">
        <v>22</v>
      </c>
      <c r="BD62" s="27">
        <v>2.6600098215747259E-3</v>
      </c>
      <c r="BE62" s="20">
        <v>407</v>
      </c>
      <c r="BF62" s="20">
        <v>13</v>
      </c>
      <c r="BG62" s="23">
        <v>1.0000000000000001E-5</v>
      </c>
      <c r="BH62" s="26">
        <v>3.83</v>
      </c>
      <c r="BI62" s="34">
        <v>17</v>
      </c>
      <c r="BJ62" s="19">
        <v>2040</v>
      </c>
      <c r="BK62" s="20" t="s">
        <v>466</v>
      </c>
      <c r="BL62" s="20">
        <v>106</v>
      </c>
      <c r="BM62" s="20">
        <v>17</v>
      </c>
      <c r="BN62" s="22"/>
      <c r="BO62" s="49">
        <f t="shared" si="19"/>
        <v>2.8093121663317761E-3</v>
      </c>
      <c r="BP62" s="24"/>
      <c r="BQ62" s="24"/>
      <c r="BR62" s="44"/>
      <c r="BS62" s="44">
        <f t="shared" si="13"/>
        <v>1000</v>
      </c>
      <c r="BT62" s="44" t="str">
        <f t="shared" si="7"/>
        <v>Ceiling (High)</v>
      </c>
      <c r="BU62" s="44"/>
      <c r="BV62" s="44">
        <f t="shared" si="14"/>
        <v>3000</v>
      </c>
      <c r="BW62" s="44" t="str">
        <f t="shared" si="8"/>
        <v>Ceiling (High)</v>
      </c>
      <c r="BX62" s="44"/>
      <c r="BY62" s="44">
        <f t="shared" si="15"/>
        <v>5000</v>
      </c>
      <c r="BZ62" s="44" t="str">
        <f t="shared" si="9"/>
        <v>Ceiling (High)</v>
      </c>
      <c r="CA62" s="44">
        <v>50000</v>
      </c>
      <c r="CB62" s="45" t="s">
        <v>0</v>
      </c>
      <c r="CC62" s="325"/>
    </row>
    <row r="63" spans="1:81" s="26" customFormat="1" x14ac:dyDescent="0.2">
      <c r="A63" s="371" t="s">
        <v>109</v>
      </c>
      <c r="B63" s="52" t="s">
        <v>108</v>
      </c>
      <c r="C63" s="72">
        <v>42923</v>
      </c>
      <c r="D63" s="48">
        <v>2.9999999999999997E-4</v>
      </c>
      <c r="E63" s="20">
        <v>1</v>
      </c>
      <c r="F63" s="48">
        <v>2.9999999999999997E-4</v>
      </c>
      <c r="G63" s="20">
        <v>2</v>
      </c>
      <c r="H63" s="49">
        <v>1.1000000000000001E-3</v>
      </c>
      <c r="I63" s="20" t="s">
        <v>475</v>
      </c>
      <c r="J63" s="49">
        <v>1.1000000000000001E-3</v>
      </c>
      <c r="K63" s="20" t="s">
        <v>488</v>
      </c>
      <c r="L63" s="49"/>
      <c r="M63" s="21" t="s">
        <v>2</v>
      </c>
      <c r="N63" s="21">
        <v>1</v>
      </c>
      <c r="O63" s="49"/>
      <c r="P63" s="20"/>
      <c r="Q63" s="40">
        <v>1</v>
      </c>
      <c r="R63" s="40" t="s">
        <v>504</v>
      </c>
      <c r="S63" s="40">
        <v>0.1</v>
      </c>
      <c r="T63" s="40" t="s">
        <v>504</v>
      </c>
      <c r="U63" s="40">
        <v>1</v>
      </c>
      <c r="V63" s="40" t="s">
        <v>504</v>
      </c>
      <c r="W63" s="40">
        <v>0.1</v>
      </c>
      <c r="X63" s="40" t="s">
        <v>504</v>
      </c>
      <c r="Y63" s="40" t="s">
        <v>1</v>
      </c>
      <c r="Z63" s="40"/>
      <c r="AA63" s="40" t="s">
        <v>1</v>
      </c>
      <c r="AB63" s="40"/>
      <c r="AC63" s="42">
        <v>1</v>
      </c>
      <c r="AD63" s="42">
        <v>9</v>
      </c>
      <c r="AE63" s="42">
        <v>1</v>
      </c>
      <c r="AF63" s="42">
        <v>9</v>
      </c>
      <c r="AG63" s="42"/>
      <c r="AH63" s="42"/>
      <c r="AI63" s="62"/>
      <c r="AJ63" s="20"/>
      <c r="AK63" s="66">
        <v>0.8</v>
      </c>
      <c r="AL63" s="66" t="s">
        <v>1</v>
      </c>
      <c r="AM63" s="62"/>
      <c r="AN63" s="62"/>
      <c r="AO63" s="43">
        <f>VLOOKUP(A63,[1]!IABKGRD,7,FALSE)</f>
        <v>0</v>
      </c>
      <c r="AR63" s="26">
        <v>41</v>
      </c>
      <c r="AS63" s="20">
        <v>13</v>
      </c>
      <c r="AU63" s="47">
        <f t="shared" si="20"/>
        <v>0</v>
      </c>
      <c r="AV63" s="20"/>
      <c r="AW63" s="49">
        <f t="shared" si="16"/>
        <v>0</v>
      </c>
      <c r="AX63" s="26">
        <f t="shared" si="17"/>
        <v>4.0199999999999993E-3</v>
      </c>
      <c r="AY63" s="26">
        <f t="shared" si="18"/>
        <v>5</v>
      </c>
      <c r="AZ63" s="23">
        <v>250</v>
      </c>
      <c r="BA63" s="20">
        <v>22</v>
      </c>
      <c r="BB63" s="23">
        <v>6.3600000000000001E-6</v>
      </c>
      <c r="BC63" s="20">
        <v>22</v>
      </c>
      <c r="BD63" s="27">
        <v>2.602717302340809E-4</v>
      </c>
      <c r="BE63" s="20">
        <v>381</v>
      </c>
      <c r="BF63" s="20">
        <v>13</v>
      </c>
      <c r="BG63" s="23">
        <v>1.9999999999999999E-7</v>
      </c>
      <c r="BH63" s="26">
        <v>5.2</v>
      </c>
      <c r="BI63" s="34">
        <v>16</v>
      </c>
      <c r="BJ63" s="19">
        <v>10800</v>
      </c>
      <c r="BK63" s="20" t="s">
        <v>466</v>
      </c>
      <c r="BL63" s="20">
        <v>200</v>
      </c>
      <c r="BM63" s="20">
        <v>17</v>
      </c>
      <c r="BN63" s="22"/>
      <c r="BO63" s="49">
        <f t="shared" si="19"/>
        <v>3.1506488329723976E-2</v>
      </c>
      <c r="BP63" s="24"/>
      <c r="BQ63" s="24"/>
      <c r="BR63" s="44"/>
      <c r="BS63" s="44">
        <f t="shared" si="13"/>
        <v>1000</v>
      </c>
      <c r="BT63" s="44" t="str">
        <f t="shared" si="7"/>
        <v>Ceiling (High)</v>
      </c>
      <c r="BU63" s="44"/>
      <c r="BV63" s="44">
        <f t="shared" si="14"/>
        <v>3000</v>
      </c>
      <c r="BW63" s="44" t="str">
        <f t="shared" si="8"/>
        <v>Ceiling (High)</v>
      </c>
      <c r="BX63" s="44"/>
      <c r="BY63" s="44">
        <f t="shared" si="15"/>
        <v>5000</v>
      </c>
      <c r="BZ63" s="44" t="str">
        <f t="shared" si="9"/>
        <v>Ceiling (High)</v>
      </c>
      <c r="CA63" s="44">
        <v>50000</v>
      </c>
      <c r="CB63" s="45" t="s">
        <v>0</v>
      </c>
      <c r="CC63" s="325"/>
    </row>
    <row r="64" spans="1:81" s="26" customFormat="1" ht="10.5" x14ac:dyDescent="0.25">
      <c r="A64" s="371" t="s">
        <v>107</v>
      </c>
      <c r="B64" s="52" t="s">
        <v>106</v>
      </c>
      <c r="C64" s="72">
        <v>42923</v>
      </c>
      <c r="D64" s="48">
        <v>0.05</v>
      </c>
      <c r="E64" s="20" t="s">
        <v>5</v>
      </c>
      <c r="F64" s="48">
        <v>0.05</v>
      </c>
      <c r="G64" s="20">
        <v>6</v>
      </c>
      <c r="H64" s="49">
        <v>1</v>
      </c>
      <c r="I64" s="20">
        <v>1</v>
      </c>
      <c r="J64" s="49">
        <v>9</v>
      </c>
      <c r="K64" s="20">
        <v>6</v>
      </c>
      <c r="L64" s="77"/>
      <c r="M64" s="20"/>
      <c r="N64" s="79"/>
      <c r="O64" s="77"/>
      <c r="P64" s="79"/>
      <c r="Q64" s="40">
        <v>1</v>
      </c>
      <c r="R64" s="40" t="s">
        <v>504</v>
      </c>
      <c r="S64" s="40">
        <v>0.03</v>
      </c>
      <c r="T64" s="40" t="s">
        <v>504</v>
      </c>
      <c r="U64" s="40">
        <v>1</v>
      </c>
      <c r="V64" s="40" t="s">
        <v>504</v>
      </c>
      <c r="W64" s="40">
        <v>0.03</v>
      </c>
      <c r="X64" s="40" t="s">
        <v>504</v>
      </c>
      <c r="Y64" s="40" t="s">
        <v>1</v>
      </c>
      <c r="Z64" s="40"/>
      <c r="AA64" s="40">
        <v>0.03</v>
      </c>
      <c r="AB64" s="40"/>
      <c r="AC64" s="42">
        <v>1</v>
      </c>
      <c r="AD64" s="42">
        <v>9</v>
      </c>
      <c r="AE64" s="42">
        <v>1</v>
      </c>
      <c r="AF64" s="42">
        <v>9</v>
      </c>
      <c r="AG64" s="80">
        <v>1</v>
      </c>
      <c r="AH64" s="42">
        <v>9</v>
      </c>
      <c r="AI64" s="62"/>
      <c r="AJ64" s="20"/>
      <c r="AK64" s="66">
        <v>1</v>
      </c>
      <c r="AL64" s="81">
        <v>1</v>
      </c>
      <c r="AM64" s="62"/>
      <c r="AN64" s="62"/>
      <c r="AO64" s="43">
        <f>VLOOKUP(A64,[1]!IABKGRD,7,FALSE)</f>
        <v>7.4</v>
      </c>
      <c r="AP64" s="26">
        <v>20</v>
      </c>
      <c r="AQ64" s="26">
        <v>2.218</v>
      </c>
      <c r="AR64" s="26">
        <v>29</v>
      </c>
      <c r="AS64" s="20">
        <v>13</v>
      </c>
      <c r="AT64" s="26">
        <v>2000</v>
      </c>
      <c r="AU64" s="47">
        <f t="shared" si="20"/>
        <v>0.46134494436381224</v>
      </c>
      <c r="AV64" s="20">
        <v>13</v>
      </c>
      <c r="AW64" s="49">
        <f t="shared" si="16"/>
        <v>21.675755033557049</v>
      </c>
      <c r="AX64" s="26">
        <f t="shared" si="17"/>
        <v>0.1</v>
      </c>
      <c r="AY64" s="26">
        <f t="shared" si="18"/>
        <v>0.3</v>
      </c>
      <c r="AZ64" s="23">
        <v>169000</v>
      </c>
      <c r="BA64" s="64">
        <v>22</v>
      </c>
      <c r="BB64" s="23">
        <v>7.8799999999999999E-3</v>
      </c>
      <c r="BC64" s="20">
        <v>22</v>
      </c>
      <c r="BD64" s="27">
        <v>0.32247503683090523</v>
      </c>
      <c r="BE64" s="20">
        <v>106</v>
      </c>
      <c r="BF64" s="20">
        <v>13</v>
      </c>
      <c r="BG64" s="26">
        <v>10</v>
      </c>
      <c r="BH64" s="26">
        <v>3.15</v>
      </c>
      <c r="BI64" s="34">
        <v>16</v>
      </c>
      <c r="BJ64" s="19">
        <v>204</v>
      </c>
      <c r="BK64" s="20" t="s">
        <v>466</v>
      </c>
      <c r="BL64" s="20">
        <v>-94.9</v>
      </c>
      <c r="BM64" s="20">
        <v>17</v>
      </c>
      <c r="BN64" s="22"/>
      <c r="BO64" s="49">
        <f t="shared" si="19"/>
        <v>4.8461851224018325E-2</v>
      </c>
      <c r="BP64" s="24"/>
      <c r="BQ64" s="24"/>
      <c r="BR64" s="44"/>
      <c r="BS64" s="44">
        <f t="shared" si="13"/>
        <v>500</v>
      </c>
      <c r="BT64" s="44" t="str">
        <f t="shared" si="7"/>
        <v>Ceiling (Medium)</v>
      </c>
      <c r="BU64" s="44"/>
      <c r="BV64" s="44">
        <f t="shared" si="14"/>
        <v>1000</v>
      </c>
      <c r="BW64" s="44" t="str">
        <f t="shared" si="8"/>
        <v>Ceiling (Medium)</v>
      </c>
      <c r="BX64" s="44"/>
      <c r="BY64" s="44">
        <f t="shared" si="15"/>
        <v>3000</v>
      </c>
      <c r="BZ64" s="44" t="str">
        <f t="shared" si="9"/>
        <v>Ceiling (Medium)</v>
      </c>
      <c r="CA64" s="44">
        <v>50000</v>
      </c>
      <c r="CB64" s="45" t="s">
        <v>0</v>
      </c>
      <c r="CC64" s="325"/>
    </row>
    <row r="65" spans="1:81" s="26" customFormat="1" x14ac:dyDescent="0.2">
      <c r="A65" s="371" t="s">
        <v>105</v>
      </c>
      <c r="B65" s="52" t="s">
        <v>104</v>
      </c>
      <c r="C65" s="72">
        <v>42922</v>
      </c>
      <c r="D65" s="48">
        <v>8.9999999999999993E-3</v>
      </c>
      <c r="E65" s="20">
        <v>1</v>
      </c>
      <c r="F65" s="48">
        <v>8.9999999999999993E-3</v>
      </c>
      <c r="G65" s="20" t="s">
        <v>188</v>
      </c>
      <c r="H65" s="49">
        <v>8.9999999999999993E-3</v>
      </c>
      <c r="I65" s="20">
        <v>1</v>
      </c>
      <c r="J65" s="49">
        <v>8.9999999999999993E-3</v>
      </c>
      <c r="K65" s="20" t="s">
        <v>488</v>
      </c>
      <c r="L65" s="49">
        <v>2</v>
      </c>
      <c r="M65" s="20" t="s">
        <v>15</v>
      </c>
      <c r="N65" s="20">
        <v>1</v>
      </c>
      <c r="O65" s="49">
        <v>2.9999999999999997E-4</v>
      </c>
      <c r="P65" s="20">
        <v>1</v>
      </c>
      <c r="Q65" s="40">
        <v>1</v>
      </c>
      <c r="R65" s="40" t="s">
        <v>504</v>
      </c>
      <c r="S65" s="40">
        <v>0.03</v>
      </c>
      <c r="T65" s="40" t="s">
        <v>504</v>
      </c>
      <c r="U65" s="40">
        <v>1</v>
      </c>
      <c r="V65" s="40" t="s">
        <v>504</v>
      </c>
      <c r="W65" s="40">
        <v>0.03</v>
      </c>
      <c r="X65" s="40" t="s">
        <v>504</v>
      </c>
      <c r="Y65" s="40">
        <v>1</v>
      </c>
      <c r="Z65" s="40" t="s">
        <v>504</v>
      </c>
      <c r="AA65" s="40">
        <v>0.03</v>
      </c>
      <c r="AB65" s="40" t="s">
        <v>504</v>
      </c>
      <c r="AC65" s="42">
        <v>1</v>
      </c>
      <c r="AD65" s="42">
        <v>9</v>
      </c>
      <c r="AE65" s="42">
        <v>1</v>
      </c>
      <c r="AF65" s="42">
        <v>9</v>
      </c>
      <c r="AG65" s="42">
        <v>1</v>
      </c>
      <c r="AH65" s="42">
        <v>9</v>
      </c>
      <c r="AI65" s="62"/>
      <c r="AJ65" s="20"/>
      <c r="AK65" s="66">
        <v>1</v>
      </c>
      <c r="AL65" s="66">
        <v>1</v>
      </c>
      <c r="AM65" s="62"/>
      <c r="AN65" s="62"/>
      <c r="AO65" s="43">
        <f>VLOOKUP(A65,[1]!IABKGRD,7,FALSE)</f>
        <v>0</v>
      </c>
      <c r="AS65" s="20"/>
      <c r="AT65" s="26">
        <v>200000</v>
      </c>
      <c r="AU65" s="47">
        <f t="shared" si="20"/>
        <v>26.012002182214946</v>
      </c>
      <c r="AV65" s="20">
        <v>24</v>
      </c>
      <c r="AW65" s="49">
        <f t="shared" si="16"/>
        <v>0.46132550335570471</v>
      </c>
      <c r="AX65" s="26">
        <f t="shared" si="17"/>
        <v>0.1</v>
      </c>
      <c r="AY65" s="26">
        <f t="shared" si="18"/>
        <v>0.3</v>
      </c>
      <c r="AZ65" s="23">
        <v>3910000</v>
      </c>
      <c r="BA65" s="20">
        <v>22</v>
      </c>
      <c r="BB65" s="23">
        <v>6.4999999999999997E-4</v>
      </c>
      <c r="BC65" s="20">
        <v>22</v>
      </c>
      <c r="BD65" s="27">
        <v>2.6600098215747256E-2</v>
      </c>
      <c r="BE65" s="20">
        <v>188</v>
      </c>
      <c r="BF65" s="20">
        <v>11</v>
      </c>
      <c r="BG65" s="26">
        <v>12</v>
      </c>
      <c r="BH65" s="26">
        <v>1.96</v>
      </c>
      <c r="BI65" s="34">
        <v>16</v>
      </c>
      <c r="BJ65" s="19">
        <v>44</v>
      </c>
      <c r="BK65" s="20">
        <v>11</v>
      </c>
      <c r="BL65" s="20"/>
      <c r="BM65" s="20"/>
      <c r="BN65" s="22"/>
      <c r="BO65" s="49">
        <f t="shared" si="19"/>
        <v>2.7593068558175102E-3</v>
      </c>
      <c r="BP65" s="24"/>
      <c r="BQ65" s="24"/>
      <c r="BR65" s="44"/>
      <c r="BS65" s="44">
        <f t="shared" ref="BS65:BS93" si="21">IF($AW65=0,IF($BG65&gt;1,100,1000),IF($AW65&lt;0.1,1000,IF($AW65&lt;100,500,100)))</f>
        <v>500</v>
      </c>
      <c r="BT65" s="44" t="str">
        <f t="shared" si="7"/>
        <v>Ceiling (Medium)</v>
      </c>
      <c r="BU65" s="44"/>
      <c r="BV65" s="44">
        <f t="shared" ref="BV65:BV93" si="22">IF($AW65=0,IF($BG65&gt;1,500,3000),IF($AW65&lt;0.1,3000,IF($AW65&lt;100,1000,500)))</f>
        <v>1000</v>
      </c>
      <c r="BW65" s="44" t="str">
        <f t="shared" si="8"/>
        <v>Ceiling (Medium)</v>
      </c>
      <c r="BX65" s="44"/>
      <c r="BY65" s="44">
        <f t="shared" ref="BY65:BY93" si="23">IF($AW65=0,IF($BG65&gt;1,500,5000),IF($AW65&lt;0.1,5000,IF($AW65&lt;100,3000,1000)))</f>
        <v>3000</v>
      </c>
      <c r="BZ65" s="44" t="str">
        <f t="shared" si="9"/>
        <v>Ceiling (Medium)</v>
      </c>
      <c r="CA65" s="44">
        <v>50000</v>
      </c>
      <c r="CB65" s="45" t="s">
        <v>0</v>
      </c>
      <c r="CC65" s="325"/>
    </row>
    <row r="66" spans="1:81" s="26" customFormat="1" ht="10.5" x14ac:dyDescent="0.25">
      <c r="A66" s="371" t="s">
        <v>103</v>
      </c>
      <c r="B66" s="52" t="s">
        <v>102</v>
      </c>
      <c r="C66" s="72">
        <v>42922</v>
      </c>
      <c r="D66" s="48">
        <v>0.04</v>
      </c>
      <c r="E66" s="20">
        <v>1</v>
      </c>
      <c r="F66" s="78">
        <v>0.1</v>
      </c>
      <c r="G66" s="79">
        <v>6</v>
      </c>
      <c r="H66" s="49">
        <v>0.05</v>
      </c>
      <c r="I66" s="20" t="s">
        <v>478</v>
      </c>
      <c r="J66" s="49">
        <v>0.5</v>
      </c>
      <c r="K66" s="20" t="s">
        <v>478</v>
      </c>
      <c r="L66" s="49"/>
      <c r="M66" s="20" t="s">
        <v>2</v>
      </c>
      <c r="N66" s="20">
        <v>1</v>
      </c>
      <c r="O66" s="49"/>
      <c r="P66" s="20"/>
      <c r="Q66" s="40">
        <v>0.3</v>
      </c>
      <c r="R66" s="40" t="s">
        <v>503</v>
      </c>
      <c r="S66" s="40">
        <v>0.1</v>
      </c>
      <c r="T66" s="40" t="s">
        <v>503</v>
      </c>
      <c r="U66" s="40">
        <v>0.3</v>
      </c>
      <c r="V66" s="40" t="s">
        <v>503</v>
      </c>
      <c r="W66" s="40">
        <v>0.1</v>
      </c>
      <c r="X66" s="40" t="s">
        <v>503</v>
      </c>
      <c r="Y66" s="40" t="s">
        <v>1</v>
      </c>
      <c r="Z66" s="40"/>
      <c r="AA66" s="40" t="s">
        <v>1</v>
      </c>
      <c r="AB66" s="40"/>
      <c r="AC66" s="42">
        <v>1</v>
      </c>
      <c r="AD66" s="42">
        <v>9</v>
      </c>
      <c r="AE66" s="42">
        <v>1</v>
      </c>
      <c r="AF66" s="42">
        <v>9</v>
      </c>
      <c r="AG66" s="42"/>
      <c r="AH66" s="42"/>
      <c r="AI66" s="62">
        <v>10</v>
      </c>
      <c r="AJ66" s="20"/>
      <c r="AK66" s="66">
        <v>0.92</v>
      </c>
      <c r="AL66" s="66" t="s">
        <v>1</v>
      </c>
      <c r="AM66" s="62">
        <v>4</v>
      </c>
      <c r="AN66" s="62"/>
      <c r="AO66" s="43">
        <f>VLOOKUP(A66,[1]!IABKGRD,7,FALSE)</f>
        <v>0</v>
      </c>
      <c r="AS66" s="20"/>
      <c r="AU66" s="47">
        <f t="shared" si="20"/>
        <v>0</v>
      </c>
      <c r="AV66" s="20"/>
      <c r="AW66" s="49">
        <f t="shared" si="16"/>
        <v>0</v>
      </c>
      <c r="AX66" s="26">
        <f t="shared" si="17"/>
        <v>0.66</v>
      </c>
      <c r="AY66" s="26">
        <f t="shared" si="18"/>
        <v>11</v>
      </c>
      <c r="AZ66" s="23">
        <v>260</v>
      </c>
      <c r="BA66" s="20">
        <v>22</v>
      </c>
      <c r="BB66" s="23">
        <v>8.8599999999999999E-6</v>
      </c>
      <c r="BC66" s="20">
        <v>22</v>
      </c>
      <c r="BD66" s="27">
        <v>3.6257980029464726E-4</v>
      </c>
      <c r="BE66" s="20">
        <v>202</v>
      </c>
      <c r="BF66" s="20">
        <v>13</v>
      </c>
      <c r="BG66" s="23">
        <v>5.0000000000000004E-6</v>
      </c>
      <c r="BH66" s="26">
        <v>5.16</v>
      </c>
      <c r="BI66" s="34">
        <v>16</v>
      </c>
      <c r="BJ66" s="19">
        <v>49100</v>
      </c>
      <c r="BK66" s="20" t="s">
        <v>466</v>
      </c>
      <c r="BL66" s="20">
        <v>107.8</v>
      </c>
      <c r="BM66" s="20">
        <v>17</v>
      </c>
      <c r="BN66" s="22"/>
      <c r="BO66" s="49">
        <f t="shared" si="19"/>
        <v>0.2981261008172249</v>
      </c>
      <c r="BR66" s="44"/>
      <c r="BS66" s="44">
        <f t="shared" si="21"/>
        <v>1000</v>
      </c>
      <c r="BT66" s="44" t="str">
        <f t="shared" si="7"/>
        <v>Ceiling (High)</v>
      </c>
      <c r="BU66" s="44"/>
      <c r="BV66" s="44">
        <f t="shared" si="22"/>
        <v>3000</v>
      </c>
      <c r="BW66" s="44" t="str">
        <f t="shared" si="8"/>
        <v>Ceiling (High)</v>
      </c>
      <c r="BX66" s="44"/>
      <c r="BY66" s="44">
        <f t="shared" si="23"/>
        <v>5000</v>
      </c>
      <c r="BZ66" s="44" t="str">
        <f t="shared" si="9"/>
        <v>Ceiling (High)</v>
      </c>
      <c r="CA66" s="44">
        <v>50000</v>
      </c>
      <c r="CB66" s="45" t="s">
        <v>0</v>
      </c>
      <c r="CC66" s="325"/>
    </row>
    <row r="67" spans="1:81" s="26" customFormat="1" x14ac:dyDescent="0.2">
      <c r="A67" s="371" t="s">
        <v>101</v>
      </c>
      <c r="B67" s="52" t="s">
        <v>100</v>
      </c>
      <c r="C67" s="72">
        <v>42923</v>
      </c>
      <c r="D67" s="48">
        <v>0.04</v>
      </c>
      <c r="E67" s="20">
        <v>1</v>
      </c>
      <c r="F67" s="48">
        <v>0.4</v>
      </c>
      <c r="G67" s="20">
        <v>2</v>
      </c>
      <c r="H67" s="49">
        <v>0.05</v>
      </c>
      <c r="I67" s="20" t="s">
        <v>478</v>
      </c>
      <c r="J67" s="49">
        <v>0.5</v>
      </c>
      <c r="K67" s="20" t="s">
        <v>478</v>
      </c>
      <c r="L67" s="49"/>
      <c r="M67" s="21"/>
      <c r="N67" s="21"/>
      <c r="O67" s="49"/>
      <c r="P67" s="20"/>
      <c r="Q67" s="40">
        <v>0.3</v>
      </c>
      <c r="R67" s="40" t="s">
        <v>503</v>
      </c>
      <c r="S67" s="40">
        <v>0.1</v>
      </c>
      <c r="T67" s="40" t="s">
        <v>503</v>
      </c>
      <c r="U67" s="40">
        <v>0.3</v>
      </c>
      <c r="V67" s="40" t="s">
        <v>504</v>
      </c>
      <c r="W67" s="40">
        <v>0.1</v>
      </c>
      <c r="X67" s="40" t="s">
        <v>503</v>
      </c>
      <c r="Y67" s="40" t="s">
        <v>1</v>
      </c>
      <c r="Z67" s="40"/>
      <c r="AA67" s="40" t="s">
        <v>1</v>
      </c>
      <c r="AB67" s="40"/>
      <c r="AC67" s="42">
        <v>1</v>
      </c>
      <c r="AD67" s="42">
        <v>9</v>
      </c>
      <c r="AE67" s="42">
        <v>1</v>
      </c>
      <c r="AF67" s="42">
        <v>9</v>
      </c>
      <c r="AG67" s="42"/>
      <c r="AH67" s="42"/>
      <c r="AI67" s="62">
        <v>2</v>
      </c>
      <c r="AJ67" s="20"/>
      <c r="AK67" s="66">
        <v>0.92</v>
      </c>
      <c r="AL67" s="66" t="s">
        <v>1</v>
      </c>
      <c r="AM67" s="62">
        <v>1</v>
      </c>
      <c r="AN67" s="62"/>
      <c r="AO67" s="43">
        <f>VLOOKUP(A67,[1]!IABKGRD,7,FALSE)</f>
        <v>0</v>
      </c>
      <c r="AS67" s="20"/>
      <c r="AU67" s="47">
        <f t="shared" si="20"/>
        <v>0</v>
      </c>
      <c r="AV67" s="20"/>
      <c r="AW67" s="49">
        <f t="shared" ref="AW67:AW73" si="24">IF(AT67=0,0,BG67/AU67)</f>
        <v>0</v>
      </c>
      <c r="AX67" s="26">
        <f t="shared" ref="AX67:AX105" si="25">VLOOKUP(A67,PQL,4,FALSE)</f>
        <v>0.66</v>
      </c>
      <c r="AY67" s="26">
        <f t="shared" ref="AY67:AY105" si="26">VLOOKUP(A67,PQL,3,FALSE)</f>
        <v>1</v>
      </c>
      <c r="AZ67" s="23">
        <v>1890</v>
      </c>
      <c r="BA67" s="20">
        <v>22</v>
      </c>
      <c r="BB67" s="23">
        <v>9.6199999999999994E-5</v>
      </c>
      <c r="BC67" s="20">
        <v>22</v>
      </c>
      <c r="BD67" s="27">
        <v>3.9368145359305945E-3</v>
      </c>
      <c r="BE67" s="20">
        <v>166</v>
      </c>
      <c r="BF67" s="20">
        <v>13</v>
      </c>
      <c r="BG67" s="25"/>
      <c r="BH67" s="26">
        <v>4.18</v>
      </c>
      <c r="BI67" s="34">
        <v>17</v>
      </c>
      <c r="BJ67" s="19">
        <v>7710</v>
      </c>
      <c r="BK67" s="20" t="s">
        <v>466</v>
      </c>
      <c r="BL67" s="20">
        <v>114.8</v>
      </c>
      <c r="BM67" s="20">
        <v>17</v>
      </c>
      <c r="BN67" s="22"/>
      <c r="BO67" s="49">
        <f t="shared" si="19"/>
        <v>0.10695473105661606</v>
      </c>
      <c r="BP67" s="24"/>
      <c r="BQ67" s="24"/>
      <c r="BR67" s="44"/>
      <c r="BS67" s="44">
        <f t="shared" si="21"/>
        <v>1000</v>
      </c>
      <c r="BT67" s="44" t="str">
        <f t="shared" si="7"/>
        <v>Ceiling (High)</v>
      </c>
      <c r="BU67" s="44"/>
      <c r="BV67" s="44">
        <f t="shared" si="22"/>
        <v>3000</v>
      </c>
      <c r="BW67" s="44" t="str">
        <f t="shared" si="8"/>
        <v>Ceiling (High)</v>
      </c>
      <c r="BX67" s="44"/>
      <c r="BY67" s="44">
        <f t="shared" si="23"/>
        <v>5000</v>
      </c>
      <c r="BZ67" s="44" t="str">
        <f t="shared" si="9"/>
        <v>Ceiling (High)</v>
      </c>
      <c r="CA67" s="44">
        <v>50000</v>
      </c>
      <c r="CB67" s="45" t="s">
        <v>0</v>
      </c>
      <c r="CC67" s="325"/>
    </row>
    <row r="68" spans="1:81" s="26" customFormat="1" x14ac:dyDescent="0.2">
      <c r="A68" s="371" t="s">
        <v>99</v>
      </c>
      <c r="B68" s="52" t="s">
        <v>98</v>
      </c>
      <c r="C68" s="72">
        <v>42923</v>
      </c>
      <c r="D68" s="48">
        <v>5.0000000000000001E-4</v>
      </c>
      <c r="E68" s="20">
        <v>1</v>
      </c>
      <c r="F68" s="48">
        <v>5.0000000000000001E-4</v>
      </c>
      <c r="G68" s="20">
        <v>2</v>
      </c>
      <c r="H68" s="49">
        <v>1E-3</v>
      </c>
      <c r="I68" s="20">
        <v>3</v>
      </c>
      <c r="J68" s="49">
        <v>1E-3</v>
      </c>
      <c r="K68" s="20" t="s">
        <v>488</v>
      </c>
      <c r="L68" s="49">
        <v>4.5</v>
      </c>
      <c r="M68" s="21" t="s">
        <v>15</v>
      </c>
      <c r="N68" s="21">
        <v>1</v>
      </c>
      <c r="O68" s="49">
        <v>1.2999999999999999E-3</v>
      </c>
      <c r="P68" s="20">
        <v>1</v>
      </c>
      <c r="Q68" s="40">
        <v>1</v>
      </c>
      <c r="R68" s="40" t="s">
        <v>504</v>
      </c>
      <c r="S68" s="40">
        <v>0.1</v>
      </c>
      <c r="T68" s="40" t="s">
        <v>504</v>
      </c>
      <c r="U68" s="40">
        <v>1</v>
      </c>
      <c r="V68" s="40" t="s">
        <v>504</v>
      </c>
      <c r="W68" s="40">
        <v>0.1</v>
      </c>
      <c r="X68" s="40" t="s">
        <v>504</v>
      </c>
      <c r="Y68" s="40">
        <v>1</v>
      </c>
      <c r="Z68" s="40" t="s">
        <v>504</v>
      </c>
      <c r="AA68" s="40">
        <v>0.1</v>
      </c>
      <c r="AB68" s="40" t="s">
        <v>504</v>
      </c>
      <c r="AC68" s="42">
        <v>1</v>
      </c>
      <c r="AD68" s="42">
        <v>9</v>
      </c>
      <c r="AE68" s="42">
        <v>1</v>
      </c>
      <c r="AF68" s="42">
        <v>9</v>
      </c>
      <c r="AG68" s="42">
        <v>1</v>
      </c>
      <c r="AH68" s="42">
        <v>9</v>
      </c>
      <c r="AI68" s="62"/>
      <c r="AJ68" s="20"/>
      <c r="AK68" s="66">
        <v>0.66</v>
      </c>
      <c r="AL68" s="66">
        <v>0.66</v>
      </c>
      <c r="AM68" s="62"/>
      <c r="AN68" s="62"/>
      <c r="AO68" s="43">
        <f>VLOOKUP(A68,[1]!IABKGRD,7,FALSE)</f>
        <v>0</v>
      </c>
      <c r="AR68" s="26">
        <v>20</v>
      </c>
      <c r="AS68" s="20">
        <v>13</v>
      </c>
      <c r="AT68" s="26">
        <v>300</v>
      </c>
      <c r="AU68" s="47">
        <f t="shared" si="20"/>
        <v>1.9613327848621964E-2</v>
      </c>
      <c r="AV68" s="20">
        <v>13</v>
      </c>
      <c r="AW68" s="49">
        <f t="shared" si="24"/>
        <v>1.5295721476510067E-2</v>
      </c>
      <c r="AX68" s="26">
        <f t="shared" si="25"/>
        <v>2.0099999999999996E-3</v>
      </c>
      <c r="AY68" s="26">
        <f t="shared" si="26"/>
        <v>1</v>
      </c>
      <c r="AZ68" s="23">
        <v>180</v>
      </c>
      <c r="BA68" s="20">
        <v>22</v>
      </c>
      <c r="BB68" s="23">
        <v>2.9399999999999999E-4</v>
      </c>
      <c r="BC68" s="20">
        <v>22</v>
      </c>
      <c r="BD68" s="27">
        <v>1.2031429039122606E-2</v>
      </c>
      <c r="BE68" s="20">
        <v>374</v>
      </c>
      <c r="BF68" s="20">
        <v>13</v>
      </c>
      <c r="BG68" s="23">
        <v>2.9999999999999997E-4</v>
      </c>
      <c r="BH68" s="26">
        <v>6.1</v>
      </c>
      <c r="BI68" s="34">
        <v>16</v>
      </c>
      <c r="BJ68" s="19">
        <v>9530</v>
      </c>
      <c r="BK68" s="20" t="s">
        <v>466</v>
      </c>
      <c r="BL68" s="20">
        <v>95.5</v>
      </c>
      <c r="BM68" s="20">
        <v>17</v>
      </c>
      <c r="BN68" s="22"/>
      <c r="BO68" s="49">
        <f t="shared" si="19"/>
        <v>0.13539418114050744</v>
      </c>
      <c r="BP68" s="24"/>
      <c r="BQ68" s="24"/>
      <c r="BR68" s="44"/>
      <c r="BS68" s="44">
        <f t="shared" si="21"/>
        <v>1000</v>
      </c>
      <c r="BT68" s="44" t="str">
        <f t="shared" ref="BT68:BT125" si="27">IF($BS68=$BN68,"Soil Saturation",IF($BS68=100,"Ceiling (Low)",IF($BS68=500,"Ceiling (Medium)","Ceiling (High)")))</f>
        <v>Ceiling (High)</v>
      </c>
      <c r="BU68" s="44"/>
      <c r="BV68" s="44">
        <f t="shared" si="22"/>
        <v>3000</v>
      </c>
      <c r="BW68" s="44" t="str">
        <f t="shared" ref="BW68:BW125" si="28">IF(BV68=$BN68,"Soil Saturation",IF(BV68=500,"Ceiling (Low)",IF(BV68=1000,"Ceiling (Medium)","Ceiling (High)")))</f>
        <v>Ceiling (High)</v>
      </c>
      <c r="BX68" s="44"/>
      <c r="BY68" s="44">
        <f t="shared" si="23"/>
        <v>5000</v>
      </c>
      <c r="BZ68" s="44" t="str">
        <f t="shared" ref="BZ68:BZ125" si="29">IF(BY68=$BN68,"Soil Saturation",IF(BY68=500,"High Volatility",IF(BY68=1000,"Ceiling (Low)",IF(BY68=3000,"Ceiling (Medium)","Ceiling (High)"))))</f>
        <v>Ceiling (High)</v>
      </c>
      <c r="CA68" s="44">
        <v>50000</v>
      </c>
      <c r="CB68" s="45" t="s">
        <v>0</v>
      </c>
      <c r="CC68" s="325"/>
    </row>
    <row r="69" spans="1:81" s="26" customFormat="1" x14ac:dyDescent="0.2">
      <c r="A69" s="371" t="s">
        <v>97</v>
      </c>
      <c r="B69" s="52" t="s">
        <v>96</v>
      </c>
      <c r="C69" s="72">
        <v>42923</v>
      </c>
      <c r="D69" s="48">
        <v>1.2999999999999999E-5</v>
      </c>
      <c r="E69" s="20">
        <v>1</v>
      </c>
      <c r="F69" s="48">
        <v>1.2999999999999999E-5</v>
      </c>
      <c r="G69" s="20">
        <v>2</v>
      </c>
      <c r="H69" s="49">
        <v>4.6E-5</v>
      </c>
      <c r="I69" s="20" t="s">
        <v>475</v>
      </c>
      <c r="J69" s="49">
        <v>4.6E-5</v>
      </c>
      <c r="K69" s="20" t="s">
        <v>488</v>
      </c>
      <c r="L69" s="49">
        <v>9.1</v>
      </c>
      <c r="M69" s="21" t="s">
        <v>15</v>
      </c>
      <c r="N69" s="21">
        <v>1</v>
      </c>
      <c r="O69" s="49">
        <v>2.5999999999999999E-3</v>
      </c>
      <c r="P69" s="20">
        <v>1</v>
      </c>
      <c r="Q69" s="40">
        <v>1</v>
      </c>
      <c r="R69" s="40" t="s">
        <v>504</v>
      </c>
      <c r="S69" s="40">
        <v>0.1</v>
      </c>
      <c r="T69" s="40" t="s">
        <v>504</v>
      </c>
      <c r="U69" s="40">
        <v>1</v>
      </c>
      <c r="V69" s="40" t="s">
        <v>504</v>
      </c>
      <c r="W69" s="40">
        <v>0.1</v>
      </c>
      <c r="X69" s="40" t="s">
        <v>504</v>
      </c>
      <c r="Y69" s="40">
        <v>1</v>
      </c>
      <c r="Z69" s="40" t="s">
        <v>504</v>
      </c>
      <c r="AA69" s="40">
        <v>0.1</v>
      </c>
      <c r="AB69" s="40" t="s">
        <v>504</v>
      </c>
      <c r="AC69" s="42">
        <v>1</v>
      </c>
      <c r="AD69" s="42">
        <v>9</v>
      </c>
      <c r="AE69" s="42">
        <v>1</v>
      </c>
      <c r="AF69" s="42">
        <v>9</v>
      </c>
      <c r="AG69" s="42">
        <v>1</v>
      </c>
      <c r="AH69" s="42">
        <v>9</v>
      </c>
      <c r="AI69" s="62"/>
      <c r="AJ69" s="20"/>
      <c r="AK69" s="66">
        <v>0.66</v>
      </c>
      <c r="AL69" s="66">
        <v>0.66</v>
      </c>
      <c r="AM69" s="62"/>
      <c r="AN69" s="62"/>
      <c r="AO69" s="43">
        <f>VLOOKUP(A69,[1]!IABKGRD,7,FALSE)</f>
        <v>0</v>
      </c>
      <c r="AS69" s="20"/>
      <c r="AT69" s="26">
        <v>300</v>
      </c>
      <c r="AU69" s="47">
        <f t="shared" si="20"/>
        <v>1.8857029859600551E-2</v>
      </c>
      <c r="AV69" s="20">
        <v>13</v>
      </c>
      <c r="AW69" s="49">
        <f t="shared" si="24"/>
        <v>1.3787961409395975E-4</v>
      </c>
      <c r="AX69" s="26">
        <f t="shared" si="25"/>
        <v>5.561E-2</v>
      </c>
      <c r="AY69" s="26">
        <f t="shared" si="26"/>
        <v>1.5</v>
      </c>
      <c r="AZ69" s="23">
        <v>200</v>
      </c>
      <c r="BA69" s="20">
        <v>22</v>
      </c>
      <c r="BB69" s="23">
        <v>2.0999999999999999E-5</v>
      </c>
      <c r="BC69" s="20">
        <v>22</v>
      </c>
      <c r="BD69" s="27">
        <v>8.593877885087575E-4</v>
      </c>
      <c r="BE69" s="20">
        <v>389</v>
      </c>
      <c r="BF69" s="20">
        <v>13</v>
      </c>
      <c r="BG69" s="23">
        <v>2.6000000000000001E-6</v>
      </c>
      <c r="BH69" s="26">
        <v>4.9800000000000004</v>
      </c>
      <c r="BI69" s="34">
        <v>17</v>
      </c>
      <c r="BJ69" s="19">
        <v>83200</v>
      </c>
      <c r="BK69" s="20" t="s">
        <v>467</v>
      </c>
      <c r="BL69" s="20">
        <v>160</v>
      </c>
      <c r="BM69" s="20">
        <v>17</v>
      </c>
      <c r="BN69" s="22"/>
      <c r="BO69" s="49">
        <f t="shared" si="19"/>
        <v>2.0342297432117306E-2</v>
      </c>
      <c r="BP69" s="24"/>
      <c r="BQ69" s="24"/>
      <c r="BR69" s="44"/>
      <c r="BS69" s="44">
        <f t="shared" si="21"/>
        <v>1000</v>
      </c>
      <c r="BT69" s="44" t="str">
        <f t="shared" si="27"/>
        <v>Ceiling (High)</v>
      </c>
      <c r="BU69" s="44"/>
      <c r="BV69" s="44">
        <f t="shared" si="22"/>
        <v>3000</v>
      </c>
      <c r="BW69" s="44" t="str">
        <f t="shared" si="28"/>
        <v>Ceiling (High)</v>
      </c>
      <c r="BX69" s="44"/>
      <c r="BY69" s="44">
        <f t="shared" si="23"/>
        <v>5000</v>
      </c>
      <c r="BZ69" s="44" t="str">
        <f t="shared" si="29"/>
        <v>Ceiling (High)</v>
      </c>
      <c r="CA69" s="44">
        <v>50000</v>
      </c>
      <c r="CB69" s="45" t="s">
        <v>0</v>
      </c>
      <c r="CC69" s="325"/>
    </row>
    <row r="70" spans="1:81" s="26" customFormat="1" x14ac:dyDescent="0.2">
      <c r="A70" s="371" t="s">
        <v>95</v>
      </c>
      <c r="B70" s="52" t="s">
        <v>94</v>
      </c>
      <c r="C70" s="72">
        <v>42922</v>
      </c>
      <c r="D70" s="48">
        <v>1.0000000000000001E-5</v>
      </c>
      <c r="E70" s="20" t="s">
        <v>5</v>
      </c>
      <c r="F70" s="48">
        <v>1.0000000000000001E-5</v>
      </c>
      <c r="G70" s="20">
        <v>6</v>
      </c>
      <c r="H70" s="49">
        <v>4.0000000000000003E-5</v>
      </c>
      <c r="I70" s="20" t="s">
        <v>475</v>
      </c>
      <c r="J70" s="49">
        <v>4.0000000000000003E-5</v>
      </c>
      <c r="K70" s="20" t="s">
        <v>475</v>
      </c>
      <c r="L70" s="49">
        <v>1.6</v>
      </c>
      <c r="M70" s="21" t="s">
        <v>15</v>
      </c>
      <c r="N70" s="21">
        <v>1</v>
      </c>
      <c r="O70" s="49">
        <v>4.6000000000000001E-4</v>
      </c>
      <c r="P70" s="20">
        <v>1</v>
      </c>
      <c r="Q70" s="40">
        <v>1</v>
      </c>
      <c r="R70" s="40" t="s">
        <v>504</v>
      </c>
      <c r="S70" s="40">
        <v>0.1</v>
      </c>
      <c r="T70" s="40" t="s">
        <v>504</v>
      </c>
      <c r="U70" s="40">
        <v>1</v>
      </c>
      <c r="V70" s="40" t="s">
        <v>504</v>
      </c>
      <c r="W70" s="40">
        <v>0.1</v>
      </c>
      <c r="X70" s="40" t="s">
        <v>504</v>
      </c>
      <c r="Y70" s="40">
        <v>1</v>
      </c>
      <c r="Z70" s="40" t="s">
        <v>504</v>
      </c>
      <c r="AA70" s="40">
        <v>0.1</v>
      </c>
      <c r="AB70" s="40" t="s">
        <v>504</v>
      </c>
      <c r="AC70" s="42">
        <v>1</v>
      </c>
      <c r="AD70" s="42">
        <v>9</v>
      </c>
      <c r="AE70" s="42">
        <v>1</v>
      </c>
      <c r="AF70" s="42">
        <v>9</v>
      </c>
      <c r="AG70" s="42">
        <v>1</v>
      </c>
      <c r="AH70" s="42">
        <v>9</v>
      </c>
      <c r="AI70" s="62"/>
      <c r="AJ70" s="20"/>
      <c r="AK70" s="66">
        <v>0.8</v>
      </c>
      <c r="AL70" s="66">
        <v>0.8</v>
      </c>
      <c r="AM70" s="62"/>
      <c r="AN70" s="62"/>
      <c r="AO70" s="43">
        <f>VLOOKUP(A70,[1]!IABKGRD,7,FALSE)</f>
        <v>0</v>
      </c>
      <c r="AR70" s="26">
        <v>3000</v>
      </c>
      <c r="AS70" s="20">
        <v>24</v>
      </c>
      <c r="AU70" s="47">
        <f t="shared" si="20"/>
        <v>0</v>
      </c>
      <c r="AV70" s="20"/>
      <c r="AW70" s="49">
        <f t="shared" si="24"/>
        <v>0</v>
      </c>
      <c r="AX70" s="26">
        <f t="shared" si="25"/>
        <v>0.66</v>
      </c>
      <c r="AY70" s="26">
        <f t="shared" si="26"/>
        <v>1</v>
      </c>
      <c r="AZ70" s="23">
        <v>6.2</v>
      </c>
      <c r="BA70" s="20">
        <v>22</v>
      </c>
      <c r="BB70" s="23">
        <v>1.6999999999999999E-3</v>
      </c>
      <c r="BC70" s="20">
        <v>22</v>
      </c>
      <c r="BD70" s="27">
        <v>6.9569487641185132E-2</v>
      </c>
      <c r="BE70" s="20">
        <v>285</v>
      </c>
      <c r="BF70" s="20">
        <v>13</v>
      </c>
      <c r="BG70" s="23">
        <v>1.0890000000000001E-5</v>
      </c>
      <c r="BH70" s="26">
        <v>5.73</v>
      </c>
      <c r="BI70" s="34">
        <v>16</v>
      </c>
      <c r="BJ70" s="19">
        <v>80000</v>
      </c>
      <c r="BK70" s="20" t="s">
        <v>466</v>
      </c>
      <c r="BL70" s="20">
        <v>231.8</v>
      </c>
      <c r="BM70" s="20">
        <v>17</v>
      </c>
      <c r="BN70" s="22"/>
      <c r="BO70" s="49">
        <f t="shared" si="19"/>
        <v>0.24310841956013071</v>
      </c>
      <c r="BP70" s="24"/>
      <c r="BQ70" s="24"/>
      <c r="BR70" s="44"/>
      <c r="BS70" s="44">
        <f t="shared" si="21"/>
        <v>1000</v>
      </c>
      <c r="BT70" s="44" t="str">
        <f t="shared" si="27"/>
        <v>Ceiling (High)</v>
      </c>
      <c r="BU70" s="44"/>
      <c r="BV70" s="44">
        <f t="shared" si="22"/>
        <v>3000</v>
      </c>
      <c r="BW70" s="44" t="str">
        <f t="shared" si="28"/>
        <v>Ceiling (High)</v>
      </c>
      <c r="BX70" s="44"/>
      <c r="BY70" s="44">
        <f t="shared" si="23"/>
        <v>5000</v>
      </c>
      <c r="BZ70" s="44" t="str">
        <f t="shared" si="29"/>
        <v>Ceiling (High)</v>
      </c>
      <c r="CA70" s="44">
        <v>50000</v>
      </c>
      <c r="CB70" s="45" t="s">
        <v>0</v>
      </c>
      <c r="CC70" s="325"/>
    </row>
    <row r="71" spans="1:81" s="26" customFormat="1" x14ac:dyDescent="0.2">
      <c r="A71" s="371" t="s">
        <v>93</v>
      </c>
      <c r="B71" s="52" t="s">
        <v>92</v>
      </c>
      <c r="C71" s="72">
        <v>42922</v>
      </c>
      <c r="D71" s="48">
        <v>1E-3</v>
      </c>
      <c r="E71" s="20">
        <v>6</v>
      </c>
      <c r="F71" s="48">
        <v>1E-3</v>
      </c>
      <c r="G71" s="20">
        <v>6</v>
      </c>
      <c r="H71" s="49">
        <v>4.0000000000000001E-3</v>
      </c>
      <c r="I71" s="20" t="s">
        <v>475</v>
      </c>
      <c r="J71" s="49">
        <v>4.0000000000000001E-3</v>
      </c>
      <c r="K71" s="20" t="s">
        <v>475</v>
      </c>
      <c r="L71" s="49">
        <v>7.8E-2</v>
      </c>
      <c r="M71" s="21" t="s">
        <v>23</v>
      </c>
      <c r="N71" s="21">
        <v>1</v>
      </c>
      <c r="O71" s="49">
        <v>2.1999999999999999E-5</v>
      </c>
      <c r="P71" s="20">
        <v>1</v>
      </c>
      <c r="Q71" s="40">
        <v>1</v>
      </c>
      <c r="R71" s="40" t="s">
        <v>504</v>
      </c>
      <c r="S71" s="40">
        <v>0.03</v>
      </c>
      <c r="T71" s="40" t="s">
        <v>504</v>
      </c>
      <c r="U71" s="40">
        <v>1</v>
      </c>
      <c r="V71" s="40" t="s">
        <v>504</v>
      </c>
      <c r="W71" s="40">
        <v>0.03</v>
      </c>
      <c r="X71" s="40" t="s">
        <v>504</v>
      </c>
      <c r="Y71" s="40">
        <v>1</v>
      </c>
      <c r="Z71" s="40" t="s">
        <v>504</v>
      </c>
      <c r="AA71" s="40">
        <v>0.03</v>
      </c>
      <c r="AB71" s="40" t="s">
        <v>504</v>
      </c>
      <c r="AC71" s="42">
        <v>1</v>
      </c>
      <c r="AD71" s="42">
        <v>9</v>
      </c>
      <c r="AE71" s="42">
        <v>1</v>
      </c>
      <c r="AF71" s="42">
        <v>9</v>
      </c>
      <c r="AG71" s="42">
        <v>1</v>
      </c>
      <c r="AH71" s="42">
        <v>9</v>
      </c>
      <c r="AI71" s="62"/>
      <c r="AJ71" s="20"/>
      <c r="AK71" s="66">
        <v>1</v>
      </c>
      <c r="AL71" s="66">
        <v>1</v>
      </c>
      <c r="AM71" s="62"/>
      <c r="AN71" s="62"/>
      <c r="AO71" s="43">
        <f>VLOOKUP(A71,[1]!IABKGRD,7,FALSE)</f>
        <v>4.5999999999999996</v>
      </c>
      <c r="AR71" s="26">
        <v>6</v>
      </c>
      <c r="AS71" s="20">
        <v>24</v>
      </c>
      <c r="AT71" s="26">
        <v>12000</v>
      </c>
      <c r="AU71" s="47">
        <f t="shared" si="20"/>
        <v>1.1241968759210137</v>
      </c>
      <c r="AV71" s="20">
        <v>13</v>
      </c>
      <c r="AW71" s="49">
        <f t="shared" si="24"/>
        <v>0.13342858640939598</v>
      </c>
      <c r="AX71" s="26">
        <f t="shared" si="25"/>
        <v>0.66</v>
      </c>
      <c r="AY71" s="26">
        <f t="shared" si="26"/>
        <v>0.55000000000000004</v>
      </c>
      <c r="AZ71" s="23">
        <v>3200</v>
      </c>
      <c r="BA71" s="20">
        <v>22</v>
      </c>
      <c r="BB71" s="23">
        <v>1.03E-2</v>
      </c>
      <c r="BC71" s="20">
        <v>22</v>
      </c>
      <c r="BD71" s="27">
        <v>0.42150924864953349</v>
      </c>
      <c r="BE71" s="20">
        <v>261</v>
      </c>
      <c r="BF71" s="20">
        <v>11</v>
      </c>
      <c r="BG71" s="23">
        <v>0.15</v>
      </c>
      <c r="BH71" s="26">
        <v>4.78</v>
      </c>
      <c r="BI71" s="34">
        <v>16</v>
      </c>
      <c r="BJ71" s="19">
        <v>53700</v>
      </c>
      <c r="BK71" s="20" t="s">
        <v>467</v>
      </c>
      <c r="BL71" s="20">
        <v>-21</v>
      </c>
      <c r="BM71" s="20">
        <v>17</v>
      </c>
      <c r="BN71" s="22"/>
      <c r="BO71" s="49">
        <f t="shared" si="19"/>
        <v>7.8198784038949712E-2</v>
      </c>
      <c r="BP71" s="24"/>
      <c r="BQ71" s="24"/>
      <c r="BR71" s="44"/>
      <c r="BS71" s="44">
        <f t="shared" si="21"/>
        <v>500</v>
      </c>
      <c r="BT71" s="44" t="str">
        <f t="shared" si="27"/>
        <v>Ceiling (Medium)</v>
      </c>
      <c r="BU71" s="44"/>
      <c r="BV71" s="44">
        <f t="shared" si="22"/>
        <v>1000</v>
      </c>
      <c r="BW71" s="44" t="str">
        <f t="shared" si="28"/>
        <v>Ceiling (Medium)</v>
      </c>
      <c r="BX71" s="44"/>
      <c r="BY71" s="44">
        <f t="shared" si="23"/>
        <v>3000</v>
      </c>
      <c r="BZ71" s="44" t="str">
        <f t="shared" si="29"/>
        <v>Ceiling (Medium)</v>
      </c>
      <c r="CA71" s="44">
        <v>50000</v>
      </c>
      <c r="CB71" s="45" t="s">
        <v>0</v>
      </c>
      <c r="CC71" s="325"/>
    </row>
    <row r="72" spans="1:81" s="26" customFormat="1" ht="20" x14ac:dyDescent="0.2">
      <c r="A72" s="371" t="s">
        <v>91</v>
      </c>
      <c r="B72" s="52" t="s">
        <v>90</v>
      </c>
      <c r="C72" s="72">
        <v>42923</v>
      </c>
      <c r="D72" s="48">
        <v>2.9999999999999997E-4</v>
      </c>
      <c r="E72" s="20">
        <v>1</v>
      </c>
      <c r="F72" s="48">
        <v>3.0000000000000001E-3</v>
      </c>
      <c r="G72" s="20">
        <v>2</v>
      </c>
      <c r="H72" s="49">
        <v>1.1000000000000001E-3</v>
      </c>
      <c r="I72" s="20" t="s">
        <v>475</v>
      </c>
      <c r="J72" s="49">
        <v>1.0999999999999999E-2</v>
      </c>
      <c r="K72" s="20" t="s">
        <v>475</v>
      </c>
      <c r="L72" s="49">
        <v>1.3</v>
      </c>
      <c r="M72" s="21" t="s">
        <v>89</v>
      </c>
      <c r="N72" s="21">
        <v>2</v>
      </c>
      <c r="O72" s="49">
        <v>3.7142857142857143E-4</v>
      </c>
      <c r="P72" s="20" t="s">
        <v>474</v>
      </c>
      <c r="Q72" s="40">
        <v>1</v>
      </c>
      <c r="R72" s="40" t="s">
        <v>504</v>
      </c>
      <c r="S72" s="40">
        <v>0.04</v>
      </c>
      <c r="T72" s="40" t="s">
        <v>504</v>
      </c>
      <c r="U72" s="40">
        <v>1</v>
      </c>
      <c r="V72" s="40" t="s">
        <v>504</v>
      </c>
      <c r="W72" s="40">
        <v>0.04</v>
      </c>
      <c r="X72" s="40" t="s">
        <v>504</v>
      </c>
      <c r="Y72" s="40">
        <v>1</v>
      </c>
      <c r="Z72" s="40" t="s">
        <v>504</v>
      </c>
      <c r="AA72" s="40">
        <v>0.04</v>
      </c>
      <c r="AB72" s="40" t="s">
        <v>504</v>
      </c>
      <c r="AC72" s="42">
        <v>1</v>
      </c>
      <c r="AD72" s="42">
        <v>9</v>
      </c>
      <c r="AE72" s="42">
        <v>1</v>
      </c>
      <c r="AF72" s="42">
        <v>9</v>
      </c>
      <c r="AG72" s="42">
        <v>1</v>
      </c>
      <c r="AH72" s="42">
        <v>9</v>
      </c>
      <c r="AI72" s="62"/>
      <c r="AJ72" s="20"/>
      <c r="AK72" s="66">
        <v>1</v>
      </c>
      <c r="AL72" s="66">
        <v>1</v>
      </c>
      <c r="AM72" s="62"/>
      <c r="AN72" s="62"/>
      <c r="AO72" s="43">
        <f>VLOOKUP(A72,[1]!IABKGRD,7,FALSE)</f>
        <v>0</v>
      </c>
      <c r="AR72" s="26">
        <v>12000</v>
      </c>
      <c r="AS72" s="20">
        <v>13</v>
      </c>
      <c r="AU72" s="47">
        <f t="shared" si="20"/>
        <v>0</v>
      </c>
      <c r="AV72" s="20"/>
      <c r="AW72" s="49">
        <f t="shared" si="24"/>
        <v>0</v>
      </c>
      <c r="AX72" s="26">
        <f t="shared" si="25"/>
        <v>2.6800000000000001E-3</v>
      </c>
      <c r="AY72" s="26">
        <f t="shared" si="26"/>
        <v>0.5</v>
      </c>
      <c r="AZ72" s="23">
        <v>7300</v>
      </c>
      <c r="BA72" s="20">
        <v>22</v>
      </c>
      <c r="BB72" s="23">
        <v>5.1399999999999999E-6</v>
      </c>
      <c r="BC72" s="20">
        <v>22</v>
      </c>
      <c r="BD72" s="27">
        <v>2.1034539204452447E-4</v>
      </c>
      <c r="BE72" s="20">
        <v>291</v>
      </c>
      <c r="BF72" s="20">
        <v>13</v>
      </c>
      <c r="BG72" s="23">
        <v>9.3999999999999998E-6</v>
      </c>
      <c r="BH72" s="26">
        <v>3.72</v>
      </c>
      <c r="BI72" s="34">
        <v>17</v>
      </c>
      <c r="BJ72" s="19">
        <v>1350</v>
      </c>
      <c r="BK72" s="20" t="s">
        <v>466</v>
      </c>
      <c r="BL72" s="20">
        <v>112.5</v>
      </c>
      <c r="BM72" s="20">
        <v>17</v>
      </c>
      <c r="BN72" s="22"/>
      <c r="BO72" s="49">
        <f t="shared" si="19"/>
        <v>1.0607181496353157E-2</v>
      </c>
      <c r="BP72" s="24"/>
      <c r="BQ72" s="24"/>
      <c r="BR72" s="44"/>
      <c r="BS72" s="44">
        <f t="shared" si="21"/>
        <v>1000</v>
      </c>
      <c r="BT72" s="44" t="str">
        <f t="shared" si="27"/>
        <v>Ceiling (High)</v>
      </c>
      <c r="BU72" s="44"/>
      <c r="BV72" s="44">
        <f t="shared" si="22"/>
        <v>3000</v>
      </c>
      <c r="BW72" s="44" t="str">
        <f t="shared" si="28"/>
        <v>Ceiling (High)</v>
      </c>
      <c r="BX72" s="44"/>
      <c r="BY72" s="44">
        <f t="shared" si="23"/>
        <v>5000</v>
      </c>
      <c r="BZ72" s="44" t="str">
        <f t="shared" si="29"/>
        <v>Ceiling (High)</v>
      </c>
      <c r="CA72" s="44">
        <v>50000</v>
      </c>
      <c r="CB72" s="45" t="s">
        <v>0</v>
      </c>
      <c r="CC72" s="325"/>
    </row>
    <row r="73" spans="1:81" s="26" customFormat="1" x14ac:dyDescent="0.2">
      <c r="A73" s="371" t="s">
        <v>88</v>
      </c>
      <c r="B73" s="52" t="s">
        <v>87</v>
      </c>
      <c r="C73" s="72">
        <v>42922</v>
      </c>
      <c r="D73" s="48">
        <v>6.9999999999999999E-4</v>
      </c>
      <c r="E73" s="20">
        <v>1</v>
      </c>
      <c r="F73" s="48">
        <v>2E-3</v>
      </c>
      <c r="G73" s="20" t="s">
        <v>334</v>
      </c>
      <c r="H73" s="49">
        <v>0.03</v>
      </c>
      <c r="I73" s="20">
        <v>1</v>
      </c>
      <c r="J73" s="49">
        <v>0.3</v>
      </c>
      <c r="K73" s="20" t="s">
        <v>64</v>
      </c>
      <c r="L73" s="49">
        <v>0.04</v>
      </c>
      <c r="M73" s="21" t="s">
        <v>23</v>
      </c>
      <c r="N73" s="21">
        <v>1</v>
      </c>
      <c r="O73" s="49">
        <v>3.9999999999999998E-6</v>
      </c>
      <c r="P73" s="20" t="s">
        <v>332</v>
      </c>
      <c r="Q73" s="40">
        <v>1</v>
      </c>
      <c r="R73" s="40" t="s">
        <v>504</v>
      </c>
      <c r="S73" s="40">
        <v>0.03</v>
      </c>
      <c r="T73" s="40" t="s">
        <v>504</v>
      </c>
      <c r="U73" s="40">
        <v>1</v>
      </c>
      <c r="V73" s="40" t="s">
        <v>504</v>
      </c>
      <c r="W73" s="40">
        <v>0.03</v>
      </c>
      <c r="X73" s="40" t="s">
        <v>504</v>
      </c>
      <c r="Y73" s="40">
        <v>1</v>
      </c>
      <c r="Z73" s="40" t="s">
        <v>504</v>
      </c>
      <c r="AA73" s="40">
        <v>0.03</v>
      </c>
      <c r="AB73" s="40" t="s">
        <v>504</v>
      </c>
      <c r="AC73" s="42">
        <v>1</v>
      </c>
      <c r="AD73" s="42">
        <v>9</v>
      </c>
      <c r="AE73" s="42">
        <v>1</v>
      </c>
      <c r="AF73" s="42">
        <v>9</v>
      </c>
      <c r="AG73" s="42">
        <v>1</v>
      </c>
      <c r="AH73" s="42">
        <v>9</v>
      </c>
      <c r="AI73" s="62"/>
      <c r="AJ73" s="20"/>
      <c r="AK73" s="66">
        <v>1</v>
      </c>
      <c r="AL73" s="66">
        <v>1</v>
      </c>
      <c r="AM73" s="62"/>
      <c r="AN73" s="62"/>
      <c r="AO73" s="43">
        <f>VLOOKUP(A73,[1]!IABKGRD,7,FALSE)</f>
        <v>0</v>
      </c>
      <c r="AR73" s="26">
        <v>10</v>
      </c>
      <c r="AS73" s="20">
        <v>24</v>
      </c>
      <c r="AU73" s="47">
        <f t="shared" si="20"/>
        <v>0</v>
      </c>
      <c r="AV73" s="20"/>
      <c r="AW73" s="49">
        <f t="shared" si="24"/>
        <v>0</v>
      </c>
      <c r="AX73" s="26">
        <f t="shared" si="25"/>
        <v>0.66</v>
      </c>
      <c r="AY73" s="26">
        <f t="shared" si="26"/>
        <v>8</v>
      </c>
      <c r="AZ73" s="23">
        <v>50000</v>
      </c>
      <c r="BA73" s="20">
        <v>22</v>
      </c>
      <c r="BB73" s="23">
        <v>3.8899999999999998E-3</v>
      </c>
      <c r="BC73" s="20">
        <v>22</v>
      </c>
      <c r="BD73" s="27">
        <v>0.15919135701424128</v>
      </c>
      <c r="BE73" s="20">
        <v>237</v>
      </c>
      <c r="BF73" s="20">
        <v>11</v>
      </c>
      <c r="BG73" s="30">
        <v>0.4</v>
      </c>
      <c r="BH73" s="26">
        <v>4.1399999999999997</v>
      </c>
      <c r="BI73" s="34">
        <v>16</v>
      </c>
      <c r="BJ73" s="19">
        <v>1780</v>
      </c>
      <c r="BK73" s="20" t="s">
        <v>467</v>
      </c>
      <c r="BL73" s="20">
        <v>187</v>
      </c>
      <c r="BM73" s="20">
        <v>17</v>
      </c>
      <c r="BN73" s="22"/>
      <c r="BO73" s="49">
        <f t="shared" si="19"/>
        <v>4.0290253508329509E-2</v>
      </c>
      <c r="BP73" s="24"/>
      <c r="BQ73" s="24"/>
      <c r="BR73" s="44"/>
      <c r="BS73" s="44">
        <f t="shared" si="21"/>
        <v>1000</v>
      </c>
      <c r="BT73" s="44" t="str">
        <f t="shared" si="27"/>
        <v>Ceiling (High)</v>
      </c>
      <c r="BU73" s="44"/>
      <c r="BV73" s="44">
        <f t="shared" si="22"/>
        <v>3000</v>
      </c>
      <c r="BW73" s="44" t="str">
        <f t="shared" si="28"/>
        <v>Ceiling (High)</v>
      </c>
      <c r="BX73" s="44"/>
      <c r="BY73" s="44">
        <f t="shared" si="23"/>
        <v>5000</v>
      </c>
      <c r="BZ73" s="44" t="str">
        <f t="shared" si="29"/>
        <v>Ceiling (High)</v>
      </c>
      <c r="CA73" s="44">
        <v>50000</v>
      </c>
      <c r="CB73" s="45" t="s">
        <v>0</v>
      </c>
      <c r="CC73" s="325"/>
    </row>
    <row r="74" spans="1:81" s="26" customFormat="1" x14ac:dyDescent="0.2">
      <c r="A74" s="371" t="s">
        <v>86</v>
      </c>
      <c r="B74" s="52" t="s">
        <v>85</v>
      </c>
      <c r="C74" s="72">
        <v>42922</v>
      </c>
      <c r="D74" s="48">
        <v>0.05</v>
      </c>
      <c r="E74" s="20">
        <v>1</v>
      </c>
      <c r="F74" s="48">
        <v>0.05</v>
      </c>
      <c r="G74" s="20" t="s">
        <v>188</v>
      </c>
      <c r="H74" s="49">
        <v>0.18</v>
      </c>
      <c r="I74" s="20" t="s">
        <v>475</v>
      </c>
      <c r="J74" s="49">
        <v>0.18</v>
      </c>
      <c r="K74" s="20" t="s">
        <v>488</v>
      </c>
      <c r="L74" s="49"/>
      <c r="M74" s="21" t="s">
        <v>2</v>
      </c>
      <c r="N74" s="21">
        <v>1</v>
      </c>
      <c r="O74" s="49"/>
      <c r="P74" s="20"/>
      <c r="Q74" s="40">
        <v>1</v>
      </c>
      <c r="R74" s="40">
        <v>9</v>
      </c>
      <c r="S74" s="40">
        <v>0.03</v>
      </c>
      <c r="T74" s="40">
        <v>9</v>
      </c>
      <c r="U74" s="40">
        <v>1</v>
      </c>
      <c r="V74" s="40">
        <v>9</v>
      </c>
      <c r="W74" s="40">
        <v>0.03</v>
      </c>
      <c r="X74" s="40">
        <v>9</v>
      </c>
      <c r="Y74" s="40" t="s">
        <v>1</v>
      </c>
      <c r="Z74" s="40"/>
      <c r="AA74" s="40" t="s">
        <v>1</v>
      </c>
      <c r="AB74" s="40"/>
      <c r="AC74" s="42">
        <v>1</v>
      </c>
      <c r="AD74" s="42">
        <v>9</v>
      </c>
      <c r="AE74" s="42">
        <v>1</v>
      </c>
      <c r="AF74" s="42">
        <v>9</v>
      </c>
      <c r="AG74" s="42"/>
      <c r="AH74" s="42"/>
      <c r="AI74" s="62"/>
      <c r="AJ74" s="20"/>
      <c r="AK74" s="66">
        <v>0.3</v>
      </c>
      <c r="AL74" s="66" t="s">
        <v>1</v>
      </c>
      <c r="AM74" s="62"/>
      <c r="AN74" s="62"/>
      <c r="AO74" s="43">
        <f>VLOOKUP(A74,[1]!IABKGRD,7,FALSE)</f>
        <v>0</v>
      </c>
      <c r="AS74" s="20"/>
      <c r="AU74" s="47"/>
      <c r="AV74" s="20"/>
      <c r="AW74" s="49"/>
      <c r="AX74" s="26">
        <f t="shared" si="25"/>
        <v>2.2000000000000002</v>
      </c>
      <c r="AY74" s="26">
        <f t="shared" si="26"/>
        <v>13</v>
      </c>
      <c r="AZ74" s="35">
        <v>2556000</v>
      </c>
      <c r="BA74" s="20">
        <v>23</v>
      </c>
      <c r="BB74" s="35">
        <v>8.67E-10</v>
      </c>
      <c r="BC74" s="20">
        <v>22</v>
      </c>
      <c r="BD74" s="27">
        <v>3.5480438697004418E-8</v>
      </c>
      <c r="BE74" s="20">
        <v>296.2</v>
      </c>
      <c r="BF74" s="20">
        <v>13</v>
      </c>
      <c r="BG74" s="35">
        <v>3.3300000000000001E-14</v>
      </c>
      <c r="BH74" s="26">
        <v>0.16</v>
      </c>
      <c r="BI74" s="34">
        <v>13</v>
      </c>
      <c r="BJ74" s="19">
        <f>10^0.54</f>
        <v>3.4673685045253171</v>
      </c>
      <c r="BK74" s="20">
        <v>13</v>
      </c>
      <c r="BL74" s="20">
        <v>276</v>
      </c>
      <c r="BM74" s="20">
        <v>13</v>
      </c>
      <c r="BN74" s="22"/>
      <c r="BO74" s="49">
        <f t="shared" si="19"/>
        <v>4.4348608726596469E-5</v>
      </c>
      <c r="BP74" s="24"/>
      <c r="BQ74" s="24"/>
      <c r="BR74" s="44"/>
      <c r="BS74" s="44">
        <f t="shared" si="21"/>
        <v>1000</v>
      </c>
      <c r="BT74" s="44" t="str">
        <f t="shared" si="27"/>
        <v>Ceiling (High)</v>
      </c>
      <c r="BU74" s="44"/>
      <c r="BV74" s="44">
        <f t="shared" si="22"/>
        <v>3000</v>
      </c>
      <c r="BW74" s="44" t="str">
        <f t="shared" si="28"/>
        <v>Ceiling (High)</v>
      </c>
      <c r="BX74" s="44"/>
      <c r="BY74" s="44">
        <f t="shared" si="23"/>
        <v>5000</v>
      </c>
      <c r="BZ74" s="44" t="str">
        <f t="shared" si="29"/>
        <v>Ceiling (High)</v>
      </c>
      <c r="CA74" s="44">
        <v>50000</v>
      </c>
      <c r="CB74" s="45" t="s">
        <v>0</v>
      </c>
      <c r="CC74" s="325"/>
    </row>
    <row r="75" spans="1:81" s="26" customFormat="1" ht="10.5" x14ac:dyDescent="0.25">
      <c r="A75" s="371" t="s">
        <v>84</v>
      </c>
      <c r="B75" s="52" t="s">
        <v>83</v>
      </c>
      <c r="C75" s="72">
        <v>42922</v>
      </c>
      <c r="D75" s="48">
        <v>0.03</v>
      </c>
      <c r="E75" s="20" t="s">
        <v>478</v>
      </c>
      <c r="F75" s="48">
        <v>0.3</v>
      </c>
      <c r="G75" s="20" t="s">
        <v>478</v>
      </c>
      <c r="H75" s="49">
        <v>0.05</v>
      </c>
      <c r="I75" s="20" t="s">
        <v>478</v>
      </c>
      <c r="J75" s="49">
        <v>0.5</v>
      </c>
      <c r="K75" s="20" t="s">
        <v>478</v>
      </c>
      <c r="L75" s="77">
        <v>0.1</v>
      </c>
      <c r="M75" s="20" t="s">
        <v>15</v>
      </c>
      <c r="N75" s="20" t="s">
        <v>10</v>
      </c>
      <c r="O75" s="77">
        <v>6.0000000000000002E-5</v>
      </c>
      <c r="P75" s="79" t="s">
        <v>10</v>
      </c>
      <c r="Q75" s="40">
        <v>0.3</v>
      </c>
      <c r="R75" s="40" t="s">
        <v>503</v>
      </c>
      <c r="S75" s="40">
        <v>0.02</v>
      </c>
      <c r="T75" s="40" t="s">
        <v>503</v>
      </c>
      <c r="U75" s="40">
        <v>0.3</v>
      </c>
      <c r="V75" s="40" t="s">
        <v>503</v>
      </c>
      <c r="W75" s="40">
        <v>0.02</v>
      </c>
      <c r="X75" s="40" t="s">
        <v>503</v>
      </c>
      <c r="Y75" s="40">
        <v>0.3</v>
      </c>
      <c r="Z75" s="40" t="s">
        <v>503</v>
      </c>
      <c r="AA75" s="40">
        <v>0.02</v>
      </c>
      <c r="AB75" s="40" t="s">
        <v>503</v>
      </c>
      <c r="AC75" s="42">
        <v>1</v>
      </c>
      <c r="AD75" s="42">
        <v>9</v>
      </c>
      <c r="AE75" s="42">
        <v>1</v>
      </c>
      <c r="AF75" s="42">
        <v>9</v>
      </c>
      <c r="AG75" s="42">
        <v>1</v>
      </c>
      <c r="AH75" s="42">
        <v>9</v>
      </c>
      <c r="AI75" s="62">
        <v>3</v>
      </c>
      <c r="AJ75" s="20" t="s">
        <v>630</v>
      </c>
      <c r="AK75" s="66">
        <v>0.92</v>
      </c>
      <c r="AL75" s="66">
        <v>0.92</v>
      </c>
      <c r="AM75" s="62">
        <v>1</v>
      </c>
      <c r="AN75" s="62"/>
      <c r="AO75" s="43">
        <f>VLOOKUP(A75,[1]!IABKGRD,7,FALSE)</f>
        <v>0</v>
      </c>
      <c r="AS75" s="20"/>
      <c r="AU75" s="47">
        <f t="shared" ref="AU75:AU85" si="30">AT75*22.4*(298/273)*(760/760)/(BE75*1000)</f>
        <v>0</v>
      </c>
      <c r="AV75" s="20"/>
      <c r="AW75" s="49">
        <f t="shared" ref="AW75:AW85" si="31">IF(AT75=0,0,BG75/AU75)</f>
        <v>0</v>
      </c>
      <c r="AX75" s="26">
        <f t="shared" si="25"/>
        <v>0.66</v>
      </c>
      <c r="AY75" s="26">
        <f t="shared" si="26"/>
        <v>0.5</v>
      </c>
      <c r="AZ75" s="23">
        <v>0.19</v>
      </c>
      <c r="BA75" s="20">
        <v>22</v>
      </c>
      <c r="BB75" s="23">
        <v>3.4799999999999999E-7</v>
      </c>
      <c r="BC75" s="20">
        <v>22</v>
      </c>
      <c r="BD75" s="27">
        <v>1.424128335243084E-5</v>
      </c>
      <c r="BE75" s="20">
        <v>276</v>
      </c>
      <c r="BF75" s="20">
        <v>13</v>
      </c>
      <c r="BG75" s="23">
        <v>1.0000000000000001E-9</v>
      </c>
      <c r="BH75" s="26">
        <v>6.7</v>
      </c>
      <c r="BI75" s="34">
        <v>16</v>
      </c>
      <c r="BJ75" s="19">
        <v>3470000</v>
      </c>
      <c r="BK75" s="20" t="s">
        <v>467</v>
      </c>
      <c r="BL75" s="20">
        <v>161.5</v>
      </c>
      <c r="BM75" s="20">
        <v>17</v>
      </c>
      <c r="BN75" s="22"/>
      <c r="BO75" s="49">
        <f t="shared" si="19"/>
        <v>1.1923396878859682</v>
      </c>
      <c r="BP75" s="24"/>
      <c r="BQ75" s="24"/>
      <c r="BR75" s="44"/>
      <c r="BS75" s="44">
        <f t="shared" si="21"/>
        <v>1000</v>
      </c>
      <c r="BT75" s="44" t="str">
        <f t="shared" si="27"/>
        <v>Ceiling (High)</v>
      </c>
      <c r="BU75" s="44"/>
      <c r="BV75" s="44">
        <f t="shared" si="22"/>
        <v>3000</v>
      </c>
      <c r="BW75" s="44" t="str">
        <f t="shared" si="28"/>
        <v>Ceiling (High)</v>
      </c>
      <c r="BX75" s="44"/>
      <c r="BY75" s="44">
        <f t="shared" si="23"/>
        <v>5000</v>
      </c>
      <c r="BZ75" s="44" t="str">
        <f t="shared" si="29"/>
        <v>Ceiling (High)</v>
      </c>
      <c r="CA75" s="44">
        <v>50000</v>
      </c>
      <c r="CB75" s="45" t="s">
        <v>0</v>
      </c>
      <c r="CC75" s="325"/>
    </row>
    <row r="76" spans="1:81" s="26" customFormat="1" x14ac:dyDescent="0.2">
      <c r="A76" s="371" t="s">
        <v>81</v>
      </c>
      <c r="B76" s="52" t="s">
        <v>80</v>
      </c>
      <c r="C76" s="72">
        <v>42922</v>
      </c>
      <c r="D76" s="48">
        <v>7.5000000000000002E-4</v>
      </c>
      <c r="E76" s="20">
        <v>4</v>
      </c>
      <c r="F76" s="48">
        <v>7.5000000000000002E-4</v>
      </c>
      <c r="G76" s="20">
        <v>4</v>
      </c>
      <c r="H76" s="49">
        <v>1E-3</v>
      </c>
      <c r="I76" s="20">
        <v>3</v>
      </c>
      <c r="J76" s="49">
        <v>1E-3</v>
      </c>
      <c r="K76" s="20" t="s">
        <v>488</v>
      </c>
      <c r="L76" s="49"/>
      <c r="M76" s="20" t="s">
        <v>15</v>
      </c>
      <c r="N76" s="20">
        <v>1</v>
      </c>
      <c r="O76" s="49"/>
      <c r="P76" s="20"/>
      <c r="Q76" s="40">
        <v>0.5</v>
      </c>
      <c r="R76" s="40" t="s">
        <v>622</v>
      </c>
      <c r="S76" s="40">
        <v>6.0000000000000001E-3</v>
      </c>
      <c r="T76" s="40">
        <v>9</v>
      </c>
      <c r="U76" s="40">
        <v>0.5</v>
      </c>
      <c r="V76" s="40" t="s">
        <v>622</v>
      </c>
      <c r="W76" s="40">
        <v>6.0000000000000001E-3</v>
      </c>
      <c r="X76" s="40">
        <v>9</v>
      </c>
      <c r="Y76" s="40" t="s">
        <v>1</v>
      </c>
      <c r="Z76" s="40"/>
      <c r="AA76" s="40" t="s">
        <v>1</v>
      </c>
      <c r="AB76" s="40"/>
      <c r="AC76" s="42">
        <v>1</v>
      </c>
      <c r="AD76" s="42">
        <v>9</v>
      </c>
      <c r="AE76" s="42">
        <v>1</v>
      </c>
      <c r="AF76" s="42">
        <v>9</v>
      </c>
      <c r="AG76" s="42"/>
      <c r="AH76" s="42"/>
      <c r="AI76" s="62">
        <v>600</v>
      </c>
      <c r="AJ76" s="20"/>
      <c r="AK76" s="66">
        <v>0.5</v>
      </c>
      <c r="AL76" s="66" t="s">
        <v>1</v>
      </c>
      <c r="AM76" s="62">
        <v>200</v>
      </c>
      <c r="AN76" s="62">
        <v>8.8000000000000007</v>
      </c>
      <c r="AO76" s="43">
        <f>VLOOKUP(A76,[1]!IABKGRD,7,FALSE)</f>
        <v>0</v>
      </c>
      <c r="AS76" s="20"/>
      <c r="AU76" s="47">
        <f t="shared" si="30"/>
        <v>0</v>
      </c>
      <c r="AV76" s="20"/>
      <c r="AW76" s="49">
        <f t="shared" si="31"/>
        <v>0</v>
      </c>
      <c r="AX76" s="26">
        <f t="shared" si="25"/>
        <v>8.4</v>
      </c>
      <c r="AY76" s="26">
        <f t="shared" si="26"/>
        <v>1</v>
      </c>
      <c r="AZ76" s="29">
        <v>0</v>
      </c>
      <c r="BA76" s="20"/>
      <c r="BB76" s="29"/>
      <c r="BC76" s="29"/>
      <c r="BD76" s="27">
        <v>0</v>
      </c>
      <c r="BE76" s="20">
        <v>207</v>
      </c>
      <c r="BF76" s="20">
        <v>11</v>
      </c>
      <c r="BG76" s="25"/>
      <c r="BH76" s="26">
        <v>0.73</v>
      </c>
      <c r="BI76" s="34"/>
      <c r="BJ76" s="29">
        <v>0</v>
      </c>
      <c r="BK76" s="29"/>
      <c r="BL76" s="29"/>
      <c r="BM76" s="29"/>
      <c r="BN76" s="22"/>
      <c r="BO76" s="49">
        <v>1E-4</v>
      </c>
      <c r="BP76" s="26">
        <v>0.15</v>
      </c>
      <c r="BR76" s="44"/>
      <c r="BS76" s="44">
        <f t="shared" si="21"/>
        <v>1000</v>
      </c>
      <c r="BT76" s="44" t="str">
        <f t="shared" si="27"/>
        <v>Ceiling (High)</v>
      </c>
      <c r="BU76" s="44"/>
      <c r="BV76" s="44">
        <f t="shared" si="22"/>
        <v>3000</v>
      </c>
      <c r="BW76" s="44" t="str">
        <f t="shared" si="28"/>
        <v>Ceiling (High)</v>
      </c>
      <c r="BX76" s="44"/>
      <c r="BY76" s="44">
        <f t="shared" si="23"/>
        <v>5000</v>
      </c>
      <c r="BZ76" s="44" t="str">
        <f t="shared" si="29"/>
        <v>Ceiling (High)</v>
      </c>
      <c r="CA76" s="44">
        <v>50000</v>
      </c>
      <c r="CB76" s="45" t="s">
        <v>0</v>
      </c>
      <c r="CC76" s="325" t="s">
        <v>680</v>
      </c>
    </row>
    <row r="77" spans="1:81" s="26" customFormat="1" x14ac:dyDescent="0.2">
      <c r="A77" s="371" t="s">
        <v>79</v>
      </c>
      <c r="B77" s="52" t="s">
        <v>78</v>
      </c>
      <c r="C77" s="72">
        <v>42923</v>
      </c>
      <c r="D77" s="48">
        <v>2.9999999999999997E-4</v>
      </c>
      <c r="E77" s="20" t="s">
        <v>337</v>
      </c>
      <c r="F77" s="48">
        <v>2.9999999999999997E-4</v>
      </c>
      <c r="G77" s="20" t="s">
        <v>337</v>
      </c>
      <c r="H77" s="49">
        <v>2.9999999999999997E-4</v>
      </c>
      <c r="I77" s="20">
        <v>1</v>
      </c>
      <c r="J77" s="49">
        <v>2.9999999999999997E-4</v>
      </c>
      <c r="K77" s="20" t="s">
        <v>488</v>
      </c>
      <c r="L77" s="49"/>
      <c r="M77" s="20" t="s">
        <v>2</v>
      </c>
      <c r="N77" s="20">
        <v>1</v>
      </c>
      <c r="O77" s="49"/>
      <c r="P77" s="20"/>
      <c r="Q77" s="40">
        <v>0.5</v>
      </c>
      <c r="R77" s="40" t="s">
        <v>504</v>
      </c>
      <c r="S77" s="40">
        <v>0.1</v>
      </c>
      <c r="T77" s="40" t="s">
        <v>504</v>
      </c>
      <c r="U77" s="40">
        <v>0.5</v>
      </c>
      <c r="V77" s="40" t="s">
        <v>504</v>
      </c>
      <c r="W77" s="40">
        <v>0.1</v>
      </c>
      <c r="X77" s="40" t="s">
        <v>504</v>
      </c>
      <c r="Y77" s="40" t="s">
        <v>1</v>
      </c>
      <c r="Z77" s="40"/>
      <c r="AA77" s="40" t="s">
        <v>1</v>
      </c>
      <c r="AB77" s="40"/>
      <c r="AC77" s="42">
        <v>1</v>
      </c>
      <c r="AD77" s="42">
        <v>9</v>
      </c>
      <c r="AE77" s="42">
        <v>1</v>
      </c>
      <c r="AF77" s="42">
        <v>9</v>
      </c>
      <c r="AG77" s="42"/>
      <c r="AH77" s="42"/>
      <c r="AI77" s="62">
        <v>1</v>
      </c>
      <c r="AJ77" s="20"/>
      <c r="AK77" s="66">
        <v>0.95</v>
      </c>
      <c r="AL77" s="66" t="s">
        <v>1</v>
      </c>
      <c r="AM77" s="62">
        <v>0.3</v>
      </c>
      <c r="AN77" s="62">
        <v>0.95</v>
      </c>
      <c r="AO77" s="43">
        <f>VLOOKUP(A77,[1]!IABKGRD,7,FALSE)</f>
        <v>0</v>
      </c>
      <c r="AS77" s="20"/>
      <c r="AU77" s="47">
        <f t="shared" si="30"/>
        <v>0</v>
      </c>
      <c r="AV77" s="20"/>
      <c r="AW77" s="49">
        <f t="shared" si="31"/>
        <v>0</v>
      </c>
      <c r="AX77" s="26">
        <f t="shared" si="25"/>
        <v>0.1</v>
      </c>
      <c r="AY77" s="26">
        <f t="shared" si="26"/>
        <v>0.2</v>
      </c>
      <c r="AZ77" s="23">
        <v>60</v>
      </c>
      <c r="BA77" s="20">
        <v>22</v>
      </c>
      <c r="BB77" s="30"/>
      <c r="BC77" s="20"/>
      <c r="BD77" s="27">
        <v>0</v>
      </c>
      <c r="BE77" s="20">
        <v>201</v>
      </c>
      <c r="BF77" s="20">
        <v>13</v>
      </c>
      <c r="BG77" s="23">
        <v>1.1999999999999999E-3</v>
      </c>
      <c r="BH77" s="26">
        <v>0.62</v>
      </c>
      <c r="BI77" s="34"/>
      <c r="BJ77" s="29">
        <v>0</v>
      </c>
      <c r="BK77" s="29"/>
      <c r="BL77" s="29"/>
      <c r="BM77" s="29"/>
      <c r="BN77" s="22"/>
      <c r="BO77" s="49">
        <v>1E-3</v>
      </c>
      <c r="BP77" s="24"/>
      <c r="BQ77" s="24"/>
      <c r="BR77" s="44"/>
      <c r="BS77" s="44">
        <f t="shared" si="21"/>
        <v>1000</v>
      </c>
      <c r="BT77" s="44" t="str">
        <f t="shared" si="27"/>
        <v>Ceiling (High)</v>
      </c>
      <c r="BU77" s="44"/>
      <c r="BV77" s="44">
        <f t="shared" si="22"/>
        <v>3000</v>
      </c>
      <c r="BW77" s="44" t="str">
        <f t="shared" si="28"/>
        <v>Ceiling (High)</v>
      </c>
      <c r="BX77" s="44"/>
      <c r="BY77" s="44">
        <f t="shared" si="23"/>
        <v>5000</v>
      </c>
      <c r="BZ77" s="44" t="str">
        <f t="shared" si="29"/>
        <v>Ceiling (High)</v>
      </c>
      <c r="CA77" s="44">
        <v>50000</v>
      </c>
      <c r="CB77" s="45" t="s">
        <v>0</v>
      </c>
      <c r="CC77" s="325" t="s">
        <v>680</v>
      </c>
    </row>
    <row r="78" spans="1:81" s="26" customFormat="1" x14ac:dyDescent="0.2">
      <c r="A78" s="371" t="s">
        <v>77</v>
      </c>
      <c r="B78" s="52" t="s">
        <v>76</v>
      </c>
      <c r="C78" s="72">
        <v>42923</v>
      </c>
      <c r="D78" s="48">
        <v>5.0000000000000001E-3</v>
      </c>
      <c r="E78" s="20">
        <v>1</v>
      </c>
      <c r="F78" s="48">
        <v>5.0000000000000001E-3</v>
      </c>
      <c r="G78" s="20">
        <v>2</v>
      </c>
      <c r="H78" s="49">
        <v>1.7999999999999999E-2</v>
      </c>
      <c r="I78" s="20" t="s">
        <v>475</v>
      </c>
      <c r="J78" s="49">
        <v>1.7999999999999999E-2</v>
      </c>
      <c r="K78" s="20" t="s">
        <v>488</v>
      </c>
      <c r="L78" s="49"/>
      <c r="M78" s="21" t="s">
        <v>2</v>
      </c>
      <c r="N78" s="21">
        <v>1</v>
      </c>
      <c r="O78" s="49"/>
      <c r="P78" s="20"/>
      <c r="Q78" s="40">
        <v>1</v>
      </c>
      <c r="R78" s="40" t="s">
        <v>504</v>
      </c>
      <c r="S78" s="40">
        <v>0.1</v>
      </c>
      <c r="T78" s="40" t="s">
        <v>504</v>
      </c>
      <c r="U78" s="40">
        <v>1</v>
      </c>
      <c r="V78" s="40" t="s">
        <v>504</v>
      </c>
      <c r="W78" s="40">
        <v>0.1</v>
      </c>
      <c r="X78" s="40" t="s">
        <v>504</v>
      </c>
      <c r="Y78" s="40" t="s">
        <v>1</v>
      </c>
      <c r="Z78" s="40"/>
      <c r="AA78" s="40" t="s">
        <v>1</v>
      </c>
      <c r="AB78" s="40"/>
      <c r="AC78" s="42">
        <v>1</v>
      </c>
      <c r="AD78" s="42">
        <v>9</v>
      </c>
      <c r="AE78" s="42">
        <v>1</v>
      </c>
      <c r="AF78" s="42">
        <v>9</v>
      </c>
      <c r="AG78" s="42"/>
      <c r="AH78" s="42"/>
      <c r="AI78" s="62"/>
      <c r="AJ78" s="20"/>
      <c r="AK78" s="66">
        <v>1</v>
      </c>
      <c r="AL78" s="66" t="s">
        <v>1</v>
      </c>
      <c r="AM78" s="62"/>
      <c r="AN78" s="62"/>
      <c r="AO78" s="43">
        <f>VLOOKUP(A78,[1]!IABKGRD,7,FALSE)</f>
        <v>0</v>
      </c>
      <c r="AR78" s="26">
        <v>4700</v>
      </c>
      <c r="AS78" s="20">
        <v>13</v>
      </c>
      <c r="AU78" s="47">
        <f t="shared" si="30"/>
        <v>0</v>
      </c>
      <c r="AV78" s="20"/>
      <c r="AW78" s="49">
        <f t="shared" si="31"/>
        <v>0</v>
      </c>
      <c r="AX78" s="26">
        <f t="shared" si="25"/>
        <v>0.11792</v>
      </c>
      <c r="AY78" s="26">
        <f t="shared" si="26"/>
        <v>1.5</v>
      </c>
      <c r="AZ78" s="23">
        <v>100</v>
      </c>
      <c r="BA78" s="20">
        <v>22</v>
      </c>
      <c r="BB78" s="23">
        <v>2.03E-7</v>
      </c>
      <c r="BC78" s="20">
        <v>22</v>
      </c>
      <c r="BD78" s="27">
        <v>8.3074152889179904E-6</v>
      </c>
      <c r="BE78" s="20">
        <v>346</v>
      </c>
      <c r="BF78" s="20">
        <v>13</v>
      </c>
      <c r="BG78" s="23">
        <v>1.3999999999999999E-6</v>
      </c>
      <c r="BH78" s="26">
        <v>5.08</v>
      </c>
      <c r="BI78" s="34">
        <v>17</v>
      </c>
      <c r="BJ78" s="19">
        <v>80000</v>
      </c>
      <c r="BK78" s="20" t="s">
        <v>466</v>
      </c>
      <c r="BL78" s="20">
        <v>87</v>
      </c>
      <c r="BM78" s="20">
        <v>17</v>
      </c>
      <c r="BN78" s="22"/>
      <c r="BO78" s="49">
        <f>IF(BE78=0,0,IF(BH78=0,0,10^(-2.8+0.66*BH78-0.0056*BE78)))</f>
        <v>4.1228734072288685E-2</v>
      </c>
      <c r="BP78" s="24"/>
      <c r="BQ78" s="24"/>
      <c r="BR78" s="44"/>
      <c r="BS78" s="44">
        <f t="shared" si="21"/>
        <v>1000</v>
      </c>
      <c r="BT78" s="44" t="str">
        <f t="shared" si="27"/>
        <v>Ceiling (High)</v>
      </c>
      <c r="BU78" s="44"/>
      <c r="BV78" s="44">
        <f t="shared" si="22"/>
        <v>3000</v>
      </c>
      <c r="BW78" s="44" t="str">
        <f t="shared" si="28"/>
        <v>Ceiling (High)</v>
      </c>
      <c r="BX78" s="44"/>
      <c r="BY78" s="44">
        <f t="shared" si="23"/>
        <v>5000</v>
      </c>
      <c r="BZ78" s="44" t="str">
        <f t="shared" si="29"/>
        <v>Ceiling (High)</v>
      </c>
      <c r="CA78" s="44">
        <v>50000</v>
      </c>
      <c r="CB78" s="45" t="s">
        <v>0</v>
      </c>
      <c r="CC78" s="325"/>
    </row>
    <row r="79" spans="1:81" s="26" customFormat="1" x14ac:dyDescent="0.2">
      <c r="A79" s="371" t="s">
        <v>75</v>
      </c>
      <c r="B79" s="52" t="s">
        <v>74</v>
      </c>
      <c r="C79" s="72">
        <v>42922</v>
      </c>
      <c r="D79" s="48">
        <v>0.6</v>
      </c>
      <c r="E79" s="20">
        <v>1</v>
      </c>
      <c r="F79" s="48">
        <v>0.6</v>
      </c>
      <c r="G79" s="20" t="s">
        <v>188</v>
      </c>
      <c r="H79" s="49">
        <v>5</v>
      </c>
      <c r="I79" s="20">
        <v>1</v>
      </c>
      <c r="J79" s="49">
        <v>5</v>
      </c>
      <c r="K79" s="20" t="s">
        <v>204</v>
      </c>
      <c r="L79" s="49"/>
      <c r="M79" s="20" t="s">
        <v>2</v>
      </c>
      <c r="N79" s="20">
        <v>1</v>
      </c>
      <c r="O79" s="49"/>
      <c r="P79" s="20"/>
      <c r="Q79" s="40">
        <v>1</v>
      </c>
      <c r="R79" s="40" t="s">
        <v>504</v>
      </c>
      <c r="S79" s="40">
        <v>0.03</v>
      </c>
      <c r="T79" s="40" t="s">
        <v>504</v>
      </c>
      <c r="U79" s="40">
        <v>1</v>
      </c>
      <c r="V79" s="40" t="s">
        <v>504</v>
      </c>
      <c r="W79" s="40">
        <v>0.03</v>
      </c>
      <c r="X79" s="40" t="s">
        <v>504</v>
      </c>
      <c r="Y79" s="40" t="s">
        <v>1</v>
      </c>
      <c r="Z79" s="40"/>
      <c r="AA79" s="40" t="s">
        <v>1</v>
      </c>
      <c r="AB79" s="40"/>
      <c r="AC79" s="42">
        <v>1</v>
      </c>
      <c r="AD79" s="42">
        <v>9</v>
      </c>
      <c r="AE79" s="42">
        <v>1</v>
      </c>
      <c r="AF79" s="42">
        <v>9</v>
      </c>
      <c r="AG79" s="42"/>
      <c r="AH79" s="42"/>
      <c r="AI79" s="62"/>
      <c r="AJ79" s="20"/>
      <c r="AK79" s="66">
        <v>1</v>
      </c>
      <c r="AL79" s="66" t="s">
        <v>1</v>
      </c>
      <c r="AM79" s="62"/>
      <c r="AN79" s="62"/>
      <c r="AO79" s="43">
        <f>VLOOKUP(A79,[1]!IABKGRD,7,FALSE)</f>
        <v>12</v>
      </c>
      <c r="AP79" s="26">
        <v>10</v>
      </c>
      <c r="AQ79" s="26">
        <v>14.324999999999999</v>
      </c>
      <c r="AR79" s="26">
        <v>1000</v>
      </c>
      <c r="AS79" s="20">
        <v>24</v>
      </c>
      <c r="AT79" s="26">
        <v>32000</v>
      </c>
      <c r="AU79" s="47">
        <f t="shared" si="30"/>
        <v>10.867236467236465</v>
      </c>
      <c r="AV79" s="20">
        <v>24</v>
      </c>
      <c r="AW79" s="49">
        <f t="shared" si="31"/>
        <v>9.2019714765100691</v>
      </c>
      <c r="AX79" s="26">
        <f t="shared" si="25"/>
        <v>0.1</v>
      </c>
      <c r="AY79" s="26">
        <f t="shared" si="26"/>
        <v>100</v>
      </c>
      <c r="AZ79" s="23">
        <v>223000000</v>
      </c>
      <c r="BA79" s="20">
        <v>22</v>
      </c>
      <c r="BB79" s="23">
        <v>5.6900000000000001E-5</v>
      </c>
      <c r="BC79" s="20">
        <v>22</v>
      </c>
      <c r="BD79" s="27">
        <v>2.3285316745784907E-3</v>
      </c>
      <c r="BE79" s="20">
        <v>72</v>
      </c>
      <c r="BF79" s="20">
        <v>13</v>
      </c>
      <c r="BG79" s="26">
        <v>100</v>
      </c>
      <c r="BH79" s="26">
        <v>0.28999999999999998</v>
      </c>
      <c r="BI79" s="34">
        <v>16</v>
      </c>
      <c r="BJ79" s="19">
        <f>10^0.55</f>
        <v>3.5481338923357555</v>
      </c>
      <c r="BK79" s="20">
        <v>13</v>
      </c>
      <c r="BL79" s="20"/>
      <c r="BM79" s="20"/>
      <c r="BN79" s="22"/>
      <c r="BO79" s="49">
        <f>IF(BE79=0,0,IF(BH79=0,0,10^(-2.8+0.66*BH79-0.0056*BE79)))</f>
        <v>9.7319529359227738E-4</v>
      </c>
      <c r="BP79" s="24"/>
      <c r="BQ79" s="24"/>
      <c r="BR79" s="44"/>
      <c r="BS79" s="44">
        <f t="shared" si="21"/>
        <v>500</v>
      </c>
      <c r="BT79" s="44" t="str">
        <f t="shared" si="27"/>
        <v>Ceiling (Medium)</v>
      </c>
      <c r="BU79" s="44"/>
      <c r="BV79" s="44">
        <f t="shared" si="22"/>
        <v>1000</v>
      </c>
      <c r="BW79" s="44" t="str">
        <f t="shared" si="28"/>
        <v>Ceiling (Medium)</v>
      </c>
      <c r="BX79" s="44"/>
      <c r="BY79" s="44">
        <f t="shared" si="23"/>
        <v>3000</v>
      </c>
      <c r="BZ79" s="44" t="str">
        <f t="shared" si="29"/>
        <v>Ceiling (Medium)</v>
      </c>
      <c r="CA79" s="44">
        <v>50000</v>
      </c>
      <c r="CB79" s="45" t="s">
        <v>0</v>
      </c>
      <c r="CC79" s="325"/>
    </row>
    <row r="80" spans="1:81" s="26" customFormat="1" x14ac:dyDescent="0.2">
      <c r="A80" s="371" t="s">
        <v>73</v>
      </c>
      <c r="B80" s="52" t="s">
        <v>72</v>
      </c>
      <c r="C80" s="72">
        <v>42923</v>
      </c>
      <c r="D80" s="48">
        <v>0.08</v>
      </c>
      <c r="E80" s="20">
        <v>2</v>
      </c>
      <c r="F80" s="48">
        <v>0.8</v>
      </c>
      <c r="G80" s="20">
        <v>2</v>
      </c>
      <c r="H80" s="49">
        <v>3</v>
      </c>
      <c r="I80" s="20">
        <v>1</v>
      </c>
      <c r="J80" s="49">
        <v>3</v>
      </c>
      <c r="K80" s="20" t="s">
        <v>488</v>
      </c>
      <c r="L80" s="49"/>
      <c r="M80" s="21"/>
      <c r="N80" s="21"/>
      <c r="O80" s="49"/>
      <c r="P80" s="20"/>
      <c r="Q80" s="40">
        <v>1</v>
      </c>
      <c r="R80" s="40" t="s">
        <v>504</v>
      </c>
      <c r="S80" s="40">
        <v>0.03</v>
      </c>
      <c r="T80" s="40" t="s">
        <v>504</v>
      </c>
      <c r="U80" s="40">
        <v>1</v>
      </c>
      <c r="V80" s="40" t="s">
        <v>504</v>
      </c>
      <c r="W80" s="40">
        <v>0.03</v>
      </c>
      <c r="X80" s="40" t="s">
        <v>504</v>
      </c>
      <c r="Y80" s="40" t="s">
        <v>1</v>
      </c>
      <c r="Z80" s="40"/>
      <c r="AA80" s="40" t="s">
        <v>1</v>
      </c>
      <c r="AB80" s="40"/>
      <c r="AC80" s="42">
        <v>1</v>
      </c>
      <c r="AD80" s="42">
        <v>9</v>
      </c>
      <c r="AE80" s="42">
        <v>1</v>
      </c>
      <c r="AF80" s="42">
        <v>9</v>
      </c>
      <c r="AG80" s="42"/>
      <c r="AH80" s="42"/>
      <c r="AI80" s="62"/>
      <c r="AJ80" s="20"/>
      <c r="AK80" s="66">
        <v>1</v>
      </c>
      <c r="AL80" s="66" t="s">
        <v>1</v>
      </c>
      <c r="AM80" s="62"/>
      <c r="AN80" s="62"/>
      <c r="AO80" s="43">
        <f>VLOOKUP(A80,[1]!IABKGRD,7,FALSE)</f>
        <v>2.2000000000000002</v>
      </c>
      <c r="AS80" s="20"/>
      <c r="AT80" s="26">
        <v>9700</v>
      </c>
      <c r="AU80" s="47">
        <f t="shared" si="30"/>
        <v>2.371774358974359</v>
      </c>
      <c r="AV80" s="20">
        <v>25</v>
      </c>
      <c r="AW80" s="49">
        <f t="shared" si="31"/>
        <v>4.2162526811042689</v>
      </c>
      <c r="AX80" s="26">
        <f t="shared" si="25"/>
        <v>0.05</v>
      </c>
      <c r="AY80" s="26">
        <f t="shared" si="26"/>
        <v>50</v>
      </c>
      <c r="AZ80" s="23">
        <v>19000000</v>
      </c>
      <c r="BA80" s="20">
        <v>22</v>
      </c>
      <c r="BB80" s="23">
        <v>1.3799999999999999E-4</v>
      </c>
      <c r="BC80" s="20">
        <v>22</v>
      </c>
      <c r="BD80" s="27">
        <v>5.6474054673432642E-3</v>
      </c>
      <c r="BE80" s="20">
        <v>100</v>
      </c>
      <c r="BF80" s="20">
        <v>11</v>
      </c>
      <c r="BG80" s="26">
        <v>10</v>
      </c>
      <c r="BH80" s="26">
        <v>1.31</v>
      </c>
      <c r="BI80" s="34">
        <v>12</v>
      </c>
      <c r="BJ80" s="19">
        <f>10^(BH80-0.21)</f>
        <v>12.58925411794168</v>
      </c>
      <c r="BK80" s="20" t="s">
        <v>67</v>
      </c>
      <c r="BL80" s="20"/>
      <c r="BM80" s="20"/>
      <c r="BN80" s="22"/>
      <c r="BO80" s="49">
        <f>IF(BE80=0,0,IF(BH80=0,0,10^(-2.8+0.66*BH80-0.0056*BE80)))</f>
        <v>3.1959501748147611E-3</v>
      </c>
      <c r="BP80" s="24"/>
      <c r="BQ80" s="24"/>
      <c r="BR80" s="44"/>
      <c r="BS80" s="44">
        <f t="shared" si="21"/>
        <v>500</v>
      </c>
      <c r="BT80" s="44" t="str">
        <f t="shared" si="27"/>
        <v>Ceiling (Medium)</v>
      </c>
      <c r="BU80" s="44"/>
      <c r="BV80" s="44">
        <f t="shared" si="22"/>
        <v>1000</v>
      </c>
      <c r="BW80" s="44" t="str">
        <f t="shared" si="28"/>
        <v>Ceiling (Medium)</v>
      </c>
      <c r="BX80" s="44"/>
      <c r="BY80" s="44">
        <f t="shared" si="23"/>
        <v>3000</v>
      </c>
      <c r="BZ80" s="44" t="str">
        <f t="shared" si="29"/>
        <v>Ceiling (Medium)</v>
      </c>
      <c r="CA80" s="44">
        <v>50000</v>
      </c>
      <c r="CB80" s="45" t="s">
        <v>0</v>
      </c>
      <c r="CC80" s="325"/>
    </row>
    <row r="81" spans="1:81" s="26" customFormat="1" x14ac:dyDescent="0.2">
      <c r="A81" s="371" t="s">
        <v>71</v>
      </c>
      <c r="B81" s="52" t="s">
        <v>70</v>
      </c>
      <c r="C81" s="72">
        <v>42923</v>
      </c>
      <c r="D81" s="48">
        <v>1E-4</v>
      </c>
      <c r="E81" s="20">
        <v>1</v>
      </c>
      <c r="F81" s="48">
        <v>1E-4</v>
      </c>
      <c r="G81" s="20">
        <v>2</v>
      </c>
      <c r="H81" s="49">
        <v>2.0000000000000002E-5</v>
      </c>
      <c r="I81" s="20">
        <v>3</v>
      </c>
      <c r="J81" s="49">
        <v>2.0000000000000002E-5</v>
      </c>
      <c r="K81" s="20" t="s">
        <v>488</v>
      </c>
      <c r="L81" s="49"/>
      <c r="M81" s="21" t="s">
        <v>23</v>
      </c>
      <c r="N81" s="21">
        <v>1</v>
      </c>
      <c r="O81" s="49"/>
      <c r="P81" s="20"/>
      <c r="Q81" s="40">
        <v>1</v>
      </c>
      <c r="R81" s="40" t="s">
        <v>504</v>
      </c>
      <c r="S81" s="40">
        <v>0.1</v>
      </c>
      <c r="T81" s="40" t="s">
        <v>504</v>
      </c>
      <c r="U81" s="40">
        <v>1</v>
      </c>
      <c r="V81" s="40" t="s">
        <v>504</v>
      </c>
      <c r="W81" s="40">
        <v>0.1</v>
      </c>
      <c r="X81" s="40" t="s">
        <v>504</v>
      </c>
      <c r="Y81" s="40" t="s">
        <v>1</v>
      </c>
      <c r="Z81" s="40"/>
      <c r="AA81" s="40" t="s">
        <v>1</v>
      </c>
      <c r="AB81" s="40"/>
      <c r="AC81" s="42">
        <v>1</v>
      </c>
      <c r="AD81" s="42">
        <v>9</v>
      </c>
      <c r="AE81" s="42">
        <v>1</v>
      </c>
      <c r="AF81" s="42">
        <v>9</v>
      </c>
      <c r="AG81" s="42"/>
      <c r="AH81" s="42"/>
      <c r="AI81" s="62"/>
      <c r="AJ81" s="20"/>
      <c r="AK81" s="66">
        <v>0.95</v>
      </c>
      <c r="AL81" s="66" t="s">
        <v>1</v>
      </c>
      <c r="AM81" s="62"/>
      <c r="AN81" s="62"/>
      <c r="AO81" s="43">
        <f>VLOOKUP(A81,[1]!IABKGRD,7,FALSE)</f>
        <v>0</v>
      </c>
      <c r="AS81" s="20"/>
      <c r="AU81" s="47">
        <f t="shared" si="30"/>
        <v>0</v>
      </c>
      <c r="AV81" s="20"/>
      <c r="AW81" s="49">
        <f t="shared" si="31"/>
        <v>0</v>
      </c>
      <c r="AX81" s="26">
        <f t="shared" si="25"/>
        <v>0</v>
      </c>
      <c r="AY81" s="26">
        <f t="shared" si="26"/>
        <v>0</v>
      </c>
      <c r="AZ81" s="29">
        <v>0</v>
      </c>
      <c r="BA81" s="20"/>
      <c r="BB81" s="29"/>
      <c r="BC81" s="20"/>
      <c r="BD81" s="27">
        <v>0</v>
      </c>
      <c r="BE81" s="20">
        <v>231</v>
      </c>
      <c r="BF81" s="20">
        <v>15</v>
      </c>
      <c r="BG81" s="23"/>
      <c r="BI81" s="34"/>
      <c r="BJ81" s="29">
        <v>0</v>
      </c>
      <c r="BK81" s="29"/>
      <c r="BL81" s="29"/>
      <c r="BM81" s="29"/>
      <c r="BN81" s="22"/>
      <c r="BO81" s="49">
        <v>1E-3</v>
      </c>
      <c r="BP81" s="24"/>
      <c r="BQ81" s="24"/>
      <c r="BR81" s="44"/>
      <c r="BS81" s="44">
        <f t="shared" si="21"/>
        <v>1000</v>
      </c>
      <c r="BT81" s="44" t="str">
        <f t="shared" si="27"/>
        <v>Ceiling (High)</v>
      </c>
      <c r="BU81" s="44"/>
      <c r="BV81" s="44">
        <f t="shared" si="22"/>
        <v>3000</v>
      </c>
      <c r="BW81" s="44" t="str">
        <f t="shared" si="28"/>
        <v>Ceiling (High)</v>
      </c>
      <c r="BX81" s="44"/>
      <c r="BY81" s="44">
        <f t="shared" si="23"/>
        <v>5000</v>
      </c>
      <c r="BZ81" s="44" t="str">
        <f t="shared" si="29"/>
        <v>Ceiling (High)</v>
      </c>
      <c r="CA81" s="44">
        <v>50000</v>
      </c>
      <c r="CB81" s="45" t="s">
        <v>0</v>
      </c>
      <c r="CC81" s="325" t="s">
        <v>680</v>
      </c>
    </row>
    <row r="82" spans="1:81" s="26" customFormat="1" x14ac:dyDescent="0.2">
      <c r="A82" s="371" t="s">
        <v>69</v>
      </c>
      <c r="B82" s="52" t="s">
        <v>68</v>
      </c>
      <c r="C82" s="72">
        <v>42922</v>
      </c>
      <c r="D82" s="48">
        <v>0.1</v>
      </c>
      <c r="E82" s="20" t="s">
        <v>442</v>
      </c>
      <c r="F82" s="48">
        <v>1</v>
      </c>
      <c r="G82" s="20" t="s">
        <v>442</v>
      </c>
      <c r="H82" s="49">
        <v>3</v>
      </c>
      <c r="I82" s="20">
        <v>1</v>
      </c>
      <c r="J82" s="49">
        <v>3</v>
      </c>
      <c r="K82" s="20" t="s">
        <v>488</v>
      </c>
      <c r="L82" s="49"/>
      <c r="M82" s="21" t="s">
        <v>23</v>
      </c>
      <c r="N82" s="21"/>
      <c r="O82" s="49"/>
      <c r="P82" s="20"/>
      <c r="Q82" s="40">
        <v>1</v>
      </c>
      <c r="R82" s="40" t="s">
        <v>504</v>
      </c>
      <c r="S82" s="40">
        <v>0.03</v>
      </c>
      <c r="T82" s="40" t="s">
        <v>504</v>
      </c>
      <c r="U82" s="40">
        <v>1</v>
      </c>
      <c r="V82" s="40" t="s">
        <v>504</v>
      </c>
      <c r="W82" s="40">
        <v>0.03</v>
      </c>
      <c r="X82" s="40" t="s">
        <v>504</v>
      </c>
      <c r="Y82" s="40" t="s">
        <v>1</v>
      </c>
      <c r="Z82" s="40"/>
      <c r="AA82" s="40" t="s">
        <v>1</v>
      </c>
      <c r="AB82" s="40"/>
      <c r="AC82" s="42">
        <v>1</v>
      </c>
      <c r="AD82" s="42">
        <v>9</v>
      </c>
      <c r="AE82" s="42">
        <v>1</v>
      </c>
      <c r="AF82" s="42">
        <v>9</v>
      </c>
      <c r="AG82" s="42"/>
      <c r="AH82" s="42"/>
      <c r="AI82" s="62"/>
      <c r="AJ82" s="20"/>
      <c r="AK82" s="66">
        <v>1</v>
      </c>
      <c r="AL82" s="66" t="s">
        <v>1</v>
      </c>
      <c r="AM82" s="62"/>
      <c r="AN82" s="62"/>
      <c r="AO82" s="43">
        <f>VLOOKUP(A82,[1]!IABKGRD,7,FALSE)</f>
        <v>39</v>
      </c>
      <c r="AS82" s="20"/>
      <c r="AU82" s="47">
        <f t="shared" si="30"/>
        <v>0</v>
      </c>
      <c r="AV82" s="20"/>
      <c r="AW82" s="49">
        <f t="shared" si="31"/>
        <v>0</v>
      </c>
      <c r="AX82" s="26">
        <f t="shared" si="25"/>
        <v>0.1</v>
      </c>
      <c r="AY82" s="26">
        <f t="shared" si="26"/>
        <v>0.5</v>
      </c>
      <c r="AZ82" s="23">
        <v>51000000</v>
      </c>
      <c r="BA82" s="20">
        <v>22</v>
      </c>
      <c r="BB82" s="23">
        <v>5.8699999999999996E-4</v>
      </c>
      <c r="BC82" s="20">
        <v>22</v>
      </c>
      <c r="BD82" s="27">
        <v>2.4021934850220986E-2</v>
      </c>
      <c r="BE82" s="20">
        <v>88</v>
      </c>
      <c r="BF82" s="20">
        <v>15</v>
      </c>
      <c r="BG82" s="26">
        <v>245</v>
      </c>
      <c r="BH82" s="26">
        <v>0.94</v>
      </c>
      <c r="BI82" s="34">
        <v>14</v>
      </c>
      <c r="BJ82" s="19">
        <f>10^(BH82-0.21)</f>
        <v>5.3703179637025285</v>
      </c>
      <c r="BK82" s="20" t="s">
        <v>67</v>
      </c>
      <c r="BL82" s="20"/>
      <c r="BM82" s="20"/>
      <c r="BN82" s="22"/>
      <c r="BO82" s="49">
        <f>IF(BE82=0,0,IF(BH82=0,0,10^(-2.8+0.66*BH82-0.0056*BE82)))</f>
        <v>2.1261798598625221E-3</v>
      </c>
      <c r="BP82" s="24"/>
      <c r="BQ82" s="24"/>
      <c r="BR82" s="44"/>
      <c r="BS82" s="44">
        <f t="shared" si="21"/>
        <v>100</v>
      </c>
      <c r="BT82" s="44" t="str">
        <f t="shared" si="27"/>
        <v>Ceiling (Low)</v>
      </c>
      <c r="BU82" s="44"/>
      <c r="BV82" s="44">
        <f t="shared" si="22"/>
        <v>500</v>
      </c>
      <c r="BW82" s="44" t="str">
        <f t="shared" si="28"/>
        <v>Ceiling (Low)</v>
      </c>
      <c r="BX82" s="44"/>
      <c r="BY82" s="44">
        <f t="shared" si="23"/>
        <v>500</v>
      </c>
      <c r="BZ82" s="44" t="str">
        <f t="shared" si="29"/>
        <v>High Volatility</v>
      </c>
      <c r="CA82" s="44">
        <v>50000</v>
      </c>
      <c r="CB82" s="45" t="s">
        <v>0</v>
      </c>
      <c r="CC82" s="325"/>
    </row>
    <row r="83" spans="1:81" s="26" customFormat="1" x14ac:dyDescent="0.2">
      <c r="A83" s="371" t="s">
        <v>66</v>
      </c>
      <c r="B83" s="52" t="s">
        <v>65</v>
      </c>
      <c r="C83" s="72">
        <v>42922</v>
      </c>
      <c r="D83" s="48">
        <v>4.0000000000000001E-3</v>
      </c>
      <c r="E83" s="20">
        <v>1</v>
      </c>
      <c r="F83" s="48">
        <v>4.0000000000000001E-3</v>
      </c>
      <c r="G83" s="20">
        <v>6</v>
      </c>
      <c r="H83" s="49">
        <v>0.05</v>
      </c>
      <c r="I83" s="20" t="s">
        <v>478</v>
      </c>
      <c r="J83" s="49">
        <v>0.5</v>
      </c>
      <c r="K83" s="20" t="s">
        <v>478</v>
      </c>
      <c r="L83" s="49"/>
      <c r="M83" s="21"/>
      <c r="N83" s="21"/>
      <c r="O83" s="49"/>
      <c r="P83" s="20"/>
      <c r="Q83" s="40">
        <v>0.3</v>
      </c>
      <c r="R83" s="40" t="s">
        <v>503</v>
      </c>
      <c r="S83" s="40">
        <v>0.1</v>
      </c>
      <c r="T83" s="40" t="s">
        <v>503</v>
      </c>
      <c r="U83" s="40">
        <v>0.3</v>
      </c>
      <c r="V83" s="40" t="s">
        <v>503</v>
      </c>
      <c r="W83" s="40">
        <v>0.1</v>
      </c>
      <c r="X83" s="40" t="s">
        <v>503</v>
      </c>
      <c r="Y83" s="40" t="s">
        <v>1</v>
      </c>
      <c r="Z83" s="40"/>
      <c r="AA83" s="40" t="s">
        <v>1</v>
      </c>
      <c r="AB83" s="40"/>
      <c r="AC83" s="42">
        <v>1</v>
      </c>
      <c r="AD83" s="42">
        <v>9</v>
      </c>
      <c r="AE83" s="42">
        <v>1</v>
      </c>
      <c r="AF83" s="42">
        <v>9</v>
      </c>
      <c r="AG83" s="42"/>
      <c r="AH83" s="42"/>
      <c r="AI83" s="62">
        <v>1</v>
      </c>
      <c r="AJ83" s="20"/>
      <c r="AK83" s="66">
        <v>0.92</v>
      </c>
      <c r="AL83" s="66" t="s">
        <v>1</v>
      </c>
      <c r="AM83" s="62">
        <v>0.5</v>
      </c>
      <c r="AN83" s="62"/>
      <c r="AO83" s="43">
        <f>VLOOKUP(A83,[1]!IABKGRD,7,FALSE)</f>
        <v>1.74</v>
      </c>
      <c r="AQ83" s="26">
        <v>0.3</v>
      </c>
      <c r="AR83" s="26">
        <v>10</v>
      </c>
      <c r="AS83" s="20">
        <v>13</v>
      </c>
      <c r="AT83" s="26">
        <v>68</v>
      </c>
      <c r="AU83" s="47">
        <f t="shared" si="30"/>
        <v>1.1709064644275909E-2</v>
      </c>
      <c r="AV83" s="20">
        <v>28</v>
      </c>
      <c r="AW83" s="49">
        <f t="shared" si="31"/>
        <v>5.8074664429530225</v>
      </c>
      <c r="AX83" s="26">
        <f t="shared" si="25"/>
        <v>0.66</v>
      </c>
      <c r="AY83" s="26">
        <f t="shared" si="26"/>
        <v>10</v>
      </c>
      <c r="AZ83" s="23">
        <v>24600</v>
      </c>
      <c r="BA83" s="20">
        <v>22</v>
      </c>
      <c r="BB83" s="23">
        <v>5.1800000000000001E-4</v>
      </c>
      <c r="BC83" s="20">
        <v>22</v>
      </c>
      <c r="BD83" s="23">
        <v>2.1198232116549354E-2</v>
      </c>
      <c r="BE83" s="20">
        <v>142</v>
      </c>
      <c r="BF83" s="20">
        <v>13</v>
      </c>
      <c r="BG83" s="25">
        <v>6.8000000000000005E-2</v>
      </c>
      <c r="BH83" s="26">
        <v>3.86</v>
      </c>
      <c r="BI83" s="34">
        <v>12</v>
      </c>
      <c r="BJ83" s="19">
        <v>2500</v>
      </c>
      <c r="BK83" s="20">
        <v>13</v>
      </c>
      <c r="BL83" s="20"/>
      <c r="BM83" s="20"/>
      <c r="BN83" s="22"/>
      <c r="BO83" s="49">
        <f>IF(BE83=0,0,IF(BH83=0,0,10^(-2.8+0.66*BH83-0.0056*BE83)))</f>
        <v>8.9618980686161434E-2</v>
      </c>
      <c r="BP83" s="24"/>
      <c r="BQ83" s="24"/>
      <c r="BR83" s="44"/>
      <c r="BS83" s="44">
        <f t="shared" si="21"/>
        <v>500</v>
      </c>
      <c r="BT83" s="44" t="str">
        <f t="shared" si="27"/>
        <v>Ceiling (Medium)</v>
      </c>
      <c r="BU83" s="44"/>
      <c r="BV83" s="44">
        <f t="shared" si="22"/>
        <v>1000</v>
      </c>
      <c r="BW83" s="44" t="str">
        <f t="shared" si="28"/>
        <v>Ceiling (Medium)</v>
      </c>
      <c r="BX83" s="44"/>
      <c r="BY83" s="44">
        <f t="shared" si="23"/>
        <v>3000</v>
      </c>
      <c r="BZ83" s="44" t="str">
        <f t="shared" si="29"/>
        <v>Ceiling (Medium)</v>
      </c>
      <c r="CA83" s="44">
        <v>50000</v>
      </c>
      <c r="CB83" s="45" t="s">
        <v>0</v>
      </c>
      <c r="CC83" s="325"/>
    </row>
    <row r="84" spans="1:81" s="26" customFormat="1" x14ac:dyDescent="0.2">
      <c r="A84" s="371" t="s">
        <v>63</v>
      </c>
      <c r="B84" s="52" t="s">
        <v>62</v>
      </c>
      <c r="C84" s="72">
        <v>42922</v>
      </c>
      <c r="D84" s="48">
        <v>0.02</v>
      </c>
      <c r="E84" s="20">
        <v>1</v>
      </c>
      <c r="F84" s="48">
        <v>0.2</v>
      </c>
      <c r="G84" s="20" t="s">
        <v>334</v>
      </c>
      <c r="H84" s="49">
        <v>3.0000000000000001E-3</v>
      </c>
      <c r="I84" s="20">
        <v>1</v>
      </c>
      <c r="J84" s="49">
        <v>3.0000000000000001E-3</v>
      </c>
      <c r="K84" s="20" t="s">
        <v>488</v>
      </c>
      <c r="L84" s="49"/>
      <c r="M84" s="20"/>
      <c r="N84" s="20"/>
      <c r="O84" s="49"/>
      <c r="P84" s="20"/>
      <c r="Q84" s="40">
        <v>0.3</v>
      </c>
      <c r="R84" s="40" t="s">
        <v>503</v>
      </c>
      <c r="S84" s="40">
        <v>0.1</v>
      </c>
      <c r="T84" s="40" t="s">
        <v>503</v>
      </c>
      <c r="U84" s="40">
        <v>0.3</v>
      </c>
      <c r="V84" s="40" t="s">
        <v>503</v>
      </c>
      <c r="W84" s="40">
        <v>0.1</v>
      </c>
      <c r="X84" s="40" t="s">
        <v>503</v>
      </c>
      <c r="Y84" s="40" t="s">
        <v>1</v>
      </c>
      <c r="Z84" s="40"/>
      <c r="AA84" s="40" t="s">
        <v>1</v>
      </c>
      <c r="AB84" s="40"/>
      <c r="AC84" s="42">
        <v>1</v>
      </c>
      <c r="AD84" s="42">
        <v>9</v>
      </c>
      <c r="AE84" s="42">
        <v>1</v>
      </c>
      <c r="AF84" s="42">
        <v>9</v>
      </c>
      <c r="AG84" s="42"/>
      <c r="AH84" s="42"/>
      <c r="AI84" s="62">
        <v>1</v>
      </c>
      <c r="AJ84" s="20"/>
      <c r="AK84" s="66">
        <v>0.92</v>
      </c>
      <c r="AL84" s="66" t="s">
        <v>1</v>
      </c>
      <c r="AM84" s="62">
        <v>0.5</v>
      </c>
      <c r="AN84" s="62"/>
      <c r="AO84" s="43">
        <f>VLOOKUP(A84,[1]!IABKGRD,7,FALSE)</f>
        <v>2.7</v>
      </c>
      <c r="AP84" s="26">
        <v>5</v>
      </c>
      <c r="AR84" s="26">
        <v>21</v>
      </c>
      <c r="AS84" s="20">
        <v>13</v>
      </c>
      <c r="AT84" s="26">
        <v>440</v>
      </c>
      <c r="AU84" s="47">
        <f t="shared" si="30"/>
        <v>8.4051282051282039E-2</v>
      </c>
      <c r="AV84" s="20">
        <v>13</v>
      </c>
      <c r="AW84" s="49">
        <f t="shared" si="31"/>
        <v>0.9755948749237342</v>
      </c>
      <c r="AX84" s="26">
        <f t="shared" si="25"/>
        <v>0.66</v>
      </c>
      <c r="AY84" s="26">
        <f t="shared" si="26"/>
        <v>0.2</v>
      </c>
      <c r="AZ84" s="23">
        <v>31000</v>
      </c>
      <c r="BA84" s="64">
        <v>22</v>
      </c>
      <c r="BB84" s="23">
        <v>4.4000000000000002E-4</v>
      </c>
      <c r="BC84" s="20">
        <v>22</v>
      </c>
      <c r="BD84" s="27">
        <v>1.8006220330659684E-2</v>
      </c>
      <c r="BE84" s="20">
        <v>128</v>
      </c>
      <c r="BF84" s="20">
        <v>13</v>
      </c>
      <c r="BG84" s="23">
        <v>8.2000000000000003E-2</v>
      </c>
      <c r="BH84" s="26">
        <v>3.3</v>
      </c>
      <c r="BI84" s="34">
        <v>16</v>
      </c>
      <c r="BJ84" s="19">
        <v>1190</v>
      </c>
      <c r="BK84" s="20" t="s">
        <v>466</v>
      </c>
      <c r="BL84" s="20">
        <v>80.2</v>
      </c>
      <c r="BM84" s="20">
        <v>17</v>
      </c>
      <c r="BN84" s="22"/>
      <c r="BO84" s="49">
        <f>IF(BE84=0,0,IF(BH84=0,0,10^(-2.8+0.66*BH84-0.0056*BE84)))</f>
        <v>4.5835291743818875E-2</v>
      </c>
      <c r="BR84" s="44"/>
      <c r="BS84" s="44">
        <f t="shared" si="21"/>
        <v>500</v>
      </c>
      <c r="BT84" s="44" t="str">
        <f t="shared" si="27"/>
        <v>Ceiling (Medium)</v>
      </c>
      <c r="BU84" s="44"/>
      <c r="BV84" s="44">
        <f t="shared" si="22"/>
        <v>1000</v>
      </c>
      <c r="BW84" s="44" t="str">
        <f t="shared" si="28"/>
        <v>Ceiling (Medium)</v>
      </c>
      <c r="BX84" s="44"/>
      <c r="BY84" s="44">
        <f t="shared" si="23"/>
        <v>3000</v>
      </c>
      <c r="BZ84" s="44" t="str">
        <f t="shared" si="29"/>
        <v>Ceiling (Medium)</v>
      </c>
      <c r="CA84" s="44">
        <v>50000</v>
      </c>
      <c r="CB84" s="45" t="s">
        <v>0</v>
      </c>
      <c r="CC84" s="325"/>
    </row>
    <row r="85" spans="1:81" s="26" customFormat="1" x14ac:dyDescent="0.2">
      <c r="A85" s="371" t="s">
        <v>61</v>
      </c>
      <c r="B85" s="52" t="s">
        <v>60</v>
      </c>
      <c r="C85" s="72">
        <v>42923</v>
      </c>
      <c r="D85" s="48">
        <v>0.02</v>
      </c>
      <c r="E85" s="20">
        <v>1</v>
      </c>
      <c r="F85" s="48">
        <v>0.02</v>
      </c>
      <c r="G85" s="20">
        <v>2</v>
      </c>
      <c r="H85" s="49">
        <v>1E-3</v>
      </c>
      <c r="I85" s="20">
        <v>3</v>
      </c>
      <c r="J85" s="49">
        <v>1E-3</v>
      </c>
      <c r="K85" s="20" t="s">
        <v>488</v>
      </c>
      <c r="L85" s="49"/>
      <c r="M85" s="20" t="s">
        <v>9</v>
      </c>
      <c r="N85" s="20">
        <v>1</v>
      </c>
      <c r="O85" s="49">
        <v>4.8000000000000001E-4</v>
      </c>
      <c r="P85" s="20">
        <v>1</v>
      </c>
      <c r="Q85" s="40">
        <v>1</v>
      </c>
      <c r="R85" s="40" t="s">
        <v>504</v>
      </c>
      <c r="S85" s="40">
        <v>0.2</v>
      </c>
      <c r="T85" s="40" t="s">
        <v>504</v>
      </c>
      <c r="U85" s="40">
        <v>1</v>
      </c>
      <c r="V85" s="40" t="s">
        <v>504</v>
      </c>
      <c r="W85" s="40">
        <v>0.2</v>
      </c>
      <c r="X85" s="40" t="s">
        <v>504</v>
      </c>
      <c r="Y85" s="40" t="s">
        <v>1</v>
      </c>
      <c r="Z85" s="40"/>
      <c r="AA85" s="40" t="s">
        <v>1</v>
      </c>
      <c r="AB85" s="40"/>
      <c r="AC85" s="42">
        <v>1</v>
      </c>
      <c r="AD85" s="42">
        <v>9</v>
      </c>
      <c r="AE85" s="42">
        <v>1</v>
      </c>
      <c r="AF85" s="42">
        <v>9</v>
      </c>
      <c r="AG85" s="42"/>
      <c r="AH85" s="42"/>
      <c r="AI85" s="62">
        <v>30</v>
      </c>
      <c r="AJ85" s="20"/>
      <c r="AK85" s="66">
        <v>0.1</v>
      </c>
      <c r="AL85" s="66" t="s">
        <v>1</v>
      </c>
      <c r="AM85" s="62">
        <v>20</v>
      </c>
      <c r="AN85" s="62"/>
      <c r="AO85" s="43">
        <f>VLOOKUP(A85,[1]!IABKGRD,7,FALSE)</f>
        <v>0</v>
      </c>
      <c r="AS85" s="20"/>
      <c r="AU85" s="47">
        <f t="shared" si="30"/>
        <v>0</v>
      </c>
      <c r="AV85" s="20"/>
      <c r="AW85" s="49">
        <f t="shared" si="31"/>
        <v>0</v>
      </c>
      <c r="AX85" s="26">
        <f t="shared" si="25"/>
        <v>3</v>
      </c>
      <c r="AY85" s="26">
        <f t="shared" si="26"/>
        <v>15</v>
      </c>
      <c r="AZ85" s="29">
        <v>0</v>
      </c>
      <c r="BA85" s="20"/>
      <c r="BB85" s="29"/>
      <c r="BC85" s="29"/>
      <c r="BD85" s="27">
        <v>0</v>
      </c>
      <c r="BE85" s="20">
        <v>59</v>
      </c>
      <c r="BF85" s="20">
        <v>13</v>
      </c>
      <c r="BG85" s="25"/>
      <c r="BH85" s="26">
        <v>-0.56999999999999995</v>
      </c>
      <c r="BI85" s="34"/>
      <c r="BJ85" s="29">
        <v>0</v>
      </c>
      <c r="BK85" s="29"/>
      <c r="BL85" s="29"/>
      <c r="BM85" s="29"/>
      <c r="BN85" s="22"/>
      <c r="BO85" s="49">
        <v>2.0000000000000001E-4</v>
      </c>
      <c r="BP85" s="26">
        <v>0.38</v>
      </c>
      <c r="BR85" s="44"/>
      <c r="BS85" s="44">
        <f t="shared" si="21"/>
        <v>1000</v>
      </c>
      <c r="BT85" s="44" t="str">
        <f t="shared" si="27"/>
        <v>Ceiling (High)</v>
      </c>
      <c r="BU85" s="44"/>
      <c r="BV85" s="44">
        <f t="shared" si="22"/>
        <v>3000</v>
      </c>
      <c r="BW85" s="44" t="str">
        <f t="shared" si="28"/>
        <v>Ceiling (High)</v>
      </c>
      <c r="BX85" s="44"/>
      <c r="BY85" s="44">
        <f t="shared" si="23"/>
        <v>5000</v>
      </c>
      <c r="BZ85" s="44" t="str">
        <f t="shared" si="29"/>
        <v>Ceiling (High)</v>
      </c>
      <c r="CA85" s="44">
        <v>50000</v>
      </c>
      <c r="CB85" s="45" t="s">
        <v>0</v>
      </c>
      <c r="CC85" s="325" t="s">
        <v>680</v>
      </c>
    </row>
    <row r="86" spans="1:81" s="26" customFormat="1" x14ac:dyDescent="0.2">
      <c r="A86" s="371" t="s">
        <v>59</v>
      </c>
      <c r="B86" s="52" t="s">
        <v>58</v>
      </c>
      <c r="C86" s="72">
        <v>42922</v>
      </c>
      <c r="D86" s="48">
        <v>5.0000000000000001E-3</v>
      </c>
      <c r="E86" s="20">
        <v>1</v>
      </c>
      <c r="F86" s="48">
        <v>5.0000000000000001E-3</v>
      </c>
      <c r="G86" s="20" t="s">
        <v>188</v>
      </c>
      <c r="H86" s="49">
        <v>6.9999999999999994E-5</v>
      </c>
      <c r="I86" s="20">
        <v>3</v>
      </c>
      <c r="J86" s="49">
        <v>6.9999999999999994E-5</v>
      </c>
      <c r="K86" s="20" t="s">
        <v>488</v>
      </c>
      <c r="L86" s="49">
        <v>0.4</v>
      </c>
      <c r="M86" s="21" t="s">
        <v>15</v>
      </c>
      <c r="N86" s="21">
        <v>1</v>
      </c>
      <c r="O86" s="49">
        <v>1E-4</v>
      </c>
      <c r="P86" s="20" t="s">
        <v>474</v>
      </c>
      <c r="Q86" s="40">
        <v>1</v>
      </c>
      <c r="R86" s="40" t="s">
        <v>504</v>
      </c>
      <c r="S86" s="40">
        <v>0.3</v>
      </c>
      <c r="T86" s="40" t="s">
        <v>502</v>
      </c>
      <c r="U86" s="40">
        <v>1</v>
      </c>
      <c r="V86" s="40" t="s">
        <v>504</v>
      </c>
      <c r="W86" s="40">
        <v>0.3</v>
      </c>
      <c r="X86" s="40" t="s">
        <v>502</v>
      </c>
      <c r="Y86" s="40">
        <v>1</v>
      </c>
      <c r="Z86" s="40" t="s">
        <v>504</v>
      </c>
      <c r="AA86" s="40">
        <v>0.3</v>
      </c>
      <c r="AB86" s="40" t="s">
        <v>502</v>
      </c>
      <c r="AC86" s="42">
        <v>1</v>
      </c>
      <c r="AD86" s="42">
        <v>9</v>
      </c>
      <c r="AE86" s="42">
        <v>1</v>
      </c>
      <c r="AF86" s="42">
        <v>9</v>
      </c>
      <c r="AG86" s="42">
        <v>1</v>
      </c>
      <c r="AH86" s="42">
        <v>9</v>
      </c>
      <c r="AI86" s="62"/>
      <c r="AJ86" s="20"/>
      <c r="AK86" s="66">
        <v>0.9</v>
      </c>
      <c r="AL86" s="66">
        <v>0.9</v>
      </c>
      <c r="AM86" s="62"/>
      <c r="AN86" s="62"/>
      <c r="AO86" s="43">
        <f>VLOOKUP(A86,[1]!IABKGRD,7,FALSE)</f>
        <v>0</v>
      </c>
      <c r="AR86" s="26">
        <v>587</v>
      </c>
      <c r="AS86" s="20">
        <v>13</v>
      </c>
      <c r="AU86" s="47">
        <f>AT86*22.4*(298/273)*(760/760)/(BE86*1000)</f>
        <v>0</v>
      </c>
      <c r="AV86" s="20"/>
      <c r="AW86" s="49">
        <f>IF(AT86=0,0,BG86/AU86)</f>
        <v>0</v>
      </c>
      <c r="AX86" s="26">
        <f t="shared" si="25"/>
        <v>3.3</v>
      </c>
      <c r="AY86" s="26">
        <f t="shared" si="26"/>
        <v>15</v>
      </c>
      <c r="AZ86" s="23">
        <v>14000</v>
      </c>
      <c r="BA86" s="20">
        <v>22</v>
      </c>
      <c r="BB86" s="23">
        <v>2.4500000000000001E-8</v>
      </c>
      <c r="BC86" s="20">
        <v>22</v>
      </c>
      <c r="BD86" s="27">
        <v>1.0026190865935506E-6</v>
      </c>
      <c r="BE86" s="20">
        <v>266</v>
      </c>
      <c r="BF86" s="20">
        <v>13</v>
      </c>
      <c r="BG86" s="23">
        <v>1.1E-4</v>
      </c>
      <c r="BH86" s="26">
        <v>5.12</v>
      </c>
      <c r="BI86" s="34">
        <v>16</v>
      </c>
      <c r="BJ86" s="19">
        <v>410</v>
      </c>
      <c r="BK86" s="20" t="s">
        <v>467</v>
      </c>
      <c r="BL86" s="20">
        <v>174</v>
      </c>
      <c r="BM86" s="20">
        <v>17</v>
      </c>
      <c r="BN86" s="22"/>
      <c r="BO86" s="49">
        <f>IF(BE86=0,0,IF(BH86=0,0,10^(-2.8+0.66*BH86-0.0056*BE86)))</f>
        <v>0.12291361730601695</v>
      </c>
      <c r="BP86" s="24"/>
      <c r="BQ86" s="24"/>
      <c r="BR86" s="44"/>
      <c r="BS86" s="44">
        <f t="shared" si="21"/>
        <v>1000</v>
      </c>
      <c r="BT86" s="44" t="str">
        <f t="shared" si="27"/>
        <v>Ceiling (High)</v>
      </c>
      <c r="BU86" s="44"/>
      <c r="BV86" s="44">
        <f t="shared" si="22"/>
        <v>3000</v>
      </c>
      <c r="BW86" s="44" t="str">
        <f t="shared" si="28"/>
        <v>Ceiling (High)</v>
      </c>
      <c r="BX86" s="44"/>
      <c r="BY86" s="44">
        <f t="shared" si="23"/>
        <v>5000</v>
      </c>
      <c r="BZ86" s="44" t="str">
        <f t="shared" si="29"/>
        <v>Ceiling (High)</v>
      </c>
      <c r="CA86" s="44">
        <v>50000</v>
      </c>
      <c r="CB86" s="45" t="s">
        <v>0</v>
      </c>
      <c r="CC86" s="325"/>
    </row>
    <row r="87" spans="1:81" s="26" customFormat="1" ht="10.5" x14ac:dyDescent="0.25">
      <c r="A87" s="371" t="s">
        <v>674</v>
      </c>
      <c r="B87" s="52" t="s">
        <v>56</v>
      </c>
      <c r="C87" s="72"/>
      <c r="D87" s="78">
        <v>5.0000000000000004E-6</v>
      </c>
      <c r="E87" s="79" t="s">
        <v>675</v>
      </c>
      <c r="F87" s="78">
        <v>5.0000000000000004E-6</v>
      </c>
      <c r="G87" s="79" t="s">
        <v>675</v>
      </c>
      <c r="H87" s="78">
        <v>2.0000000000000002E-5</v>
      </c>
      <c r="I87" s="79" t="s">
        <v>475</v>
      </c>
      <c r="J87" s="78">
        <v>2.0000000000000002E-5</v>
      </c>
      <c r="K87" s="79" t="s">
        <v>488</v>
      </c>
      <c r="L87" s="49"/>
      <c r="M87" s="21"/>
      <c r="N87" s="21"/>
      <c r="O87" s="49"/>
      <c r="P87" s="20"/>
      <c r="Q87" s="76">
        <v>1</v>
      </c>
      <c r="R87" s="40"/>
      <c r="S87" s="76">
        <v>0.1</v>
      </c>
      <c r="T87" s="40"/>
      <c r="U87" s="76">
        <v>1</v>
      </c>
      <c r="V87" s="40"/>
      <c r="W87" s="76">
        <v>0.1</v>
      </c>
      <c r="X87" s="40"/>
      <c r="Y87" s="40" t="s">
        <v>1</v>
      </c>
      <c r="Z87" s="40"/>
      <c r="AA87" s="40" t="s">
        <v>1</v>
      </c>
      <c r="AB87" s="40"/>
      <c r="AC87" s="42">
        <v>1</v>
      </c>
      <c r="AD87" s="42">
        <v>9</v>
      </c>
      <c r="AE87" s="42">
        <v>1</v>
      </c>
      <c r="AF87" s="42">
        <v>9</v>
      </c>
      <c r="AG87" s="42"/>
      <c r="AH87" s="42"/>
      <c r="AI87" s="63"/>
      <c r="AJ87" s="20"/>
      <c r="AK87" s="66"/>
      <c r="AL87" s="66"/>
      <c r="AM87" s="62"/>
      <c r="AN87" s="62"/>
      <c r="AO87" s="43"/>
      <c r="AS87" s="20"/>
      <c r="AU87" s="47"/>
      <c r="AV87" s="20"/>
      <c r="AW87" s="49"/>
      <c r="AX87" s="26">
        <f t="shared" si="25"/>
        <v>2.0000000000000001E-4</v>
      </c>
      <c r="AZ87" s="23"/>
      <c r="BA87" s="20"/>
      <c r="BB87" s="23"/>
      <c r="BC87" s="20"/>
      <c r="BD87" s="27"/>
      <c r="BE87" s="20"/>
      <c r="BF87" s="20"/>
      <c r="BG87" s="23"/>
      <c r="BI87" s="34"/>
      <c r="BJ87" s="19"/>
      <c r="BK87" s="20"/>
      <c r="BL87" s="20"/>
      <c r="BM87" s="20"/>
      <c r="BN87" s="22"/>
      <c r="BO87" s="49"/>
      <c r="BP87" s="24"/>
      <c r="BQ87" s="24"/>
      <c r="BR87" s="44"/>
      <c r="BS87" s="44">
        <f t="shared" si="21"/>
        <v>1000</v>
      </c>
      <c r="BT87" s="44" t="str">
        <f t="shared" si="27"/>
        <v>Ceiling (High)</v>
      </c>
      <c r="BU87" s="44"/>
      <c r="BV87" s="44">
        <f t="shared" si="22"/>
        <v>3000</v>
      </c>
      <c r="BW87" s="44" t="str">
        <f t="shared" si="28"/>
        <v>Ceiling (High)</v>
      </c>
      <c r="BX87" s="44"/>
      <c r="BY87" s="44">
        <f t="shared" si="23"/>
        <v>5000</v>
      </c>
      <c r="BZ87" s="44" t="str">
        <f t="shared" si="29"/>
        <v>Ceiling (High)</v>
      </c>
      <c r="CA87" s="44">
        <v>50000</v>
      </c>
      <c r="CB87" s="45" t="s">
        <v>0</v>
      </c>
      <c r="CC87" s="325"/>
    </row>
    <row r="88" spans="1:81" s="26" customFormat="1" ht="10.5" x14ac:dyDescent="0.25">
      <c r="A88" s="371" t="s">
        <v>677</v>
      </c>
      <c r="B88" s="52" t="s">
        <v>678</v>
      </c>
      <c r="C88" s="72">
        <v>43374</v>
      </c>
      <c r="D88" s="78">
        <v>5.0000000000000004E-6</v>
      </c>
      <c r="E88" s="79" t="s">
        <v>675</v>
      </c>
      <c r="F88" s="78">
        <v>5.0000000000000004E-6</v>
      </c>
      <c r="G88" s="79" t="s">
        <v>675</v>
      </c>
      <c r="H88" s="78">
        <v>2.0000000000000002E-5</v>
      </c>
      <c r="I88" s="79" t="s">
        <v>475</v>
      </c>
      <c r="J88" s="78">
        <v>2.0000000000000002E-5</v>
      </c>
      <c r="K88" s="79" t="s">
        <v>488</v>
      </c>
      <c r="L88" s="49"/>
      <c r="M88" s="21"/>
      <c r="N88" s="21"/>
      <c r="O88" s="49"/>
      <c r="P88" s="20"/>
      <c r="Q88" s="76">
        <v>1</v>
      </c>
      <c r="R88" s="40"/>
      <c r="S88" s="76">
        <v>0.1</v>
      </c>
      <c r="T88" s="40"/>
      <c r="U88" s="76">
        <v>1</v>
      </c>
      <c r="V88" s="40"/>
      <c r="W88" s="76">
        <v>0.1</v>
      </c>
      <c r="X88" s="40"/>
      <c r="Y88" s="40" t="s">
        <v>1</v>
      </c>
      <c r="Z88" s="40"/>
      <c r="AA88" s="40" t="s">
        <v>1</v>
      </c>
      <c r="AB88" s="40"/>
      <c r="AC88" s="42">
        <v>1</v>
      </c>
      <c r="AD88" s="42">
        <v>9</v>
      </c>
      <c r="AE88" s="42">
        <v>1</v>
      </c>
      <c r="AF88" s="42">
        <v>9</v>
      </c>
      <c r="AG88" s="42"/>
      <c r="AH88" s="42"/>
      <c r="AI88" s="63">
        <v>2.9999999999999997E-4</v>
      </c>
      <c r="AJ88" s="20"/>
      <c r="AK88" s="66"/>
      <c r="AL88" s="66"/>
      <c r="AM88" s="63">
        <v>2.9999999999999997E-4</v>
      </c>
      <c r="AN88" s="62"/>
      <c r="AO88" s="43"/>
      <c r="AS88" s="20"/>
      <c r="AU88" s="47"/>
      <c r="AV88" s="20"/>
      <c r="AW88" s="49"/>
      <c r="AX88" s="26">
        <f t="shared" si="25"/>
        <v>2.0000000000000001E-4</v>
      </c>
      <c r="AZ88" s="23"/>
      <c r="BA88" s="20"/>
      <c r="BB88" s="23"/>
      <c r="BC88" s="20"/>
      <c r="BD88" s="27"/>
      <c r="BE88" s="20">
        <v>514</v>
      </c>
      <c r="BF88" s="20"/>
      <c r="BG88" s="23"/>
      <c r="BI88" s="34"/>
      <c r="BJ88" s="19"/>
      <c r="BK88" s="20"/>
      <c r="BL88" s="20"/>
      <c r="BM88" s="20"/>
      <c r="BN88" s="22"/>
      <c r="BO88" s="49"/>
      <c r="BP88" s="24"/>
      <c r="BQ88" s="24"/>
      <c r="BR88" s="44"/>
      <c r="BS88" s="44">
        <f t="shared" si="21"/>
        <v>1000</v>
      </c>
      <c r="BT88" s="44" t="str">
        <f t="shared" si="27"/>
        <v>Ceiling (High)</v>
      </c>
      <c r="BU88" s="44"/>
      <c r="BV88" s="44">
        <f t="shared" si="22"/>
        <v>3000</v>
      </c>
      <c r="BW88" s="44" t="str">
        <f t="shared" si="28"/>
        <v>Ceiling (High)</v>
      </c>
      <c r="BX88" s="44"/>
      <c r="BY88" s="44">
        <f t="shared" si="23"/>
        <v>5000</v>
      </c>
      <c r="BZ88" s="44" t="str">
        <f t="shared" si="29"/>
        <v>Ceiling (High)</v>
      </c>
      <c r="CA88" s="44">
        <v>50000</v>
      </c>
      <c r="CB88" s="45" t="s">
        <v>0</v>
      </c>
      <c r="CC88" s="325"/>
    </row>
    <row r="89" spans="1:81" s="26" customFormat="1" ht="10.5" x14ac:dyDescent="0.25">
      <c r="A89" s="371" t="s">
        <v>609</v>
      </c>
      <c r="B89" s="52" t="s">
        <v>648</v>
      </c>
      <c r="C89" s="72">
        <v>42922</v>
      </c>
      <c r="D89" s="78">
        <v>5.0000000000000004E-6</v>
      </c>
      <c r="E89" s="79" t="s">
        <v>675</v>
      </c>
      <c r="F89" s="78">
        <v>5.0000000000000004E-6</v>
      </c>
      <c r="G89" s="79" t="s">
        <v>675</v>
      </c>
      <c r="H89" s="78">
        <v>2.0000000000000002E-5</v>
      </c>
      <c r="I89" s="79" t="s">
        <v>475</v>
      </c>
      <c r="J89" s="78">
        <v>2.0000000000000002E-5</v>
      </c>
      <c r="K89" s="79" t="s">
        <v>488</v>
      </c>
      <c r="L89" s="49"/>
      <c r="M89" s="21"/>
      <c r="N89" s="21"/>
      <c r="O89" s="49"/>
      <c r="P89" s="20"/>
      <c r="Q89" s="76">
        <v>1</v>
      </c>
      <c r="R89" s="40"/>
      <c r="S89" s="76">
        <v>0.1</v>
      </c>
      <c r="T89" s="40"/>
      <c r="U89" s="76">
        <v>1</v>
      </c>
      <c r="V89" s="40"/>
      <c r="W89" s="76">
        <v>0.1</v>
      </c>
      <c r="X89" s="40"/>
      <c r="Y89" s="40" t="s">
        <v>1</v>
      </c>
      <c r="Z89" s="40"/>
      <c r="AA89" s="40" t="s">
        <v>1</v>
      </c>
      <c r="AB89" s="40"/>
      <c r="AC89" s="42">
        <v>1</v>
      </c>
      <c r="AD89" s="42">
        <v>9</v>
      </c>
      <c r="AE89" s="42">
        <v>1</v>
      </c>
      <c r="AF89" s="42">
        <v>9</v>
      </c>
      <c r="AG89" s="42"/>
      <c r="AH89" s="42"/>
      <c r="AI89" s="63">
        <v>5.0000000000000001E-4</v>
      </c>
      <c r="AJ89" s="20"/>
      <c r="AK89" s="66"/>
      <c r="AL89" s="66"/>
      <c r="AM89" s="63">
        <v>5.0000000000000001E-4</v>
      </c>
      <c r="AN89" s="62"/>
      <c r="AO89" s="43"/>
      <c r="AS89" s="20"/>
      <c r="AU89" s="47"/>
      <c r="AV89" s="20"/>
      <c r="AW89" s="49"/>
      <c r="AX89" s="26">
        <f t="shared" si="25"/>
        <v>2.0000000000000001E-4</v>
      </c>
      <c r="AY89" s="26">
        <f t="shared" si="26"/>
        <v>0</v>
      </c>
      <c r="AZ89" s="23"/>
      <c r="BA89" s="20"/>
      <c r="BB89" s="23"/>
      <c r="BC89" s="20"/>
      <c r="BD89" s="27"/>
      <c r="BE89" s="20">
        <v>364</v>
      </c>
      <c r="BF89" s="20"/>
      <c r="BG89" s="23"/>
      <c r="BI89" s="34"/>
      <c r="BJ89" s="19"/>
      <c r="BK89" s="20"/>
      <c r="BL89" s="20"/>
      <c r="BM89" s="20"/>
      <c r="BN89" s="22"/>
      <c r="BO89" s="49"/>
      <c r="BP89" s="24"/>
      <c r="BQ89" s="24"/>
      <c r="BR89" s="44"/>
      <c r="BS89" s="44">
        <f t="shared" si="21"/>
        <v>1000</v>
      </c>
      <c r="BT89" s="44" t="str">
        <f t="shared" si="27"/>
        <v>Ceiling (High)</v>
      </c>
      <c r="BU89" s="44"/>
      <c r="BV89" s="44">
        <f t="shared" si="22"/>
        <v>3000</v>
      </c>
      <c r="BW89" s="44" t="str">
        <f t="shared" si="28"/>
        <v>Ceiling (High)</v>
      </c>
      <c r="BX89" s="44"/>
      <c r="BY89" s="44">
        <f t="shared" si="23"/>
        <v>5000</v>
      </c>
      <c r="BZ89" s="44" t="str">
        <f t="shared" si="29"/>
        <v>Ceiling (High)</v>
      </c>
      <c r="CA89" s="44">
        <v>50000</v>
      </c>
      <c r="CB89" s="45" t="s">
        <v>0</v>
      </c>
      <c r="CC89" s="325"/>
    </row>
    <row r="90" spans="1:81" s="26" customFormat="1" ht="10.5" x14ac:dyDescent="0.25">
      <c r="A90" s="371" t="s">
        <v>610</v>
      </c>
      <c r="B90" s="52" t="s">
        <v>647</v>
      </c>
      <c r="C90" s="72">
        <v>42922</v>
      </c>
      <c r="D90" s="78">
        <v>5.0000000000000004E-6</v>
      </c>
      <c r="E90" s="79" t="s">
        <v>675</v>
      </c>
      <c r="F90" s="78">
        <v>5.0000000000000004E-6</v>
      </c>
      <c r="G90" s="79" t="s">
        <v>675</v>
      </c>
      <c r="H90" s="78">
        <v>2.0000000000000002E-5</v>
      </c>
      <c r="I90" s="79" t="s">
        <v>475</v>
      </c>
      <c r="J90" s="78">
        <v>2.0000000000000002E-5</v>
      </c>
      <c r="K90" s="79" t="s">
        <v>488</v>
      </c>
      <c r="L90" s="49"/>
      <c r="M90" s="21"/>
      <c r="N90" s="21"/>
      <c r="O90" s="49"/>
      <c r="P90" s="20"/>
      <c r="Q90" s="76">
        <v>1</v>
      </c>
      <c r="R90" s="40"/>
      <c r="S90" s="76">
        <v>0.1</v>
      </c>
      <c r="T90" s="40"/>
      <c r="U90" s="76">
        <v>1</v>
      </c>
      <c r="V90" s="40"/>
      <c r="W90" s="76">
        <v>0.1</v>
      </c>
      <c r="X90" s="40"/>
      <c r="Y90" s="40" t="s">
        <v>1</v>
      </c>
      <c r="Z90" s="40"/>
      <c r="AA90" s="40" t="s">
        <v>1</v>
      </c>
      <c r="AB90" s="40"/>
      <c r="AC90" s="42">
        <v>1</v>
      </c>
      <c r="AD90" s="42">
        <v>9</v>
      </c>
      <c r="AE90" s="42">
        <v>1</v>
      </c>
      <c r="AF90" s="42">
        <v>9</v>
      </c>
      <c r="AG90" s="42"/>
      <c r="AH90" s="42"/>
      <c r="AI90" s="63">
        <v>2.9999999999999997E-4</v>
      </c>
      <c r="AJ90" s="20"/>
      <c r="AK90" s="66"/>
      <c r="AL90" s="66"/>
      <c r="AM90" s="63">
        <v>2.9999999999999997E-4</v>
      </c>
      <c r="AN90" s="62"/>
      <c r="AO90" s="43"/>
      <c r="AS90" s="20"/>
      <c r="AU90" s="47"/>
      <c r="AV90" s="20"/>
      <c r="AW90" s="49"/>
      <c r="AX90" s="26">
        <f t="shared" si="25"/>
        <v>2.0000000000000001E-4</v>
      </c>
      <c r="AY90" s="26">
        <f t="shared" si="26"/>
        <v>0</v>
      </c>
      <c r="AZ90" s="23"/>
      <c r="BA90" s="20"/>
      <c r="BB90" s="23"/>
      <c r="BC90" s="20"/>
      <c r="BD90" s="27"/>
      <c r="BE90" s="20">
        <v>400</v>
      </c>
      <c r="BF90" s="20"/>
      <c r="BG90" s="23"/>
      <c r="BI90" s="34"/>
      <c r="BJ90" s="19"/>
      <c r="BK90" s="20"/>
      <c r="BL90" s="20"/>
      <c r="BM90" s="20"/>
      <c r="BN90" s="22"/>
      <c r="BO90" s="49"/>
      <c r="BP90" s="24"/>
      <c r="BQ90" s="24"/>
      <c r="BR90" s="44"/>
      <c r="BS90" s="44">
        <f t="shared" si="21"/>
        <v>1000</v>
      </c>
      <c r="BT90" s="44" t="str">
        <f t="shared" si="27"/>
        <v>Ceiling (High)</v>
      </c>
      <c r="BU90" s="44"/>
      <c r="BV90" s="44">
        <f t="shared" si="22"/>
        <v>3000</v>
      </c>
      <c r="BW90" s="44" t="str">
        <f t="shared" si="28"/>
        <v>Ceiling (High)</v>
      </c>
      <c r="BX90" s="44"/>
      <c r="BY90" s="44">
        <f t="shared" si="23"/>
        <v>5000</v>
      </c>
      <c r="BZ90" s="44" t="str">
        <f t="shared" si="29"/>
        <v>Ceiling (High)</v>
      </c>
      <c r="CA90" s="44">
        <v>50000</v>
      </c>
      <c r="CB90" s="45" t="s">
        <v>0</v>
      </c>
      <c r="CC90" s="325"/>
    </row>
    <row r="91" spans="1:81" s="26" customFormat="1" ht="10.5" x14ac:dyDescent="0.25">
      <c r="A91" s="371" t="s">
        <v>522</v>
      </c>
      <c r="B91" s="52" t="s">
        <v>644</v>
      </c>
      <c r="C91" s="72">
        <v>42922</v>
      </c>
      <c r="D91" s="78">
        <v>5.0000000000000004E-6</v>
      </c>
      <c r="E91" s="79" t="s">
        <v>675</v>
      </c>
      <c r="F91" s="78">
        <v>5.0000000000000004E-6</v>
      </c>
      <c r="G91" s="79" t="s">
        <v>675</v>
      </c>
      <c r="H91" s="78">
        <v>2.0000000000000002E-5</v>
      </c>
      <c r="I91" s="79" t="s">
        <v>475</v>
      </c>
      <c r="J91" s="78">
        <v>2.0000000000000002E-5</v>
      </c>
      <c r="K91" s="79" t="s">
        <v>488</v>
      </c>
      <c r="L91" s="49"/>
      <c r="M91" s="21"/>
      <c r="N91" s="21"/>
      <c r="O91" s="49"/>
      <c r="P91" s="20"/>
      <c r="Q91" s="76">
        <v>1</v>
      </c>
      <c r="R91" s="40"/>
      <c r="S91" s="76">
        <v>0.1</v>
      </c>
      <c r="T91" s="40"/>
      <c r="U91" s="76">
        <v>1</v>
      </c>
      <c r="V91" s="40"/>
      <c r="W91" s="76">
        <v>0.1</v>
      </c>
      <c r="X91" s="40"/>
      <c r="Y91" s="40" t="s">
        <v>1</v>
      </c>
      <c r="Z91" s="40"/>
      <c r="AA91" s="40" t="s">
        <v>1</v>
      </c>
      <c r="AB91" s="40"/>
      <c r="AC91" s="42">
        <v>1</v>
      </c>
      <c r="AD91" s="42">
        <v>9</v>
      </c>
      <c r="AE91" s="42">
        <v>1</v>
      </c>
      <c r="AF91" s="42">
        <v>9</v>
      </c>
      <c r="AG91" s="42"/>
      <c r="AH91" s="42"/>
      <c r="AI91" s="63">
        <v>7.2000000000000005E-4</v>
      </c>
      <c r="AJ91" s="20"/>
      <c r="AK91" s="66"/>
      <c r="AL91" s="66"/>
      <c r="AM91" s="63">
        <v>7.2000000000000005E-4</v>
      </c>
      <c r="AN91" s="62"/>
      <c r="AO91" s="43"/>
      <c r="AS91" s="20"/>
      <c r="AU91" s="47"/>
      <c r="AV91" s="20"/>
      <c r="AW91" s="49"/>
      <c r="AX91" s="26">
        <f t="shared" si="25"/>
        <v>2.0000000000000001E-4</v>
      </c>
      <c r="AY91" s="26">
        <f t="shared" si="26"/>
        <v>0</v>
      </c>
      <c r="AZ91" s="23"/>
      <c r="BA91" s="20"/>
      <c r="BB91" s="23"/>
      <c r="BC91" s="20"/>
      <c r="BD91" s="27"/>
      <c r="BE91" s="20">
        <v>414</v>
      </c>
      <c r="BF91" s="20"/>
      <c r="BG91" s="23"/>
      <c r="BI91" s="34"/>
      <c r="BJ91" s="19"/>
      <c r="BK91" s="20"/>
      <c r="BL91" s="20"/>
      <c r="BM91" s="20"/>
      <c r="BN91" s="22"/>
      <c r="BO91" s="49"/>
      <c r="BP91" s="24"/>
      <c r="BQ91" s="24"/>
      <c r="BR91" s="44"/>
      <c r="BS91" s="44">
        <f t="shared" si="21"/>
        <v>1000</v>
      </c>
      <c r="BT91" s="44" t="str">
        <f t="shared" si="27"/>
        <v>Ceiling (High)</v>
      </c>
      <c r="BU91" s="44"/>
      <c r="BV91" s="44">
        <f t="shared" si="22"/>
        <v>3000</v>
      </c>
      <c r="BW91" s="44" t="str">
        <f t="shared" si="28"/>
        <v>Ceiling (High)</v>
      </c>
      <c r="BX91" s="44"/>
      <c r="BY91" s="44">
        <f t="shared" si="23"/>
        <v>5000</v>
      </c>
      <c r="BZ91" s="44" t="str">
        <f t="shared" si="29"/>
        <v>Ceiling (High)</v>
      </c>
      <c r="CA91" s="44">
        <v>50000</v>
      </c>
      <c r="CB91" s="45" t="s">
        <v>0</v>
      </c>
      <c r="CC91" s="325"/>
    </row>
    <row r="92" spans="1:81" s="26" customFormat="1" ht="10.5" x14ac:dyDescent="0.25">
      <c r="A92" s="371" t="s">
        <v>668</v>
      </c>
      <c r="B92" s="52" t="s">
        <v>645</v>
      </c>
      <c r="C92" s="72">
        <v>42922</v>
      </c>
      <c r="D92" s="78">
        <v>5.0000000000000004E-6</v>
      </c>
      <c r="E92" s="79" t="s">
        <v>675</v>
      </c>
      <c r="F92" s="78">
        <v>5.0000000000000004E-6</v>
      </c>
      <c r="G92" s="79" t="s">
        <v>675</v>
      </c>
      <c r="H92" s="78">
        <v>2.0000000000000002E-5</v>
      </c>
      <c r="I92" s="79" t="s">
        <v>475</v>
      </c>
      <c r="J92" s="78">
        <v>2.0000000000000002E-5</v>
      </c>
      <c r="K92" s="79" t="s">
        <v>488</v>
      </c>
      <c r="L92" s="49"/>
      <c r="M92" s="21"/>
      <c r="N92" s="21"/>
      <c r="O92" s="49"/>
      <c r="P92" s="20"/>
      <c r="Q92" s="76">
        <v>1</v>
      </c>
      <c r="R92" s="40"/>
      <c r="S92" s="76">
        <v>0.1</v>
      </c>
      <c r="T92" s="40"/>
      <c r="U92" s="76">
        <v>1</v>
      </c>
      <c r="V92" s="40"/>
      <c r="W92" s="76">
        <v>0.1</v>
      </c>
      <c r="X92" s="40"/>
      <c r="Y92" s="40" t="s">
        <v>1</v>
      </c>
      <c r="Z92" s="40"/>
      <c r="AA92" s="40" t="s">
        <v>1</v>
      </c>
      <c r="AB92" s="40"/>
      <c r="AC92" s="42">
        <v>1</v>
      </c>
      <c r="AD92" s="42">
        <v>9</v>
      </c>
      <c r="AE92" s="42">
        <v>1</v>
      </c>
      <c r="AF92" s="42">
        <v>9</v>
      </c>
      <c r="AG92" s="42"/>
      <c r="AH92" s="42"/>
      <c r="AI92" s="63">
        <v>2E-3</v>
      </c>
      <c r="AJ92" s="20"/>
      <c r="AK92" s="66"/>
      <c r="AL92" s="66"/>
      <c r="AM92" s="63">
        <v>2E-3</v>
      </c>
      <c r="AN92" s="62"/>
      <c r="AO92" s="43"/>
      <c r="AS92" s="20"/>
      <c r="AU92" s="47"/>
      <c r="AV92" s="20"/>
      <c r="AW92" s="49"/>
      <c r="AX92" s="26">
        <f t="shared" si="25"/>
        <v>2.0000000000000001E-4</v>
      </c>
      <c r="AY92" s="26">
        <f t="shared" si="26"/>
        <v>0</v>
      </c>
      <c r="AZ92" s="23"/>
      <c r="BA92" s="20"/>
      <c r="BB92" s="23"/>
      <c r="BC92" s="20"/>
      <c r="BD92" s="27"/>
      <c r="BE92" s="20">
        <v>500</v>
      </c>
      <c r="BF92" s="20"/>
      <c r="BG92" s="23"/>
      <c r="BI92" s="34"/>
      <c r="BJ92" s="19"/>
      <c r="BK92" s="20"/>
      <c r="BL92" s="20"/>
      <c r="BM92" s="20"/>
      <c r="BN92" s="22"/>
      <c r="BO92" s="49"/>
      <c r="BP92" s="24"/>
      <c r="BQ92" s="24"/>
      <c r="BR92" s="44"/>
      <c r="BS92" s="44">
        <f t="shared" si="21"/>
        <v>1000</v>
      </c>
      <c r="BT92" s="44" t="str">
        <f t="shared" si="27"/>
        <v>Ceiling (High)</v>
      </c>
      <c r="BU92" s="44"/>
      <c r="BV92" s="44">
        <f t="shared" si="22"/>
        <v>3000</v>
      </c>
      <c r="BW92" s="44" t="str">
        <f t="shared" si="28"/>
        <v>Ceiling (High)</v>
      </c>
      <c r="BX92" s="44"/>
      <c r="BY92" s="44">
        <f t="shared" si="23"/>
        <v>5000</v>
      </c>
      <c r="BZ92" s="44" t="str">
        <f t="shared" si="29"/>
        <v>Ceiling (High)</v>
      </c>
      <c r="CA92" s="44">
        <v>50000</v>
      </c>
      <c r="CB92" s="45" t="s">
        <v>0</v>
      </c>
      <c r="CC92" s="325"/>
    </row>
    <row r="93" spans="1:81" s="26" customFormat="1" ht="10.5" x14ac:dyDescent="0.25">
      <c r="A93" s="371" t="s">
        <v>611</v>
      </c>
      <c r="B93" s="52" t="s">
        <v>646</v>
      </c>
      <c r="C93" s="72">
        <v>42922</v>
      </c>
      <c r="D93" s="78">
        <v>5.0000000000000004E-6</v>
      </c>
      <c r="E93" s="79" t="s">
        <v>675</v>
      </c>
      <c r="F93" s="78">
        <v>5.0000000000000004E-6</v>
      </c>
      <c r="G93" s="79" t="s">
        <v>675</v>
      </c>
      <c r="H93" s="78">
        <v>2.0000000000000002E-5</v>
      </c>
      <c r="I93" s="79" t="s">
        <v>475</v>
      </c>
      <c r="J93" s="78">
        <v>2.0000000000000002E-5</v>
      </c>
      <c r="K93" s="79" t="s">
        <v>488</v>
      </c>
      <c r="L93" s="49"/>
      <c r="M93" s="21"/>
      <c r="N93" s="21"/>
      <c r="O93" s="49"/>
      <c r="P93" s="20"/>
      <c r="Q93" s="76">
        <v>1</v>
      </c>
      <c r="R93" s="40"/>
      <c r="S93" s="76">
        <v>0.1</v>
      </c>
      <c r="T93" s="40"/>
      <c r="U93" s="76">
        <v>1</v>
      </c>
      <c r="V93" s="40"/>
      <c r="W93" s="76">
        <v>0.1</v>
      </c>
      <c r="X93" s="40"/>
      <c r="Y93" s="40" t="s">
        <v>1</v>
      </c>
      <c r="Z93" s="40"/>
      <c r="AA93" s="40" t="s">
        <v>1</v>
      </c>
      <c r="AB93" s="40"/>
      <c r="AC93" s="42">
        <v>1</v>
      </c>
      <c r="AD93" s="42">
        <v>9</v>
      </c>
      <c r="AE93" s="42">
        <v>1</v>
      </c>
      <c r="AF93" s="42">
        <v>9</v>
      </c>
      <c r="AG93" s="42"/>
      <c r="AH93" s="42"/>
      <c r="AI93" s="63">
        <v>3.2000000000000003E-4</v>
      </c>
      <c r="AJ93" s="20"/>
      <c r="AK93" s="66"/>
      <c r="AL93" s="66"/>
      <c r="AM93" s="63">
        <v>3.2000000000000003E-4</v>
      </c>
      <c r="AN93" s="62"/>
      <c r="AO93" s="43"/>
      <c r="AS93" s="20"/>
      <c r="AU93" s="47"/>
      <c r="AV93" s="20"/>
      <c r="AW93" s="49"/>
      <c r="AX93" s="26">
        <f t="shared" si="25"/>
        <v>2.0000000000000001E-4</v>
      </c>
      <c r="AY93" s="26">
        <f t="shared" si="26"/>
        <v>0</v>
      </c>
      <c r="AZ93" s="23"/>
      <c r="BA93" s="20"/>
      <c r="BB93" s="23"/>
      <c r="BC93" s="20"/>
      <c r="BD93" s="27"/>
      <c r="BE93" s="20">
        <v>464</v>
      </c>
      <c r="BF93" s="20"/>
      <c r="BG93" s="23"/>
      <c r="BI93" s="34"/>
      <c r="BJ93" s="19"/>
      <c r="BK93" s="20"/>
      <c r="BL93" s="20"/>
      <c r="BM93" s="20"/>
      <c r="BN93" s="22"/>
      <c r="BO93" s="49"/>
      <c r="BP93" s="24"/>
      <c r="BQ93" s="24"/>
      <c r="BR93" s="44"/>
      <c r="BS93" s="44">
        <f t="shared" si="21"/>
        <v>1000</v>
      </c>
      <c r="BT93" s="44" t="str">
        <f t="shared" si="27"/>
        <v>Ceiling (High)</v>
      </c>
      <c r="BU93" s="44"/>
      <c r="BV93" s="44">
        <f t="shared" si="22"/>
        <v>3000</v>
      </c>
      <c r="BW93" s="44" t="str">
        <f t="shared" si="28"/>
        <v>Ceiling (High)</v>
      </c>
      <c r="BX93" s="44"/>
      <c r="BY93" s="44">
        <f t="shared" si="23"/>
        <v>5000</v>
      </c>
      <c r="BZ93" s="44" t="str">
        <f t="shared" si="29"/>
        <v>Ceiling (High)</v>
      </c>
      <c r="CA93" s="44">
        <v>50000</v>
      </c>
      <c r="CB93" s="45" t="s">
        <v>0</v>
      </c>
      <c r="CC93" s="325"/>
    </row>
    <row r="94" spans="1:81" s="26" customFormat="1" x14ac:dyDescent="0.2">
      <c r="A94" s="371" t="s">
        <v>329</v>
      </c>
      <c r="B94" s="52" t="s">
        <v>56</v>
      </c>
      <c r="C94" s="72">
        <v>42922</v>
      </c>
      <c r="D94" s="48">
        <v>6.9999999999999994E-5</v>
      </c>
      <c r="E94" s="20" t="s">
        <v>486</v>
      </c>
      <c r="F94" s="48">
        <v>6.9999999999999994E-5</v>
      </c>
      <c r="G94" s="20" t="s">
        <v>486</v>
      </c>
      <c r="H94" s="49">
        <v>2.0000000000000001E-4</v>
      </c>
      <c r="I94" s="20" t="s">
        <v>475</v>
      </c>
      <c r="J94" s="49">
        <v>2.0000000000000001E-4</v>
      </c>
      <c r="K94" s="20" t="s">
        <v>488</v>
      </c>
      <c r="L94" s="49"/>
      <c r="M94" s="21"/>
      <c r="N94" s="21"/>
      <c r="O94" s="49"/>
      <c r="P94" s="20"/>
      <c r="Q94" s="40">
        <v>1</v>
      </c>
      <c r="R94" s="40">
        <v>9</v>
      </c>
      <c r="S94" s="40">
        <v>0.1</v>
      </c>
      <c r="T94" s="40">
        <v>9</v>
      </c>
      <c r="U94" s="40">
        <v>1</v>
      </c>
      <c r="V94" s="40">
        <v>9</v>
      </c>
      <c r="W94" s="40">
        <v>0.1</v>
      </c>
      <c r="X94" s="40">
        <v>9</v>
      </c>
      <c r="Y94" s="40" t="s">
        <v>1</v>
      </c>
      <c r="Z94" s="40"/>
      <c r="AA94" s="40" t="s">
        <v>1</v>
      </c>
      <c r="AB94" s="40"/>
      <c r="AC94" s="42">
        <v>1</v>
      </c>
      <c r="AD94" s="42">
        <v>9</v>
      </c>
      <c r="AE94" s="42">
        <v>1</v>
      </c>
      <c r="AF94" s="42">
        <v>9</v>
      </c>
      <c r="AG94" s="42"/>
      <c r="AH94" s="42"/>
      <c r="AI94" s="62"/>
      <c r="AJ94" s="20"/>
      <c r="AK94" s="66">
        <v>1</v>
      </c>
      <c r="AL94" s="66"/>
      <c r="AM94" s="62"/>
      <c r="AN94" s="62"/>
      <c r="AO94" s="43">
        <f>VLOOKUP(A94,[1]!IABKGRD,7,FALSE)</f>
        <v>0</v>
      </c>
      <c r="AS94" s="20"/>
      <c r="AU94" s="47"/>
      <c r="AV94" s="20"/>
      <c r="AW94" s="49"/>
      <c r="AX94" s="26">
        <f>VLOOKUP(A94,PQL,4,FALSE)</f>
        <v>0.1</v>
      </c>
      <c r="AY94" s="26">
        <f>VLOOKUP(A94,PQL,3,FALSE)</f>
        <v>1</v>
      </c>
      <c r="AZ94" s="23">
        <v>0</v>
      </c>
      <c r="BA94" s="20"/>
      <c r="BB94" s="23"/>
      <c r="BC94" s="20"/>
      <c r="BD94" s="27">
        <v>0</v>
      </c>
      <c r="BE94" s="20"/>
      <c r="BF94" s="20"/>
      <c r="BG94" s="23"/>
      <c r="BI94" s="34"/>
      <c r="BJ94" s="19"/>
      <c r="BK94" s="20"/>
      <c r="BL94" s="20"/>
      <c r="BM94" s="20"/>
      <c r="BN94" s="22"/>
      <c r="BO94" s="49">
        <f>IF(BE94=0,0,IF(BH94=0,0,10^(-2.8+0.67*BH94-0.0056*BE94)))</f>
        <v>0</v>
      </c>
      <c r="BP94" s="24"/>
      <c r="BQ94" s="24"/>
      <c r="BR94" s="44"/>
      <c r="BS94" s="44">
        <f>IF($AW94=0,IF($BG94&gt;1,100,1000),IF($AW94&lt;0.1,1000,IF($AW94&lt;100,500,100)))</f>
        <v>1000</v>
      </c>
      <c r="BT94" s="44" t="str">
        <f>IF($BS94=$BN94,"Soil Saturation",IF($BS94=100,"Ceiling (Low)",IF($BS94=500,"Ceiling (Medium)","Ceiling (High)")))</f>
        <v>Ceiling (High)</v>
      </c>
      <c r="BU94" s="44"/>
      <c r="BV94" s="44">
        <f>IF($AW94=0,IF($BG94&gt;1,500,3000),IF($AW94&lt;0.1,3000,IF($AW94&lt;100,1000,500)))</f>
        <v>3000</v>
      </c>
      <c r="BW94" s="44" t="str">
        <f>IF(BV94=$BN94,"Soil Saturation",IF(BV94=500,"Ceiling (Low)",IF(BV94=1000,"Ceiling (Medium)","Ceiling (High)")))</f>
        <v>Ceiling (High)</v>
      </c>
      <c r="BX94" s="44"/>
      <c r="BY94" s="44">
        <f>IF($AW94=0,IF($BG94&gt;1,500,5000),IF($AW94&lt;0.1,5000,IF($AW94&lt;100,3000,1000)))</f>
        <v>5000</v>
      </c>
      <c r="BZ94" s="44" t="str">
        <f>IF(BY94=$BN94,"Soil Saturation",IF(BY94=500,"High Volatility",IF(BY94=1000,"Ceiling (Low)",IF(BY94=3000,"Ceiling (Medium)","Ceiling (High)"))))</f>
        <v>Ceiling (High)</v>
      </c>
      <c r="CA94" s="44">
        <v>50000</v>
      </c>
      <c r="CB94" s="45" t="s">
        <v>0</v>
      </c>
      <c r="CC94" s="325"/>
    </row>
    <row r="95" spans="1:81" s="26" customFormat="1" ht="10.5" x14ac:dyDescent="0.25">
      <c r="A95" s="371" t="s">
        <v>57</v>
      </c>
      <c r="B95" s="52" t="s">
        <v>56</v>
      </c>
      <c r="C95" s="52"/>
      <c r="D95" s="78"/>
      <c r="E95" s="20"/>
      <c r="F95" s="48"/>
      <c r="G95" s="20"/>
      <c r="H95" s="49"/>
      <c r="I95" s="20"/>
      <c r="J95" s="49"/>
      <c r="K95" s="20"/>
      <c r="L95" s="49"/>
      <c r="M95" s="21"/>
      <c r="N95" s="21"/>
      <c r="O95" s="49"/>
      <c r="P95" s="20"/>
      <c r="Q95" s="40">
        <v>1</v>
      </c>
      <c r="R95" s="40"/>
      <c r="S95" s="40"/>
      <c r="T95" s="40"/>
      <c r="U95" s="40"/>
      <c r="V95" s="40"/>
      <c r="W95" s="40"/>
      <c r="X95" s="40"/>
      <c r="Y95" s="40"/>
      <c r="Z95" s="40"/>
      <c r="AA95" s="40"/>
      <c r="AB95" s="40"/>
      <c r="AC95" s="42">
        <v>1</v>
      </c>
      <c r="AD95" s="42">
        <v>9</v>
      </c>
      <c r="AE95" s="42">
        <v>1</v>
      </c>
      <c r="AF95" s="42">
        <v>9</v>
      </c>
      <c r="AG95" s="42"/>
      <c r="AH95" s="42"/>
      <c r="AI95" s="62"/>
      <c r="AJ95" s="20"/>
      <c r="AK95" s="66"/>
      <c r="AL95" s="66"/>
      <c r="AM95" s="62"/>
      <c r="AN95" s="62"/>
      <c r="AO95" s="43">
        <f>VLOOKUP(A95,[1]!IABKGRD,7,FALSE)</f>
        <v>0</v>
      </c>
      <c r="AS95" s="20"/>
      <c r="AU95" s="47"/>
      <c r="AV95" s="20"/>
      <c r="AW95" s="49">
        <f t="shared" ref="AW95:AW105" si="32">IF(AT95=0,0,BG95/AU95)</f>
        <v>0</v>
      </c>
      <c r="AX95" s="26">
        <f t="shared" si="25"/>
        <v>0</v>
      </c>
      <c r="AY95" s="26">
        <f t="shared" si="26"/>
        <v>0</v>
      </c>
      <c r="AZ95" s="26">
        <v>0</v>
      </c>
      <c r="BA95" s="20"/>
      <c r="BB95" s="23"/>
      <c r="BC95" s="20"/>
      <c r="BD95" s="27">
        <v>0</v>
      </c>
      <c r="BE95" s="20"/>
      <c r="BF95" s="20"/>
      <c r="BI95" s="34"/>
      <c r="BJ95" s="19"/>
      <c r="BK95" s="20"/>
      <c r="BL95" s="20"/>
      <c r="BM95" s="20"/>
      <c r="BN95" s="22"/>
      <c r="BO95" s="49"/>
      <c r="BP95" s="24"/>
      <c r="BQ95" s="24"/>
      <c r="BR95" s="44"/>
      <c r="BS95" s="44"/>
      <c r="BT95" s="44"/>
      <c r="BU95" s="44"/>
      <c r="BV95" s="44"/>
      <c r="BW95" s="44"/>
      <c r="BX95" s="44"/>
      <c r="BY95" s="44"/>
      <c r="BZ95" s="44"/>
      <c r="CA95" s="44"/>
      <c r="CB95" s="45"/>
      <c r="CC95" s="325"/>
    </row>
    <row r="96" spans="1:81" s="26" customFormat="1" x14ac:dyDescent="0.2">
      <c r="A96" s="371" t="s">
        <v>690</v>
      </c>
      <c r="B96" s="52" t="s">
        <v>56</v>
      </c>
      <c r="C96" s="52"/>
      <c r="D96" s="48">
        <v>0.04</v>
      </c>
      <c r="E96" s="20" t="s">
        <v>446</v>
      </c>
      <c r="F96" s="48">
        <v>0.4</v>
      </c>
      <c r="G96" s="20" t="s">
        <v>446</v>
      </c>
      <c r="H96" s="48">
        <v>0.2</v>
      </c>
      <c r="I96" s="20" t="s">
        <v>446</v>
      </c>
      <c r="J96" s="48">
        <v>0.2</v>
      </c>
      <c r="K96" s="20" t="s">
        <v>488</v>
      </c>
      <c r="L96" s="49"/>
      <c r="M96" s="21"/>
      <c r="N96" s="21"/>
      <c r="O96" s="49"/>
      <c r="P96" s="20"/>
      <c r="Q96" s="40">
        <v>1</v>
      </c>
      <c r="R96" s="40" t="s">
        <v>504</v>
      </c>
      <c r="S96" s="40">
        <v>0.2</v>
      </c>
      <c r="T96" s="40" t="s">
        <v>504</v>
      </c>
      <c r="U96" s="40">
        <v>1</v>
      </c>
      <c r="V96" s="40" t="s">
        <v>504</v>
      </c>
      <c r="W96" s="40">
        <v>0.2</v>
      </c>
      <c r="X96" s="40" t="s">
        <v>504</v>
      </c>
      <c r="Y96" s="40" t="s">
        <v>1</v>
      </c>
      <c r="Z96" s="40"/>
      <c r="AA96" s="40" t="s">
        <v>1</v>
      </c>
      <c r="AB96" s="40"/>
      <c r="AC96" s="42">
        <v>1</v>
      </c>
      <c r="AD96" s="42">
        <v>9</v>
      </c>
      <c r="AE96" s="42">
        <v>1</v>
      </c>
      <c r="AF96" s="42">
        <v>9</v>
      </c>
      <c r="AG96" s="42"/>
      <c r="AH96" s="42"/>
      <c r="AI96" s="62"/>
      <c r="AJ96" s="20"/>
      <c r="AK96" s="66">
        <v>1</v>
      </c>
      <c r="AL96" s="66" t="s">
        <v>1</v>
      </c>
      <c r="AM96" s="62"/>
      <c r="AN96" s="62"/>
      <c r="AO96" s="43">
        <f>VLOOKUP(A96,[1]!IABKGRD,7,FALSE)</f>
        <v>330</v>
      </c>
      <c r="AS96" s="20"/>
      <c r="AU96" s="47">
        <f>AT96*22.4*(298/273)*(760/760)/(BE96*1000)</f>
        <v>0</v>
      </c>
      <c r="AV96" s="20"/>
      <c r="AW96" s="49">
        <f t="shared" si="32"/>
        <v>0</v>
      </c>
      <c r="AX96" s="26">
        <f t="shared" si="25"/>
        <v>0</v>
      </c>
      <c r="AY96" s="26">
        <f t="shared" si="26"/>
        <v>0</v>
      </c>
      <c r="AZ96" s="35">
        <v>11000</v>
      </c>
      <c r="BA96" s="20" t="s">
        <v>483</v>
      </c>
      <c r="BB96" s="35">
        <v>1.296</v>
      </c>
      <c r="BC96" s="20" t="s">
        <v>483</v>
      </c>
      <c r="BD96" s="35">
        <v>54</v>
      </c>
      <c r="BE96" s="20">
        <v>93</v>
      </c>
      <c r="BF96" s="20"/>
      <c r="BG96" s="26">
        <v>76</v>
      </c>
      <c r="BH96" s="20">
        <v>3.85</v>
      </c>
      <c r="BI96" s="34" t="s">
        <v>482</v>
      </c>
      <c r="BJ96" s="26">
        <v>2265</v>
      </c>
      <c r="BK96" s="20"/>
      <c r="BL96" s="20"/>
      <c r="BM96" s="20"/>
      <c r="BN96" s="22"/>
      <c r="BO96" s="49">
        <f>IF(BE96=0,0,IF(BH96=0,0,10^(-2.8+0.66*BH96-0.0056*BE96)))</f>
        <v>0.16603513514585116</v>
      </c>
      <c r="BP96" s="24"/>
      <c r="BQ96" s="24"/>
      <c r="BR96" s="44"/>
      <c r="BS96" s="44">
        <f>IF($AW96=0,IF($BG96&gt;1,100,1000),IF($AW96&lt;0.1,1000,IF($AW96&lt;100,500,100)))</f>
        <v>100</v>
      </c>
      <c r="BT96" s="44" t="str">
        <f t="shared" si="27"/>
        <v>Ceiling (Low)</v>
      </c>
      <c r="BU96" s="44"/>
      <c r="BV96" s="44">
        <f>IF($AW96=0,IF($BG96&gt;1,500,3000),IF($AW96&lt;0.1,3000,IF($AW96&lt;100,1000,500)))</f>
        <v>500</v>
      </c>
      <c r="BW96" s="44" t="str">
        <f t="shared" si="28"/>
        <v>Ceiling (Low)</v>
      </c>
      <c r="BX96" s="44"/>
      <c r="BY96" s="44">
        <f>IF($AW96=0,IF($BG96&gt;1,500,5000),IF($AW96&lt;0.1,5000,IF($AW96&lt;100,3000,1000)))</f>
        <v>500</v>
      </c>
      <c r="BZ96" s="44" t="str">
        <f t="shared" si="29"/>
        <v>High Volatility</v>
      </c>
      <c r="CA96" s="44">
        <v>50000</v>
      </c>
      <c r="CB96" s="45" t="s">
        <v>0</v>
      </c>
      <c r="CC96" s="325"/>
    </row>
    <row r="97" spans="1:81" s="26" customFormat="1" x14ac:dyDescent="0.2">
      <c r="A97" s="371" t="s">
        <v>691</v>
      </c>
      <c r="B97" s="52" t="s">
        <v>56</v>
      </c>
      <c r="C97" s="52"/>
      <c r="D97" s="48">
        <v>0.1</v>
      </c>
      <c r="E97" s="20" t="s">
        <v>446</v>
      </c>
      <c r="F97" s="48">
        <v>1</v>
      </c>
      <c r="G97" s="20" t="s">
        <v>446</v>
      </c>
      <c r="H97" s="48">
        <v>0.2</v>
      </c>
      <c r="I97" s="20" t="s">
        <v>446</v>
      </c>
      <c r="J97" s="48">
        <v>0.6</v>
      </c>
      <c r="K97" s="20" t="s">
        <v>446</v>
      </c>
      <c r="L97" s="49"/>
      <c r="M97" s="21"/>
      <c r="N97" s="21"/>
      <c r="O97" s="49"/>
      <c r="P97" s="20"/>
      <c r="Q97" s="40">
        <v>1</v>
      </c>
      <c r="R97" s="40" t="s">
        <v>504</v>
      </c>
      <c r="S97" s="40">
        <v>0.2</v>
      </c>
      <c r="T97" s="40" t="s">
        <v>504</v>
      </c>
      <c r="U97" s="40">
        <v>1</v>
      </c>
      <c r="V97" s="40" t="s">
        <v>504</v>
      </c>
      <c r="W97" s="40">
        <v>0.2</v>
      </c>
      <c r="X97" s="40" t="s">
        <v>504</v>
      </c>
      <c r="Y97" s="40" t="s">
        <v>1</v>
      </c>
      <c r="Z97" s="40"/>
      <c r="AA97" s="40" t="s">
        <v>1</v>
      </c>
      <c r="AB97" s="40"/>
      <c r="AC97" s="42">
        <v>1</v>
      </c>
      <c r="AD97" s="42">
        <v>9</v>
      </c>
      <c r="AE97" s="42">
        <v>1</v>
      </c>
      <c r="AF97" s="42">
        <v>9</v>
      </c>
      <c r="AG97" s="42"/>
      <c r="AH97" s="42"/>
      <c r="AI97" s="62"/>
      <c r="AJ97" s="20"/>
      <c r="AK97" s="66">
        <v>1</v>
      </c>
      <c r="AL97" s="66" t="s">
        <v>1</v>
      </c>
      <c r="AM97" s="62"/>
      <c r="AN97" s="62"/>
      <c r="AO97" s="43">
        <f>VLOOKUP(A97,[1]!IABKGRD,7,FALSE)</f>
        <v>220</v>
      </c>
      <c r="AS97" s="20"/>
      <c r="AU97" s="47">
        <f>AT97*22.4*(298/273)*(760/760)/(BE97*1000)</f>
        <v>0</v>
      </c>
      <c r="AV97" s="20"/>
      <c r="AW97" s="49">
        <f t="shared" si="32"/>
        <v>0</v>
      </c>
      <c r="AX97" s="26">
        <f t="shared" si="25"/>
        <v>0</v>
      </c>
      <c r="AY97" s="26">
        <f t="shared" si="26"/>
        <v>0</v>
      </c>
      <c r="AZ97" s="35">
        <v>70</v>
      </c>
      <c r="BA97" s="20" t="s">
        <v>483</v>
      </c>
      <c r="BB97" s="35">
        <v>1.56</v>
      </c>
      <c r="BC97" s="20" t="s">
        <v>483</v>
      </c>
      <c r="BD97" s="35">
        <v>65</v>
      </c>
      <c r="BE97" s="20">
        <v>149</v>
      </c>
      <c r="BF97" s="20"/>
      <c r="BG97" s="26">
        <v>0.66120000000000001</v>
      </c>
      <c r="BH97" s="20">
        <v>5.52</v>
      </c>
      <c r="BI97" s="34" t="s">
        <v>482</v>
      </c>
      <c r="BJ97" s="26">
        <v>150000</v>
      </c>
      <c r="BK97" s="20"/>
      <c r="BL97" s="20"/>
      <c r="BM97" s="20"/>
      <c r="BN97" s="22"/>
      <c r="BO97" s="49">
        <f>IF(BE97=0,0,IF(BH97=0,0,10^(-2.8+0.66*BH97-0.0056*BE97)))</f>
        <v>1.020469431942199</v>
      </c>
      <c r="BP97" s="24"/>
      <c r="BQ97" s="24"/>
      <c r="BR97" s="44"/>
      <c r="BS97" s="44">
        <f>IF($AW97=0,IF($BG97&gt;1,100,1000),IF($AW97&lt;0.1,1000,IF($AW97&lt;100,500,100)))</f>
        <v>1000</v>
      </c>
      <c r="BT97" s="44" t="str">
        <f t="shared" si="27"/>
        <v>Ceiling (High)</v>
      </c>
      <c r="BU97" s="44"/>
      <c r="BV97" s="44">
        <f>IF($AW97=0,IF($BG97&gt;1,500,3000),IF($AW97&lt;0.1,3000,IF($AW97&lt;100,1000,500)))</f>
        <v>3000</v>
      </c>
      <c r="BW97" s="44" t="str">
        <f t="shared" si="28"/>
        <v>Ceiling (High)</v>
      </c>
      <c r="BX97" s="44"/>
      <c r="BY97" s="44">
        <f>IF($AW97=0,IF($BG97&gt;1,500,5000),IF($AW97&lt;0.1,5000,IF($AW97&lt;100,3000,1000)))</f>
        <v>5000</v>
      </c>
      <c r="BZ97" s="44" t="str">
        <f t="shared" si="29"/>
        <v>Ceiling (High)</v>
      </c>
      <c r="CA97" s="44">
        <v>50000</v>
      </c>
      <c r="CB97" s="45" t="s">
        <v>0</v>
      </c>
      <c r="CC97" s="325"/>
    </row>
    <row r="98" spans="1:81" s="26" customFormat="1" x14ac:dyDescent="0.2">
      <c r="A98" s="371" t="s">
        <v>692</v>
      </c>
      <c r="B98" s="52" t="s">
        <v>56</v>
      </c>
      <c r="C98" s="52"/>
      <c r="D98" s="48">
        <v>0.1</v>
      </c>
      <c r="E98" s="20" t="s">
        <v>446</v>
      </c>
      <c r="F98" s="48">
        <v>1</v>
      </c>
      <c r="G98" s="20" t="s">
        <v>446</v>
      </c>
      <c r="H98" s="48">
        <v>0.2</v>
      </c>
      <c r="I98" s="20" t="s">
        <v>446</v>
      </c>
      <c r="J98" s="48">
        <v>0.6</v>
      </c>
      <c r="K98" s="20" t="s">
        <v>446</v>
      </c>
      <c r="L98" s="49"/>
      <c r="M98" s="21"/>
      <c r="N98" s="21"/>
      <c r="O98" s="49"/>
      <c r="P98" s="20"/>
      <c r="Q98" s="40">
        <v>1</v>
      </c>
      <c r="R98" s="40" t="s">
        <v>504</v>
      </c>
      <c r="S98" s="40">
        <v>0.2</v>
      </c>
      <c r="T98" s="40" t="s">
        <v>504</v>
      </c>
      <c r="U98" s="40">
        <v>1</v>
      </c>
      <c r="V98" s="40" t="s">
        <v>504</v>
      </c>
      <c r="W98" s="40">
        <v>0.2</v>
      </c>
      <c r="X98" s="40" t="s">
        <v>504</v>
      </c>
      <c r="Y98" s="40" t="s">
        <v>1</v>
      </c>
      <c r="Z98" s="40"/>
      <c r="AA98" s="40" t="s">
        <v>1</v>
      </c>
      <c r="AB98" s="40"/>
      <c r="AC98" s="42">
        <v>1</v>
      </c>
      <c r="AD98" s="42">
        <v>9</v>
      </c>
      <c r="AE98" s="42">
        <v>1</v>
      </c>
      <c r="AF98" s="42">
        <v>9</v>
      </c>
      <c r="AG98" s="42"/>
      <c r="AH98" s="42"/>
      <c r="AI98" s="62"/>
      <c r="AJ98" s="20"/>
      <c r="AK98" s="66">
        <v>1</v>
      </c>
      <c r="AL98" s="66" t="s">
        <v>1</v>
      </c>
      <c r="AM98" s="62"/>
      <c r="AN98" s="62"/>
      <c r="AO98" s="43">
        <f>VLOOKUP(A98,[1]!IABKGRD,7,FALSE)</f>
        <v>100</v>
      </c>
      <c r="AS98" s="20"/>
      <c r="AU98" s="47">
        <f>AT98*22.4*(298/273)*(760/760)/(BE98*1000)</f>
        <v>0</v>
      </c>
      <c r="AV98" s="20"/>
      <c r="AW98" s="49">
        <f t="shared" si="32"/>
        <v>0</v>
      </c>
      <c r="AX98" s="26">
        <f t="shared" si="25"/>
        <v>0</v>
      </c>
      <c r="AY98" s="26">
        <f t="shared" si="26"/>
        <v>0</v>
      </c>
      <c r="AZ98" s="35">
        <v>10</v>
      </c>
      <c r="BA98" s="20" t="s">
        <v>483</v>
      </c>
      <c r="BB98" s="35">
        <v>1.6560000000000001</v>
      </c>
      <c r="BC98" s="20" t="s">
        <v>483</v>
      </c>
      <c r="BD98" s="35">
        <v>69</v>
      </c>
      <c r="BE98" s="20">
        <v>170</v>
      </c>
      <c r="BF98" s="20"/>
      <c r="BG98" s="26">
        <v>0.106</v>
      </c>
      <c r="BH98" s="20">
        <v>5.94</v>
      </c>
      <c r="BI98" s="34" t="s">
        <v>482</v>
      </c>
      <c r="BJ98" s="26">
        <v>680000</v>
      </c>
      <c r="BK98" s="20"/>
      <c r="BL98" s="20"/>
      <c r="BM98" s="20"/>
      <c r="BN98" s="22"/>
      <c r="BO98" s="49">
        <f>IF(BE98=0,0,IF(BH98=0,0,10^(-2.8+0.66*BH98-0.0056*BE98)))</f>
        <v>1.4736691770366908</v>
      </c>
      <c r="BP98" s="24"/>
      <c r="BQ98" s="24"/>
      <c r="BR98" s="44"/>
      <c r="BS98" s="44">
        <f>IF($AW98=0,IF($BG98&gt;1,100,1000),IF($AW98&lt;0.1,1000,IF($AW98&lt;100,500,100)))</f>
        <v>1000</v>
      </c>
      <c r="BT98" s="44" t="str">
        <f t="shared" si="27"/>
        <v>Ceiling (High)</v>
      </c>
      <c r="BU98" s="44"/>
      <c r="BV98" s="44">
        <f>IF($AW98=0,IF($BG98&gt;1,500,3000),IF($AW98&lt;0.1,3000,IF($AW98&lt;100,1000,500)))</f>
        <v>3000</v>
      </c>
      <c r="BW98" s="44" t="str">
        <f t="shared" si="28"/>
        <v>Ceiling (High)</v>
      </c>
      <c r="BX98" s="44"/>
      <c r="BY98" s="44">
        <f>IF($AW98=0,IF($BG98&gt;1,500,5000),IF($AW98&lt;0.1,5000,IF($AW98&lt;100,3000,1000)))</f>
        <v>5000</v>
      </c>
      <c r="BZ98" s="44" t="str">
        <f t="shared" si="29"/>
        <v>Ceiling (High)</v>
      </c>
      <c r="CA98" s="44">
        <v>50000</v>
      </c>
      <c r="CB98" s="45" t="s">
        <v>0</v>
      </c>
      <c r="CC98" s="325"/>
    </row>
    <row r="99" spans="1:81" s="26" customFormat="1" x14ac:dyDescent="0.2">
      <c r="A99" s="371" t="s">
        <v>693</v>
      </c>
      <c r="B99" s="52" t="s">
        <v>56</v>
      </c>
      <c r="C99" s="52"/>
      <c r="D99" s="48">
        <v>2</v>
      </c>
      <c r="E99" s="20" t="s">
        <v>446</v>
      </c>
      <c r="F99" s="48">
        <v>6</v>
      </c>
      <c r="G99" s="20" t="s">
        <v>446</v>
      </c>
      <c r="H99" s="49"/>
      <c r="I99" s="20"/>
      <c r="J99" s="49"/>
      <c r="K99" s="20"/>
      <c r="L99" s="49"/>
      <c r="M99" s="21"/>
      <c r="N99" s="21"/>
      <c r="O99" s="49"/>
      <c r="P99" s="20"/>
      <c r="Q99" s="40">
        <v>1</v>
      </c>
      <c r="R99" s="40" t="s">
        <v>504</v>
      </c>
      <c r="S99" s="40">
        <v>0.2</v>
      </c>
      <c r="T99" s="40" t="s">
        <v>504</v>
      </c>
      <c r="U99" s="40">
        <v>1</v>
      </c>
      <c r="V99" s="40" t="s">
        <v>504</v>
      </c>
      <c r="W99" s="40">
        <v>0.2</v>
      </c>
      <c r="X99" s="40" t="s">
        <v>504</v>
      </c>
      <c r="Y99" s="40" t="s">
        <v>1</v>
      </c>
      <c r="Z99" s="40"/>
      <c r="AA99" s="40" t="s">
        <v>1</v>
      </c>
      <c r="AB99" s="40"/>
      <c r="AC99" s="42">
        <v>1</v>
      </c>
      <c r="AD99" s="42">
        <v>9</v>
      </c>
      <c r="AE99" s="42">
        <v>1</v>
      </c>
      <c r="AF99" s="42">
        <v>9</v>
      </c>
      <c r="AG99" s="42"/>
      <c r="AH99" s="42"/>
      <c r="AI99" s="62"/>
      <c r="AJ99" s="20"/>
      <c r="AK99" s="66">
        <v>1</v>
      </c>
      <c r="AL99" s="66" t="s">
        <v>1</v>
      </c>
      <c r="AM99" s="62"/>
      <c r="AN99" s="62"/>
      <c r="AO99" s="43">
        <f>VLOOKUP(A99,[1]!IABKGRD,7,FALSE)</f>
        <v>0</v>
      </c>
      <c r="AS99" s="20"/>
      <c r="AU99" s="47"/>
      <c r="AV99" s="20"/>
      <c r="AW99" s="49">
        <f t="shared" si="32"/>
        <v>0</v>
      </c>
      <c r="AX99" s="26">
        <f t="shared" si="25"/>
        <v>0</v>
      </c>
      <c r="AY99" s="26">
        <f t="shared" si="26"/>
        <v>0</v>
      </c>
      <c r="AZ99" s="35">
        <f>AX99*1000</f>
        <v>0</v>
      </c>
      <c r="BA99" s="20"/>
      <c r="BB99" s="25"/>
      <c r="BC99" s="20"/>
      <c r="BD99" s="36">
        <v>0</v>
      </c>
      <c r="BE99" s="20"/>
      <c r="BF99" s="20"/>
      <c r="BH99" s="20"/>
      <c r="BI99" s="34"/>
      <c r="BJ99" s="26">
        <v>0</v>
      </c>
      <c r="BK99" s="20"/>
      <c r="BL99" s="20"/>
      <c r="BM99" s="20"/>
      <c r="BN99" s="22"/>
      <c r="BO99" s="49">
        <f>IF(BE99=0,0,IF(BH99=0,0,10^(-2.8+0.66*BH99-0.0056*BE99)))</f>
        <v>0</v>
      </c>
      <c r="BP99" s="24"/>
      <c r="BQ99" s="24"/>
      <c r="BR99" s="44"/>
      <c r="BS99" s="44">
        <v>3000</v>
      </c>
      <c r="BT99" s="44" t="str">
        <f t="shared" si="27"/>
        <v>Ceiling (High)</v>
      </c>
      <c r="BU99" s="44"/>
      <c r="BV99" s="44">
        <v>5000</v>
      </c>
      <c r="BW99" s="44" t="str">
        <f t="shared" si="28"/>
        <v>Ceiling (High)</v>
      </c>
      <c r="BX99" s="44"/>
      <c r="BY99" s="44">
        <f>IF($AW99=0,IF($BG99&gt;1,500,5000),IF($AW99&lt;0.1,5000,IF($AW99&lt;100,3000,1000)))</f>
        <v>5000</v>
      </c>
      <c r="BZ99" s="44" t="str">
        <f t="shared" si="29"/>
        <v>Ceiling (High)</v>
      </c>
      <c r="CA99" s="44">
        <v>50000</v>
      </c>
      <c r="CB99" s="45" t="s">
        <v>0</v>
      </c>
      <c r="CC99" s="325"/>
    </row>
    <row r="100" spans="1:81" s="26" customFormat="1" x14ac:dyDescent="0.2">
      <c r="A100" s="371" t="s">
        <v>694</v>
      </c>
      <c r="B100" s="52" t="s">
        <v>56</v>
      </c>
      <c r="C100" s="52"/>
      <c r="D100" s="48">
        <v>0.03</v>
      </c>
      <c r="E100" s="20" t="s">
        <v>446</v>
      </c>
      <c r="F100" s="48">
        <v>0.3</v>
      </c>
      <c r="G100" s="20" t="s">
        <v>446</v>
      </c>
      <c r="H100" s="48">
        <v>0.05</v>
      </c>
      <c r="I100" s="20" t="s">
        <v>446</v>
      </c>
      <c r="J100" s="48">
        <v>0.5</v>
      </c>
      <c r="K100" s="20" t="s">
        <v>446</v>
      </c>
      <c r="L100" s="49"/>
      <c r="M100" s="21"/>
      <c r="N100" s="21"/>
      <c r="O100" s="49"/>
      <c r="P100" s="20"/>
      <c r="Q100" s="40">
        <v>1</v>
      </c>
      <c r="R100" s="40" t="s">
        <v>504</v>
      </c>
      <c r="S100" s="40">
        <v>0.2</v>
      </c>
      <c r="T100" s="40" t="s">
        <v>504</v>
      </c>
      <c r="U100" s="40">
        <v>1</v>
      </c>
      <c r="V100" s="40" t="s">
        <v>504</v>
      </c>
      <c r="W100" s="40">
        <v>0.2</v>
      </c>
      <c r="X100" s="40" t="s">
        <v>504</v>
      </c>
      <c r="Y100" s="40" t="s">
        <v>1</v>
      </c>
      <c r="Z100" s="40"/>
      <c r="AA100" s="40" t="s">
        <v>1</v>
      </c>
      <c r="AB100" s="40"/>
      <c r="AC100" s="42">
        <v>1</v>
      </c>
      <c r="AD100" s="42">
        <v>9</v>
      </c>
      <c r="AE100" s="42">
        <v>1</v>
      </c>
      <c r="AF100" s="42">
        <v>9</v>
      </c>
      <c r="AG100" s="42"/>
      <c r="AH100" s="42"/>
      <c r="AI100" s="62"/>
      <c r="AJ100" s="20"/>
      <c r="AK100" s="66">
        <v>1</v>
      </c>
      <c r="AL100" s="66" t="s">
        <v>1</v>
      </c>
      <c r="AM100" s="62"/>
      <c r="AN100" s="62"/>
      <c r="AO100" s="43">
        <f>VLOOKUP(A100,[1]!IABKGRD,7,FALSE)</f>
        <v>44</v>
      </c>
      <c r="AS100" s="20"/>
      <c r="AU100" s="47">
        <f t="shared" ref="AU100:AU105" si="33">AT100*22.4*(298/273)*(760/760)/(BE100*1000)</f>
        <v>0</v>
      </c>
      <c r="AV100" s="20"/>
      <c r="AW100" s="49">
        <f t="shared" si="32"/>
        <v>0</v>
      </c>
      <c r="AX100" s="26">
        <f t="shared" si="25"/>
        <v>0</v>
      </c>
      <c r="AY100" s="26">
        <f t="shared" si="26"/>
        <v>0</v>
      </c>
      <c r="AZ100" s="35">
        <v>51000</v>
      </c>
      <c r="BA100" s="20" t="s">
        <v>483</v>
      </c>
      <c r="BB100" s="35">
        <v>7.92E-3</v>
      </c>
      <c r="BC100" s="20" t="s">
        <v>483</v>
      </c>
      <c r="BD100" s="35">
        <v>0.33</v>
      </c>
      <c r="BE100" s="20">
        <v>120</v>
      </c>
      <c r="BF100" s="20"/>
      <c r="BG100" s="26">
        <v>2.2040000000000002</v>
      </c>
      <c r="BH100" s="20">
        <v>3.93</v>
      </c>
      <c r="BI100" s="34" t="s">
        <v>482</v>
      </c>
      <c r="BJ100" s="26">
        <v>1778</v>
      </c>
      <c r="BK100" s="20"/>
      <c r="BL100" s="20"/>
      <c r="BM100" s="20"/>
      <c r="BN100" s="22"/>
      <c r="BO100" s="49">
        <f t="shared" ref="BO100:BO106" si="34">IF(BE100=0,0,IF(BH100=0,0,10^(-2.8+0.66*BH100-0.0056*BE100)))</f>
        <v>0.13237317937881946</v>
      </c>
      <c r="BP100" s="24"/>
      <c r="BQ100" s="24"/>
      <c r="BR100" s="44"/>
      <c r="BS100" s="44">
        <f t="shared" ref="BS100:BS125" si="35">IF($AW100=0,IF($BG100&gt;1,100,1000),IF($AW100&lt;0.1,1000,IF($AW100&lt;100,500,100)))</f>
        <v>100</v>
      </c>
      <c r="BT100" s="44" t="str">
        <f t="shared" si="27"/>
        <v>Ceiling (Low)</v>
      </c>
      <c r="BU100" s="44"/>
      <c r="BV100" s="44">
        <f t="shared" ref="BV100:BV125" si="36">IF($AW100=0,IF($BG100&gt;1,500,3000),IF($AW100&lt;0.1,3000,IF($AW100&lt;100,1000,500)))</f>
        <v>500</v>
      </c>
      <c r="BW100" s="44" t="str">
        <f t="shared" si="28"/>
        <v>Ceiling (Low)</v>
      </c>
      <c r="BX100" s="44"/>
      <c r="BY100" s="44">
        <f t="shared" ref="BY100:BY125" si="37">IF($AW100=0,IF($BG100&gt;1,500,5000),IF($AW100&lt;0.1,5000,IF($AW100&lt;100,3000,1000)))</f>
        <v>500</v>
      </c>
      <c r="BZ100" s="44" t="str">
        <f t="shared" si="29"/>
        <v>High Volatility</v>
      </c>
      <c r="CA100" s="44">
        <v>50000</v>
      </c>
      <c r="CB100" s="45" t="s">
        <v>0</v>
      </c>
      <c r="CC100" s="325"/>
    </row>
    <row r="101" spans="1:81" s="26" customFormat="1" x14ac:dyDescent="0.2">
      <c r="A101" s="371" t="s">
        <v>695</v>
      </c>
      <c r="B101" s="52" t="s">
        <v>56</v>
      </c>
      <c r="C101" s="52"/>
      <c r="D101" s="48">
        <v>0.03</v>
      </c>
      <c r="E101" s="20" t="s">
        <v>446</v>
      </c>
      <c r="F101" s="48">
        <v>0.3</v>
      </c>
      <c r="G101" s="20" t="s">
        <v>446</v>
      </c>
      <c r="H101" s="48">
        <v>0.05</v>
      </c>
      <c r="I101" s="20" t="s">
        <v>446</v>
      </c>
      <c r="J101" s="48">
        <v>0.5</v>
      </c>
      <c r="K101" s="20" t="s">
        <v>446</v>
      </c>
      <c r="L101" s="49"/>
      <c r="M101" s="21"/>
      <c r="N101" s="21"/>
      <c r="O101" s="49"/>
      <c r="P101" s="20"/>
      <c r="Q101" s="40">
        <v>0.3</v>
      </c>
      <c r="R101" s="40" t="s">
        <v>503</v>
      </c>
      <c r="S101" s="40">
        <v>0.1</v>
      </c>
      <c r="T101" s="40" t="s">
        <v>503</v>
      </c>
      <c r="U101" s="40">
        <v>0.3</v>
      </c>
      <c r="V101" s="40" t="s">
        <v>503</v>
      </c>
      <c r="W101" s="40">
        <v>0.1</v>
      </c>
      <c r="X101" s="40" t="s">
        <v>503</v>
      </c>
      <c r="Y101" s="40" t="s">
        <v>1</v>
      </c>
      <c r="Z101" s="40"/>
      <c r="AA101" s="40" t="s">
        <v>1</v>
      </c>
      <c r="AB101" s="40"/>
      <c r="AC101" s="42">
        <v>1</v>
      </c>
      <c r="AD101" s="42">
        <v>9</v>
      </c>
      <c r="AE101" s="42">
        <v>1</v>
      </c>
      <c r="AF101" s="42">
        <v>9</v>
      </c>
      <c r="AG101" s="42"/>
      <c r="AH101" s="42"/>
      <c r="AI101" s="62"/>
      <c r="AJ101" s="20"/>
      <c r="AK101" s="66">
        <v>0.92</v>
      </c>
      <c r="AL101" s="66" t="s">
        <v>1</v>
      </c>
      <c r="AM101" s="62"/>
      <c r="AN101" s="62"/>
      <c r="AO101" s="43">
        <f>VLOOKUP(A101,[1]!IABKGRD,7,FALSE)</f>
        <v>50</v>
      </c>
      <c r="AS101" s="20"/>
      <c r="AU101" s="47">
        <f t="shared" si="33"/>
        <v>0</v>
      </c>
      <c r="AV101" s="20"/>
      <c r="AW101" s="49">
        <f t="shared" si="32"/>
        <v>0</v>
      </c>
      <c r="AX101" s="26">
        <f t="shared" si="25"/>
        <v>0</v>
      </c>
      <c r="AY101" s="26">
        <f t="shared" si="26"/>
        <v>0</v>
      </c>
      <c r="AZ101" s="35">
        <v>5800</v>
      </c>
      <c r="BA101" s="20" t="s">
        <v>483</v>
      </c>
      <c r="BB101" s="35">
        <v>7.1999999999999994E-4</v>
      </c>
      <c r="BC101" s="20" t="s">
        <v>483</v>
      </c>
      <c r="BD101" s="35">
        <v>0.03</v>
      </c>
      <c r="BE101" s="20">
        <v>150</v>
      </c>
      <c r="BF101" s="20"/>
      <c r="BG101" s="26">
        <v>2.4E-2</v>
      </c>
      <c r="BH101" s="20">
        <v>5.09</v>
      </c>
      <c r="BI101" s="34" t="s">
        <v>482</v>
      </c>
      <c r="BJ101" s="26">
        <v>5012</v>
      </c>
      <c r="BK101" s="20"/>
      <c r="BL101" s="20"/>
      <c r="BM101" s="20"/>
      <c r="BN101" s="22"/>
      <c r="BO101" s="49">
        <f t="shared" si="34"/>
        <v>0.52408291256402928</v>
      </c>
      <c r="BP101" s="24"/>
      <c r="BQ101" s="24"/>
      <c r="BR101" s="44"/>
      <c r="BS101" s="44">
        <f t="shared" si="35"/>
        <v>1000</v>
      </c>
      <c r="BT101" s="44" t="str">
        <f t="shared" si="27"/>
        <v>Ceiling (High)</v>
      </c>
      <c r="BU101" s="44"/>
      <c r="BV101" s="44">
        <f t="shared" si="36"/>
        <v>3000</v>
      </c>
      <c r="BW101" s="44" t="str">
        <f t="shared" si="28"/>
        <v>Ceiling (High)</v>
      </c>
      <c r="BX101" s="44"/>
      <c r="BY101" s="44">
        <f t="shared" si="37"/>
        <v>5000</v>
      </c>
      <c r="BZ101" s="44" t="str">
        <f t="shared" si="29"/>
        <v>Ceiling (High)</v>
      </c>
      <c r="CA101" s="44">
        <v>50000</v>
      </c>
      <c r="CB101" s="45" t="s">
        <v>0</v>
      </c>
      <c r="CC101" s="325"/>
    </row>
    <row r="102" spans="1:81" s="26" customFormat="1" x14ac:dyDescent="0.2">
      <c r="A102" s="371" t="s">
        <v>55</v>
      </c>
      <c r="B102" s="52" t="s">
        <v>54</v>
      </c>
      <c r="C102" s="72">
        <v>42922</v>
      </c>
      <c r="D102" s="48">
        <v>0.03</v>
      </c>
      <c r="E102" s="20" t="s">
        <v>478</v>
      </c>
      <c r="F102" s="48">
        <v>0.3</v>
      </c>
      <c r="G102" s="20" t="s">
        <v>478</v>
      </c>
      <c r="H102" s="49">
        <v>0.05</v>
      </c>
      <c r="I102" s="20" t="s">
        <v>478</v>
      </c>
      <c r="J102" s="49">
        <v>0.5</v>
      </c>
      <c r="K102" s="20" t="s">
        <v>478</v>
      </c>
      <c r="L102" s="49"/>
      <c r="M102" s="20" t="s">
        <v>2</v>
      </c>
      <c r="N102" s="20">
        <v>1</v>
      </c>
      <c r="O102" s="49"/>
      <c r="P102" s="20"/>
      <c r="Q102" s="40">
        <v>0.3</v>
      </c>
      <c r="R102" s="40" t="s">
        <v>503</v>
      </c>
      <c r="S102" s="40">
        <v>0.1</v>
      </c>
      <c r="T102" s="40" t="s">
        <v>503</v>
      </c>
      <c r="U102" s="40">
        <v>0.3</v>
      </c>
      <c r="V102" s="40" t="s">
        <v>504</v>
      </c>
      <c r="W102" s="40">
        <v>0.1</v>
      </c>
      <c r="X102" s="40" t="s">
        <v>503</v>
      </c>
      <c r="Y102" s="40" t="s">
        <v>1</v>
      </c>
      <c r="Z102" s="40"/>
      <c r="AA102" s="40" t="s">
        <v>1</v>
      </c>
      <c r="AB102" s="40"/>
      <c r="AC102" s="42">
        <v>1</v>
      </c>
      <c r="AD102" s="42">
        <v>9</v>
      </c>
      <c r="AE102" s="42">
        <v>1</v>
      </c>
      <c r="AF102" s="42">
        <v>9</v>
      </c>
      <c r="AG102" s="42"/>
      <c r="AH102" s="42"/>
      <c r="AI102" s="62">
        <v>20</v>
      </c>
      <c r="AJ102" s="20"/>
      <c r="AK102" s="66">
        <v>0.92</v>
      </c>
      <c r="AL102" s="66" t="s">
        <v>1</v>
      </c>
      <c r="AM102" s="62">
        <v>3</v>
      </c>
      <c r="AN102" s="62"/>
      <c r="AO102" s="43">
        <f>VLOOKUP(A102,[1]!IABKGRD,7,FALSE)</f>
        <v>0</v>
      </c>
      <c r="AR102" s="26">
        <v>1000</v>
      </c>
      <c r="AS102" s="20">
        <v>24</v>
      </c>
      <c r="AT102" s="26">
        <v>55</v>
      </c>
      <c r="AU102" s="47">
        <f t="shared" si="33"/>
        <v>7.5551714203399593E-3</v>
      </c>
      <c r="AV102" s="20">
        <v>24</v>
      </c>
      <c r="AW102" s="49">
        <f t="shared" si="32"/>
        <v>0.12706528370957901</v>
      </c>
      <c r="AX102" s="26">
        <f t="shared" si="25"/>
        <v>0.66</v>
      </c>
      <c r="AY102" s="26">
        <f t="shared" si="26"/>
        <v>1</v>
      </c>
      <c r="AZ102" s="23">
        <v>1150</v>
      </c>
      <c r="BA102" s="20">
        <v>22</v>
      </c>
      <c r="BB102" s="23">
        <v>4.2299999999999998E-5</v>
      </c>
      <c r="BC102" s="20">
        <v>22</v>
      </c>
      <c r="BD102" s="27">
        <v>1.7310525454247831E-3</v>
      </c>
      <c r="BE102" s="20">
        <v>178</v>
      </c>
      <c r="BF102" s="20">
        <v>13</v>
      </c>
      <c r="BG102" s="23">
        <v>9.6000000000000002E-4</v>
      </c>
      <c r="BH102" s="26">
        <v>4.46</v>
      </c>
      <c r="BI102" s="34">
        <v>16</v>
      </c>
      <c r="BJ102" s="19">
        <v>14000</v>
      </c>
      <c r="BK102" s="20">
        <v>13</v>
      </c>
      <c r="BL102" s="20"/>
      <c r="BM102" s="20"/>
      <c r="BN102" s="22"/>
      <c r="BO102" s="49">
        <f t="shared" si="34"/>
        <v>0.14021678337057589</v>
      </c>
      <c r="BP102" s="24"/>
      <c r="BQ102" s="24"/>
      <c r="BR102" s="44"/>
      <c r="BS102" s="44">
        <f t="shared" si="35"/>
        <v>500</v>
      </c>
      <c r="BT102" s="44" t="str">
        <f t="shared" si="27"/>
        <v>Ceiling (Medium)</v>
      </c>
      <c r="BU102" s="44"/>
      <c r="BV102" s="44">
        <f t="shared" si="36"/>
        <v>1000</v>
      </c>
      <c r="BW102" s="44" t="str">
        <f t="shared" si="28"/>
        <v>Ceiling (Medium)</v>
      </c>
      <c r="BX102" s="44"/>
      <c r="BY102" s="44">
        <f t="shared" si="37"/>
        <v>3000</v>
      </c>
      <c r="BZ102" s="44" t="str">
        <f t="shared" si="29"/>
        <v>Ceiling (Medium)</v>
      </c>
      <c r="CA102" s="44">
        <v>50000</v>
      </c>
      <c r="CB102" s="45" t="s">
        <v>0</v>
      </c>
      <c r="CC102" s="325"/>
    </row>
    <row r="103" spans="1:81" s="26" customFormat="1" x14ac:dyDescent="0.2">
      <c r="A103" s="371" t="s">
        <v>53</v>
      </c>
      <c r="B103" s="52" t="s">
        <v>52</v>
      </c>
      <c r="C103" s="72">
        <v>42922</v>
      </c>
      <c r="D103" s="48">
        <v>0.3</v>
      </c>
      <c r="E103" s="20">
        <v>1</v>
      </c>
      <c r="F103" s="48">
        <v>0.3</v>
      </c>
      <c r="G103" s="20" t="s">
        <v>188</v>
      </c>
      <c r="H103" s="49">
        <v>0.26</v>
      </c>
      <c r="I103" s="20">
        <v>3</v>
      </c>
      <c r="J103" s="49">
        <v>0.26</v>
      </c>
      <c r="K103" s="20" t="s">
        <v>488</v>
      </c>
      <c r="L103" s="49"/>
      <c r="M103" s="20" t="s">
        <v>2</v>
      </c>
      <c r="N103" s="20">
        <v>1</v>
      </c>
      <c r="O103" s="49"/>
      <c r="P103" s="20"/>
      <c r="Q103" s="40">
        <v>1</v>
      </c>
      <c r="R103" s="40" t="s">
        <v>504</v>
      </c>
      <c r="S103" s="40">
        <v>0.3</v>
      </c>
      <c r="T103" s="40" t="s">
        <v>501</v>
      </c>
      <c r="U103" s="40">
        <v>1</v>
      </c>
      <c r="V103" s="40" t="s">
        <v>504</v>
      </c>
      <c r="W103" s="40">
        <v>0.3</v>
      </c>
      <c r="X103" s="40" t="s">
        <v>501</v>
      </c>
      <c r="Y103" s="40" t="s">
        <v>1</v>
      </c>
      <c r="Z103" s="40"/>
      <c r="AA103" s="40" t="s">
        <v>1</v>
      </c>
      <c r="AB103" s="40"/>
      <c r="AC103" s="42">
        <v>1</v>
      </c>
      <c r="AD103" s="42">
        <v>9</v>
      </c>
      <c r="AE103" s="42">
        <v>1</v>
      </c>
      <c r="AF103" s="42">
        <v>9</v>
      </c>
      <c r="AG103" s="42"/>
      <c r="AH103" s="42"/>
      <c r="AI103" s="62"/>
      <c r="AJ103" s="20"/>
      <c r="AK103" s="66">
        <v>1</v>
      </c>
      <c r="AL103" s="66" t="s">
        <v>1</v>
      </c>
      <c r="AM103" s="62"/>
      <c r="AN103" s="62"/>
      <c r="AO103" s="43">
        <f>VLOOKUP(A103,[1]!IABKGRD,7,FALSE)</f>
        <v>0</v>
      </c>
      <c r="AR103" s="26">
        <v>7900</v>
      </c>
      <c r="AS103" s="20">
        <v>13</v>
      </c>
      <c r="AT103" s="26">
        <v>156.80000000000001</v>
      </c>
      <c r="AU103" s="47">
        <f t="shared" si="33"/>
        <v>4.0786819421713041E-2</v>
      </c>
      <c r="AV103" s="20">
        <v>13</v>
      </c>
      <c r="AW103" s="49">
        <f t="shared" si="32"/>
        <v>8.5812035594439102</v>
      </c>
      <c r="AX103" s="26">
        <f t="shared" si="25"/>
        <v>0.66</v>
      </c>
      <c r="AY103" s="26">
        <f t="shared" si="26"/>
        <v>10</v>
      </c>
      <c r="AZ103" s="23">
        <v>82800000</v>
      </c>
      <c r="BA103" s="20">
        <v>22</v>
      </c>
      <c r="BB103" s="23">
        <v>3.3299999999999998E-7</v>
      </c>
      <c r="BC103" s="20">
        <v>22</v>
      </c>
      <c r="BD103" s="27">
        <v>1.3627434932067441E-5</v>
      </c>
      <c r="BE103" s="20">
        <v>94</v>
      </c>
      <c r="BF103" s="20">
        <v>13</v>
      </c>
      <c r="BG103" s="23">
        <v>0.35</v>
      </c>
      <c r="BH103" s="26">
        <v>1.46</v>
      </c>
      <c r="BI103" s="34">
        <v>16</v>
      </c>
      <c r="BJ103" s="19">
        <v>28.8</v>
      </c>
      <c r="BK103" s="20" t="s">
        <v>467</v>
      </c>
      <c r="BL103" s="20">
        <v>40.9</v>
      </c>
      <c r="BM103" s="20">
        <v>17</v>
      </c>
      <c r="BN103" s="22"/>
      <c r="BO103" s="49">
        <f t="shared" si="34"/>
        <v>4.3371056350044119E-3</v>
      </c>
      <c r="BP103" s="24"/>
      <c r="BQ103" s="24"/>
      <c r="BR103" s="44"/>
      <c r="BS103" s="44">
        <f t="shared" si="35"/>
        <v>500</v>
      </c>
      <c r="BT103" s="44" t="str">
        <f t="shared" si="27"/>
        <v>Ceiling (Medium)</v>
      </c>
      <c r="BU103" s="44"/>
      <c r="BV103" s="44">
        <f t="shared" si="36"/>
        <v>1000</v>
      </c>
      <c r="BW103" s="44" t="str">
        <f t="shared" si="28"/>
        <v>Ceiling (Medium)</v>
      </c>
      <c r="BX103" s="44"/>
      <c r="BY103" s="44">
        <f t="shared" si="37"/>
        <v>3000</v>
      </c>
      <c r="BZ103" s="44" t="str">
        <f t="shared" si="29"/>
        <v>Ceiling (Medium)</v>
      </c>
      <c r="CA103" s="44">
        <v>50000</v>
      </c>
      <c r="CB103" s="45" t="s">
        <v>0</v>
      </c>
      <c r="CC103" s="325"/>
    </row>
    <row r="104" spans="1:81" s="26" customFormat="1" x14ac:dyDescent="0.2">
      <c r="A104" s="371" t="s">
        <v>51</v>
      </c>
      <c r="B104" s="52" t="s">
        <v>50</v>
      </c>
      <c r="C104" s="72">
        <v>42923</v>
      </c>
      <c r="D104" s="48">
        <v>2.0000000000000002E-5</v>
      </c>
      <c r="E104" s="20">
        <v>1</v>
      </c>
      <c r="F104" s="48">
        <v>5.0000000000000002E-5</v>
      </c>
      <c r="G104" s="20">
        <v>2</v>
      </c>
      <c r="H104" s="49">
        <v>2.0000000000000002E-5</v>
      </c>
      <c r="I104" s="20">
        <v>3</v>
      </c>
      <c r="J104" s="49">
        <v>2.0000000000000002E-5</v>
      </c>
      <c r="K104" s="20" t="s">
        <v>488</v>
      </c>
      <c r="L104" s="49">
        <v>2</v>
      </c>
      <c r="M104" s="20" t="s">
        <v>15</v>
      </c>
      <c r="N104" s="20">
        <v>1</v>
      </c>
      <c r="O104" s="49">
        <v>1E-4</v>
      </c>
      <c r="P104" s="20">
        <v>1</v>
      </c>
      <c r="Q104" s="40">
        <v>1</v>
      </c>
      <c r="R104" s="40" t="s">
        <v>504</v>
      </c>
      <c r="S104" s="40">
        <v>0.1</v>
      </c>
      <c r="T104" s="40" t="s">
        <v>500</v>
      </c>
      <c r="U104" s="40">
        <v>1</v>
      </c>
      <c r="V104" s="40" t="s">
        <v>504</v>
      </c>
      <c r="W104" s="40">
        <v>0.1</v>
      </c>
      <c r="X104" s="40" t="s">
        <v>500</v>
      </c>
      <c r="Y104" s="40">
        <v>1</v>
      </c>
      <c r="Z104" s="40" t="s">
        <v>504</v>
      </c>
      <c r="AA104" s="40">
        <v>0.1</v>
      </c>
      <c r="AB104" s="40" t="s">
        <v>500</v>
      </c>
      <c r="AC104" s="42">
        <v>1</v>
      </c>
      <c r="AD104" s="42">
        <v>9</v>
      </c>
      <c r="AE104" s="42">
        <v>1</v>
      </c>
      <c r="AF104" s="42">
        <v>9</v>
      </c>
      <c r="AG104" s="42">
        <v>1</v>
      </c>
      <c r="AH104" s="42">
        <v>9</v>
      </c>
      <c r="AI104" s="62"/>
      <c r="AJ104" s="20"/>
      <c r="AK104" s="66">
        <v>0.89</v>
      </c>
      <c r="AL104" s="66">
        <v>0.89</v>
      </c>
      <c r="AM104" s="62"/>
      <c r="AN104" s="62"/>
      <c r="AO104" s="43">
        <f>VLOOKUP(A104,[1]!IABKGRD,7,FALSE)</f>
        <v>0</v>
      </c>
      <c r="AS104" s="20"/>
      <c r="AU104" s="47">
        <f t="shared" si="33"/>
        <v>0</v>
      </c>
      <c r="AV104" s="20"/>
      <c r="AW104" s="49">
        <f t="shared" si="32"/>
        <v>0</v>
      </c>
      <c r="AX104" s="26">
        <f t="shared" si="25"/>
        <v>4.3549999999999998E-2</v>
      </c>
      <c r="AY104" s="26">
        <f t="shared" si="26"/>
        <v>0.32500000000000001</v>
      </c>
      <c r="AZ104" s="23">
        <v>700</v>
      </c>
      <c r="BA104" s="20">
        <v>22</v>
      </c>
      <c r="BB104" s="23">
        <v>4.15E-4</v>
      </c>
      <c r="BC104" s="20">
        <v>22</v>
      </c>
      <c r="BD104" s="27">
        <v>1.6983139630054021E-2</v>
      </c>
      <c r="BE104" s="20">
        <v>328</v>
      </c>
      <c r="BF104" s="20">
        <v>13</v>
      </c>
      <c r="BG104" s="28">
        <v>7.7100000000000004E-5</v>
      </c>
      <c r="BH104" s="26">
        <v>7.1</v>
      </c>
      <c r="BI104" s="34">
        <v>19</v>
      </c>
      <c r="BJ104" s="19">
        <v>309000</v>
      </c>
      <c r="BK104" s="20" t="s">
        <v>467</v>
      </c>
      <c r="BL104" s="20"/>
      <c r="BM104" s="20"/>
      <c r="BN104" s="22"/>
      <c r="BO104" s="49">
        <f t="shared" si="34"/>
        <v>1.1199535223848884</v>
      </c>
      <c r="BP104" s="24">
        <v>0.83937499999999998</v>
      </c>
      <c r="BQ104" s="32"/>
      <c r="BR104" s="44"/>
      <c r="BS104" s="44">
        <f t="shared" si="35"/>
        <v>1000</v>
      </c>
      <c r="BT104" s="44" t="str">
        <f t="shared" si="27"/>
        <v>Ceiling (High)</v>
      </c>
      <c r="BU104" s="44"/>
      <c r="BV104" s="44">
        <f t="shared" si="36"/>
        <v>3000</v>
      </c>
      <c r="BW104" s="44" t="str">
        <f t="shared" si="28"/>
        <v>Ceiling (High)</v>
      </c>
      <c r="BX104" s="44"/>
      <c r="BY104" s="44">
        <f t="shared" si="37"/>
        <v>5000</v>
      </c>
      <c r="BZ104" s="44" t="str">
        <f t="shared" si="29"/>
        <v>Ceiling (High)</v>
      </c>
      <c r="CA104" s="44">
        <v>50000</v>
      </c>
      <c r="CB104" s="45" t="s">
        <v>0</v>
      </c>
      <c r="CC104" s="325"/>
    </row>
    <row r="105" spans="1:81" s="26" customFormat="1" x14ac:dyDescent="0.2">
      <c r="A105" s="371" t="s">
        <v>49</v>
      </c>
      <c r="B105" s="52" t="s">
        <v>48</v>
      </c>
      <c r="C105" s="72">
        <v>42922</v>
      </c>
      <c r="D105" s="48">
        <v>0.03</v>
      </c>
      <c r="E105" s="20">
        <v>1</v>
      </c>
      <c r="F105" s="48">
        <v>0.3</v>
      </c>
      <c r="G105" s="20">
        <v>6</v>
      </c>
      <c r="H105" s="49">
        <v>0.05</v>
      </c>
      <c r="I105" s="20" t="s">
        <v>478</v>
      </c>
      <c r="J105" s="49">
        <v>0.5</v>
      </c>
      <c r="K105" s="20" t="s">
        <v>478</v>
      </c>
      <c r="L105" s="49"/>
      <c r="M105" s="20" t="s">
        <v>2</v>
      </c>
      <c r="N105" s="20">
        <v>1</v>
      </c>
      <c r="O105" s="49"/>
      <c r="P105" s="20"/>
      <c r="Q105" s="40">
        <v>0.3</v>
      </c>
      <c r="R105" s="40" t="s">
        <v>503</v>
      </c>
      <c r="S105" s="40">
        <v>0.1</v>
      </c>
      <c r="T105" s="40" t="s">
        <v>503</v>
      </c>
      <c r="U105" s="40">
        <v>0.3</v>
      </c>
      <c r="V105" s="40" t="s">
        <v>503</v>
      </c>
      <c r="W105" s="40">
        <v>0.1</v>
      </c>
      <c r="X105" s="40" t="s">
        <v>503</v>
      </c>
      <c r="Y105" s="40" t="s">
        <v>1</v>
      </c>
      <c r="Z105" s="40"/>
      <c r="AA105" s="40" t="s">
        <v>1</v>
      </c>
      <c r="AB105" s="40"/>
      <c r="AC105" s="42">
        <v>1</v>
      </c>
      <c r="AD105" s="42">
        <v>9</v>
      </c>
      <c r="AE105" s="42">
        <v>1</v>
      </c>
      <c r="AF105" s="42">
        <v>9</v>
      </c>
      <c r="AG105" s="42"/>
      <c r="AH105" s="42"/>
      <c r="AI105" s="62">
        <v>20</v>
      </c>
      <c r="AJ105" s="20"/>
      <c r="AK105" s="66">
        <v>0.92</v>
      </c>
      <c r="AL105" s="66" t="s">
        <v>1</v>
      </c>
      <c r="AM105" s="62">
        <v>4</v>
      </c>
      <c r="AN105" s="62"/>
      <c r="AO105" s="43">
        <f>VLOOKUP(A105,[1]!IABKGRD,7,FALSE)</f>
        <v>0</v>
      </c>
      <c r="AS105" s="20"/>
      <c r="AU105" s="47">
        <f t="shared" si="33"/>
        <v>0</v>
      </c>
      <c r="AV105" s="20"/>
      <c r="AW105" s="49">
        <f t="shared" si="32"/>
        <v>0</v>
      </c>
      <c r="AX105" s="26">
        <f t="shared" si="25"/>
        <v>0.66</v>
      </c>
      <c r="AY105" s="26">
        <f t="shared" si="26"/>
        <v>0.5</v>
      </c>
      <c r="AZ105" s="23">
        <v>135</v>
      </c>
      <c r="BA105" s="20">
        <v>22</v>
      </c>
      <c r="BB105" s="23">
        <v>1.19E-5</v>
      </c>
      <c r="BC105" s="20">
        <v>22</v>
      </c>
      <c r="BD105" s="27">
        <v>4.8698641348829597E-4</v>
      </c>
      <c r="BE105" s="20">
        <v>202</v>
      </c>
      <c r="BF105" s="20">
        <v>13</v>
      </c>
      <c r="BG105" s="23">
        <v>2.5000000000000002E-6</v>
      </c>
      <c r="BH105" s="26">
        <v>4.88</v>
      </c>
      <c r="BI105" s="34">
        <v>17</v>
      </c>
      <c r="BJ105" s="19">
        <v>68000</v>
      </c>
      <c r="BK105" s="20" t="s">
        <v>466</v>
      </c>
      <c r="BL105" s="20">
        <v>151.19999999999999</v>
      </c>
      <c r="BM105" s="20">
        <v>17</v>
      </c>
      <c r="BN105" s="22"/>
      <c r="BO105" s="49">
        <f t="shared" si="34"/>
        <v>0.1948049553290766</v>
      </c>
      <c r="BP105" s="24"/>
      <c r="BQ105" s="24"/>
      <c r="BR105" s="44"/>
      <c r="BS105" s="44">
        <f t="shared" si="35"/>
        <v>1000</v>
      </c>
      <c r="BT105" s="44" t="str">
        <f t="shared" si="27"/>
        <v>Ceiling (High)</v>
      </c>
      <c r="BU105" s="44"/>
      <c r="BV105" s="44">
        <f t="shared" si="36"/>
        <v>3000</v>
      </c>
      <c r="BW105" s="44" t="str">
        <f t="shared" si="28"/>
        <v>Ceiling (High)</v>
      </c>
      <c r="BX105" s="44"/>
      <c r="BY105" s="44">
        <f t="shared" si="37"/>
        <v>5000</v>
      </c>
      <c r="BZ105" s="44" t="str">
        <f t="shared" si="29"/>
        <v>Ceiling (High)</v>
      </c>
      <c r="CA105" s="44">
        <v>50000</v>
      </c>
      <c r="CB105" s="45" t="s">
        <v>0</v>
      </c>
      <c r="CC105" s="325"/>
    </row>
    <row r="106" spans="1:81" s="26" customFormat="1" x14ac:dyDescent="0.2">
      <c r="A106" s="371" t="s">
        <v>47</v>
      </c>
      <c r="B106" s="52" t="s">
        <v>46</v>
      </c>
      <c r="C106" s="72">
        <v>42922</v>
      </c>
      <c r="D106" s="48">
        <v>3.0000000000000001E-3</v>
      </c>
      <c r="E106" s="20">
        <v>1</v>
      </c>
      <c r="F106" s="48">
        <v>3.0000000000000001E-3</v>
      </c>
      <c r="G106" s="20" t="s">
        <v>188</v>
      </c>
      <c r="H106" s="49">
        <v>1.0999999999999999E-2</v>
      </c>
      <c r="I106" s="20" t="s">
        <v>475</v>
      </c>
      <c r="J106" s="49">
        <v>1.0999999999999999E-2</v>
      </c>
      <c r="K106" s="20" t="s">
        <v>488</v>
      </c>
      <c r="L106" s="49">
        <v>0.11</v>
      </c>
      <c r="M106" s="20" t="s">
        <v>23</v>
      </c>
      <c r="N106" s="20">
        <v>1</v>
      </c>
      <c r="O106" s="49">
        <v>3.1428571428571431E-5</v>
      </c>
      <c r="P106" s="20" t="s">
        <v>474</v>
      </c>
      <c r="Q106" s="40">
        <v>1</v>
      </c>
      <c r="R106" s="40">
        <v>9</v>
      </c>
      <c r="S106" s="40">
        <v>0.02</v>
      </c>
      <c r="T106" s="40">
        <v>9</v>
      </c>
      <c r="U106" s="40">
        <v>1</v>
      </c>
      <c r="V106" s="40">
        <v>9</v>
      </c>
      <c r="W106" s="40">
        <v>0.02</v>
      </c>
      <c r="X106" s="40">
        <v>9</v>
      </c>
      <c r="Y106" s="40">
        <v>1</v>
      </c>
      <c r="Z106" s="40">
        <v>9</v>
      </c>
      <c r="AA106" s="40">
        <v>0.02</v>
      </c>
      <c r="AB106" s="40">
        <v>9</v>
      </c>
      <c r="AC106" s="42">
        <v>1</v>
      </c>
      <c r="AD106" s="42">
        <v>9</v>
      </c>
      <c r="AE106" s="42">
        <v>1</v>
      </c>
      <c r="AF106" s="42">
        <v>9</v>
      </c>
      <c r="AG106" s="42">
        <v>1</v>
      </c>
      <c r="AH106" s="42">
        <v>9</v>
      </c>
      <c r="AI106" s="62"/>
      <c r="AJ106" s="20"/>
      <c r="AK106" s="66">
        <v>1</v>
      </c>
      <c r="AL106" s="66">
        <v>1</v>
      </c>
      <c r="AM106" s="62"/>
      <c r="AN106" s="62"/>
      <c r="AO106" s="43">
        <f>VLOOKUP(A106,[1]!IABKGRD,7,FALSE)</f>
        <v>0</v>
      </c>
      <c r="AS106" s="20"/>
      <c r="AU106" s="47"/>
      <c r="AV106" s="20"/>
      <c r="AW106" s="49"/>
      <c r="AX106" s="26">
        <f t="shared" ref="AX106:AX125" si="38">VLOOKUP(A106,PQL,4,FALSE)</f>
        <v>1</v>
      </c>
      <c r="AY106" s="26">
        <f t="shared" ref="AY106:AY125" si="39">VLOOKUP(A106,PQL,3,FALSE)</f>
        <v>0.84</v>
      </c>
      <c r="AZ106" s="23">
        <v>59700</v>
      </c>
      <c r="BA106" s="20">
        <v>22</v>
      </c>
      <c r="BB106" s="23">
        <v>6.3199999999999997E-8</v>
      </c>
      <c r="BC106" s="20">
        <v>22</v>
      </c>
      <c r="BD106" s="27">
        <v>2.5863480111311181E-6</v>
      </c>
      <c r="BE106" s="20">
        <v>222.26</v>
      </c>
      <c r="BF106" s="20">
        <v>13</v>
      </c>
      <c r="BG106" s="23">
        <v>1.0000000000000001E-9</v>
      </c>
      <c r="BH106" s="26">
        <v>0.87</v>
      </c>
      <c r="BI106" s="34">
        <v>13</v>
      </c>
      <c r="BJ106" s="19">
        <f>10^1.8</f>
        <v>63.095734448019364</v>
      </c>
      <c r="BK106" s="20">
        <v>13</v>
      </c>
      <c r="BL106" s="20">
        <v>205</v>
      </c>
      <c r="BM106" s="20">
        <v>13</v>
      </c>
      <c r="BN106" s="22"/>
      <c r="BO106" s="49">
        <f t="shared" si="34"/>
        <v>3.384885636728822E-4</v>
      </c>
      <c r="BP106" s="24"/>
      <c r="BQ106" s="24"/>
      <c r="BR106" s="44"/>
      <c r="BS106" s="44">
        <f t="shared" si="35"/>
        <v>1000</v>
      </c>
      <c r="BT106" s="44" t="str">
        <f t="shared" si="27"/>
        <v>Ceiling (High)</v>
      </c>
      <c r="BU106" s="44"/>
      <c r="BV106" s="44">
        <f t="shared" si="36"/>
        <v>3000</v>
      </c>
      <c r="BW106" s="44" t="str">
        <f t="shared" si="28"/>
        <v>Ceiling (High)</v>
      </c>
      <c r="BX106" s="44"/>
      <c r="BY106" s="44">
        <f t="shared" si="37"/>
        <v>5000</v>
      </c>
      <c r="BZ106" s="44" t="str">
        <f t="shared" si="29"/>
        <v>Ceiling (High)</v>
      </c>
      <c r="CA106" s="44">
        <v>50000</v>
      </c>
      <c r="CB106" s="45" t="s">
        <v>0</v>
      </c>
      <c r="CC106" s="325"/>
    </row>
    <row r="107" spans="1:81" s="26" customFormat="1" x14ac:dyDescent="0.2">
      <c r="A107" s="371" t="s">
        <v>45</v>
      </c>
      <c r="B107" s="52" t="s">
        <v>44</v>
      </c>
      <c r="C107" s="72">
        <v>42923</v>
      </c>
      <c r="D107" s="48">
        <v>5.0000000000000001E-3</v>
      </c>
      <c r="E107" s="20">
        <v>1</v>
      </c>
      <c r="F107" s="48">
        <v>5.0000000000000001E-3</v>
      </c>
      <c r="G107" s="20">
        <v>2</v>
      </c>
      <c r="H107" s="49">
        <v>3.0000000000000001E-3</v>
      </c>
      <c r="I107" s="20">
        <v>3</v>
      </c>
      <c r="J107" s="49">
        <v>3.0000000000000001E-3</v>
      </c>
      <c r="K107" s="20" t="s">
        <v>488</v>
      </c>
      <c r="L107" s="49"/>
      <c r="M107" s="21" t="s">
        <v>2</v>
      </c>
      <c r="N107" s="21">
        <v>1</v>
      </c>
      <c r="O107" s="49"/>
      <c r="P107" s="20"/>
      <c r="Q107" s="40">
        <v>1</v>
      </c>
      <c r="R107" s="40" t="s">
        <v>504</v>
      </c>
      <c r="S107" s="40">
        <v>0.01</v>
      </c>
      <c r="T107" s="40" t="s">
        <v>504</v>
      </c>
      <c r="U107" s="40">
        <v>1</v>
      </c>
      <c r="V107" s="40" t="s">
        <v>504</v>
      </c>
      <c r="W107" s="40">
        <v>0.01</v>
      </c>
      <c r="X107" s="40" t="s">
        <v>504</v>
      </c>
      <c r="Y107" s="40" t="s">
        <v>1</v>
      </c>
      <c r="Z107" s="40"/>
      <c r="AA107" s="40" t="s">
        <v>1</v>
      </c>
      <c r="AB107" s="40"/>
      <c r="AC107" s="42">
        <v>1</v>
      </c>
      <c r="AD107" s="42">
        <v>9</v>
      </c>
      <c r="AE107" s="42">
        <v>1</v>
      </c>
      <c r="AF107" s="42">
        <v>9</v>
      </c>
      <c r="AG107" s="42"/>
      <c r="AH107" s="42"/>
      <c r="AI107" s="62">
        <v>1</v>
      </c>
      <c r="AJ107" s="20"/>
      <c r="AK107" s="66">
        <v>0.6</v>
      </c>
      <c r="AL107" s="66" t="s">
        <v>1</v>
      </c>
      <c r="AM107" s="62">
        <v>0.5</v>
      </c>
      <c r="AN107" s="62"/>
      <c r="AO107" s="43">
        <f>VLOOKUP(A107,[1]!IABKGRD,7,FALSE)</f>
        <v>0</v>
      </c>
      <c r="AS107" s="20"/>
      <c r="AU107" s="47">
        <f t="shared" ref="AU107:AU125" si="40">AT107*22.4*(298/273)*(760/760)/(BE107*1000)</f>
        <v>0</v>
      </c>
      <c r="AV107" s="20"/>
      <c r="AW107" s="49">
        <f t="shared" ref="AW107:AW125" si="41">IF(AT107=0,0,BG107/AU107)</f>
        <v>0</v>
      </c>
      <c r="AX107" s="26">
        <f t="shared" si="38"/>
        <v>15</v>
      </c>
      <c r="AY107" s="26">
        <f t="shared" si="39"/>
        <v>50</v>
      </c>
      <c r="AZ107" s="29">
        <v>0</v>
      </c>
      <c r="BA107" s="20"/>
      <c r="BB107" s="29"/>
      <c r="BC107" s="29"/>
      <c r="BD107" s="27">
        <v>0</v>
      </c>
      <c r="BE107" s="20">
        <v>79</v>
      </c>
      <c r="BF107" s="20">
        <v>13</v>
      </c>
      <c r="BG107" s="20"/>
      <c r="BH107" s="26">
        <v>0.24</v>
      </c>
      <c r="BI107" s="34"/>
      <c r="BJ107" s="29">
        <v>0</v>
      </c>
      <c r="BK107" s="29"/>
      <c r="BL107" s="29"/>
      <c r="BM107" s="29"/>
      <c r="BN107" s="22"/>
      <c r="BO107" s="49">
        <v>1E-3</v>
      </c>
      <c r="BR107" s="44"/>
      <c r="BS107" s="44">
        <f t="shared" si="35"/>
        <v>1000</v>
      </c>
      <c r="BT107" s="44" t="str">
        <f t="shared" si="27"/>
        <v>Ceiling (High)</v>
      </c>
      <c r="BU107" s="44"/>
      <c r="BV107" s="44">
        <f t="shared" si="36"/>
        <v>3000</v>
      </c>
      <c r="BW107" s="44" t="str">
        <f t="shared" si="28"/>
        <v>Ceiling (High)</v>
      </c>
      <c r="BX107" s="44"/>
      <c r="BY107" s="44">
        <f t="shared" si="37"/>
        <v>5000</v>
      </c>
      <c r="BZ107" s="44" t="str">
        <f t="shared" si="29"/>
        <v>Ceiling (High)</v>
      </c>
      <c r="CA107" s="44">
        <v>50000</v>
      </c>
      <c r="CB107" s="45" t="s">
        <v>0</v>
      </c>
      <c r="CC107" s="325" t="s">
        <v>680</v>
      </c>
    </row>
    <row r="108" spans="1:81" s="26" customFormat="1" x14ac:dyDescent="0.2">
      <c r="A108" s="371" t="s">
        <v>43</v>
      </c>
      <c r="B108" s="52" t="s">
        <v>42</v>
      </c>
      <c r="C108" s="72">
        <v>42923</v>
      </c>
      <c r="D108" s="48">
        <v>5.0000000000000001E-3</v>
      </c>
      <c r="E108" s="20">
        <v>1</v>
      </c>
      <c r="F108" s="48">
        <v>5.0000000000000001E-3</v>
      </c>
      <c r="G108" s="20">
        <v>2</v>
      </c>
      <c r="H108" s="49">
        <v>1.3999999999999999E-4</v>
      </c>
      <c r="I108" s="20" t="s">
        <v>443</v>
      </c>
      <c r="J108" s="49">
        <v>1.3999999999999999E-4</v>
      </c>
      <c r="K108" s="20" t="s">
        <v>488</v>
      </c>
      <c r="L108" s="49"/>
      <c r="M108" s="20" t="s">
        <v>2</v>
      </c>
      <c r="N108" s="20">
        <v>1</v>
      </c>
      <c r="O108" s="49"/>
      <c r="P108" s="20"/>
      <c r="Q108" s="40">
        <v>1</v>
      </c>
      <c r="R108" s="40" t="s">
        <v>504</v>
      </c>
      <c r="S108" s="40">
        <v>0.3</v>
      </c>
      <c r="T108" s="40" t="s">
        <v>504</v>
      </c>
      <c r="U108" s="40">
        <v>1</v>
      </c>
      <c r="V108" s="40" t="s">
        <v>504</v>
      </c>
      <c r="W108" s="40">
        <v>0.3</v>
      </c>
      <c r="X108" s="40" t="s">
        <v>504</v>
      </c>
      <c r="Y108" s="40" t="s">
        <v>1</v>
      </c>
      <c r="Z108" s="40"/>
      <c r="AA108" s="40" t="s">
        <v>1</v>
      </c>
      <c r="AB108" s="40"/>
      <c r="AC108" s="42">
        <v>1</v>
      </c>
      <c r="AD108" s="42">
        <v>9</v>
      </c>
      <c r="AE108" s="42">
        <v>1</v>
      </c>
      <c r="AF108" s="42">
        <v>9</v>
      </c>
      <c r="AG108" s="42"/>
      <c r="AH108" s="42"/>
      <c r="AI108" s="62">
        <v>5</v>
      </c>
      <c r="AJ108" s="20"/>
      <c r="AK108" s="66">
        <v>0.04</v>
      </c>
      <c r="AL108" s="66" t="s">
        <v>1</v>
      </c>
      <c r="AM108" s="62">
        <v>0.6</v>
      </c>
      <c r="AN108" s="62">
        <v>4.7</v>
      </c>
      <c r="AO108" s="43">
        <f>VLOOKUP(A108,[1]!IABKGRD,7,FALSE)</f>
        <v>0</v>
      </c>
      <c r="AS108" s="20"/>
      <c r="AU108" s="47">
        <f t="shared" si="40"/>
        <v>0</v>
      </c>
      <c r="AV108" s="20"/>
      <c r="AW108" s="49">
        <f t="shared" si="41"/>
        <v>0</v>
      </c>
      <c r="AX108" s="26">
        <f t="shared" si="38"/>
        <v>1.4</v>
      </c>
      <c r="AY108" s="26">
        <f t="shared" si="39"/>
        <v>7</v>
      </c>
      <c r="AZ108" s="29">
        <v>0</v>
      </c>
      <c r="BA108" s="20"/>
      <c r="BB108" s="29"/>
      <c r="BC108" s="29"/>
      <c r="BD108" s="27">
        <v>0</v>
      </c>
      <c r="BE108" s="20">
        <v>108</v>
      </c>
      <c r="BF108" s="20">
        <v>13</v>
      </c>
      <c r="BG108" s="25"/>
      <c r="BH108" s="26">
        <v>0.23</v>
      </c>
      <c r="BI108" s="34"/>
      <c r="BJ108" s="29">
        <v>0</v>
      </c>
      <c r="BK108" s="29"/>
      <c r="BL108" s="29"/>
      <c r="BM108" s="29"/>
      <c r="BN108" s="22"/>
      <c r="BO108" s="49">
        <v>5.9999999999999995E-4</v>
      </c>
      <c r="BP108" s="24"/>
      <c r="BQ108" s="24"/>
      <c r="BR108" s="44"/>
      <c r="BS108" s="44">
        <f t="shared" si="35"/>
        <v>1000</v>
      </c>
      <c r="BT108" s="44" t="str">
        <f t="shared" si="27"/>
        <v>Ceiling (High)</v>
      </c>
      <c r="BU108" s="44"/>
      <c r="BV108" s="44">
        <f t="shared" si="36"/>
        <v>3000</v>
      </c>
      <c r="BW108" s="44" t="str">
        <f t="shared" si="28"/>
        <v>Ceiling (High)</v>
      </c>
      <c r="BX108" s="44"/>
      <c r="BY108" s="44">
        <f t="shared" si="37"/>
        <v>5000</v>
      </c>
      <c r="BZ108" s="44" t="str">
        <f t="shared" si="29"/>
        <v>Ceiling (High)</v>
      </c>
      <c r="CA108" s="44">
        <v>50000</v>
      </c>
      <c r="CB108" s="45" t="s">
        <v>0</v>
      </c>
      <c r="CC108" s="325" t="s">
        <v>680</v>
      </c>
    </row>
    <row r="109" spans="1:81" s="26" customFormat="1" x14ac:dyDescent="0.2">
      <c r="A109" s="371" t="s">
        <v>41</v>
      </c>
      <c r="B109" s="52" t="s">
        <v>40</v>
      </c>
      <c r="C109" s="72">
        <v>42923</v>
      </c>
      <c r="D109" s="48">
        <v>0.2</v>
      </c>
      <c r="E109" s="20">
        <v>1</v>
      </c>
      <c r="F109" s="48">
        <v>2</v>
      </c>
      <c r="G109" s="20" t="s">
        <v>337</v>
      </c>
      <c r="H109" s="49">
        <v>1</v>
      </c>
      <c r="I109" s="20">
        <v>1</v>
      </c>
      <c r="J109" s="49">
        <v>3</v>
      </c>
      <c r="K109" s="20" t="s">
        <v>64</v>
      </c>
      <c r="L109" s="49">
        <v>0.03</v>
      </c>
      <c r="M109" s="21" t="s">
        <v>15</v>
      </c>
      <c r="N109" s="21" t="s">
        <v>337</v>
      </c>
      <c r="O109" s="49">
        <v>5.7000000000000005E-7</v>
      </c>
      <c r="P109" s="20" t="s">
        <v>337</v>
      </c>
      <c r="Q109" s="40">
        <v>1</v>
      </c>
      <c r="R109" s="40" t="s">
        <v>504</v>
      </c>
      <c r="S109" s="40">
        <v>0.03</v>
      </c>
      <c r="T109" s="40" t="s">
        <v>504</v>
      </c>
      <c r="U109" s="40">
        <v>1</v>
      </c>
      <c r="V109" s="40" t="s">
        <v>504</v>
      </c>
      <c r="W109" s="40">
        <v>0.03</v>
      </c>
      <c r="X109" s="40" t="s">
        <v>504</v>
      </c>
      <c r="Y109" s="40">
        <v>1</v>
      </c>
      <c r="Z109" s="40" t="s">
        <v>504</v>
      </c>
      <c r="AA109" s="40">
        <v>0.03</v>
      </c>
      <c r="AB109" s="40" t="s">
        <v>504</v>
      </c>
      <c r="AC109" s="42">
        <v>1</v>
      </c>
      <c r="AD109" s="42">
        <v>9</v>
      </c>
      <c r="AE109" s="42">
        <v>1</v>
      </c>
      <c r="AF109" s="42">
        <v>9</v>
      </c>
      <c r="AG109" s="42">
        <v>1</v>
      </c>
      <c r="AH109" s="42">
        <v>9</v>
      </c>
      <c r="AI109" s="62"/>
      <c r="AJ109" s="20"/>
      <c r="AK109" s="66">
        <v>1</v>
      </c>
      <c r="AL109" s="66">
        <v>1</v>
      </c>
      <c r="AM109" s="62"/>
      <c r="AN109" s="62"/>
      <c r="AO109" s="43">
        <f>VLOOKUP(A109,[1]!IABKGRD,7,FALSE)</f>
        <v>1.4</v>
      </c>
      <c r="AP109" s="26">
        <v>5</v>
      </c>
      <c r="AQ109" s="26">
        <v>0.65700000000000003</v>
      </c>
      <c r="AR109" s="26">
        <v>11</v>
      </c>
      <c r="AS109" s="20">
        <v>13</v>
      </c>
      <c r="AT109" s="26">
        <v>1360</v>
      </c>
      <c r="AU109" s="47">
        <f t="shared" si="40"/>
        <v>0.31974753451676524</v>
      </c>
      <c r="AV109" s="20">
        <v>13</v>
      </c>
      <c r="AW109" s="49">
        <f t="shared" si="41"/>
        <v>15.637337149624953</v>
      </c>
      <c r="AX109" s="26">
        <f t="shared" si="38"/>
        <v>0.1</v>
      </c>
      <c r="AY109" s="26">
        <f t="shared" si="39"/>
        <v>0.3</v>
      </c>
      <c r="AZ109" s="23">
        <v>310000</v>
      </c>
      <c r="BA109" s="20">
        <v>22</v>
      </c>
      <c r="BB109" s="23">
        <v>2.7499999999999998E-3</v>
      </c>
      <c r="BC109" s="20">
        <v>22</v>
      </c>
      <c r="BD109" s="27">
        <v>0.11253887706662301</v>
      </c>
      <c r="BE109" s="20">
        <v>104</v>
      </c>
      <c r="BF109" s="20">
        <v>13</v>
      </c>
      <c r="BG109" s="26">
        <v>5</v>
      </c>
      <c r="BH109" s="26">
        <v>2.95</v>
      </c>
      <c r="BI109" s="34">
        <v>16</v>
      </c>
      <c r="BJ109" s="19">
        <v>912</v>
      </c>
      <c r="BK109" s="20" t="s">
        <v>466</v>
      </c>
      <c r="BL109" s="20">
        <v>-31</v>
      </c>
      <c r="BM109" s="20">
        <v>17</v>
      </c>
      <c r="BN109" s="22"/>
      <c r="BO109" s="49">
        <f t="shared" ref="BO109:BO124" si="42">IF(BE109=0,0,IF(BH109=0,0,10^(-2.8+0.66*BH109-0.0056*BE109)))</f>
        <v>3.6694417673371636E-2</v>
      </c>
      <c r="BP109" s="24"/>
      <c r="BQ109" s="24"/>
      <c r="BR109" s="44"/>
      <c r="BS109" s="44">
        <f t="shared" si="35"/>
        <v>500</v>
      </c>
      <c r="BT109" s="44" t="str">
        <f t="shared" si="27"/>
        <v>Ceiling (Medium)</v>
      </c>
      <c r="BU109" s="44"/>
      <c r="BV109" s="44">
        <f t="shared" si="36"/>
        <v>1000</v>
      </c>
      <c r="BW109" s="44" t="str">
        <f t="shared" si="28"/>
        <v>Ceiling (Medium)</v>
      </c>
      <c r="BX109" s="44"/>
      <c r="BY109" s="44">
        <f t="shared" si="37"/>
        <v>3000</v>
      </c>
      <c r="BZ109" s="44" t="str">
        <f t="shared" si="29"/>
        <v>Ceiling (Medium)</v>
      </c>
      <c r="CA109" s="44">
        <v>50000</v>
      </c>
      <c r="CB109" s="45" t="s">
        <v>0</v>
      </c>
      <c r="CC109" s="325"/>
    </row>
    <row r="110" spans="1:81" s="26" customFormat="1" ht="10.5" x14ac:dyDescent="0.25">
      <c r="A110" s="372" t="s">
        <v>39</v>
      </c>
      <c r="B110" s="52" t="s">
        <v>38</v>
      </c>
      <c r="C110" s="72">
        <v>42923</v>
      </c>
      <c r="D110" s="48">
        <v>6.9999999999999996E-10</v>
      </c>
      <c r="E110" s="20">
        <v>1</v>
      </c>
      <c r="F110" s="48">
        <v>6.9999999999999996E-10</v>
      </c>
      <c r="G110" s="20" t="s">
        <v>188</v>
      </c>
      <c r="H110" s="77">
        <f>(D110*20)/70</f>
        <v>2.0000000000000001E-10</v>
      </c>
      <c r="I110" s="79" t="s">
        <v>475</v>
      </c>
      <c r="J110" s="77">
        <f>(F110*20)/70</f>
        <v>2.0000000000000001E-10</v>
      </c>
      <c r="K110" s="79" t="s">
        <v>488</v>
      </c>
      <c r="L110" s="49">
        <v>150000</v>
      </c>
      <c r="M110" s="21" t="s">
        <v>15</v>
      </c>
      <c r="N110" s="21">
        <v>2</v>
      </c>
      <c r="O110" s="49">
        <v>33</v>
      </c>
      <c r="P110" s="20">
        <v>2</v>
      </c>
      <c r="Q110" s="40">
        <v>1</v>
      </c>
      <c r="R110" s="40" t="s">
        <v>504</v>
      </c>
      <c r="S110" s="40">
        <v>0.1</v>
      </c>
      <c r="T110" s="40" t="s">
        <v>500</v>
      </c>
      <c r="U110" s="40">
        <v>1</v>
      </c>
      <c r="V110" s="40" t="s">
        <v>504</v>
      </c>
      <c r="W110" s="40">
        <v>0.1</v>
      </c>
      <c r="X110" s="40" t="s">
        <v>500</v>
      </c>
      <c r="Y110" s="40">
        <v>1</v>
      </c>
      <c r="Z110" s="40" t="s">
        <v>504</v>
      </c>
      <c r="AA110" s="40">
        <v>0.1</v>
      </c>
      <c r="AB110" s="40" t="s">
        <v>500</v>
      </c>
      <c r="AC110" s="42">
        <v>1</v>
      </c>
      <c r="AD110" s="42">
        <v>9</v>
      </c>
      <c r="AE110" s="42">
        <v>1</v>
      </c>
      <c r="AF110" s="42">
        <v>9</v>
      </c>
      <c r="AG110" s="42">
        <v>1</v>
      </c>
      <c r="AH110" s="42">
        <v>9</v>
      </c>
      <c r="AI110" s="63">
        <v>2.1999999999999999E-5</v>
      </c>
      <c r="AJ110" s="20"/>
      <c r="AK110" s="66">
        <v>1</v>
      </c>
      <c r="AL110" s="67">
        <v>1</v>
      </c>
      <c r="AM110" s="63">
        <v>2.1999999999999999E-5</v>
      </c>
      <c r="AN110" s="62"/>
      <c r="AO110" s="43">
        <f>VLOOKUP(A110,[1]!IABKGRD,7,FALSE)</f>
        <v>0</v>
      </c>
      <c r="AS110" s="20"/>
      <c r="AU110" s="47">
        <f t="shared" si="40"/>
        <v>0</v>
      </c>
      <c r="AV110" s="20"/>
      <c r="AW110" s="49">
        <f t="shared" si="41"/>
        <v>0</v>
      </c>
      <c r="AX110" s="26">
        <f t="shared" si="38"/>
        <v>9.9999999999999995E-7</v>
      </c>
      <c r="AY110" s="26">
        <f t="shared" si="39"/>
        <v>1.0000000000000001E-5</v>
      </c>
      <c r="AZ110" s="23">
        <v>0.2</v>
      </c>
      <c r="BA110" s="20">
        <v>22</v>
      </c>
      <c r="BB110" s="23">
        <v>5.0000000000000002E-5</v>
      </c>
      <c r="BC110" s="20">
        <v>22</v>
      </c>
      <c r="BD110" s="27">
        <v>2.0461614012113275E-3</v>
      </c>
      <c r="BE110" s="20">
        <v>322</v>
      </c>
      <c r="BF110" s="20">
        <v>11</v>
      </c>
      <c r="BG110" s="23">
        <v>7.4000000000000003E-10</v>
      </c>
      <c r="BH110" s="26">
        <v>6.8</v>
      </c>
      <c r="BI110" s="34">
        <v>16</v>
      </c>
      <c r="BJ110" s="19">
        <v>3300000</v>
      </c>
      <c r="BK110" s="20">
        <v>11</v>
      </c>
      <c r="BL110" s="20"/>
      <c r="BM110" s="20"/>
      <c r="BN110" s="22"/>
      <c r="BO110" s="49">
        <f t="shared" si="42"/>
        <v>0.76700818769351109</v>
      </c>
      <c r="BP110" s="24"/>
      <c r="BQ110" s="24"/>
      <c r="BR110" s="44"/>
      <c r="BS110" s="44">
        <f t="shared" si="35"/>
        <v>1000</v>
      </c>
      <c r="BT110" s="44" t="str">
        <f t="shared" si="27"/>
        <v>Ceiling (High)</v>
      </c>
      <c r="BU110" s="44"/>
      <c r="BV110" s="44">
        <f t="shared" si="36"/>
        <v>3000</v>
      </c>
      <c r="BW110" s="44" t="str">
        <f t="shared" si="28"/>
        <v>Ceiling (High)</v>
      </c>
      <c r="BX110" s="44"/>
      <c r="BY110" s="44">
        <f t="shared" si="37"/>
        <v>5000</v>
      </c>
      <c r="BZ110" s="44" t="str">
        <f t="shared" si="29"/>
        <v>Ceiling (High)</v>
      </c>
      <c r="CA110" s="44">
        <v>50000</v>
      </c>
      <c r="CB110" s="45" t="s">
        <v>0</v>
      </c>
      <c r="CC110" s="325"/>
    </row>
    <row r="111" spans="1:81" s="26" customFormat="1" x14ac:dyDescent="0.2">
      <c r="A111" s="371" t="s">
        <v>37</v>
      </c>
      <c r="B111" s="52" t="s">
        <v>36</v>
      </c>
      <c r="C111" s="72">
        <v>42922</v>
      </c>
      <c r="D111" s="48">
        <v>0.03</v>
      </c>
      <c r="E111" s="20">
        <v>1</v>
      </c>
      <c r="F111" s="48">
        <v>0.09</v>
      </c>
      <c r="G111" s="20">
        <v>6</v>
      </c>
      <c r="H111" s="49">
        <v>0.11</v>
      </c>
      <c r="I111" s="20" t="s">
        <v>475</v>
      </c>
      <c r="J111" s="49">
        <v>0.3</v>
      </c>
      <c r="K111" s="20" t="s">
        <v>475</v>
      </c>
      <c r="L111" s="49">
        <v>2.5999999999999999E-2</v>
      </c>
      <c r="M111" s="21" t="s">
        <v>23</v>
      </c>
      <c r="N111" s="21">
        <v>1</v>
      </c>
      <c r="O111" s="49">
        <v>7.4000000000000003E-6</v>
      </c>
      <c r="P111" s="20">
        <v>1</v>
      </c>
      <c r="Q111" s="40">
        <v>1</v>
      </c>
      <c r="R111" s="40" t="s">
        <v>504</v>
      </c>
      <c r="S111" s="40">
        <v>0.03</v>
      </c>
      <c r="T111" s="40" t="s">
        <v>504</v>
      </c>
      <c r="U111" s="40">
        <v>1</v>
      </c>
      <c r="V111" s="40" t="s">
        <v>504</v>
      </c>
      <c r="W111" s="40">
        <v>0.03</v>
      </c>
      <c r="X111" s="40" t="s">
        <v>504</v>
      </c>
      <c r="Y111" s="40">
        <v>1</v>
      </c>
      <c r="Z111" s="40" t="s">
        <v>504</v>
      </c>
      <c r="AA111" s="40">
        <v>0.03</v>
      </c>
      <c r="AB111" s="40" t="s">
        <v>504</v>
      </c>
      <c r="AC111" s="42">
        <v>1</v>
      </c>
      <c r="AD111" s="42">
        <v>9</v>
      </c>
      <c r="AE111" s="42">
        <v>1</v>
      </c>
      <c r="AF111" s="42">
        <v>9</v>
      </c>
      <c r="AG111" s="42">
        <v>1</v>
      </c>
      <c r="AH111" s="42">
        <v>9</v>
      </c>
      <c r="AI111" s="62"/>
      <c r="AJ111" s="20"/>
      <c r="AK111" s="66">
        <v>0.7</v>
      </c>
      <c r="AL111" s="66">
        <v>0.7</v>
      </c>
      <c r="AM111" s="62"/>
      <c r="AN111" s="62"/>
      <c r="AO111" s="43">
        <f>VLOOKUP(A111,[1]!IABKGRD,7,FALSE)</f>
        <v>0</v>
      </c>
      <c r="AS111" s="20"/>
      <c r="AU111" s="47">
        <f t="shared" si="40"/>
        <v>0</v>
      </c>
      <c r="AV111" s="20"/>
      <c r="AW111" s="49">
        <f t="shared" si="41"/>
        <v>0</v>
      </c>
      <c r="AX111" s="26">
        <f t="shared" si="38"/>
        <v>0.1</v>
      </c>
      <c r="AY111" s="26">
        <f t="shared" si="39"/>
        <v>5</v>
      </c>
      <c r="AZ111" s="23">
        <v>1070000</v>
      </c>
      <c r="BA111" s="20">
        <v>22</v>
      </c>
      <c r="BB111" s="23">
        <v>2.4499999999999999E-3</v>
      </c>
      <c r="BC111" s="20">
        <v>22</v>
      </c>
      <c r="BD111" s="27">
        <v>0.10026190865935505</v>
      </c>
      <c r="BE111" s="20">
        <v>168</v>
      </c>
      <c r="BF111" s="20">
        <v>11</v>
      </c>
      <c r="BG111" s="26">
        <v>10</v>
      </c>
      <c r="BH111" s="26">
        <v>2.93</v>
      </c>
      <c r="BI111" s="34">
        <v>20</v>
      </c>
      <c r="BJ111" s="19">
        <v>54</v>
      </c>
      <c r="BK111" s="20">
        <v>11</v>
      </c>
      <c r="BL111" s="20"/>
      <c r="BM111" s="20"/>
      <c r="BN111" s="22"/>
      <c r="BO111" s="49">
        <f t="shared" si="42"/>
        <v>1.5595525028269547E-2</v>
      </c>
      <c r="BP111" s="24"/>
      <c r="BQ111" s="24"/>
      <c r="BR111" s="44"/>
      <c r="BS111" s="44">
        <f t="shared" si="35"/>
        <v>100</v>
      </c>
      <c r="BT111" s="44" t="str">
        <f t="shared" si="27"/>
        <v>Ceiling (Low)</v>
      </c>
      <c r="BU111" s="44"/>
      <c r="BV111" s="44">
        <f t="shared" si="36"/>
        <v>500</v>
      </c>
      <c r="BW111" s="44" t="str">
        <f t="shared" si="28"/>
        <v>Ceiling (Low)</v>
      </c>
      <c r="BX111" s="44"/>
      <c r="BY111" s="44">
        <f t="shared" si="37"/>
        <v>500</v>
      </c>
      <c r="BZ111" s="44" t="str">
        <f t="shared" si="29"/>
        <v>High Volatility</v>
      </c>
      <c r="CA111" s="44">
        <v>50000</v>
      </c>
      <c r="CB111" s="45" t="s">
        <v>0</v>
      </c>
      <c r="CC111" s="325"/>
    </row>
    <row r="112" spans="1:81" s="26" customFormat="1" x14ac:dyDescent="0.2">
      <c r="A112" s="371" t="s">
        <v>35</v>
      </c>
      <c r="B112" s="52" t="s">
        <v>34</v>
      </c>
      <c r="C112" s="72">
        <v>42922</v>
      </c>
      <c r="D112" s="48">
        <v>0.02</v>
      </c>
      <c r="E112" s="20">
        <v>1</v>
      </c>
      <c r="F112" s="48">
        <v>0.05</v>
      </c>
      <c r="G112" s="20">
        <v>1</v>
      </c>
      <c r="H112" s="49">
        <v>9.2999999999999999E-2</v>
      </c>
      <c r="I112" s="20">
        <v>3</v>
      </c>
      <c r="J112" s="49">
        <v>9.2999999999999999E-2</v>
      </c>
      <c r="K112" s="20" t="s">
        <v>488</v>
      </c>
      <c r="L112" s="49">
        <v>0.2</v>
      </c>
      <c r="M112" s="21" t="s">
        <v>23</v>
      </c>
      <c r="N112" s="21">
        <v>1</v>
      </c>
      <c r="O112" s="49">
        <v>5.8E-5</v>
      </c>
      <c r="P112" s="85" t="s">
        <v>332</v>
      </c>
      <c r="Q112" s="40">
        <v>1</v>
      </c>
      <c r="R112" s="40" t="s">
        <v>504</v>
      </c>
      <c r="S112" s="40">
        <v>0.03</v>
      </c>
      <c r="T112" s="40" t="s">
        <v>504</v>
      </c>
      <c r="U112" s="40">
        <v>1</v>
      </c>
      <c r="V112" s="40" t="s">
        <v>504</v>
      </c>
      <c r="W112" s="40">
        <v>0.03</v>
      </c>
      <c r="X112" s="40" t="s">
        <v>504</v>
      </c>
      <c r="Y112" s="40">
        <v>1</v>
      </c>
      <c r="Z112" s="40" t="s">
        <v>504</v>
      </c>
      <c r="AA112" s="40">
        <v>0.03</v>
      </c>
      <c r="AB112" s="40" t="s">
        <v>504</v>
      </c>
      <c r="AC112" s="42">
        <v>1</v>
      </c>
      <c r="AD112" s="42">
        <v>9</v>
      </c>
      <c r="AE112" s="42">
        <v>1</v>
      </c>
      <c r="AF112" s="42">
        <v>9</v>
      </c>
      <c r="AG112" s="42">
        <v>1</v>
      </c>
      <c r="AH112" s="42">
        <v>9</v>
      </c>
      <c r="AI112" s="62"/>
      <c r="AJ112" s="20"/>
      <c r="AK112" s="66"/>
      <c r="AL112" s="66">
        <v>0.7</v>
      </c>
      <c r="AM112" s="62"/>
      <c r="AN112" s="62"/>
      <c r="AO112" s="43">
        <f>VLOOKUP(A112,[1]!IABKGRD,7,FALSE)</f>
        <v>0</v>
      </c>
      <c r="AR112" s="26">
        <v>500</v>
      </c>
      <c r="AS112" s="20">
        <v>13</v>
      </c>
      <c r="AT112" s="26">
        <v>10470</v>
      </c>
      <c r="AU112" s="47">
        <f t="shared" si="40"/>
        <v>1.5238388278388275</v>
      </c>
      <c r="AV112" s="20">
        <v>13</v>
      </c>
      <c r="AW112" s="49">
        <f t="shared" si="41"/>
        <v>2.6249495202015352</v>
      </c>
      <c r="AX112" s="26">
        <f t="shared" si="38"/>
        <v>5.0000000000000001E-3</v>
      </c>
      <c r="AY112" s="26">
        <f t="shared" si="39"/>
        <v>2</v>
      </c>
      <c r="AZ112" s="23">
        <v>2830000</v>
      </c>
      <c r="BA112" s="20">
        <v>22</v>
      </c>
      <c r="BB112" s="23">
        <v>3.6699999999999998E-4</v>
      </c>
      <c r="BC112" s="20">
        <v>22</v>
      </c>
      <c r="BD112" s="27">
        <v>1.5018824684891144E-2</v>
      </c>
      <c r="BE112" s="20">
        <v>168</v>
      </c>
      <c r="BF112" s="20">
        <v>13</v>
      </c>
      <c r="BG112" s="26">
        <v>4</v>
      </c>
      <c r="BH112" s="26">
        <v>2.39</v>
      </c>
      <c r="BI112" s="34">
        <v>16</v>
      </c>
      <c r="BJ112" s="19">
        <v>79</v>
      </c>
      <c r="BK112" s="20" t="s">
        <v>466</v>
      </c>
      <c r="BL112" s="20">
        <v>-43.8</v>
      </c>
      <c r="BM112" s="20">
        <v>17</v>
      </c>
      <c r="BN112" s="22"/>
      <c r="BO112" s="49">
        <f t="shared" si="42"/>
        <v>6.8643591792699517E-3</v>
      </c>
      <c r="BP112" s="24"/>
      <c r="BQ112" s="24"/>
      <c r="BR112" s="44"/>
      <c r="BS112" s="44">
        <f t="shared" si="35"/>
        <v>500</v>
      </c>
      <c r="BT112" s="44" t="str">
        <f t="shared" si="27"/>
        <v>Ceiling (Medium)</v>
      </c>
      <c r="BU112" s="44"/>
      <c r="BV112" s="44">
        <f t="shared" si="36"/>
        <v>1000</v>
      </c>
      <c r="BW112" s="44" t="str">
        <f t="shared" si="28"/>
        <v>Ceiling (Medium)</v>
      </c>
      <c r="BX112" s="44"/>
      <c r="BY112" s="44">
        <f t="shared" si="37"/>
        <v>3000</v>
      </c>
      <c r="BZ112" s="44" t="str">
        <f t="shared" si="29"/>
        <v>Ceiling (Medium)</v>
      </c>
      <c r="CA112" s="44">
        <v>50000</v>
      </c>
      <c r="CB112" s="45" t="s">
        <v>0</v>
      </c>
      <c r="CC112" s="325"/>
    </row>
    <row r="113" spans="1:81" s="26" customFormat="1" ht="10.5" x14ac:dyDescent="0.25">
      <c r="A113" s="371" t="s">
        <v>33</v>
      </c>
      <c r="B113" s="52" t="s">
        <v>32</v>
      </c>
      <c r="C113" s="72">
        <v>42922</v>
      </c>
      <c r="D113" s="78">
        <v>6.0000000000000001E-3</v>
      </c>
      <c r="E113" s="79">
        <v>1</v>
      </c>
      <c r="F113" s="78">
        <v>6.0000000000000001E-3</v>
      </c>
      <c r="G113" s="79" t="s">
        <v>188</v>
      </c>
      <c r="H113" s="77">
        <v>0.04</v>
      </c>
      <c r="I113" s="79">
        <v>1</v>
      </c>
      <c r="J113" s="77">
        <v>0.04</v>
      </c>
      <c r="K113" s="79" t="s">
        <v>488</v>
      </c>
      <c r="L113" s="77">
        <v>0.02</v>
      </c>
      <c r="M113" s="79"/>
      <c r="N113" s="86" t="s">
        <v>521</v>
      </c>
      <c r="O113" s="87">
        <v>3.0000000000000001E-6</v>
      </c>
      <c r="P113" s="88" t="s">
        <v>521</v>
      </c>
      <c r="Q113" s="84">
        <v>1</v>
      </c>
      <c r="R113" s="40" t="s">
        <v>504</v>
      </c>
      <c r="S113" s="40">
        <v>0.03</v>
      </c>
      <c r="T113" s="40" t="s">
        <v>504</v>
      </c>
      <c r="U113" s="40">
        <v>1</v>
      </c>
      <c r="V113" s="40" t="s">
        <v>504</v>
      </c>
      <c r="W113" s="40">
        <v>0.03</v>
      </c>
      <c r="X113" s="40" t="s">
        <v>504</v>
      </c>
      <c r="Y113" s="40">
        <v>1</v>
      </c>
      <c r="Z113" s="40" t="s">
        <v>504</v>
      </c>
      <c r="AA113" s="40">
        <v>0.03</v>
      </c>
      <c r="AB113" s="40" t="s">
        <v>504</v>
      </c>
      <c r="AC113" s="42">
        <v>1</v>
      </c>
      <c r="AD113" s="42">
        <v>9</v>
      </c>
      <c r="AE113" s="42">
        <v>1</v>
      </c>
      <c r="AF113" s="42">
        <v>9</v>
      </c>
      <c r="AG113" s="42">
        <v>1</v>
      </c>
      <c r="AH113" s="42">
        <v>9</v>
      </c>
      <c r="AI113" s="62"/>
      <c r="AJ113" s="20"/>
      <c r="AK113" s="66">
        <v>1</v>
      </c>
      <c r="AL113" s="66">
        <v>1</v>
      </c>
      <c r="AM113" s="62"/>
      <c r="AN113" s="62"/>
      <c r="AO113" s="43">
        <f>VLOOKUP(A113,[1]!IABKGRD,7,FALSE)</f>
        <v>4.0999999999999996</v>
      </c>
      <c r="AP113" s="26">
        <v>20</v>
      </c>
      <c r="AQ113" s="26">
        <v>1.6220000000000001</v>
      </c>
      <c r="AR113" s="26">
        <v>300</v>
      </c>
      <c r="AS113" s="20">
        <v>13</v>
      </c>
      <c r="AT113" s="26">
        <v>31730</v>
      </c>
      <c r="AU113" s="47">
        <f t="shared" si="40"/>
        <v>4.6737299969107191</v>
      </c>
      <c r="AV113" s="20">
        <v>13</v>
      </c>
      <c r="AW113" s="49">
        <f t="shared" si="41"/>
        <v>4.0652754892898768</v>
      </c>
      <c r="AX113" s="26">
        <f t="shared" si="38"/>
        <v>0.1</v>
      </c>
      <c r="AY113" s="26">
        <f t="shared" si="39"/>
        <v>1.5</v>
      </c>
      <c r="AZ113" s="23">
        <v>206000</v>
      </c>
      <c r="BA113" s="64">
        <v>22</v>
      </c>
      <c r="BB113" s="23">
        <v>1.77E-2</v>
      </c>
      <c r="BC113" s="20">
        <v>22</v>
      </c>
      <c r="BD113" s="27">
        <v>0.72434113602881001</v>
      </c>
      <c r="BE113" s="20">
        <v>166</v>
      </c>
      <c r="BF113" s="20">
        <v>13</v>
      </c>
      <c r="BG113" s="26">
        <v>19</v>
      </c>
      <c r="BH113" s="26">
        <v>3.4</v>
      </c>
      <c r="BI113" s="34">
        <v>16</v>
      </c>
      <c r="BJ113" s="19">
        <v>265</v>
      </c>
      <c r="BK113" s="20" t="s">
        <v>466</v>
      </c>
      <c r="BL113" s="20">
        <v>-22.3</v>
      </c>
      <c r="BM113" s="20">
        <v>17</v>
      </c>
      <c r="BN113" s="22"/>
      <c r="BO113" s="49">
        <f t="shared" si="42"/>
        <v>3.2688876924727196E-2</v>
      </c>
      <c r="BP113" s="24"/>
      <c r="BQ113" s="24"/>
      <c r="BR113" s="44"/>
      <c r="BS113" s="44">
        <f t="shared" si="35"/>
        <v>500</v>
      </c>
      <c r="BT113" s="44" t="str">
        <f t="shared" si="27"/>
        <v>Ceiling (Medium)</v>
      </c>
      <c r="BU113" s="44"/>
      <c r="BV113" s="44">
        <f t="shared" si="36"/>
        <v>1000</v>
      </c>
      <c r="BW113" s="44" t="str">
        <f t="shared" si="28"/>
        <v>Ceiling (Medium)</v>
      </c>
      <c r="BX113" s="44"/>
      <c r="BY113" s="44">
        <f t="shared" si="37"/>
        <v>3000</v>
      </c>
      <c r="BZ113" s="44" t="str">
        <f t="shared" si="29"/>
        <v>Ceiling (Medium)</v>
      </c>
      <c r="CA113" s="44">
        <v>50000</v>
      </c>
      <c r="CB113" s="45" t="s">
        <v>0</v>
      </c>
      <c r="CC113" s="325"/>
    </row>
    <row r="114" spans="1:81" s="26" customFormat="1" x14ac:dyDescent="0.2">
      <c r="A114" s="371" t="s">
        <v>31</v>
      </c>
      <c r="B114" s="52" t="s">
        <v>30</v>
      </c>
      <c r="C114" s="72">
        <v>42922</v>
      </c>
      <c r="D114" s="73">
        <v>8.0000000000000007E-5</v>
      </c>
      <c r="E114" s="4" t="s">
        <v>332</v>
      </c>
      <c r="F114" s="73">
        <v>8.0000000000000004E-4</v>
      </c>
      <c r="G114" s="4" t="s">
        <v>332</v>
      </c>
      <c r="H114" s="50">
        <v>1.4E-5</v>
      </c>
      <c r="I114" s="4" t="s">
        <v>443</v>
      </c>
      <c r="J114" s="50">
        <v>1.4E-5</v>
      </c>
      <c r="K114" s="4" t="s">
        <v>488</v>
      </c>
      <c r="L114" s="18"/>
      <c r="M114" s="18"/>
      <c r="N114" s="18"/>
      <c r="O114" s="51"/>
      <c r="P114" s="20"/>
      <c r="Q114" s="40">
        <v>1</v>
      </c>
      <c r="R114" s="40" t="s">
        <v>504</v>
      </c>
      <c r="S114" s="40">
        <v>0.01</v>
      </c>
      <c r="T114" s="40" t="s">
        <v>504</v>
      </c>
      <c r="U114" s="40">
        <v>1</v>
      </c>
      <c r="V114" s="40" t="s">
        <v>504</v>
      </c>
      <c r="W114" s="40">
        <v>0.01</v>
      </c>
      <c r="X114" s="40" t="s">
        <v>504</v>
      </c>
      <c r="Y114" s="40" t="s">
        <v>1</v>
      </c>
      <c r="Z114" s="40"/>
      <c r="AA114" s="40" t="s">
        <v>1</v>
      </c>
      <c r="AB114" s="40"/>
      <c r="AC114" s="42">
        <v>1</v>
      </c>
      <c r="AD114" s="42">
        <v>9</v>
      </c>
      <c r="AE114" s="42">
        <v>1</v>
      </c>
      <c r="AF114" s="42">
        <v>9</v>
      </c>
      <c r="AG114" s="42"/>
      <c r="AH114" s="42"/>
      <c r="AI114" s="62">
        <v>5</v>
      </c>
      <c r="AJ114" s="20"/>
      <c r="AK114" s="66">
        <v>1</v>
      </c>
      <c r="AL114" s="66" t="s">
        <v>1</v>
      </c>
      <c r="AM114" s="62">
        <v>0.6</v>
      </c>
      <c r="AN114" s="62"/>
      <c r="AO114" s="43">
        <f>VLOOKUP(A114,[1]!IABKGRD,7,FALSE)</f>
        <v>0</v>
      </c>
      <c r="AS114" s="20"/>
      <c r="AU114" s="47">
        <f t="shared" si="40"/>
        <v>0</v>
      </c>
      <c r="AV114" s="20"/>
      <c r="AW114" s="49">
        <f t="shared" si="41"/>
        <v>0</v>
      </c>
      <c r="AX114" s="26">
        <f t="shared" si="38"/>
        <v>8</v>
      </c>
      <c r="AY114" s="26">
        <f t="shared" si="39"/>
        <v>40</v>
      </c>
      <c r="AZ114" s="29">
        <v>0</v>
      </c>
      <c r="BA114" s="20"/>
      <c r="BB114" s="29"/>
      <c r="BC114" s="29"/>
      <c r="BD114" s="27">
        <v>0</v>
      </c>
      <c r="BE114" s="20">
        <v>204</v>
      </c>
      <c r="BF114" s="20">
        <v>13</v>
      </c>
      <c r="BG114" s="25"/>
      <c r="BH114" s="26">
        <v>0.23</v>
      </c>
      <c r="BI114" s="34"/>
      <c r="BJ114" s="29">
        <v>0</v>
      </c>
      <c r="BK114" s="29"/>
      <c r="BL114" s="29"/>
      <c r="BM114" s="29"/>
      <c r="BN114" s="22"/>
      <c r="BO114" s="49">
        <v>1E-3</v>
      </c>
      <c r="BP114" s="24"/>
      <c r="BQ114" s="24"/>
      <c r="BR114" s="44"/>
      <c r="BS114" s="44">
        <f t="shared" si="35"/>
        <v>1000</v>
      </c>
      <c r="BT114" s="44" t="str">
        <f t="shared" si="27"/>
        <v>Ceiling (High)</v>
      </c>
      <c r="BU114" s="44"/>
      <c r="BV114" s="44">
        <f t="shared" si="36"/>
        <v>3000</v>
      </c>
      <c r="BW114" s="44" t="str">
        <f t="shared" si="28"/>
        <v>Ceiling (High)</v>
      </c>
      <c r="BX114" s="44"/>
      <c r="BY114" s="44">
        <f t="shared" si="37"/>
        <v>5000</v>
      </c>
      <c r="BZ114" s="44" t="str">
        <f t="shared" si="29"/>
        <v>Ceiling (High)</v>
      </c>
      <c r="CA114" s="44">
        <v>50000</v>
      </c>
      <c r="CB114" s="45" t="s">
        <v>0</v>
      </c>
      <c r="CC114" s="325" t="s">
        <v>680</v>
      </c>
    </row>
    <row r="115" spans="1:81" s="26" customFormat="1" x14ac:dyDescent="0.2">
      <c r="A115" s="371" t="s">
        <v>29</v>
      </c>
      <c r="B115" s="52" t="s">
        <v>28</v>
      </c>
      <c r="C115" s="72">
        <v>42922</v>
      </c>
      <c r="D115" s="48">
        <v>0.08</v>
      </c>
      <c r="E115" s="20">
        <v>1</v>
      </c>
      <c r="F115" s="48">
        <v>0.8</v>
      </c>
      <c r="G115" s="20">
        <v>6</v>
      </c>
      <c r="H115" s="49">
        <v>5</v>
      </c>
      <c r="I115" s="20">
        <v>1</v>
      </c>
      <c r="J115" s="49">
        <v>5</v>
      </c>
      <c r="K115" s="20">
        <v>6</v>
      </c>
      <c r="L115" s="49"/>
      <c r="M115" s="20" t="s">
        <v>2</v>
      </c>
      <c r="N115" s="21">
        <v>1</v>
      </c>
      <c r="O115" s="49"/>
      <c r="P115" s="20"/>
      <c r="Q115" s="40">
        <v>1</v>
      </c>
      <c r="R115" s="40" t="s">
        <v>504</v>
      </c>
      <c r="S115" s="40">
        <v>0.03</v>
      </c>
      <c r="T115" s="40" t="s">
        <v>504</v>
      </c>
      <c r="U115" s="40">
        <v>1</v>
      </c>
      <c r="V115" s="40" t="s">
        <v>504</v>
      </c>
      <c r="W115" s="40">
        <v>0.03</v>
      </c>
      <c r="X115" s="40" t="s">
        <v>504</v>
      </c>
      <c r="Y115" s="40" t="s">
        <v>1</v>
      </c>
      <c r="Z115" s="40"/>
      <c r="AA115" s="40" t="s">
        <v>1</v>
      </c>
      <c r="AB115" s="40"/>
      <c r="AC115" s="42">
        <v>1</v>
      </c>
      <c r="AD115" s="42">
        <v>9</v>
      </c>
      <c r="AE115" s="42">
        <v>1</v>
      </c>
      <c r="AF115" s="42">
        <v>9</v>
      </c>
      <c r="AG115" s="42"/>
      <c r="AH115" s="42"/>
      <c r="AI115" s="62"/>
      <c r="AJ115" s="20"/>
      <c r="AK115" s="66">
        <v>1</v>
      </c>
      <c r="AL115" s="66" t="s">
        <v>1</v>
      </c>
      <c r="AM115" s="62"/>
      <c r="AN115" s="62"/>
      <c r="AO115" s="43">
        <f>VLOOKUP(A115,[1]!IABKGRD,7,FALSE)</f>
        <v>54</v>
      </c>
      <c r="AP115" s="26">
        <v>150</v>
      </c>
      <c r="AQ115" s="26">
        <v>7.6150000000000002</v>
      </c>
      <c r="AR115" s="26">
        <v>40</v>
      </c>
      <c r="AS115" s="20">
        <v>13</v>
      </c>
      <c r="AT115" s="26">
        <v>30000</v>
      </c>
      <c r="AU115" s="47">
        <f t="shared" si="40"/>
        <v>7.9732441471571907</v>
      </c>
      <c r="AV115" s="20">
        <v>13</v>
      </c>
      <c r="AW115" s="49">
        <f t="shared" si="41"/>
        <v>3.511744966442953</v>
      </c>
      <c r="AX115" s="26">
        <f t="shared" si="38"/>
        <v>0.1</v>
      </c>
      <c r="AY115" s="26">
        <f t="shared" si="39"/>
        <v>0.5</v>
      </c>
      <c r="AZ115" s="23">
        <v>526000</v>
      </c>
      <c r="BA115" s="64">
        <v>22</v>
      </c>
      <c r="BB115" s="23">
        <v>6.6400000000000001E-3</v>
      </c>
      <c r="BC115" s="20">
        <v>22</v>
      </c>
      <c r="BD115" s="27">
        <v>0.27173023408086433</v>
      </c>
      <c r="BE115" s="20">
        <v>92</v>
      </c>
      <c r="BF115" s="20">
        <v>13</v>
      </c>
      <c r="BG115" s="26">
        <v>28</v>
      </c>
      <c r="BH115" s="26">
        <v>2.73</v>
      </c>
      <c r="BI115" s="34">
        <v>16</v>
      </c>
      <c r="BJ115" s="19">
        <v>140</v>
      </c>
      <c r="BK115" s="20" t="s">
        <v>466</v>
      </c>
      <c r="BL115" s="20">
        <v>-94.9</v>
      </c>
      <c r="BM115" s="20">
        <v>17</v>
      </c>
      <c r="BN115" s="22"/>
      <c r="BO115" s="49">
        <f t="shared" si="42"/>
        <v>3.0661966160107378E-2</v>
      </c>
      <c r="BP115" s="24"/>
      <c r="BQ115" s="24"/>
      <c r="BR115" s="44"/>
      <c r="BS115" s="44">
        <f t="shared" si="35"/>
        <v>500</v>
      </c>
      <c r="BT115" s="44" t="str">
        <f t="shared" si="27"/>
        <v>Ceiling (Medium)</v>
      </c>
      <c r="BU115" s="44"/>
      <c r="BV115" s="44">
        <f t="shared" si="36"/>
        <v>1000</v>
      </c>
      <c r="BW115" s="44" t="str">
        <f t="shared" si="28"/>
        <v>Ceiling (Medium)</v>
      </c>
      <c r="BX115" s="44"/>
      <c r="BY115" s="44">
        <f t="shared" si="37"/>
        <v>3000</v>
      </c>
      <c r="BZ115" s="44" t="str">
        <f t="shared" si="29"/>
        <v>Ceiling (Medium)</v>
      </c>
      <c r="CA115" s="44">
        <v>50000</v>
      </c>
      <c r="CB115" s="45" t="s">
        <v>0</v>
      </c>
      <c r="CC115" s="325"/>
    </row>
    <row r="116" spans="1:81" s="26" customFormat="1" x14ac:dyDescent="0.2">
      <c r="A116" s="371" t="s">
        <v>27</v>
      </c>
      <c r="B116" s="52" t="s">
        <v>296</v>
      </c>
      <c r="C116" s="72">
        <v>42922</v>
      </c>
      <c r="D116" s="48">
        <v>0.01</v>
      </c>
      <c r="E116" s="20">
        <v>1</v>
      </c>
      <c r="F116" s="48">
        <v>0.09</v>
      </c>
      <c r="G116" s="20">
        <v>6</v>
      </c>
      <c r="H116" s="49">
        <v>2E-3</v>
      </c>
      <c r="I116" s="20">
        <v>6</v>
      </c>
      <c r="J116" s="49">
        <v>0.02</v>
      </c>
      <c r="K116" s="20">
        <v>6</v>
      </c>
      <c r="L116" s="49"/>
      <c r="M116" s="21" t="s">
        <v>2</v>
      </c>
      <c r="N116" s="21">
        <v>1</v>
      </c>
      <c r="O116" s="49"/>
      <c r="P116" s="20"/>
      <c r="Q116" s="40">
        <v>1</v>
      </c>
      <c r="R116" s="40" t="s">
        <v>504</v>
      </c>
      <c r="S116" s="40">
        <v>0.03</v>
      </c>
      <c r="T116" s="40" t="s">
        <v>504</v>
      </c>
      <c r="U116" s="40">
        <v>1</v>
      </c>
      <c r="V116" s="40" t="s">
        <v>504</v>
      </c>
      <c r="W116" s="40">
        <v>0.03</v>
      </c>
      <c r="X116" s="40" t="s">
        <v>504</v>
      </c>
      <c r="Y116" s="40" t="s">
        <v>1</v>
      </c>
      <c r="Z116" s="40"/>
      <c r="AA116" s="40" t="s">
        <v>1</v>
      </c>
      <c r="AB116" s="40"/>
      <c r="AC116" s="42">
        <v>1</v>
      </c>
      <c r="AD116" s="42">
        <v>9</v>
      </c>
      <c r="AE116" s="42">
        <v>1</v>
      </c>
      <c r="AF116" s="42">
        <v>9</v>
      </c>
      <c r="AG116" s="42"/>
      <c r="AH116" s="42"/>
      <c r="AI116" s="62"/>
      <c r="AJ116" s="20"/>
      <c r="AK116" s="66">
        <v>1</v>
      </c>
      <c r="AL116" s="66" t="s">
        <v>1</v>
      </c>
      <c r="AM116" s="62"/>
      <c r="AN116" s="62"/>
      <c r="AO116" s="43">
        <f>VLOOKUP(A116,[1]!IABKGRD,7,FALSE)</f>
        <v>3.4</v>
      </c>
      <c r="AP116" s="26">
        <v>15</v>
      </c>
      <c r="AQ116" s="26">
        <v>0.08</v>
      </c>
      <c r="AS116" s="20"/>
      <c r="AT116" s="26">
        <v>22000</v>
      </c>
      <c r="AU116" s="47">
        <f t="shared" si="40"/>
        <v>2.9719790338574863</v>
      </c>
      <c r="AV116" s="20">
        <v>27</v>
      </c>
      <c r="AW116" s="49">
        <f t="shared" si="41"/>
        <v>0</v>
      </c>
      <c r="AX116" s="26">
        <f t="shared" si="38"/>
        <v>0.1</v>
      </c>
      <c r="AY116" s="26">
        <f t="shared" si="39"/>
        <v>1</v>
      </c>
      <c r="AZ116" s="23">
        <v>49000</v>
      </c>
      <c r="BA116" s="20">
        <v>22</v>
      </c>
      <c r="BB116" s="23">
        <v>1.42E-3</v>
      </c>
      <c r="BC116" s="20">
        <v>22</v>
      </c>
      <c r="BD116" s="27">
        <v>5.8110983794401702E-2</v>
      </c>
      <c r="BE116" s="20">
        <v>181</v>
      </c>
      <c r="BF116" s="20">
        <v>11</v>
      </c>
      <c r="BG116" s="25"/>
      <c r="BH116" s="26">
        <v>4.0199999999999996</v>
      </c>
      <c r="BI116" s="34">
        <v>16</v>
      </c>
      <c r="BJ116" s="19">
        <v>1660</v>
      </c>
      <c r="BK116" s="20" t="s">
        <v>466</v>
      </c>
      <c r="BL116" s="20">
        <v>17</v>
      </c>
      <c r="BM116" s="20">
        <v>17</v>
      </c>
      <c r="BN116" s="22"/>
      <c r="BO116" s="49">
        <f t="shared" si="42"/>
        <v>6.9119406439804909E-2</v>
      </c>
      <c r="BP116" s="24"/>
      <c r="BQ116" s="24"/>
      <c r="BR116" s="44"/>
      <c r="BS116" s="44">
        <f t="shared" si="35"/>
        <v>1000</v>
      </c>
      <c r="BT116" s="44" t="str">
        <f t="shared" si="27"/>
        <v>Ceiling (High)</v>
      </c>
      <c r="BU116" s="44"/>
      <c r="BV116" s="44">
        <f t="shared" si="36"/>
        <v>3000</v>
      </c>
      <c r="BW116" s="44" t="str">
        <f t="shared" si="28"/>
        <v>Ceiling (High)</v>
      </c>
      <c r="BX116" s="44"/>
      <c r="BY116" s="44">
        <f t="shared" si="37"/>
        <v>5000</v>
      </c>
      <c r="BZ116" s="44" t="str">
        <f t="shared" si="29"/>
        <v>Ceiling (High)</v>
      </c>
      <c r="CA116" s="44">
        <v>50000</v>
      </c>
      <c r="CB116" s="45" t="s">
        <v>0</v>
      </c>
      <c r="CC116" s="325"/>
    </row>
    <row r="117" spans="1:81" s="26" customFormat="1" x14ac:dyDescent="0.2">
      <c r="A117" s="371" t="s">
        <v>26</v>
      </c>
      <c r="B117" s="52" t="s">
        <v>297</v>
      </c>
      <c r="C117" s="72">
        <v>42922</v>
      </c>
      <c r="D117" s="48">
        <v>2</v>
      </c>
      <c r="E117" s="20">
        <v>1</v>
      </c>
      <c r="F117" s="48">
        <v>7</v>
      </c>
      <c r="G117" s="20">
        <v>1</v>
      </c>
      <c r="H117" s="49">
        <v>5</v>
      </c>
      <c r="I117" s="20">
        <v>1</v>
      </c>
      <c r="J117" s="49">
        <v>5</v>
      </c>
      <c r="K117" s="20">
        <v>1</v>
      </c>
      <c r="L117" s="49"/>
      <c r="M117" s="20" t="s">
        <v>2</v>
      </c>
      <c r="N117" s="21">
        <v>1</v>
      </c>
      <c r="O117" s="49"/>
      <c r="P117" s="20"/>
      <c r="Q117" s="40">
        <v>1</v>
      </c>
      <c r="R117" s="40" t="s">
        <v>504</v>
      </c>
      <c r="S117" s="40">
        <v>0.03</v>
      </c>
      <c r="T117" s="40" t="s">
        <v>504</v>
      </c>
      <c r="U117" s="40">
        <v>1</v>
      </c>
      <c r="V117" s="40" t="s">
        <v>504</v>
      </c>
      <c r="W117" s="40">
        <v>0.03</v>
      </c>
      <c r="X117" s="40" t="s">
        <v>504</v>
      </c>
      <c r="Y117" s="40" t="s">
        <v>1</v>
      </c>
      <c r="Z117" s="40"/>
      <c r="AA117" s="40" t="s">
        <v>1</v>
      </c>
      <c r="AB117" s="40"/>
      <c r="AC117" s="42">
        <v>1</v>
      </c>
      <c r="AD117" s="42">
        <v>9</v>
      </c>
      <c r="AE117" s="42">
        <v>1</v>
      </c>
      <c r="AF117" s="42">
        <v>9</v>
      </c>
      <c r="AG117" s="42"/>
      <c r="AH117" s="42"/>
      <c r="AI117" s="62"/>
      <c r="AJ117" s="20"/>
      <c r="AK117" s="66">
        <v>1</v>
      </c>
      <c r="AL117" s="66" t="s">
        <v>1</v>
      </c>
      <c r="AM117" s="62"/>
      <c r="AN117" s="62"/>
      <c r="AO117" s="43">
        <f>VLOOKUP(A117,[1]!IABKGRD,7,FALSE)</f>
        <v>3</v>
      </c>
      <c r="AP117" s="26">
        <v>20</v>
      </c>
      <c r="AQ117" s="26">
        <f>5.505*2/3</f>
        <v>3.67</v>
      </c>
      <c r="AR117" s="26">
        <v>50000</v>
      </c>
      <c r="AS117" s="20">
        <v>24</v>
      </c>
      <c r="AT117" s="26">
        <v>65127</v>
      </c>
      <c r="AU117" s="47">
        <f t="shared" si="40"/>
        <v>11.973222903412374</v>
      </c>
      <c r="AV117" s="20">
        <v>13</v>
      </c>
      <c r="AW117" s="49">
        <f t="shared" si="41"/>
        <v>8.3519701258965089</v>
      </c>
      <c r="AX117" s="26">
        <f t="shared" si="38"/>
        <v>0.1</v>
      </c>
      <c r="AY117" s="26">
        <f t="shared" si="39"/>
        <v>1.5</v>
      </c>
      <c r="AZ117" s="23">
        <v>1290000</v>
      </c>
      <c r="BA117" s="64">
        <v>22</v>
      </c>
      <c r="BB117" s="23">
        <v>1.72E-2</v>
      </c>
      <c r="BC117" s="20">
        <v>22</v>
      </c>
      <c r="BD117" s="27">
        <v>0.70387952201669668</v>
      </c>
      <c r="BE117" s="20">
        <v>133</v>
      </c>
      <c r="BF117" s="20">
        <v>13</v>
      </c>
      <c r="BG117" s="26">
        <v>100</v>
      </c>
      <c r="BH117" s="26">
        <v>2.4900000000000002</v>
      </c>
      <c r="BI117" s="34">
        <v>16</v>
      </c>
      <c r="BJ117" s="19">
        <v>135</v>
      </c>
      <c r="BK117" s="20" t="s">
        <v>466</v>
      </c>
      <c r="BL117" s="20">
        <v>-30.4</v>
      </c>
      <c r="BM117" s="20">
        <v>17</v>
      </c>
      <c r="BN117" s="22"/>
      <c r="BO117" s="49">
        <f t="shared" si="42"/>
        <v>1.2548736499304816E-2</v>
      </c>
      <c r="BP117" s="24"/>
      <c r="BQ117" s="24"/>
      <c r="BR117" s="44"/>
      <c r="BS117" s="44">
        <f t="shared" si="35"/>
        <v>500</v>
      </c>
      <c r="BT117" s="44" t="str">
        <f t="shared" si="27"/>
        <v>Ceiling (Medium)</v>
      </c>
      <c r="BU117" s="44"/>
      <c r="BV117" s="44">
        <f t="shared" si="36"/>
        <v>1000</v>
      </c>
      <c r="BW117" s="44" t="str">
        <f t="shared" si="28"/>
        <v>Ceiling (Medium)</v>
      </c>
      <c r="BX117" s="44"/>
      <c r="BY117" s="44">
        <f t="shared" si="37"/>
        <v>3000</v>
      </c>
      <c r="BZ117" s="44" t="str">
        <f t="shared" si="29"/>
        <v>Ceiling (Medium)</v>
      </c>
      <c r="CA117" s="44">
        <v>50000</v>
      </c>
      <c r="CB117" s="45" t="s">
        <v>0</v>
      </c>
      <c r="CC117" s="325"/>
    </row>
    <row r="118" spans="1:81" s="26" customFormat="1" x14ac:dyDescent="0.2">
      <c r="A118" s="371" t="s">
        <v>25</v>
      </c>
      <c r="B118" s="52" t="s">
        <v>24</v>
      </c>
      <c r="C118" s="72">
        <v>42922</v>
      </c>
      <c r="D118" s="48">
        <v>4.0000000000000001E-3</v>
      </c>
      <c r="E118" s="20">
        <v>1</v>
      </c>
      <c r="F118" s="48">
        <v>4.0000000000000001E-3</v>
      </c>
      <c r="G118" s="20">
        <v>6</v>
      </c>
      <c r="H118" s="49">
        <v>7.3999999999999996E-2</v>
      </c>
      <c r="I118" s="20">
        <v>3</v>
      </c>
      <c r="J118" s="49">
        <v>7.3999999999999996E-2</v>
      </c>
      <c r="K118" s="20" t="s">
        <v>488</v>
      </c>
      <c r="L118" s="49">
        <v>5.7000000000000002E-2</v>
      </c>
      <c r="M118" s="21" t="s">
        <v>23</v>
      </c>
      <c r="N118" s="21">
        <v>1</v>
      </c>
      <c r="O118" s="49">
        <v>1.5999999999999999E-5</v>
      </c>
      <c r="P118" s="20">
        <v>1</v>
      </c>
      <c r="Q118" s="40">
        <v>1</v>
      </c>
      <c r="R118" s="40" t="s">
        <v>504</v>
      </c>
      <c r="S118" s="40">
        <v>0.03</v>
      </c>
      <c r="T118" s="40" t="s">
        <v>504</v>
      </c>
      <c r="U118" s="40">
        <v>1</v>
      </c>
      <c r="V118" s="40" t="s">
        <v>504</v>
      </c>
      <c r="W118" s="40">
        <v>0.03</v>
      </c>
      <c r="X118" s="40" t="s">
        <v>504</v>
      </c>
      <c r="Y118" s="40">
        <v>1</v>
      </c>
      <c r="Z118" s="40" t="s">
        <v>504</v>
      </c>
      <c r="AA118" s="40">
        <v>0.03</v>
      </c>
      <c r="AB118" s="40" t="s">
        <v>504</v>
      </c>
      <c r="AC118" s="42">
        <v>1</v>
      </c>
      <c r="AD118" s="42">
        <v>9</v>
      </c>
      <c r="AE118" s="42">
        <v>1</v>
      </c>
      <c r="AF118" s="42">
        <v>9</v>
      </c>
      <c r="AG118" s="42">
        <v>1</v>
      </c>
      <c r="AH118" s="42">
        <v>9</v>
      </c>
      <c r="AI118" s="62"/>
      <c r="AJ118" s="20"/>
      <c r="AK118" s="66">
        <v>1</v>
      </c>
      <c r="AL118" s="66">
        <v>1</v>
      </c>
      <c r="AM118" s="62"/>
      <c r="AN118" s="62"/>
      <c r="AO118" s="43">
        <f>VLOOKUP(A118,[1]!IABKGRD,7,FALSE)</f>
        <v>9.98</v>
      </c>
      <c r="AP118" s="26">
        <f>30-AP117</f>
        <v>10</v>
      </c>
      <c r="AQ118" s="26">
        <f>5.505/3</f>
        <v>1.835</v>
      </c>
      <c r="AS118" s="20"/>
      <c r="AU118" s="47">
        <f t="shared" si="40"/>
        <v>0</v>
      </c>
      <c r="AV118" s="20"/>
      <c r="AW118" s="49">
        <f t="shared" si="41"/>
        <v>0</v>
      </c>
      <c r="AX118" s="26">
        <f t="shared" si="38"/>
        <v>0.1</v>
      </c>
      <c r="AY118" s="26">
        <f t="shared" si="39"/>
        <v>0.5</v>
      </c>
      <c r="AZ118" s="23">
        <v>4590000</v>
      </c>
      <c r="BA118" s="20">
        <v>22</v>
      </c>
      <c r="BB118" s="23">
        <v>8.2399999999999997E-4</v>
      </c>
      <c r="BC118" s="20">
        <v>22</v>
      </c>
      <c r="BD118" s="27">
        <v>3.3720739891962677E-2</v>
      </c>
      <c r="BE118" s="20">
        <v>133</v>
      </c>
      <c r="BF118" s="20">
        <v>13</v>
      </c>
      <c r="BG118" s="26">
        <v>25</v>
      </c>
      <c r="BH118" s="26">
        <v>1.89</v>
      </c>
      <c r="BI118" s="34">
        <v>16</v>
      </c>
      <c r="BJ118" s="19">
        <v>75</v>
      </c>
      <c r="BK118" s="20" t="s">
        <v>466</v>
      </c>
      <c r="BL118" s="20">
        <v>-36.6</v>
      </c>
      <c r="BM118" s="20">
        <v>17</v>
      </c>
      <c r="BN118" s="22"/>
      <c r="BO118" s="49">
        <f t="shared" si="42"/>
        <v>5.0419670131853726E-3</v>
      </c>
      <c r="BP118" s="24"/>
      <c r="BQ118" s="24"/>
      <c r="BR118" s="44"/>
      <c r="BS118" s="44">
        <f t="shared" si="35"/>
        <v>100</v>
      </c>
      <c r="BT118" s="44" t="str">
        <f t="shared" si="27"/>
        <v>Ceiling (Low)</v>
      </c>
      <c r="BU118" s="44"/>
      <c r="BV118" s="44">
        <f t="shared" si="36"/>
        <v>500</v>
      </c>
      <c r="BW118" s="44" t="str">
        <f t="shared" si="28"/>
        <v>Ceiling (Low)</v>
      </c>
      <c r="BX118" s="44"/>
      <c r="BY118" s="44">
        <f t="shared" si="37"/>
        <v>500</v>
      </c>
      <c r="BZ118" s="44" t="str">
        <f t="shared" si="29"/>
        <v>High Volatility</v>
      </c>
      <c r="CA118" s="44">
        <v>50000</v>
      </c>
      <c r="CB118" s="45" t="s">
        <v>0</v>
      </c>
      <c r="CC118" s="325"/>
    </row>
    <row r="119" spans="1:81" s="26" customFormat="1" ht="10.5" x14ac:dyDescent="0.25">
      <c r="A119" s="371" t="s">
        <v>22</v>
      </c>
      <c r="B119" s="52" t="s">
        <v>21</v>
      </c>
      <c r="C119" s="72">
        <v>42922</v>
      </c>
      <c r="D119" s="48">
        <v>5.0000000000000001E-4</v>
      </c>
      <c r="E119" s="20">
        <v>1</v>
      </c>
      <c r="F119" s="48">
        <v>5.0000000000000001E-4</v>
      </c>
      <c r="G119" s="20" t="s">
        <v>188</v>
      </c>
      <c r="H119" s="49">
        <v>2E-3</v>
      </c>
      <c r="I119" s="20">
        <v>1</v>
      </c>
      <c r="J119" s="49">
        <v>2E-3</v>
      </c>
      <c r="K119" s="20" t="s">
        <v>204</v>
      </c>
      <c r="L119" s="205">
        <v>4.6300000000000001E-2</v>
      </c>
      <c r="M119" s="20" t="s">
        <v>20</v>
      </c>
      <c r="N119" s="21">
        <v>1</v>
      </c>
      <c r="O119" s="207">
        <v>4.0999999999999997E-6</v>
      </c>
      <c r="P119" s="20">
        <v>1</v>
      </c>
      <c r="Q119" s="40">
        <v>1</v>
      </c>
      <c r="R119" s="40" t="s">
        <v>504</v>
      </c>
      <c r="S119" s="40">
        <v>0.03</v>
      </c>
      <c r="T119" s="40" t="s">
        <v>504</v>
      </c>
      <c r="U119" s="40">
        <v>1</v>
      </c>
      <c r="V119" s="40" t="s">
        <v>504</v>
      </c>
      <c r="W119" s="40">
        <v>0.03</v>
      </c>
      <c r="X119" s="40" t="s">
        <v>504</v>
      </c>
      <c r="Y119" s="40">
        <v>1</v>
      </c>
      <c r="Z119" s="40" t="s">
        <v>504</v>
      </c>
      <c r="AA119" s="40">
        <v>0.03</v>
      </c>
      <c r="AB119" s="40" t="s">
        <v>504</v>
      </c>
      <c r="AC119" s="42">
        <v>1</v>
      </c>
      <c r="AD119" s="42">
        <v>9</v>
      </c>
      <c r="AE119" s="42">
        <v>1</v>
      </c>
      <c r="AF119" s="42">
        <v>9</v>
      </c>
      <c r="AG119" s="42">
        <v>1</v>
      </c>
      <c r="AH119" s="42">
        <v>9</v>
      </c>
      <c r="AI119" s="62"/>
      <c r="AJ119" s="20" t="s">
        <v>630</v>
      </c>
      <c r="AK119" s="66">
        <v>1</v>
      </c>
      <c r="AL119" s="66">
        <v>1</v>
      </c>
      <c r="AM119" s="62"/>
      <c r="AN119" s="62"/>
      <c r="AO119" s="43">
        <f>VLOOKUP(A119,[1]!IABKGRD,7,FALSE)</f>
        <v>0.8</v>
      </c>
      <c r="AP119" s="26">
        <v>20</v>
      </c>
      <c r="AQ119" s="26">
        <v>0.83799999999999997</v>
      </c>
      <c r="AR119" s="26">
        <v>10000</v>
      </c>
      <c r="AS119" s="20">
        <v>24</v>
      </c>
      <c r="AT119" s="26">
        <v>1360000</v>
      </c>
      <c r="AU119" s="47">
        <f t="shared" si="40"/>
        <v>253.84537091407313</v>
      </c>
      <c r="AV119" s="20">
        <v>28</v>
      </c>
      <c r="AW119" s="49">
        <f t="shared" si="41"/>
        <v>0.30333426890051329</v>
      </c>
      <c r="AX119" s="26">
        <f t="shared" si="38"/>
        <v>5.0000000000000001E-3</v>
      </c>
      <c r="AY119" s="26">
        <f t="shared" si="39"/>
        <v>2</v>
      </c>
      <c r="AZ119" s="23">
        <v>1280000</v>
      </c>
      <c r="BA119" s="64">
        <v>22</v>
      </c>
      <c r="BB119" s="23">
        <v>9.8499999999999994E-3</v>
      </c>
      <c r="BC119" s="20">
        <v>22</v>
      </c>
      <c r="BD119" s="27">
        <v>0.40309379603863149</v>
      </c>
      <c r="BE119" s="20">
        <v>131</v>
      </c>
      <c r="BF119" s="20">
        <v>13</v>
      </c>
      <c r="BG119" s="26">
        <v>77</v>
      </c>
      <c r="BH119" s="26">
        <v>2.42</v>
      </c>
      <c r="BI119" s="34">
        <v>16</v>
      </c>
      <c r="BJ119" s="19">
        <v>94.3</v>
      </c>
      <c r="BK119" s="20" t="s">
        <v>466</v>
      </c>
      <c r="BL119" s="20">
        <v>-84.7</v>
      </c>
      <c r="BM119" s="20">
        <v>17</v>
      </c>
      <c r="BN119" s="22"/>
      <c r="BO119" s="49">
        <f t="shared" si="42"/>
        <v>1.1577105741152704E-2</v>
      </c>
      <c r="BP119" s="24"/>
      <c r="BQ119" s="24"/>
      <c r="BR119" s="44"/>
      <c r="BS119" s="44">
        <f t="shared" si="35"/>
        <v>500</v>
      </c>
      <c r="BT119" s="44" t="str">
        <f t="shared" si="27"/>
        <v>Ceiling (Medium)</v>
      </c>
      <c r="BU119" s="44"/>
      <c r="BV119" s="44">
        <f t="shared" si="36"/>
        <v>1000</v>
      </c>
      <c r="BW119" s="44" t="str">
        <f t="shared" si="28"/>
        <v>Ceiling (Medium)</v>
      </c>
      <c r="BX119" s="44"/>
      <c r="BY119" s="44">
        <f t="shared" si="37"/>
        <v>3000</v>
      </c>
      <c r="BZ119" s="44" t="str">
        <f t="shared" si="29"/>
        <v>Ceiling (Medium)</v>
      </c>
      <c r="CA119" s="44">
        <v>50000</v>
      </c>
      <c r="CB119" s="45" t="s">
        <v>0</v>
      </c>
      <c r="CC119" s="325"/>
    </row>
    <row r="120" spans="1:81" s="26" customFormat="1" x14ac:dyDescent="0.2">
      <c r="A120" s="371" t="s">
        <v>19</v>
      </c>
      <c r="B120" s="52" t="s">
        <v>18</v>
      </c>
      <c r="C120" s="72">
        <v>42922</v>
      </c>
      <c r="D120" s="48">
        <v>0.1</v>
      </c>
      <c r="E120" s="20">
        <v>1</v>
      </c>
      <c r="F120" s="48">
        <v>0.3</v>
      </c>
      <c r="G120" s="20">
        <v>6</v>
      </c>
      <c r="H120" s="49">
        <v>0.35</v>
      </c>
      <c r="I120" s="20" t="s">
        <v>475</v>
      </c>
      <c r="J120" s="49">
        <v>1</v>
      </c>
      <c r="K120" s="20" t="s">
        <v>475</v>
      </c>
      <c r="L120" s="49"/>
      <c r="M120" s="21"/>
      <c r="N120" s="21"/>
      <c r="O120" s="49"/>
      <c r="P120" s="20"/>
      <c r="Q120" s="40">
        <v>1</v>
      </c>
      <c r="R120" s="40" t="s">
        <v>504</v>
      </c>
      <c r="S120" s="40">
        <v>0.3</v>
      </c>
      <c r="T120" s="40" t="s">
        <v>501</v>
      </c>
      <c r="U120" s="40">
        <v>1</v>
      </c>
      <c r="V120" s="40" t="s">
        <v>504</v>
      </c>
      <c r="W120" s="40">
        <v>0.3</v>
      </c>
      <c r="X120" s="40" t="s">
        <v>501</v>
      </c>
      <c r="Y120" s="40" t="s">
        <v>1</v>
      </c>
      <c r="Z120" s="40"/>
      <c r="AA120" s="40" t="s">
        <v>1</v>
      </c>
      <c r="AB120" s="40"/>
      <c r="AC120" s="42">
        <v>1</v>
      </c>
      <c r="AD120" s="42">
        <v>9</v>
      </c>
      <c r="AE120" s="42">
        <v>1</v>
      </c>
      <c r="AF120" s="42">
        <v>9</v>
      </c>
      <c r="AG120" s="42"/>
      <c r="AH120" s="42"/>
      <c r="AI120" s="62"/>
      <c r="AJ120" s="20"/>
      <c r="AK120" s="66">
        <v>1</v>
      </c>
      <c r="AL120" s="66" t="s">
        <v>1</v>
      </c>
      <c r="AM120" s="62"/>
      <c r="AN120" s="62"/>
      <c r="AO120" s="43">
        <f>VLOOKUP(A120,[1]!IABKGRD,7,FALSE)</f>
        <v>0</v>
      </c>
      <c r="AR120" s="26">
        <v>200</v>
      </c>
      <c r="AS120" s="20">
        <v>24</v>
      </c>
      <c r="AU120" s="47">
        <f t="shared" si="40"/>
        <v>0</v>
      </c>
      <c r="AV120" s="20"/>
      <c r="AW120" s="49">
        <f t="shared" si="41"/>
        <v>0</v>
      </c>
      <c r="AX120" s="26">
        <f t="shared" si="38"/>
        <v>0.66</v>
      </c>
      <c r="AY120" s="26">
        <f t="shared" si="39"/>
        <v>10</v>
      </c>
      <c r="AZ120" s="23">
        <v>1200000</v>
      </c>
      <c r="BA120" s="20">
        <v>22</v>
      </c>
      <c r="BB120" s="23">
        <v>1.6199999999999999E-6</v>
      </c>
      <c r="BC120" s="20">
        <v>22</v>
      </c>
      <c r="BD120" s="27">
        <v>6.629562939924701E-5</v>
      </c>
      <c r="BE120" s="20">
        <v>197</v>
      </c>
      <c r="BF120" s="20">
        <v>11</v>
      </c>
      <c r="BG120" s="25"/>
      <c r="BH120" s="26">
        <v>3.72</v>
      </c>
      <c r="BI120" s="34">
        <v>17</v>
      </c>
      <c r="BJ120" s="19">
        <v>298</v>
      </c>
      <c r="BK120" s="20" t="s">
        <v>467</v>
      </c>
      <c r="BL120" s="20">
        <v>69</v>
      </c>
      <c r="BM120" s="20">
        <v>17</v>
      </c>
      <c r="BN120" s="22"/>
      <c r="BO120" s="49">
        <f t="shared" si="42"/>
        <v>3.5645113342624428E-2</v>
      </c>
      <c r="BP120" s="24"/>
      <c r="BQ120" s="24"/>
      <c r="BR120" s="44"/>
      <c r="BS120" s="44">
        <f t="shared" si="35"/>
        <v>1000</v>
      </c>
      <c r="BT120" s="44" t="str">
        <f t="shared" si="27"/>
        <v>Ceiling (High)</v>
      </c>
      <c r="BU120" s="44"/>
      <c r="BV120" s="44">
        <f t="shared" si="36"/>
        <v>3000</v>
      </c>
      <c r="BW120" s="44" t="str">
        <f t="shared" si="28"/>
        <v>Ceiling (High)</v>
      </c>
      <c r="BX120" s="44"/>
      <c r="BY120" s="44">
        <f t="shared" si="37"/>
        <v>5000</v>
      </c>
      <c r="BZ120" s="44" t="str">
        <f t="shared" si="29"/>
        <v>Ceiling (High)</v>
      </c>
      <c r="CA120" s="44">
        <v>50000</v>
      </c>
      <c r="CB120" s="45" t="s">
        <v>0</v>
      </c>
      <c r="CC120" s="325"/>
    </row>
    <row r="121" spans="1:81" s="26" customFormat="1" x14ac:dyDescent="0.2">
      <c r="A121" s="371" t="s">
        <v>17</v>
      </c>
      <c r="B121" s="52" t="s">
        <v>16</v>
      </c>
      <c r="C121" s="72">
        <v>42922</v>
      </c>
      <c r="D121" s="48">
        <v>1E-3</v>
      </c>
      <c r="E121" s="20">
        <v>6</v>
      </c>
      <c r="F121" s="48">
        <v>0.01</v>
      </c>
      <c r="G121" s="20" t="s">
        <v>476</v>
      </c>
      <c r="H121" s="49">
        <v>4.0000000000000001E-3</v>
      </c>
      <c r="I121" s="20" t="s">
        <v>475</v>
      </c>
      <c r="J121" s="49">
        <v>0.04</v>
      </c>
      <c r="K121" s="20" t="s">
        <v>475</v>
      </c>
      <c r="L121" s="49">
        <v>1.0999999999999999E-2</v>
      </c>
      <c r="M121" s="21" t="s">
        <v>15</v>
      </c>
      <c r="N121" s="21">
        <v>1</v>
      </c>
      <c r="O121" s="49">
        <v>3.1E-6</v>
      </c>
      <c r="P121" s="20">
        <v>1</v>
      </c>
      <c r="Q121" s="40">
        <v>1</v>
      </c>
      <c r="R121" s="40" t="s">
        <v>504</v>
      </c>
      <c r="S121" s="40">
        <v>0.3</v>
      </c>
      <c r="T121" s="40" t="s">
        <v>501</v>
      </c>
      <c r="U121" s="40">
        <v>1</v>
      </c>
      <c r="V121" s="40" t="s">
        <v>504</v>
      </c>
      <c r="W121" s="40">
        <v>0.3</v>
      </c>
      <c r="X121" s="40" t="s">
        <v>501</v>
      </c>
      <c r="Y121" s="40">
        <v>1</v>
      </c>
      <c r="Z121" s="40" t="s">
        <v>504</v>
      </c>
      <c r="AA121" s="40">
        <v>0.3</v>
      </c>
      <c r="AB121" s="40" t="s">
        <v>501</v>
      </c>
      <c r="AC121" s="42">
        <v>1</v>
      </c>
      <c r="AD121" s="42">
        <v>9</v>
      </c>
      <c r="AE121" s="42">
        <v>1</v>
      </c>
      <c r="AF121" s="42">
        <v>9</v>
      </c>
      <c r="AG121" s="42">
        <v>1</v>
      </c>
      <c r="AH121" s="42">
        <v>9</v>
      </c>
      <c r="AI121" s="62"/>
      <c r="AJ121" s="20"/>
      <c r="AK121" s="66">
        <v>1</v>
      </c>
      <c r="AL121" s="66">
        <v>1</v>
      </c>
      <c r="AM121" s="62"/>
      <c r="AN121" s="62"/>
      <c r="AO121" s="43">
        <f>VLOOKUP(A121,[1]!IABKGRD,7,FALSE)</f>
        <v>0</v>
      </c>
      <c r="AR121" s="26">
        <v>100</v>
      </c>
      <c r="AS121" s="20">
        <v>13</v>
      </c>
      <c r="AT121" s="26">
        <v>0.3</v>
      </c>
      <c r="AU121" s="47">
        <f t="shared" si="40"/>
        <v>3.7235454900429518E-5</v>
      </c>
      <c r="AV121" s="20">
        <v>13</v>
      </c>
      <c r="AW121" s="49">
        <f t="shared" si="41"/>
        <v>0</v>
      </c>
      <c r="AX121" s="26">
        <f t="shared" si="38"/>
        <v>0.66</v>
      </c>
      <c r="AY121" s="26">
        <f t="shared" si="39"/>
        <v>10</v>
      </c>
      <c r="AZ121" s="23">
        <v>800000</v>
      </c>
      <c r="BA121" s="20">
        <v>22</v>
      </c>
      <c r="BB121" s="23">
        <v>2.6000000000000001E-6</v>
      </c>
      <c r="BC121" s="20">
        <v>22</v>
      </c>
      <c r="BD121" s="27">
        <v>1.0640039286298905E-4</v>
      </c>
      <c r="BE121" s="20">
        <v>197</v>
      </c>
      <c r="BF121" s="20">
        <v>13</v>
      </c>
      <c r="BG121" s="25"/>
      <c r="BH121" s="26">
        <v>3.69</v>
      </c>
      <c r="BI121" s="34">
        <v>16</v>
      </c>
      <c r="BJ121" s="19">
        <v>131</v>
      </c>
      <c r="BK121" s="20" t="s">
        <v>467</v>
      </c>
      <c r="BL121" s="20">
        <v>69</v>
      </c>
      <c r="BM121" s="20">
        <v>17</v>
      </c>
      <c r="BN121" s="22"/>
      <c r="BO121" s="49">
        <f t="shared" si="42"/>
        <v>3.4056498956736098E-2</v>
      </c>
      <c r="BP121" s="24"/>
      <c r="BQ121" s="24"/>
      <c r="BR121" s="44"/>
      <c r="BS121" s="44">
        <f t="shared" si="35"/>
        <v>1000</v>
      </c>
      <c r="BT121" s="44" t="str">
        <f t="shared" si="27"/>
        <v>Ceiling (High)</v>
      </c>
      <c r="BU121" s="44"/>
      <c r="BV121" s="44">
        <f t="shared" si="36"/>
        <v>3000</v>
      </c>
      <c r="BW121" s="44" t="str">
        <f t="shared" si="28"/>
        <v>Ceiling (High)</v>
      </c>
      <c r="BX121" s="44"/>
      <c r="BY121" s="44">
        <f t="shared" si="37"/>
        <v>5000</v>
      </c>
      <c r="BZ121" s="44" t="str">
        <f t="shared" si="29"/>
        <v>Ceiling (High)</v>
      </c>
      <c r="CA121" s="44">
        <v>50000</v>
      </c>
      <c r="CB121" s="45" t="s">
        <v>0</v>
      </c>
      <c r="CC121" s="325"/>
    </row>
    <row r="122" spans="1:81" s="26" customFormat="1" x14ac:dyDescent="0.2">
      <c r="A122" s="371" t="s">
        <v>14</v>
      </c>
      <c r="B122" s="52" t="s">
        <v>13</v>
      </c>
      <c r="C122" s="72">
        <v>42922</v>
      </c>
      <c r="D122" s="73">
        <v>8.9999999999999993E-3</v>
      </c>
      <c r="E122" s="4">
        <v>1</v>
      </c>
      <c r="F122" s="73">
        <v>8.9999999999999993E-3</v>
      </c>
      <c r="G122" s="4" t="s">
        <v>188</v>
      </c>
      <c r="H122" s="50">
        <v>1E-3</v>
      </c>
      <c r="I122" s="4">
        <v>3</v>
      </c>
      <c r="J122" s="50">
        <v>1E-3</v>
      </c>
      <c r="K122" s="4" t="s">
        <v>488</v>
      </c>
      <c r="L122" s="4"/>
      <c r="M122" s="4"/>
      <c r="N122" s="4"/>
      <c r="O122" s="51"/>
      <c r="P122" s="4"/>
      <c r="Q122" s="40">
        <v>1</v>
      </c>
      <c r="R122" s="40" t="s">
        <v>504</v>
      </c>
      <c r="S122" s="40">
        <v>0.1</v>
      </c>
      <c r="T122" s="40" t="s">
        <v>504</v>
      </c>
      <c r="U122" s="40">
        <v>1</v>
      </c>
      <c r="V122" s="40" t="s">
        <v>504</v>
      </c>
      <c r="W122" s="40">
        <v>0.1</v>
      </c>
      <c r="X122" s="40" t="s">
        <v>504</v>
      </c>
      <c r="Y122" s="40" t="s">
        <v>1</v>
      </c>
      <c r="Z122" s="40"/>
      <c r="AA122" s="40" t="s">
        <v>1</v>
      </c>
      <c r="AB122" s="40"/>
      <c r="AC122" s="42">
        <v>1</v>
      </c>
      <c r="AD122" s="42">
        <v>9</v>
      </c>
      <c r="AE122" s="42">
        <v>1</v>
      </c>
      <c r="AF122" s="42">
        <v>9</v>
      </c>
      <c r="AG122" s="42"/>
      <c r="AH122" s="42"/>
      <c r="AI122" s="62">
        <v>30</v>
      </c>
      <c r="AJ122" s="20"/>
      <c r="AK122" s="66">
        <v>0.05</v>
      </c>
      <c r="AL122" s="66" t="s">
        <v>1</v>
      </c>
      <c r="AM122" s="62">
        <v>30</v>
      </c>
      <c r="AN122" s="62"/>
      <c r="AO122" s="43">
        <f>VLOOKUP(A122,[1]!IABKGRD,7,FALSE)</f>
        <v>0</v>
      </c>
      <c r="AS122" s="20"/>
      <c r="AU122" s="47">
        <f t="shared" si="40"/>
        <v>0</v>
      </c>
      <c r="AV122" s="20"/>
      <c r="AW122" s="49">
        <f t="shared" si="41"/>
        <v>0</v>
      </c>
      <c r="AX122" s="26">
        <f t="shared" si="38"/>
        <v>0</v>
      </c>
      <c r="AY122" s="26">
        <f t="shared" si="39"/>
        <v>8</v>
      </c>
      <c r="AZ122" s="26">
        <v>0</v>
      </c>
      <c r="BA122" s="20"/>
      <c r="BC122" s="20"/>
      <c r="BD122" s="27">
        <v>0</v>
      </c>
      <c r="BE122" s="20">
        <v>51</v>
      </c>
      <c r="BF122" s="20">
        <v>13</v>
      </c>
      <c r="BI122" s="34"/>
      <c r="BK122" s="20"/>
      <c r="BL122" s="20"/>
      <c r="BM122" s="20"/>
      <c r="BN122" s="22"/>
      <c r="BO122" s="49">
        <v>1E-3</v>
      </c>
      <c r="BP122" s="24"/>
      <c r="BQ122" s="24"/>
      <c r="BR122" s="44"/>
      <c r="BS122" s="44">
        <f t="shared" si="35"/>
        <v>1000</v>
      </c>
      <c r="BT122" s="44" t="str">
        <f t="shared" si="27"/>
        <v>Ceiling (High)</v>
      </c>
      <c r="BU122" s="44"/>
      <c r="BV122" s="44">
        <f t="shared" si="36"/>
        <v>3000</v>
      </c>
      <c r="BW122" s="44" t="str">
        <f t="shared" si="28"/>
        <v>Ceiling (High)</v>
      </c>
      <c r="BX122" s="44"/>
      <c r="BY122" s="44">
        <f t="shared" si="37"/>
        <v>5000</v>
      </c>
      <c r="BZ122" s="44" t="str">
        <f t="shared" si="29"/>
        <v>Ceiling (High)</v>
      </c>
      <c r="CA122" s="44">
        <v>50000</v>
      </c>
      <c r="CB122" s="45" t="s">
        <v>0</v>
      </c>
      <c r="CC122" s="325" t="s">
        <v>680</v>
      </c>
    </row>
    <row r="123" spans="1:81" s="26" customFormat="1" ht="10.5" x14ac:dyDescent="0.25">
      <c r="A123" s="371" t="s">
        <v>12</v>
      </c>
      <c r="B123" s="52" t="s">
        <v>11</v>
      </c>
      <c r="C123" s="72">
        <v>42922</v>
      </c>
      <c r="D123" s="48">
        <v>3.0000000000000001E-3</v>
      </c>
      <c r="E123" s="20">
        <v>1</v>
      </c>
      <c r="F123" s="48">
        <v>3.0000000000000001E-3</v>
      </c>
      <c r="G123" s="20" t="s">
        <v>188</v>
      </c>
      <c r="H123" s="49">
        <v>0.1</v>
      </c>
      <c r="I123" s="20">
        <v>1</v>
      </c>
      <c r="J123" s="49">
        <v>0.1</v>
      </c>
      <c r="K123" s="20" t="s">
        <v>488</v>
      </c>
      <c r="L123" s="77">
        <v>0.72</v>
      </c>
      <c r="M123" s="20" t="s">
        <v>9</v>
      </c>
      <c r="N123" s="86">
        <v>1</v>
      </c>
      <c r="O123" s="77">
        <v>4.4000000000000002E-6</v>
      </c>
      <c r="P123" s="79">
        <v>1</v>
      </c>
      <c r="Q123" s="40">
        <v>1</v>
      </c>
      <c r="R123" s="40" t="s">
        <v>504</v>
      </c>
      <c r="S123" s="40">
        <v>0.03</v>
      </c>
      <c r="T123" s="40" t="s">
        <v>504</v>
      </c>
      <c r="U123" s="40">
        <v>1</v>
      </c>
      <c r="V123" s="40" t="s">
        <v>504</v>
      </c>
      <c r="W123" s="40">
        <v>0.03</v>
      </c>
      <c r="X123" s="40" t="s">
        <v>504</v>
      </c>
      <c r="Y123" s="40">
        <v>1</v>
      </c>
      <c r="Z123" s="40" t="s">
        <v>504</v>
      </c>
      <c r="AA123" s="40">
        <v>0.03</v>
      </c>
      <c r="AB123" s="40" t="s">
        <v>504</v>
      </c>
      <c r="AC123" s="42">
        <v>1</v>
      </c>
      <c r="AD123" s="42">
        <v>9</v>
      </c>
      <c r="AE123" s="42">
        <v>1</v>
      </c>
      <c r="AF123" s="42">
        <v>9</v>
      </c>
      <c r="AG123" s="42">
        <v>1</v>
      </c>
      <c r="AH123" s="42">
        <v>9</v>
      </c>
      <c r="AI123" s="62"/>
      <c r="AJ123" s="206" t="s">
        <v>630</v>
      </c>
      <c r="AK123" s="66">
        <v>0.98</v>
      </c>
      <c r="AL123" s="66">
        <v>0.64</v>
      </c>
      <c r="AM123" s="62"/>
      <c r="AN123" s="62"/>
      <c r="AO123" s="43">
        <f>VLOOKUP(A123,[1]!IABKGRD,7,FALSE)</f>
        <v>0</v>
      </c>
      <c r="AR123" s="26">
        <v>3400</v>
      </c>
      <c r="AS123" s="20">
        <v>13</v>
      </c>
      <c r="AT123" s="26">
        <v>771244</v>
      </c>
      <c r="AU123" s="47">
        <f t="shared" si="40"/>
        <v>299.33181864061856</v>
      </c>
      <c r="AV123" s="20">
        <v>13</v>
      </c>
      <c r="AW123" s="49">
        <f t="shared" si="41"/>
        <v>8.61919728987308</v>
      </c>
      <c r="AX123" s="26">
        <f t="shared" si="38"/>
        <v>0.1</v>
      </c>
      <c r="AY123" s="26">
        <f t="shared" si="39"/>
        <v>1.5</v>
      </c>
      <c r="AZ123" s="23">
        <v>8800000</v>
      </c>
      <c r="BA123" s="20">
        <v>22</v>
      </c>
      <c r="BB123" s="23">
        <v>2.7799999999999998E-2</v>
      </c>
      <c r="BC123" s="20">
        <v>22</v>
      </c>
      <c r="BD123" s="27">
        <v>1.1376657390734981</v>
      </c>
      <c r="BE123" s="20">
        <v>63</v>
      </c>
      <c r="BF123" s="20">
        <v>13</v>
      </c>
      <c r="BG123" s="26">
        <v>2580</v>
      </c>
      <c r="BH123" s="26">
        <v>1.62</v>
      </c>
      <c r="BI123" s="34">
        <v>16</v>
      </c>
      <c r="BJ123" s="19">
        <v>18.600000000000001</v>
      </c>
      <c r="BK123" s="20" t="s">
        <v>467</v>
      </c>
      <c r="BL123" s="20">
        <v>-153.69999999999999</v>
      </c>
      <c r="BM123" s="20">
        <v>17</v>
      </c>
      <c r="BN123" s="22"/>
      <c r="BO123" s="49">
        <f t="shared" si="42"/>
        <v>8.2489752393533015E-3</v>
      </c>
      <c r="BP123" s="24"/>
      <c r="BQ123" s="24"/>
      <c r="BR123" s="44"/>
      <c r="BS123" s="44">
        <f t="shared" si="35"/>
        <v>500</v>
      </c>
      <c r="BT123" s="44" t="str">
        <f t="shared" si="27"/>
        <v>Ceiling (Medium)</v>
      </c>
      <c r="BU123" s="44"/>
      <c r="BV123" s="44">
        <f t="shared" si="36"/>
        <v>1000</v>
      </c>
      <c r="BW123" s="44" t="str">
        <f t="shared" si="28"/>
        <v>Ceiling (Medium)</v>
      </c>
      <c r="BX123" s="44"/>
      <c r="BY123" s="44">
        <f t="shared" si="37"/>
        <v>3000</v>
      </c>
      <c r="BZ123" s="44" t="str">
        <f t="shared" si="29"/>
        <v>Ceiling (Medium)</v>
      </c>
      <c r="CA123" s="44">
        <v>50000</v>
      </c>
      <c r="CB123" s="45" t="s">
        <v>0</v>
      </c>
      <c r="CC123" s="325"/>
    </row>
    <row r="124" spans="1:81" s="26" customFormat="1" x14ac:dyDescent="0.2">
      <c r="A124" s="371" t="s">
        <v>7</v>
      </c>
      <c r="B124" s="52" t="s">
        <v>6</v>
      </c>
      <c r="C124" s="72">
        <v>42922</v>
      </c>
      <c r="D124" s="48">
        <v>0.2</v>
      </c>
      <c r="E124" s="20">
        <v>1</v>
      </c>
      <c r="F124" s="48">
        <v>0.4</v>
      </c>
      <c r="G124" s="20">
        <v>6</v>
      </c>
      <c r="H124" s="49">
        <v>0.1</v>
      </c>
      <c r="I124" s="20">
        <v>1</v>
      </c>
      <c r="J124" s="49">
        <v>0.4</v>
      </c>
      <c r="K124" s="20">
        <v>6</v>
      </c>
      <c r="L124" s="49"/>
      <c r="M124" s="20" t="s">
        <v>2</v>
      </c>
      <c r="N124" s="21">
        <v>1</v>
      </c>
      <c r="O124" s="49"/>
      <c r="P124" s="20"/>
      <c r="Q124" s="40">
        <v>1</v>
      </c>
      <c r="R124" s="40" t="s">
        <v>504</v>
      </c>
      <c r="S124" s="40">
        <v>0.03</v>
      </c>
      <c r="T124" s="40" t="s">
        <v>504</v>
      </c>
      <c r="U124" s="40">
        <v>1</v>
      </c>
      <c r="V124" s="40" t="s">
        <v>504</v>
      </c>
      <c r="W124" s="40">
        <v>0.03</v>
      </c>
      <c r="X124" s="40" t="s">
        <v>504</v>
      </c>
      <c r="Y124" s="40" t="s">
        <v>1</v>
      </c>
      <c r="Z124" s="40"/>
      <c r="AA124" s="40" t="s">
        <v>1</v>
      </c>
      <c r="AB124" s="40"/>
      <c r="AC124" s="42">
        <v>1</v>
      </c>
      <c r="AD124" s="42">
        <v>9</v>
      </c>
      <c r="AE124" s="42">
        <v>1</v>
      </c>
      <c r="AF124" s="42">
        <v>9</v>
      </c>
      <c r="AG124" s="42"/>
      <c r="AH124" s="42"/>
      <c r="AI124" s="62"/>
      <c r="AJ124" s="20"/>
      <c r="AK124" s="66">
        <v>1</v>
      </c>
      <c r="AL124" s="66" t="s">
        <v>1</v>
      </c>
      <c r="AM124" s="62"/>
      <c r="AN124" s="62"/>
      <c r="AO124" s="43">
        <f>VLOOKUP(A124,[1]!IABKGRD,7,FALSE)</f>
        <v>28</v>
      </c>
      <c r="AP124" s="26">
        <v>40</v>
      </c>
      <c r="AQ124" s="26">
        <f>2.143+5.76+8.8</f>
        <v>16.702999999999999</v>
      </c>
      <c r="AR124" s="26">
        <v>530</v>
      </c>
      <c r="AS124" s="20">
        <v>24</v>
      </c>
      <c r="AT124" s="26">
        <v>441</v>
      </c>
      <c r="AU124" s="47">
        <f t="shared" si="40"/>
        <v>0.10172656023222058</v>
      </c>
      <c r="AV124" s="20">
        <v>13</v>
      </c>
      <c r="AW124" s="49">
        <f t="shared" si="41"/>
        <v>58.981646349815108</v>
      </c>
      <c r="AX124" s="26">
        <f t="shared" si="38"/>
        <v>0.1</v>
      </c>
      <c r="AY124" s="26">
        <f t="shared" si="39"/>
        <v>2.5</v>
      </c>
      <c r="AZ124" s="23">
        <v>106000</v>
      </c>
      <c r="BA124" s="64">
        <v>22</v>
      </c>
      <c r="BB124" s="23">
        <v>6.6299999999999996E-3</v>
      </c>
      <c r="BC124" s="20">
        <v>22</v>
      </c>
      <c r="BD124" s="27">
        <v>0.27132100180062202</v>
      </c>
      <c r="BE124" s="20">
        <v>106</v>
      </c>
      <c r="BF124" s="20">
        <v>13</v>
      </c>
      <c r="BG124" s="26">
        <v>6</v>
      </c>
      <c r="BH124" s="26">
        <v>3.16</v>
      </c>
      <c r="BI124" s="34">
        <v>16</v>
      </c>
      <c r="BJ124" s="19">
        <f>(196+241+311)/3</f>
        <v>249.33333333333334</v>
      </c>
      <c r="BK124" s="20" t="s">
        <v>466</v>
      </c>
      <c r="BL124" s="20">
        <v>13.2</v>
      </c>
      <c r="BM124" s="20">
        <v>17</v>
      </c>
      <c r="BN124" s="22"/>
      <c r="BO124" s="49">
        <f t="shared" si="42"/>
        <v>4.9203953568145137E-2</v>
      </c>
      <c r="BP124" s="24"/>
      <c r="BQ124" s="24"/>
      <c r="BR124" s="44"/>
      <c r="BS124" s="44">
        <f t="shared" si="35"/>
        <v>500</v>
      </c>
      <c r="BT124" s="44" t="str">
        <f t="shared" si="27"/>
        <v>Ceiling (Medium)</v>
      </c>
      <c r="BU124" s="44"/>
      <c r="BV124" s="44">
        <f t="shared" si="36"/>
        <v>1000</v>
      </c>
      <c r="BW124" s="44" t="str">
        <f t="shared" si="28"/>
        <v>Ceiling (Medium)</v>
      </c>
      <c r="BX124" s="44"/>
      <c r="BY124" s="44">
        <f t="shared" si="37"/>
        <v>3000</v>
      </c>
      <c r="BZ124" s="44" t="str">
        <f t="shared" si="29"/>
        <v>Ceiling (Medium)</v>
      </c>
      <c r="CA124" s="44">
        <v>50000</v>
      </c>
      <c r="CB124" s="45" t="s">
        <v>0</v>
      </c>
      <c r="CC124" s="325"/>
    </row>
    <row r="125" spans="1:81" s="26" customFormat="1" ht="10.5" thickBot="1" x14ac:dyDescent="0.25">
      <c r="A125" s="373" t="s">
        <v>4</v>
      </c>
      <c r="B125" s="374" t="s">
        <v>3</v>
      </c>
      <c r="C125" s="337">
        <v>42923</v>
      </c>
      <c r="D125" s="338">
        <v>0.3</v>
      </c>
      <c r="E125" s="339">
        <v>1</v>
      </c>
      <c r="F125" s="338">
        <v>0.3</v>
      </c>
      <c r="G125" s="339">
        <v>2</v>
      </c>
      <c r="H125" s="340">
        <v>1.4E-3</v>
      </c>
      <c r="I125" s="339" t="s">
        <v>443</v>
      </c>
      <c r="J125" s="340">
        <v>1.4E-3</v>
      </c>
      <c r="K125" s="339" t="s">
        <v>488</v>
      </c>
      <c r="L125" s="340"/>
      <c r="M125" s="339" t="s">
        <v>2</v>
      </c>
      <c r="N125" s="341">
        <v>1</v>
      </c>
      <c r="O125" s="340"/>
      <c r="P125" s="339"/>
      <c r="Q125" s="342">
        <v>1</v>
      </c>
      <c r="R125" s="342" t="s">
        <v>504</v>
      </c>
      <c r="S125" s="342">
        <v>0.1</v>
      </c>
      <c r="T125" s="342" t="s">
        <v>504</v>
      </c>
      <c r="U125" s="342">
        <v>1</v>
      </c>
      <c r="V125" s="342" t="s">
        <v>504</v>
      </c>
      <c r="W125" s="342">
        <v>0.1</v>
      </c>
      <c r="X125" s="342" t="s">
        <v>504</v>
      </c>
      <c r="Y125" s="342" t="s">
        <v>1</v>
      </c>
      <c r="Z125" s="342"/>
      <c r="AA125" s="342" t="s">
        <v>1</v>
      </c>
      <c r="AB125" s="342"/>
      <c r="AC125" s="343">
        <v>1</v>
      </c>
      <c r="AD125" s="343">
        <v>9</v>
      </c>
      <c r="AE125" s="343">
        <v>1</v>
      </c>
      <c r="AF125" s="343">
        <v>9</v>
      </c>
      <c r="AG125" s="343"/>
      <c r="AH125" s="343"/>
      <c r="AI125" s="344">
        <v>300</v>
      </c>
      <c r="AJ125" s="339"/>
      <c r="AK125" s="345">
        <v>0.46</v>
      </c>
      <c r="AL125" s="345" t="s">
        <v>1</v>
      </c>
      <c r="AM125" s="344">
        <v>100</v>
      </c>
      <c r="AN125" s="344"/>
      <c r="AO125" s="346">
        <f>VLOOKUP(A125,[1]!IABKGRD,7,FALSE)</f>
        <v>0</v>
      </c>
      <c r="AP125" s="347"/>
      <c r="AQ125" s="347"/>
      <c r="AR125" s="347"/>
      <c r="AS125" s="339"/>
      <c r="AT125" s="347"/>
      <c r="AU125" s="348">
        <f t="shared" si="40"/>
        <v>0</v>
      </c>
      <c r="AV125" s="339"/>
      <c r="AW125" s="340">
        <f t="shared" si="41"/>
        <v>0</v>
      </c>
      <c r="AX125" s="347">
        <f t="shared" si="38"/>
        <v>0.4</v>
      </c>
      <c r="AY125" s="347">
        <f t="shared" si="39"/>
        <v>2</v>
      </c>
      <c r="AZ125" s="349">
        <v>0</v>
      </c>
      <c r="BA125" s="339"/>
      <c r="BB125" s="349"/>
      <c r="BC125" s="349"/>
      <c r="BD125" s="350"/>
      <c r="BE125" s="339">
        <v>65</v>
      </c>
      <c r="BF125" s="339">
        <v>13</v>
      </c>
      <c r="BG125" s="351"/>
      <c r="BH125" s="347">
        <v>-0.47</v>
      </c>
      <c r="BI125" s="352"/>
      <c r="BJ125" s="349">
        <v>0</v>
      </c>
      <c r="BK125" s="349"/>
      <c r="BL125" s="349"/>
      <c r="BM125" s="349"/>
      <c r="BN125" s="353"/>
      <c r="BO125" s="340">
        <v>5.9999999999999995E-4</v>
      </c>
      <c r="BP125" s="347">
        <v>1.52</v>
      </c>
      <c r="BQ125" s="347"/>
      <c r="BR125" s="354"/>
      <c r="BS125" s="354">
        <f t="shared" si="35"/>
        <v>1000</v>
      </c>
      <c r="BT125" s="354" t="str">
        <f t="shared" si="27"/>
        <v>Ceiling (High)</v>
      </c>
      <c r="BU125" s="354"/>
      <c r="BV125" s="354">
        <f t="shared" si="36"/>
        <v>3000</v>
      </c>
      <c r="BW125" s="354" t="str">
        <f t="shared" si="28"/>
        <v>Ceiling (High)</v>
      </c>
      <c r="BX125" s="354"/>
      <c r="BY125" s="354">
        <f t="shared" si="37"/>
        <v>5000</v>
      </c>
      <c r="BZ125" s="354" t="str">
        <f t="shared" si="29"/>
        <v>Ceiling (High)</v>
      </c>
      <c r="CA125" s="354">
        <v>50000</v>
      </c>
      <c r="CB125" s="355" t="s">
        <v>0</v>
      </c>
      <c r="CC125" s="326" t="s">
        <v>680</v>
      </c>
    </row>
    <row r="126" spans="1:81" ht="10.5" thickTop="1" x14ac:dyDescent="0.2">
      <c r="C126" s="38"/>
      <c r="H126" s="50"/>
      <c r="L126" s="18"/>
      <c r="M126" s="18"/>
      <c r="N126" s="18"/>
      <c r="O126" s="51"/>
      <c r="P126" s="18"/>
      <c r="AI126" s="4"/>
      <c r="AJ126" s="4"/>
      <c r="AK126" s="4"/>
      <c r="AL126" s="4"/>
      <c r="BD126" s="6"/>
      <c r="BI126" s="65"/>
      <c r="BN126" s="5"/>
      <c r="BO126" s="46"/>
      <c r="BP126" s="5"/>
      <c r="BQ126" s="5"/>
      <c r="BU126" s="46"/>
      <c r="BV126" s="46"/>
    </row>
    <row r="127" spans="1:81" x14ac:dyDescent="0.2">
      <c r="C127" s="38"/>
      <c r="H127" s="50"/>
      <c r="O127" s="51"/>
      <c r="AI127" s="4"/>
      <c r="AJ127" s="4"/>
      <c r="AK127" s="4"/>
      <c r="AL127" s="4"/>
      <c r="BD127" s="6"/>
      <c r="BI127" s="65"/>
      <c r="BU127" s="46"/>
      <c r="BV127" s="46"/>
    </row>
    <row r="128" spans="1:81" x14ac:dyDescent="0.2">
      <c r="C128" s="38"/>
      <c r="H128" s="50"/>
      <c r="O128" s="51"/>
      <c r="AI128" s="4"/>
      <c r="AJ128" s="4"/>
      <c r="AK128" s="4"/>
      <c r="AL128" s="4"/>
      <c r="BD128" s="6"/>
      <c r="BI128" s="65"/>
      <c r="BU128" s="46"/>
      <c r="BV128" s="46"/>
    </row>
    <row r="129" spans="3:74" x14ac:dyDescent="0.2">
      <c r="C129" s="38"/>
      <c r="H129" s="50"/>
      <c r="O129" s="51"/>
      <c r="AI129" s="39"/>
      <c r="AJ129" s="39"/>
      <c r="AK129" s="39"/>
      <c r="AL129" s="39"/>
      <c r="BD129" s="6"/>
      <c r="BI129" s="65"/>
      <c r="BU129" s="46"/>
      <c r="BV129" s="46"/>
    </row>
    <row r="130" spans="3:74" x14ac:dyDescent="0.2">
      <c r="C130" s="38"/>
      <c r="H130" s="50"/>
      <c r="O130" s="51"/>
      <c r="BD130" s="6"/>
      <c r="BU130" s="46"/>
      <c r="BV130" s="46"/>
    </row>
    <row r="131" spans="3:74" x14ac:dyDescent="0.2">
      <c r="C131" s="38"/>
      <c r="H131" s="50"/>
      <c r="O131" s="51"/>
      <c r="BU131" s="46"/>
      <c r="BV131" s="46"/>
    </row>
    <row r="132" spans="3:74" x14ac:dyDescent="0.2">
      <c r="C132" s="38"/>
      <c r="H132" s="50"/>
      <c r="O132" s="51"/>
      <c r="BU132" s="46"/>
      <c r="BV132" s="46"/>
    </row>
    <row r="133" spans="3:74" x14ac:dyDescent="0.2">
      <c r="C133" s="38"/>
      <c r="H133" s="50"/>
      <c r="O133" s="51"/>
      <c r="BU133" s="46"/>
      <c r="BV133" s="46"/>
    </row>
    <row r="134" spans="3:74" x14ac:dyDescent="0.2">
      <c r="H134" s="50"/>
      <c r="O134" s="51"/>
      <c r="BU134" s="46"/>
      <c r="BV134" s="46"/>
    </row>
    <row r="135" spans="3:74" x14ac:dyDescent="0.2">
      <c r="H135" s="50"/>
      <c r="O135" s="51"/>
      <c r="BU135" s="46"/>
      <c r="BV135" s="46"/>
    </row>
    <row r="136" spans="3:74" x14ac:dyDescent="0.2">
      <c r="H136" s="50"/>
      <c r="O136" s="51"/>
    </row>
    <row r="137" spans="3:74" x14ac:dyDescent="0.2">
      <c r="H137" s="50"/>
      <c r="O137" s="51"/>
    </row>
    <row r="138" spans="3:74" x14ac:dyDescent="0.2">
      <c r="H138" s="50"/>
      <c r="O138" s="51"/>
    </row>
    <row r="139" spans="3:74" x14ac:dyDescent="0.2">
      <c r="H139" s="50"/>
      <c r="O139" s="51"/>
    </row>
    <row r="140" spans="3:74" x14ac:dyDescent="0.2">
      <c r="H140" s="50"/>
      <c r="O140" s="51"/>
    </row>
    <row r="141" spans="3:74" x14ac:dyDescent="0.2">
      <c r="H141" s="50"/>
      <c r="O141" s="51"/>
    </row>
    <row r="142" spans="3:74" x14ac:dyDescent="0.2">
      <c r="H142" s="50"/>
      <c r="O142" s="51"/>
    </row>
    <row r="143" spans="3:74" x14ac:dyDescent="0.2">
      <c r="H143" s="50"/>
      <c r="O143" s="51"/>
    </row>
    <row r="144" spans="3:74" x14ac:dyDescent="0.2">
      <c r="H144" s="50"/>
      <c r="O144" s="51"/>
    </row>
    <row r="145" spans="8:15" x14ac:dyDescent="0.2">
      <c r="H145" s="50"/>
      <c r="O145" s="51"/>
    </row>
    <row r="146" spans="8:15" x14ac:dyDescent="0.2">
      <c r="H146" s="50"/>
      <c r="O146" s="51"/>
    </row>
    <row r="147" spans="8:15" x14ac:dyDescent="0.2">
      <c r="H147" s="50"/>
      <c r="O147" s="51"/>
    </row>
    <row r="148" spans="8:15" x14ac:dyDescent="0.2">
      <c r="H148" s="50"/>
      <c r="O148" s="51"/>
    </row>
    <row r="149" spans="8:15" x14ac:dyDescent="0.2">
      <c r="H149" s="50"/>
      <c r="O149" s="51"/>
    </row>
    <row r="150" spans="8:15" x14ac:dyDescent="0.2">
      <c r="H150" s="50"/>
      <c r="O150" s="51"/>
    </row>
    <row r="151" spans="8:15" x14ac:dyDescent="0.2">
      <c r="H151" s="50"/>
      <c r="O151" s="51"/>
    </row>
    <row r="152" spans="8:15" x14ac:dyDescent="0.2">
      <c r="H152" s="50"/>
      <c r="O152" s="51"/>
    </row>
    <row r="153" spans="8:15" x14ac:dyDescent="0.2">
      <c r="H153" s="50"/>
      <c r="O153" s="51"/>
    </row>
    <row r="154" spans="8:15" x14ac:dyDescent="0.2">
      <c r="H154" s="50"/>
      <c r="O154" s="51"/>
    </row>
    <row r="155" spans="8:15" x14ac:dyDescent="0.2">
      <c r="H155" s="50"/>
      <c r="O155" s="51"/>
    </row>
    <row r="156" spans="8:15" x14ac:dyDescent="0.2">
      <c r="H156" s="50"/>
      <c r="O156" s="51"/>
    </row>
    <row r="157" spans="8:15" x14ac:dyDescent="0.2">
      <c r="H157" s="50"/>
      <c r="O157" s="51"/>
    </row>
    <row r="158" spans="8:15" x14ac:dyDescent="0.2">
      <c r="H158" s="50"/>
      <c r="O158" s="51"/>
    </row>
    <row r="159" spans="8:15" x14ac:dyDescent="0.2">
      <c r="H159" s="50"/>
      <c r="O159" s="51"/>
    </row>
    <row r="160" spans="8:15" x14ac:dyDescent="0.2">
      <c r="H160" s="50"/>
      <c r="O160" s="51"/>
    </row>
    <row r="161" spans="8:15" x14ac:dyDescent="0.2">
      <c r="H161" s="50"/>
      <c r="O161" s="51"/>
    </row>
    <row r="162" spans="8:15" x14ac:dyDescent="0.2">
      <c r="H162" s="50"/>
      <c r="O162" s="51"/>
    </row>
    <row r="163" spans="8:15" x14ac:dyDescent="0.2">
      <c r="H163" s="50"/>
      <c r="O163" s="51"/>
    </row>
    <row r="164" spans="8:15" x14ac:dyDescent="0.2">
      <c r="H164" s="50"/>
      <c r="O164" s="51"/>
    </row>
    <row r="165" spans="8:15" x14ac:dyDescent="0.2">
      <c r="H165" s="50"/>
      <c r="O165" s="51"/>
    </row>
    <row r="166" spans="8:15" x14ac:dyDescent="0.2">
      <c r="H166" s="50"/>
      <c r="O166" s="51"/>
    </row>
    <row r="167" spans="8:15" x14ac:dyDescent="0.2">
      <c r="H167" s="50"/>
      <c r="O167" s="51"/>
    </row>
    <row r="168" spans="8:15" x14ac:dyDescent="0.2">
      <c r="H168" s="50"/>
      <c r="O168" s="51"/>
    </row>
    <row r="169" spans="8:15" x14ac:dyDescent="0.2">
      <c r="H169" s="50"/>
      <c r="O169" s="51"/>
    </row>
    <row r="170" spans="8:15" x14ac:dyDescent="0.2">
      <c r="H170" s="50"/>
      <c r="O170" s="51"/>
    </row>
    <row r="171" spans="8:15" x14ac:dyDescent="0.2">
      <c r="H171" s="50"/>
      <c r="O171" s="51"/>
    </row>
    <row r="172" spans="8:15" x14ac:dyDescent="0.2">
      <c r="H172" s="50"/>
      <c r="O172" s="51"/>
    </row>
    <row r="173" spans="8:15" x14ac:dyDescent="0.2">
      <c r="H173" s="50"/>
      <c r="O173" s="51"/>
    </row>
    <row r="174" spans="8:15" x14ac:dyDescent="0.2">
      <c r="H174" s="50"/>
      <c r="O174" s="51"/>
    </row>
    <row r="175" spans="8:15" x14ac:dyDescent="0.2">
      <c r="H175" s="50"/>
      <c r="O175" s="51"/>
    </row>
    <row r="176" spans="8:15" x14ac:dyDescent="0.2">
      <c r="H176" s="50"/>
      <c r="O176" s="51"/>
    </row>
    <row r="177" spans="8:62" x14ac:dyDescent="0.2">
      <c r="H177" s="50"/>
      <c r="O177" s="51"/>
    </row>
    <row r="178" spans="8:62" x14ac:dyDescent="0.2">
      <c r="H178" s="50"/>
      <c r="O178" s="51"/>
    </row>
    <row r="179" spans="8:62" x14ac:dyDescent="0.2">
      <c r="H179" s="50"/>
      <c r="O179" s="51"/>
    </row>
    <row r="180" spans="8:62" x14ac:dyDescent="0.2">
      <c r="H180" s="50"/>
      <c r="O180" s="51"/>
      <c r="BJ180" s="2"/>
    </row>
    <row r="181" spans="8:62" x14ac:dyDescent="0.2">
      <c r="H181" s="50"/>
      <c r="O181" s="51"/>
    </row>
    <row r="182" spans="8:62" x14ac:dyDescent="0.2">
      <c r="H182" s="50"/>
      <c r="O182" s="51"/>
    </row>
    <row r="183" spans="8:62" x14ac:dyDescent="0.2">
      <c r="H183" s="50"/>
      <c r="O183" s="51"/>
    </row>
    <row r="184" spans="8:62" x14ac:dyDescent="0.2">
      <c r="H184" s="50"/>
    </row>
    <row r="185" spans="8:62" x14ac:dyDescent="0.2">
      <c r="H185" s="50"/>
    </row>
    <row r="186" spans="8:62" x14ac:dyDescent="0.2">
      <c r="H186" s="50"/>
    </row>
    <row r="187" spans="8:62" x14ac:dyDescent="0.2">
      <c r="H187" s="50"/>
    </row>
    <row r="188" spans="8:62" x14ac:dyDescent="0.2">
      <c r="H188" s="50"/>
    </row>
    <row r="189" spans="8:62" x14ac:dyDescent="0.2">
      <c r="H189" s="50"/>
    </row>
    <row r="190" spans="8:62" x14ac:dyDescent="0.2">
      <c r="H190" s="50"/>
    </row>
    <row r="191" spans="8:62" x14ac:dyDescent="0.2">
      <c r="H191" s="50"/>
    </row>
    <row r="192" spans="8:62" x14ac:dyDescent="0.2">
      <c r="H192" s="50"/>
    </row>
    <row r="193" spans="8:8" x14ac:dyDescent="0.2">
      <c r="H193" s="50"/>
    </row>
    <row r="194" spans="8:8" x14ac:dyDescent="0.2">
      <c r="H194" s="50"/>
    </row>
    <row r="195" spans="8:8" x14ac:dyDescent="0.2">
      <c r="H195" s="50"/>
    </row>
    <row r="196" spans="8:8" x14ac:dyDescent="0.2">
      <c r="H196" s="50"/>
    </row>
    <row r="197" spans="8:8" x14ac:dyDescent="0.2">
      <c r="H197" s="50"/>
    </row>
    <row r="198" spans="8:8" x14ac:dyDescent="0.2">
      <c r="H198" s="50"/>
    </row>
    <row r="199" spans="8:8" x14ac:dyDescent="0.2">
      <c r="H199" s="50"/>
    </row>
    <row r="200" spans="8:8" x14ac:dyDescent="0.2">
      <c r="H200" s="50"/>
    </row>
    <row r="201" spans="8:8" x14ac:dyDescent="0.2">
      <c r="H201" s="50"/>
    </row>
    <row r="202" spans="8:8" x14ac:dyDescent="0.2">
      <c r="H202" s="50"/>
    </row>
    <row r="203" spans="8:8" x14ac:dyDescent="0.2">
      <c r="H203" s="50"/>
    </row>
    <row r="204" spans="8:8" x14ac:dyDescent="0.2">
      <c r="H204" s="50"/>
    </row>
    <row r="205" spans="8:8" x14ac:dyDescent="0.2">
      <c r="H205" s="50"/>
    </row>
    <row r="206" spans="8:8" x14ac:dyDescent="0.2">
      <c r="H206" s="50"/>
    </row>
    <row r="207" spans="8:8" x14ac:dyDescent="0.2">
      <c r="H207" s="50"/>
    </row>
    <row r="208" spans="8:8" x14ac:dyDescent="0.2">
      <c r="H208" s="50"/>
    </row>
    <row r="209" spans="8:8" x14ac:dyDescent="0.2">
      <c r="H209" s="50"/>
    </row>
    <row r="210" spans="8:8" x14ac:dyDescent="0.2">
      <c r="H210" s="50"/>
    </row>
    <row r="211" spans="8:8" x14ac:dyDescent="0.2">
      <c r="H211" s="50"/>
    </row>
    <row r="212" spans="8:8" x14ac:dyDescent="0.2">
      <c r="H212" s="50"/>
    </row>
    <row r="213" spans="8:8" x14ac:dyDescent="0.2">
      <c r="H213" s="50"/>
    </row>
    <row r="214" spans="8:8" x14ac:dyDescent="0.2">
      <c r="H214" s="50"/>
    </row>
    <row r="215" spans="8:8" x14ac:dyDescent="0.2">
      <c r="H215" s="50"/>
    </row>
    <row r="216" spans="8:8" x14ac:dyDescent="0.2">
      <c r="H216" s="50"/>
    </row>
    <row r="217" spans="8:8" x14ac:dyDescent="0.2">
      <c r="H217" s="50"/>
    </row>
    <row r="218" spans="8:8" x14ac:dyDescent="0.2">
      <c r="H218" s="50"/>
    </row>
    <row r="219" spans="8:8" x14ac:dyDescent="0.2">
      <c r="H219" s="50"/>
    </row>
    <row r="220" spans="8:8" x14ac:dyDescent="0.2">
      <c r="H220" s="50"/>
    </row>
    <row r="221" spans="8:8" x14ac:dyDescent="0.2">
      <c r="H221" s="50"/>
    </row>
    <row r="222" spans="8:8" x14ac:dyDescent="0.2">
      <c r="H222" s="50"/>
    </row>
    <row r="223" spans="8:8" x14ac:dyDescent="0.2">
      <c r="H223" s="50"/>
    </row>
    <row r="224" spans="8:8" x14ac:dyDescent="0.2">
      <c r="H224" s="50"/>
    </row>
    <row r="225" spans="8:8" x14ac:dyDescent="0.2">
      <c r="H225" s="50"/>
    </row>
    <row r="226" spans="8:8" x14ac:dyDescent="0.2">
      <c r="H226" s="50"/>
    </row>
    <row r="227" spans="8:8" x14ac:dyDescent="0.2">
      <c r="H227" s="50"/>
    </row>
    <row r="228" spans="8:8" x14ac:dyDescent="0.2">
      <c r="H228" s="50"/>
    </row>
    <row r="229" spans="8:8" x14ac:dyDescent="0.2">
      <c r="H229" s="50"/>
    </row>
    <row r="230" spans="8:8" x14ac:dyDescent="0.2">
      <c r="H230" s="50"/>
    </row>
    <row r="231" spans="8:8" x14ac:dyDescent="0.2">
      <c r="H231" s="50"/>
    </row>
    <row r="232" spans="8:8" x14ac:dyDescent="0.2">
      <c r="H232" s="50"/>
    </row>
    <row r="233" spans="8:8" x14ac:dyDescent="0.2">
      <c r="H233" s="50"/>
    </row>
    <row r="234" spans="8:8" x14ac:dyDescent="0.2">
      <c r="H234" s="50"/>
    </row>
    <row r="235" spans="8:8" x14ac:dyDescent="0.2">
      <c r="H235" s="50"/>
    </row>
    <row r="236" spans="8:8" x14ac:dyDescent="0.2">
      <c r="H236" s="50"/>
    </row>
    <row r="237" spans="8:8" x14ac:dyDescent="0.2">
      <c r="H237" s="50"/>
    </row>
    <row r="238" spans="8:8" x14ac:dyDescent="0.2">
      <c r="H238" s="50"/>
    </row>
    <row r="239" spans="8:8" x14ac:dyDescent="0.2">
      <c r="H239" s="50"/>
    </row>
    <row r="240" spans="8:8" x14ac:dyDescent="0.2">
      <c r="H240" s="50"/>
    </row>
    <row r="241" spans="8:8" x14ac:dyDescent="0.2">
      <c r="H241" s="50"/>
    </row>
    <row r="242" spans="8:8" x14ac:dyDescent="0.2">
      <c r="H242" s="50"/>
    </row>
    <row r="243" spans="8:8" x14ac:dyDescent="0.2">
      <c r="H243" s="50"/>
    </row>
    <row r="244" spans="8:8" x14ac:dyDescent="0.2">
      <c r="H244" s="50"/>
    </row>
    <row r="245" spans="8:8" x14ac:dyDescent="0.2">
      <c r="H245" s="50"/>
    </row>
    <row r="246" spans="8:8" x14ac:dyDescent="0.2">
      <c r="H246" s="50"/>
    </row>
    <row r="247" spans="8:8" x14ac:dyDescent="0.2">
      <c r="H247" s="50"/>
    </row>
    <row r="248" spans="8:8" x14ac:dyDescent="0.2">
      <c r="H248" s="50"/>
    </row>
    <row r="249" spans="8:8" x14ac:dyDescent="0.2">
      <c r="H249" s="50"/>
    </row>
    <row r="250" spans="8:8" x14ac:dyDescent="0.2">
      <c r="H250" s="50"/>
    </row>
    <row r="251" spans="8:8" x14ac:dyDescent="0.2">
      <c r="H251" s="50"/>
    </row>
    <row r="252" spans="8:8" x14ac:dyDescent="0.2">
      <c r="H252" s="50"/>
    </row>
  </sheetData>
  <autoFilter ref="A2:CC125" xr:uid="{00000000-0001-0000-0100-000000000000}"/>
  <phoneticPr fontId="0" type="noConversion"/>
  <pageMargins left="0.5" right="0.5" top="1" bottom="1" header="0.5" footer="0.5"/>
  <pageSetup scale="80" pageOrder="overThenDown" orientation="landscape" r:id="rId1"/>
  <headerFooter>
    <oddHeader>&amp;C&amp;"Arial,Bold"MCP Numerical Standards Derivation</oddHeader>
    <oddFooter>&amp;L&amp;8MassDEP&amp;C&amp;8 2024&amp;R&amp;8Workbook:  MCP Toxicity
Sheet:  Introduction
Page: &amp;P/&amp;N</oddFooter>
  </headerFooter>
  <rowBreaks count="1" manualBreakCount="1">
    <brk id="94" min="2" max="67" man="1"/>
  </rowBreaks>
  <colBreaks count="4" manualBreakCount="4">
    <brk id="16" min="2" max="118" man="1"/>
    <brk id="38" min="2" max="118" man="1"/>
    <brk id="56" min="2" max="118" man="1"/>
    <brk id="69" min="2" max="118" man="1"/>
  </colBreaks>
  <ignoredErrors>
    <ignoredError sqref="CB96:CB125 CB87:CB94 CB3:CB86" numberStoredAsText="1"/>
  </ignoredError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4"/>
  <sheetViews>
    <sheetView showGridLines="0" workbookViewId="0"/>
  </sheetViews>
  <sheetFormatPr defaultColWidth="9.08984375" defaultRowHeight="12.5" x14ac:dyDescent="0.25"/>
  <cols>
    <col min="1" max="1" width="4.08984375" style="1" customWidth="1"/>
    <col min="2" max="2" width="9.08984375" style="1"/>
    <col min="3" max="3" width="26.6328125" style="1" customWidth="1"/>
    <col min="4" max="4" width="9.08984375" style="1"/>
    <col min="5" max="5" width="7.90625" style="1" customWidth="1"/>
    <col min="6" max="16384" width="9.08984375" style="1"/>
  </cols>
  <sheetData>
    <row r="1" spans="1:7" ht="13.5" thickBot="1" x14ac:dyDescent="0.35">
      <c r="G1" s="8"/>
    </row>
    <row r="2" spans="1:7" x14ac:dyDescent="0.25">
      <c r="A2" s="286"/>
      <c r="B2" s="287"/>
      <c r="C2" s="287"/>
      <c r="D2" s="287"/>
      <c r="E2" s="288"/>
    </row>
    <row r="3" spans="1:7" ht="15.5" x14ac:dyDescent="0.35">
      <c r="A3" s="289"/>
      <c r="B3" s="14" t="s">
        <v>268</v>
      </c>
      <c r="C3" s="13"/>
      <c r="D3" s="13"/>
      <c r="E3" s="290"/>
    </row>
    <row r="4" spans="1:7" x14ac:dyDescent="0.25">
      <c r="A4" s="289"/>
      <c r="B4" s="13" t="s">
        <v>267</v>
      </c>
      <c r="C4" s="291"/>
      <c r="D4" s="13"/>
      <c r="E4" s="290"/>
    </row>
    <row r="5" spans="1:7" x14ac:dyDescent="0.25">
      <c r="A5" s="289"/>
      <c r="B5" s="10"/>
      <c r="C5" s="10"/>
      <c r="D5" s="10"/>
      <c r="E5" s="290"/>
    </row>
    <row r="6" spans="1:7" ht="13" x14ac:dyDescent="0.3">
      <c r="A6" s="289"/>
      <c r="B6" s="12" t="s">
        <v>266</v>
      </c>
      <c r="C6" s="10"/>
      <c r="D6" s="10"/>
      <c r="E6" s="290"/>
    </row>
    <row r="7" spans="1:7" x14ac:dyDescent="0.25">
      <c r="A7" s="289"/>
      <c r="B7" s="10"/>
      <c r="C7" s="10"/>
      <c r="D7" s="10"/>
      <c r="E7" s="290"/>
    </row>
    <row r="8" spans="1:7" ht="13" x14ac:dyDescent="0.3">
      <c r="A8" s="289"/>
      <c r="B8" s="10"/>
      <c r="C8" s="11" t="s">
        <v>265</v>
      </c>
      <c r="D8" s="295">
        <v>0.2</v>
      </c>
      <c r="E8" s="290"/>
    </row>
    <row r="9" spans="1:7" x14ac:dyDescent="0.25">
      <c r="A9" s="289"/>
      <c r="B9" s="10"/>
      <c r="C9" s="10"/>
      <c r="D9" s="10"/>
      <c r="E9" s="290"/>
    </row>
    <row r="10" spans="1:7" ht="13" x14ac:dyDescent="0.3">
      <c r="A10" s="289"/>
      <c r="B10" s="12" t="s">
        <v>264</v>
      </c>
      <c r="C10" s="10"/>
      <c r="D10" s="10"/>
      <c r="E10" s="290"/>
    </row>
    <row r="11" spans="1:7" x14ac:dyDescent="0.25">
      <c r="A11" s="289"/>
      <c r="B11" s="10"/>
      <c r="C11" s="10"/>
      <c r="D11" s="10"/>
      <c r="E11" s="290"/>
    </row>
    <row r="12" spans="1:7" ht="13" x14ac:dyDescent="0.3">
      <c r="A12" s="289"/>
      <c r="B12" s="10"/>
      <c r="C12" s="11" t="s">
        <v>263</v>
      </c>
      <c r="D12" s="296">
        <v>9.9999999999999995E-7</v>
      </c>
      <c r="E12" s="290"/>
    </row>
    <row r="13" spans="1:7" x14ac:dyDescent="0.25">
      <c r="A13" s="289"/>
      <c r="B13" s="10"/>
      <c r="C13" s="10"/>
      <c r="D13" s="10"/>
      <c r="E13" s="290"/>
    </row>
    <row r="14" spans="1:7" ht="13" thickBot="1" x14ac:dyDescent="0.3">
      <c r="A14" s="292"/>
      <c r="B14" s="293"/>
      <c r="C14" s="293"/>
      <c r="D14" s="293"/>
      <c r="E14" s="294"/>
    </row>
  </sheetData>
  <sheetProtection sheet="1" objects="1" scenarios="1"/>
  <phoneticPr fontId="0" type="noConversion"/>
  <pageMargins left="0.5" right="0.5" top="1" bottom="1" header="0.5" footer="0.5"/>
  <pageSetup scale="91" orientation="landscape" r:id="rId1"/>
  <headerFooter>
    <oddHeader>&amp;C&amp;"Arial,Bold"MCP Numerical Standards Derivation</oddHeader>
    <oddFooter>&amp;L&amp;8MassDEP&amp;C&amp;8 2024&amp;R&amp;8Workbook:  MCP Toxicity
Sheet:  Introduction
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I137"/>
  <sheetViews>
    <sheetView showGridLines="0" showZeros="0" workbookViewId="0">
      <pane xSplit="1" ySplit="6" topLeftCell="B7" activePane="bottomRight" state="frozen"/>
      <selection activeCell="B3" sqref="B3"/>
      <selection pane="topRight" activeCell="B3" sqref="B3"/>
      <selection pane="bottomLeft" activeCell="B3" sqref="B3"/>
      <selection pane="bottomRight" activeCell="A7" sqref="A7"/>
    </sheetView>
  </sheetViews>
  <sheetFormatPr defaultColWidth="9.08984375" defaultRowHeight="12.5" x14ac:dyDescent="0.25"/>
  <cols>
    <col min="1" max="1" width="41.453125" style="317" customWidth="1"/>
    <col min="2" max="2" width="9.08984375" style="297"/>
    <col min="3" max="5" width="9.08984375" style="298"/>
    <col min="6" max="8" width="9.08984375" style="297"/>
    <col min="9" max="9" width="12.08984375" style="297" customWidth="1"/>
    <col min="10" max="16384" width="9.08984375" style="297"/>
  </cols>
  <sheetData>
    <row r="2" spans="1:9" ht="13" thickBot="1" x14ac:dyDescent="0.3"/>
    <row r="3" spans="1:9" ht="13" thickTop="1" x14ac:dyDescent="0.25">
      <c r="A3" s="318"/>
      <c r="B3" s="363"/>
      <c r="C3" s="299" t="s">
        <v>239</v>
      </c>
      <c r="D3" s="299" t="s">
        <v>239</v>
      </c>
      <c r="E3" s="300"/>
    </row>
    <row r="4" spans="1:9" ht="13" x14ac:dyDescent="0.25">
      <c r="A4" s="319"/>
      <c r="B4" s="364"/>
      <c r="C4" s="301" t="s">
        <v>281</v>
      </c>
      <c r="D4" s="301" t="s">
        <v>240</v>
      </c>
      <c r="E4" s="302"/>
      <c r="I4" s="89"/>
    </row>
    <row r="5" spans="1:9" ht="13" x14ac:dyDescent="0.25">
      <c r="A5" s="319"/>
      <c r="B5" s="365" t="s">
        <v>282</v>
      </c>
      <c r="C5" s="301" t="s">
        <v>283</v>
      </c>
      <c r="D5" s="301"/>
      <c r="E5" s="302"/>
      <c r="I5" s="89"/>
    </row>
    <row r="6" spans="1:9" ht="13.5" thickBot="1" x14ac:dyDescent="0.3">
      <c r="A6" s="414" t="s">
        <v>689</v>
      </c>
      <c r="B6" s="366"/>
      <c r="C6" s="303" t="s">
        <v>284</v>
      </c>
      <c r="D6" s="303" t="s">
        <v>235</v>
      </c>
      <c r="E6" s="304" t="s">
        <v>357</v>
      </c>
      <c r="I6" s="89"/>
    </row>
    <row r="7" spans="1:9" x14ac:dyDescent="0.25">
      <c r="A7" s="305" t="s">
        <v>234</v>
      </c>
      <c r="B7" s="367" t="str">
        <f>VLOOKUP(A7,[0]!TOX, 2, FALSE)</f>
        <v>83-32-9</v>
      </c>
      <c r="C7" s="306">
        <v>10</v>
      </c>
      <c r="D7" s="306">
        <v>0.66</v>
      </c>
      <c r="E7" s="302" t="s">
        <v>493</v>
      </c>
      <c r="I7" s="315"/>
    </row>
    <row r="8" spans="1:9" x14ac:dyDescent="0.25">
      <c r="A8" s="305" t="s">
        <v>232</v>
      </c>
      <c r="B8" s="367" t="str">
        <f>VLOOKUP(A8,[0]!TOX, 2, FALSE)</f>
        <v>208-96-8</v>
      </c>
      <c r="C8" s="306">
        <v>0.5</v>
      </c>
      <c r="D8" s="306">
        <v>0.66</v>
      </c>
      <c r="E8" s="302" t="s">
        <v>493</v>
      </c>
      <c r="I8" s="315"/>
    </row>
    <row r="9" spans="1:9" x14ac:dyDescent="0.25">
      <c r="A9" s="305" t="s">
        <v>230</v>
      </c>
      <c r="B9" s="367" t="str">
        <f>VLOOKUP(A9,[0]!TOX, 2, FALSE)</f>
        <v>67-64-1</v>
      </c>
      <c r="C9" s="306">
        <v>100</v>
      </c>
      <c r="D9" s="306">
        <v>0.1</v>
      </c>
      <c r="E9" s="302" t="s">
        <v>493</v>
      </c>
      <c r="I9" s="315"/>
    </row>
    <row r="10" spans="1:9" x14ac:dyDescent="0.25">
      <c r="A10" s="305" t="s">
        <v>228</v>
      </c>
      <c r="B10" s="367" t="str">
        <f>VLOOKUP(A10,[0]!TOX, 2, FALSE)</f>
        <v>309-00-2</v>
      </c>
      <c r="C10" s="306">
        <v>0.5</v>
      </c>
      <c r="D10" s="306">
        <v>2.6800000000000001E-3</v>
      </c>
      <c r="E10" s="302" t="s">
        <v>493</v>
      </c>
      <c r="I10" s="315"/>
    </row>
    <row r="11" spans="1:9" x14ac:dyDescent="0.25">
      <c r="A11" s="305" t="s">
        <v>226</v>
      </c>
      <c r="B11" s="367" t="str">
        <f>VLOOKUP(A11,[0]!TOX, 2, FALSE)</f>
        <v>120-12-7</v>
      </c>
      <c r="C11" s="306">
        <v>0.5</v>
      </c>
      <c r="D11" s="306">
        <v>0.66</v>
      </c>
      <c r="E11" s="302" t="s">
        <v>493</v>
      </c>
      <c r="I11" s="315"/>
    </row>
    <row r="12" spans="1:9" x14ac:dyDescent="0.25">
      <c r="A12" s="305" t="s">
        <v>224</v>
      </c>
      <c r="B12" s="367" t="str">
        <f>VLOOKUP(A12,[0]!TOX, 2, FALSE)</f>
        <v>7440-36-0</v>
      </c>
      <c r="C12" s="306">
        <v>32</v>
      </c>
      <c r="D12" s="306">
        <v>6.4</v>
      </c>
      <c r="E12" s="302" t="s">
        <v>492</v>
      </c>
      <c r="I12" s="315"/>
    </row>
    <row r="13" spans="1:9" x14ac:dyDescent="0.25">
      <c r="A13" s="305" t="s">
        <v>222</v>
      </c>
      <c r="B13" s="367" t="str">
        <f>VLOOKUP(A13,[0]!TOX, 2, FALSE)</f>
        <v>7440-38-2</v>
      </c>
      <c r="C13" s="306">
        <v>50</v>
      </c>
      <c r="D13" s="306">
        <v>10.6</v>
      </c>
      <c r="E13" s="302" t="s">
        <v>495</v>
      </c>
      <c r="I13" s="315"/>
    </row>
    <row r="14" spans="1:9" x14ac:dyDescent="0.25">
      <c r="A14" s="305" t="s">
        <v>220</v>
      </c>
      <c r="B14" s="367" t="str">
        <f>VLOOKUP(A14,[0]!TOX, 2, FALSE)</f>
        <v>7440-39-3</v>
      </c>
      <c r="C14" s="306">
        <v>2</v>
      </c>
      <c r="D14" s="306"/>
      <c r="E14" s="302"/>
      <c r="I14" s="315"/>
    </row>
    <row r="15" spans="1:9" x14ac:dyDescent="0.25">
      <c r="A15" s="305" t="s">
        <v>218</v>
      </c>
      <c r="B15" s="367" t="str">
        <f>VLOOKUP(A15,[0]!TOX, 2, FALSE)</f>
        <v>71-43-2</v>
      </c>
      <c r="C15" s="306">
        <v>0.5</v>
      </c>
      <c r="D15" s="306">
        <v>0.1</v>
      </c>
      <c r="E15" s="302" t="s">
        <v>493</v>
      </c>
      <c r="I15" s="315"/>
    </row>
    <row r="16" spans="1:9" x14ac:dyDescent="0.25">
      <c r="A16" s="305" t="s">
        <v>216</v>
      </c>
      <c r="B16" s="367" t="str">
        <f>VLOOKUP(A16,[0]!TOX, 2, FALSE)</f>
        <v>56-55-3</v>
      </c>
      <c r="C16" s="306">
        <v>1</v>
      </c>
      <c r="D16" s="306">
        <v>0.66</v>
      </c>
      <c r="E16" s="302" t="s">
        <v>493</v>
      </c>
      <c r="I16" s="315"/>
    </row>
    <row r="17" spans="1:9" x14ac:dyDescent="0.25">
      <c r="A17" s="305" t="s">
        <v>214</v>
      </c>
      <c r="B17" s="367" t="str">
        <f>VLOOKUP(A17,[0]!TOX, 2, FALSE)</f>
        <v>50-32-8</v>
      </c>
      <c r="C17" s="306">
        <v>0.5</v>
      </c>
      <c r="D17" s="306">
        <v>0.66</v>
      </c>
      <c r="E17" s="302" t="s">
        <v>493</v>
      </c>
      <c r="I17" s="315"/>
    </row>
    <row r="18" spans="1:9" x14ac:dyDescent="0.25">
      <c r="A18" s="305" t="s">
        <v>212</v>
      </c>
      <c r="B18" s="367" t="str">
        <f>VLOOKUP(A18,[0]!TOX, 2, FALSE)</f>
        <v>205-99-2</v>
      </c>
      <c r="C18" s="306">
        <v>1</v>
      </c>
      <c r="D18" s="306">
        <v>0.66</v>
      </c>
      <c r="E18" s="302" t="s">
        <v>493</v>
      </c>
      <c r="I18" s="315"/>
    </row>
    <row r="19" spans="1:9" x14ac:dyDescent="0.25">
      <c r="A19" s="305" t="s">
        <v>210</v>
      </c>
      <c r="B19" s="367" t="str">
        <f>VLOOKUP(A19,[0]!TOX, 2, FALSE)</f>
        <v>191-24-2</v>
      </c>
      <c r="C19" s="306">
        <v>0.5</v>
      </c>
      <c r="D19" s="306">
        <v>0.66</v>
      </c>
      <c r="E19" s="302" t="s">
        <v>493</v>
      </c>
      <c r="I19" s="315"/>
    </row>
    <row r="20" spans="1:9" x14ac:dyDescent="0.25">
      <c r="A20" s="305" t="s">
        <v>208</v>
      </c>
      <c r="B20" s="367" t="str">
        <f>VLOOKUP(A20,[0]!TOX, 2, FALSE)</f>
        <v>207-08-9</v>
      </c>
      <c r="C20" s="306">
        <v>1</v>
      </c>
      <c r="D20" s="306">
        <v>0.66</v>
      </c>
      <c r="E20" s="302" t="s">
        <v>493</v>
      </c>
      <c r="I20" s="315"/>
    </row>
    <row r="21" spans="1:9" x14ac:dyDescent="0.25">
      <c r="A21" s="305" t="s">
        <v>206</v>
      </c>
      <c r="B21" s="367" t="str">
        <f>VLOOKUP(A21,[0]!TOX, 2, FALSE)</f>
        <v>7440-41-7</v>
      </c>
      <c r="C21" s="306">
        <v>0.3</v>
      </c>
      <c r="D21" s="306">
        <v>0.06</v>
      </c>
      <c r="E21" s="302" t="s">
        <v>492</v>
      </c>
      <c r="I21" s="315"/>
    </row>
    <row r="22" spans="1:9" x14ac:dyDescent="0.25">
      <c r="A22" s="305" t="s">
        <v>203</v>
      </c>
      <c r="B22" s="367" t="str">
        <f>VLOOKUP(A22,[0]!TOX, 2, FALSE)</f>
        <v xml:space="preserve">92-52-4 </v>
      </c>
      <c r="C22" s="306">
        <v>0.1</v>
      </c>
      <c r="D22" s="306">
        <v>0.05</v>
      </c>
      <c r="E22" s="302" t="s">
        <v>493</v>
      </c>
      <c r="I22" s="315"/>
    </row>
    <row r="23" spans="1:9" x14ac:dyDescent="0.25">
      <c r="A23" s="305" t="s">
        <v>201</v>
      </c>
      <c r="B23" s="367" t="str">
        <f>VLOOKUP(A23,[0]!TOX, 2, FALSE)</f>
        <v>111-44-4</v>
      </c>
      <c r="C23" s="306">
        <v>28.5</v>
      </c>
      <c r="D23" s="306">
        <v>0.66</v>
      </c>
      <c r="E23" s="302" t="s">
        <v>492</v>
      </c>
      <c r="I23" s="315"/>
    </row>
    <row r="24" spans="1:9" x14ac:dyDescent="0.25">
      <c r="A24" s="305" t="s">
        <v>199</v>
      </c>
      <c r="B24" s="367" t="str">
        <f>VLOOKUP(A24,[0]!TOX, 2, FALSE)</f>
        <v>108-60-1</v>
      </c>
      <c r="C24" s="306">
        <v>28.5</v>
      </c>
      <c r="D24" s="306">
        <v>0.66</v>
      </c>
      <c r="E24" s="302" t="s">
        <v>492</v>
      </c>
      <c r="I24" s="315"/>
    </row>
    <row r="25" spans="1:9" x14ac:dyDescent="0.25">
      <c r="A25" s="305" t="s">
        <v>198</v>
      </c>
      <c r="B25" s="367" t="str">
        <f>VLOOKUP(A25,[0]!TOX, 2, FALSE)</f>
        <v>117-81-7</v>
      </c>
      <c r="C25" s="306">
        <v>4</v>
      </c>
      <c r="D25" s="306">
        <v>0.66</v>
      </c>
      <c r="E25" s="302" t="s">
        <v>493</v>
      </c>
      <c r="I25" s="315"/>
    </row>
    <row r="26" spans="1:9" x14ac:dyDescent="0.25">
      <c r="A26" s="305" t="s">
        <v>196</v>
      </c>
      <c r="B26" s="367" t="str">
        <f>VLOOKUP(A26,[0]!TOX, 2, FALSE)</f>
        <v>75-27-4</v>
      </c>
      <c r="C26" s="306">
        <v>2.5</v>
      </c>
      <c r="D26" s="306">
        <v>0.1</v>
      </c>
      <c r="E26" s="302" t="s">
        <v>493</v>
      </c>
      <c r="I26" s="315"/>
    </row>
    <row r="27" spans="1:9" x14ac:dyDescent="0.25">
      <c r="A27" s="305" t="s">
        <v>194</v>
      </c>
      <c r="B27" s="367" t="str">
        <f>VLOOKUP(A27,[0]!TOX, 2, FALSE)</f>
        <v>75-25-2</v>
      </c>
      <c r="C27" s="306">
        <v>3.5</v>
      </c>
      <c r="D27" s="306">
        <v>0.1</v>
      </c>
      <c r="E27" s="302" t="s">
        <v>493</v>
      </c>
      <c r="I27" s="315"/>
    </row>
    <row r="28" spans="1:9" x14ac:dyDescent="0.25">
      <c r="A28" s="305" t="s">
        <v>192</v>
      </c>
      <c r="B28" s="367" t="str">
        <f>VLOOKUP(A28,[0]!TOX, 2, FALSE)</f>
        <v>74-83-9</v>
      </c>
      <c r="C28" s="306">
        <v>0.55000000000000004</v>
      </c>
      <c r="D28" s="306">
        <v>0.5</v>
      </c>
      <c r="E28" s="302" t="s">
        <v>498</v>
      </c>
      <c r="I28" s="315"/>
    </row>
    <row r="29" spans="1:9" x14ac:dyDescent="0.25">
      <c r="A29" s="305" t="s">
        <v>190</v>
      </c>
      <c r="B29" s="367" t="str">
        <f>VLOOKUP(A29,[0]!TOX, 2, FALSE)</f>
        <v>7440-43-9</v>
      </c>
      <c r="C29" s="306">
        <v>4</v>
      </c>
      <c r="D29" s="306">
        <v>0.8</v>
      </c>
      <c r="E29" s="302" t="s">
        <v>492</v>
      </c>
      <c r="I29" s="315"/>
    </row>
    <row r="30" spans="1:9" x14ac:dyDescent="0.25">
      <c r="A30" s="305" t="s">
        <v>186</v>
      </c>
      <c r="B30" s="367" t="str">
        <f>VLOOKUP(A30,[0]!TOX, 2, FALSE)</f>
        <v>56-23-5</v>
      </c>
      <c r="C30" s="306">
        <v>1.5</v>
      </c>
      <c r="D30" s="306">
        <v>0.1</v>
      </c>
      <c r="E30" s="302" t="s">
        <v>493</v>
      </c>
      <c r="I30" s="315"/>
    </row>
    <row r="31" spans="1:9" x14ac:dyDescent="0.25">
      <c r="A31" s="305" t="s">
        <v>184</v>
      </c>
      <c r="B31" s="367" t="str">
        <f>VLOOKUP(A31,[0]!TOX, 2, FALSE)</f>
        <v>12789-03-6</v>
      </c>
      <c r="C31" s="306">
        <v>1.5</v>
      </c>
      <c r="D31" s="306">
        <v>0.7</v>
      </c>
      <c r="E31" s="302" t="s">
        <v>493</v>
      </c>
      <c r="I31" s="315"/>
    </row>
    <row r="32" spans="1:9" x14ac:dyDescent="0.25">
      <c r="A32" s="305" t="s">
        <v>182</v>
      </c>
      <c r="B32" s="367" t="str">
        <f>VLOOKUP(A32,[0]!TOX, 2, FALSE)</f>
        <v>106-47-8</v>
      </c>
      <c r="C32" s="306">
        <v>20</v>
      </c>
      <c r="D32" s="306">
        <v>1.3</v>
      </c>
      <c r="E32" s="302" t="s">
        <v>493</v>
      </c>
      <c r="I32" s="315"/>
    </row>
    <row r="33" spans="1:9" x14ac:dyDescent="0.25">
      <c r="A33" s="305" t="s">
        <v>180</v>
      </c>
      <c r="B33" s="367" t="str">
        <f>VLOOKUP(A33,[0]!TOX, 2, FALSE)</f>
        <v>108-90-7</v>
      </c>
      <c r="C33" s="306">
        <v>0.5</v>
      </c>
      <c r="D33" s="306">
        <v>0.1</v>
      </c>
      <c r="E33" s="302" t="s">
        <v>493</v>
      </c>
      <c r="I33" s="315"/>
    </row>
    <row r="34" spans="1:9" x14ac:dyDescent="0.25">
      <c r="A34" s="305" t="s">
        <v>178</v>
      </c>
      <c r="B34" s="367" t="str">
        <f>VLOOKUP(A34,[0]!TOX, 2, FALSE)</f>
        <v>67-66-3</v>
      </c>
      <c r="C34" s="306">
        <v>1</v>
      </c>
      <c r="D34" s="306">
        <v>0.1</v>
      </c>
      <c r="E34" s="302" t="s">
        <v>493</v>
      </c>
      <c r="I34" s="315"/>
    </row>
    <row r="35" spans="1:9" x14ac:dyDescent="0.25">
      <c r="A35" s="305" t="s">
        <v>176</v>
      </c>
      <c r="B35" s="367" t="str">
        <f>VLOOKUP(A35,[0]!TOX, 2, FALSE)</f>
        <v>95-57-8</v>
      </c>
      <c r="C35" s="306">
        <v>10</v>
      </c>
      <c r="D35" s="306">
        <v>0.66</v>
      </c>
      <c r="E35" s="302" t="s">
        <v>493</v>
      </c>
      <c r="I35" s="315"/>
    </row>
    <row r="36" spans="1:9" x14ac:dyDescent="0.25">
      <c r="A36" s="305" t="s">
        <v>174</v>
      </c>
      <c r="B36" s="367" t="str">
        <f>VLOOKUP(A36,[0]!TOX, 2, FALSE)</f>
        <v>7440-47-3</v>
      </c>
      <c r="C36" s="306">
        <v>0.5</v>
      </c>
      <c r="D36" s="306">
        <v>0</v>
      </c>
      <c r="E36" s="302" t="s">
        <v>493</v>
      </c>
      <c r="I36" s="315"/>
    </row>
    <row r="37" spans="1:9" x14ac:dyDescent="0.25">
      <c r="A37" s="305" t="s">
        <v>172</v>
      </c>
      <c r="B37" s="367" t="str">
        <f>VLOOKUP(A37,[0]!TOX, 2, FALSE)</f>
        <v>16065-83-1</v>
      </c>
      <c r="C37" s="306">
        <v>7</v>
      </c>
      <c r="D37" s="306">
        <v>1.4</v>
      </c>
      <c r="E37" s="302" t="s">
        <v>493</v>
      </c>
      <c r="I37" s="315"/>
    </row>
    <row r="38" spans="1:9" x14ac:dyDescent="0.25">
      <c r="A38" s="305" t="s">
        <v>170</v>
      </c>
      <c r="B38" s="367" t="str">
        <f>VLOOKUP(A38,[0]!TOX, 2, FALSE)</f>
        <v>18540-29-9</v>
      </c>
      <c r="C38" s="306">
        <v>0.5</v>
      </c>
      <c r="D38" s="306">
        <v>0</v>
      </c>
      <c r="E38" s="302" t="s">
        <v>493</v>
      </c>
      <c r="I38" s="315"/>
    </row>
    <row r="39" spans="1:9" x14ac:dyDescent="0.25">
      <c r="A39" s="305" t="s">
        <v>168</v>
      </c>
      <c r="B39" s="367" t="str">
        <f>VLOOKUP(A39,[0]!TOX, 2, FALSE)</f>
        <v>218-01-9</v>
      </c>
      <c r="C39" s="306">
        <v>1.5</v>
      </c>
      <c r="D39" s="306">
        <v>0.66</v>
      </c>
      <c r="E39" s="302" t="s">
        <v>493</v>
      </c>
      <c r="I39" s="315"/>
    </row>
    <row r="40" spans="1:9" x14ac:dyDescent="0.25">
      <c r="A40" s="305" t="s">
        <v>165</v>
      </c>
      <c r="B40" s="367" t="str">
        <f>VLOOKUP(A40,[0]!TOX, 2, FALSE)</f>
        <v>57-12-5</v>
      </c>
      <c r="C40" s="306">
        <v>0.1</v>
      </c>
      <c r="D40" s="306">
        <v>1</v>
      </c>
      <c r="E40" s="302" t="s">
        <v>492</v>
      </c>
      <c r="I40" s="315"/>
    </row>
    <row r="41" spans="1:9" x14ac:dyDescent="0.25">
      <c r="A41" s="305" t="s">
        <v>163</v>
      </c>
      <c r="B41" s="367" t="str">
        <f>VLOOKUP(A41,[0]!TOX, 2, FALSE)</f>
        <v xml:space="preserve">53-70-3 </v>
      </c>
      <c r="C41" s="306">
        <v>0.5</v>
      </c>
      <c r="D41" s="306">
        <v>0.66</v>
      </c>
      <c r="E41" s="302" t="s">
        <v>493</v>
      </c>
      <c r="I41" s="315"/>
    </row>
    <row r="42" spans="1:9" x14ac:dyDescent="0.25">
      <c r="A42" s="305" t="s">
        <v>161</v>
      </c>
      <c r="B42" s="367" t="str">
        <f>VLOOKUP(A42,[0]!TOX, 2, FALSE)</f>
        <v>124-48-1</v>
      </c>
      <c r="C42" s="306">
        <v>2</v>
      </c>
      <c r="D42" s="306">
        <v>5.0000000000000001E-3</v>
      </c>
      <c r="E42" s="302" t="s">
        <v>493</v>
      </c>
      <c r="I42" s="315"/>
    </row>
    <row r="43" spans="1:9" x14ac:dyDescent="0.25">
      <c r="A43" s="305" t="s">
        <v>159</v>
      </c>
      <c r="B43" s="367" t="str">
        <f>VLOOKUP(A43,[0]!TOX, 2, FALSE)</f>
        <v>95-50-1</v>
      </c>
      <c r="C43" s="306">
        <v>5</v>
      </c>
      <c r="D43" s="306">
        <v>0.66</v>
      </c>
      <c r="E43" s="302" t="s">
        <v>493</v>
      </c>
      <c r="I43" s="315"/>
    </row>
    <row r="44" spans="1:9" x14ac:dyDescent="0.25">
      <c r="A44" s="305" t="s">
        <v>157</v>
      </c>
      <c r="B44" s="367" t="str">
        <f>VLOOKUP(A44,[0]!TOX, 2, FALSE)</f>
        <v>541-73-1</v>
      </c>
      <c r="C44" s="306">
        <v>0.6</v>
      </c>
      <c r="D44" s="306">
        <v>0.66</v>
      </c>
      <c r="E44" s="302" t="s">
        <v>493</v>
      </c>
      <c r="I44" s="315"/>
    </row>
    <row r="45" spans="1:9" x14ac:dyDescent="0.25">
      <c r="A45" s="305" t="s">
        <v>155</v>
      </c>
      <c r="B45" s="367" t="str">
        <f>VLOOKUP(A45,[0]!TOX, 2, FALSE)</f>
        <v>106-46-7</v>
      </c>
      <c r="C45" s="306">
        <v>0.2</v>
      </c>
      <c r="D45" s="306">
        <v>0.66</v>
      </c>
      <c r="E45" s="302" t="s">
        <v>493</v>
      </c>
      <c r="I45" s="315"/>
    </row>
    <row r="46" spans="1:9" x14ac:dyDescent="0.25">
      <c r="A46" s="305" t="s">
        <v>151</v>
      </c>
      <c r="B46" s="367" t="str">
        <f>VLOOKUP(A46,[0]!TOX, 2, FALSE)</f>
        <v>91-94-1</v>
      </c>
      <c r="C46" s="306">
        <v>82.5</v>
      </c>
      <c r="D46" s="306">
        <v>1.3</v>
      </c>
      <c r="E46" s="302" t="s">
        <v>492</v>
      </c>
      <c r="I46" s="315"/>
    </row>
    <row r="47" spans="1:9" x14ac:dyDescent="0.25">
      <c r="A47" s="307" t="s">
        <v>149</v>
      </c>
      <c r="B47" s="367" t="str">
        <f>VLOOKUP(A47,[0]!TOX, 2, FALSE)</f>
        <v>72-54-8</v>
      </c>
      <c r="C47" s="306">
        <v>1.2500000000000001E-2</v>
      </c>
      <c r="D47" s="306">
        <v>7.3699999999999998E-3</v>
      </c>
      <c r="E47" s="302" t="s">
        <v>492</v>
      </c>
      <c r="I47" s="315"/>
    </row>
    <row r="48" spans="1:9" x14ac:dyDescent="0.25">
      <c r="A48" s="307" t="s">
        <v>147</v>
      </c>
      <c r="B48" s="367" t="str">
        <f>VLOOKUP(A48,[0]!TOX, 2, FALSE)</f>
        <v>72-55-9</v>
      </c>
      <c r="C48" s="306">
        <v>0.05</v>
      </c>
      <c r="D48" s="306">
        <v>2.6800000000000001E-3</v>
      </c>
      <c r="E48" s="302" t="s">
        <v>492</v>
      </c>
      <c r="I48" s="315"/>
    </row>
    <row r="49" spans="1:9" x14ac:dyDescent="0.25">
      <c r="A49" s="307" t="s">
        <v>145</v>
      </c>
      <c r="B49" s="367" t="str">
        <f>VLOOKUP(A49,[0]!TOX, 2, FALSE)</f>
        <v>50-29-3</v>
      </c>
      <c r="C49" s="306">
        <v>0.3</v>
      </c>
      <c r="D49" s="306">
        <v>8.0399999999999985E-3</v>
      </c>
      <c r="E49" s="302" t="s">
        <v>492</v>
      </c>
      <c r="I49" s="315"/>
    </row>
    <row r="50" spans="1:9" x14ac:dyDescent="0.25">
      <c r="A50" s="305" t="s">
        <v>143</v>
      </c>
      <c r="B50" s="367" t="str">
        <f>VLOOKUP(A50,[0]!TOX, 2, FALSE)</f>
        <v xml:space="preserve">75-34-3 </v>
      </c>
      <c r="C50" s="306">
        <v>1</v>
      </c>
      <c r="D50" s="306">
        <v>0.1</v>
      </c>
      <c r="E50" s="302" t="s">
        <v>493</v>
      </c>
      <c r="I50" s="315"/>
    </row>
    <row r="51" spans="1:9" x14ac:dyDescent="0.25">
      <c r="A51" s="305" t="s">
        <v>141</v>
      </c>
      <c r="B51" s="367" t="str">
        <f>VLOOKUP(A51,[0]!TOX, 2, FALSE)</f>
        <v>107-06-2</v>
      </c>
      <c r="C51" s="306">
        <v>1</v>
      </c>
      <c r="D51" s="306">
        <v>0.1</v>
      </c>
      <c r="E51" s="302" t="s">
        <v>493</v>
      </c>
      <c r="I51" s="315"/>
    </row>
    <row r="52" spans="1:9" x14ac:dyDescent="0.25">
      <c r="A52" s="305" t="s">
        <v>139</v>
      </c>
      <c r="B52" s="367" t="str">
        <f>VLOOKUP(A52,[0]!TOX, 2, FALSE)</f>
        <v>75-35-4</v>
      </c>
      <c r="C52" s="306">
        <v>1</v>
      </c>
      <c r="D52" s="306">
        <v>0.1</v>
      </c>
      <c r="E52" s="302" t="s">
        <v>493</v>
      </c>
      <c r="I52" s="315"/>
    </row>
    <row r="53" spans="1:9" x14ac:dyDescent="0.25">
      <c r="A53" s="305" t="s">
        <v>137</v>
      </c>
      <c r="B53" s="367" t="str">
        <f>VLOOKUP(A53,[0]!TOX, 2, FALSE)</f>
        <v>156-59-2</v>
      </c>
      <c r="C53" s="306">
        <v>0.6</v>
      </c>
      <c r="D53" s="306">
        <v>0.1</v>
      </c>
      <c r="E53" s="302" t="s">
        <v>493</v>
      </c>
      <c r="I53" s="315"/>
    </row>
    <row r="54" spans="1:9" x14ac:dyDescent="0.25">
      <c r="A54" s="305" t="s">
        <v>135</v>
      </c>
      <c r="B54" s="367" t="str">
        <f>VLOOKUP(A54,[0]!TOX, 2, FALSE)</f>
        <v>156-60-5</v>
      </c>
      <c r="C54" s="306">
        <v>0.3</v>
      </c>
      <c r="D54" s="306">
        <v>0.1</v>
      </c>
      <c r="E54" s="302" t="s">
        <v>493</v>
      </c>
      <c r="I54" s="315"/>
    </row>
    <row r="55" spans="1:9" x14ac:dyDescent="0.25">
      <c r="A55" s="305" t="s">
        <v>133</v>
      </c>
      <c r="B55" s="367" t="str">
        <f>VLOOKUP(A55,[0]!TOX, 2, FALSE)</f>
        <v>75-09-2</v>
      </c>
      <c r="C55" s="306">
        <v>5</v>
      </c>
      <c r="D55" s="306">
        <v>0.1</v>
      </c>
      <c r="E55" s="302" t="s">
        <v>493</v>
      </c>
      <c r="I55" s="315"/>
    </row>
    <row r="56" spans="1:9" x14ac:dyDescent="0.25">
      <c r="A56" s="305" t="s">
        <v>131</v>
      </c>
      <c r="B56" s="367" t="str">
        <f>VLOOKUP(A56,[0]!TOX, 2, FALSE)</f>
        <v>120-83-2</v>
      </c>
      <c r="C56" s="306">
        <v>13.5</v>
      </c>
      <c r="D56" s="306">
        <v>0.66</v>
      </c>
      <c r="E56" s="302" t="s">
        <v>492</v>
      </c>
      <c r="I56" s="315"/>
    </row>
    <row r="57" spans="1:9" x14ac:dyDescent="0.25">
      <c r="A57" s="305" t="s">
        <v>129</v>
      </c>
      <c r="B57" s="367" t="str">
        <f>VLOOKUP(A57,[0]!TOX, 2, FALSE)</f>
        <v>78-87-5</v>
      </c>
      <c r="C57" s="306">
        <v>1</v>
      </c>
      <c r="D57" s="306">
        <v>0.1</v>
      </c>
      <c r="E57" s="302" t="s">
        <v>493</v>
      </c>
      <c r="I57" s="315"/>
    </row>
    <row r="58" spans="1:9" x14ac:dyDescent="0.25">
      <c r="A58" s="305" t="s">
        <v>127</v>
      </c>
      <c r="B58" s="367" t="str">
        <f>VLOOKUP(A58,[0]!TOX, 2, FALSE)</f>
        <v>542-75-6</v>
      </c>
      <c r="C58" s="306">
        <v>5</v>
      </c>
      <c r="D58" s="306">
        <v>5.0000000000000001E-3</v>
      </c>
      <c r="E58" s="302" t="s">
        <v>493</v>
      </c>
      <c r="I58" s="315"/>
    </row>
    <row r="59" spans="1:9" x14ac:dyDescent="0.25">
      <c r="A59" s="305" t="s">
        <v>125</v>
      </c>
      <c r="B59" s="367" t="str">
        <f>VLOOKUP(A59,[0]!TOX, 2, FALSE)</f>
        <v>60-57-1</v>
      </c>
      <c r="C59" s="306">
        <v>0.1</v>
      </c>
      <c r="D59" s="306">
        <v>1.34E-3</v>
      </c>
      <c r="E59" s="302" t="s">
        <v>492</v>
      </c>
      <c r="I59" s="315"/>
    </row>
    <row r="60" spans="1:9" x14ac:dyDescent="0.25">
      <c r="A60" s="305" t="s">
        <v>123</v>
      </c>
      <c r="B60" s="367" t="str">
        <f>VLOOKUP(A60,[0]!TOX, 2, FALSE)</f>
        <v>84-66-2</v>
      </c>
      <c r="C60" s="306">
        <v>4</v>
      </c>
      <c r="D60" s="306">
        <v>0.66</v>
      </c>
      <c r="E60" s="302" t="s">
        <v>493</v>
      </c>
      <c r="I60" s="315"/>
    </row>
    <row r="61" spans="1:9" x14ac:dyDescent="0.25">
      <c r="A61" s="305" t="s">
        <v>121</v>
      </c>
      <c r="B61" s="367" t="str">
        <f>VLOOKUP(A61,[0]!TOX, 2, FALSE)</f>
        <v>131-11-3</v>
      </c>
      <c r="C61" s="306">
        <v>1.5</v>
      </c>
      <c r="D61" s="306">
        <v>0.66</v>
      </c>
      <c r="E61" s="302" t="s">
        <v>493</v>
      </c>
      <c r="I61" s="315"/>
    </row>
    <row r="62" spans="1:9" x14ac:dyDescent="0.25">
      <c r="A62" s="305" t="s">
        <v>119</v>
      </c>
      <c r="B62" s="367" t="str">
        <f>VLOOKUP(A62,[0]!TOX, 2, FALSE)</f>
        <v>105-67-9</v>
      </c>
      <c r="C62" s="306">
        <v>13.5</v>
      </c>
      <c r="D62" s="306">
        <v>0.66</v>
      </c>
      <c r="E62" s="302" t="s">
        <v>492</v>
      </c>
      <c r="I62" s="315"/>
    </row>
    <row r="63" spans="1:9" x14ac:dyDescent="0.25">
      <c r="A63" s="305" t="s">
        <v>117</v>
      </c>
      <c r="B63" s="367" t="str">
        <f>VLOOKUP(A63,[0]!TOX, 2, FALSE)</f>
        <v>51-28-5</v>
      </c>
      <c r="C63" s="306">
        <v>210</v>
      </c>
      <c r="D63" s="306">
        <v>3.3</v>
      </c>
      <c r="E63" s="302" t="s">
        <v>492</v>
      </c>
      <c r="I63" s="315"/>
    </row>
    <row r="64" spans="1:9" x14ac:dyDescent="0.25">
      <c r="A64" s="305" t="s">
        <v>115</v>
      </c>
      <c r="B64" s="367" t="str">
        <f>VLOOKUP(A64,[0]!TOX, 2, FALSE)</f>
        <v>121-14-2</v>
      </c>
      <c r="C64" s="306">
        <v>28.5</v>
      </c>
      <c r="D64" s="306">
        <v>0.66</v>
      </c>
      <c r="E64" s="302" t="s">
        <v>492</v>
      </c>
      <c r="I64" s="315"/>
    </row>
    <row r="65" spans="1:9" x14ac:dyDescent="0.25">
      <c r="A65" s="305" t="s">
        <v>113</v>
      </c>
      <c r="B65" s="367" t="str">
        <f>VLOOKUP(A65,[0]!TOX, 2, FALSE)</f>
        <v>123-91-1</v>
      </c>
      <c r="C65" s="306">
        <v>0.04</v>
      </c>
      <c r="D65" s="306">
        <v>0.15</v>
      </c>
      <c r="E65" s="302" t="s">
        <v>496</v>
      </c>
      <c r="I65" s="315"/>
    </row>
    <row r="66" spans="1:9" x14ac:dyDescent="0.25">
      <c r="A66" s="305" t="s">
        <v>111</v>
      </c>
      <c r="B66" s="367" t="str">
        <f>VLOOKUP(A66,[0]!TOX, 2, FALSE)</f>
        <v>115-29-7</v>
      </c>
      <c r="C66" s="306">
        <v>0.12</v>
      </c>
      <c r="D66" s="306">
        <v>9.3800000000000012E-3</v>
      </c>
      <c r="E66" s="302" t="s">
        <v>492</v>
      </c>
      <c r="I66" s="315"/>
    </row>
    <row r="67" spans="1:9" x14ac:dyDescent="0.25">
      <c r="A67" s="305" t="s">
        <v>109</v>
      </c>
      <c r="B67" s="367" t="str">
        <f>VLOOKUP(A67,[0]!TOX, 2, FALSE)</f>
        <v>72-20-8</v>
      </c>
      <c r="C67" s="306">
        <v>5</v>
      </c>
      <c r="D67" s="306">
        <v>4.0199999999999993E-3</v>
      </c>
      <c r="E67" s="302" t="s">
        <v>493</v>
      </c>
      <c r="I67" s="315"/>
    </row>
    <row r="68" spans="1:9" x14ac:dyDescent="0.25">
      <c r="A68" s="305" t="s">
        <v>107</v>
      </c>
      <c r="B68" s="367" t="str">
        <f>VLOOKUP(A68,[0]!TOX, 2, FALSE)</f>
        <v>100-41-4</v>
      </c>
      <c r="C68" s="306">
        <v>0.3</v>
      </c>
      <c r="D68" s="306">
        <v>0.1</v>
      </c>
      <c r="E68" s="302" t="s">
        <v>493</v>
      </c>
      <c r="I68" s="315"/>
    </row>
    <row r="69" spans="1:9" x14ac:dyDescent="0.25">
      <c r="A69" s="305" t="s">
        <v>105</v>
      </c>
      <c r="B69" s="367" t="str">
        <f>VLOOKUP(A69,[0]!TOX, 2, FALSE)</f>
        <v>106-93-4</v>
      </c>
      <c r="C69" s="306">
        <v>0.3</v>
      </c>
      <c r="D69" s="306">
        <v>0.1</v>
      </c>
      <c r="E69" s="302" t="s">
        <v>493</v>
      </c>
      <c r="I69" s="315"/>
    </row>
    <row r="70" spans="1:9" x14ac:dyDescent="0.25">
      <c r="A70" s="305" t="s">
        <v>103</v>
      </c>
      <c r="B70" s="367" t="str">
        <f>VLOOKUP(A70,[0]!TOX, 2, FALSE)</f>
        <v>206-44-0</v>
      </c>
      <c r="C70" s="306">
        <v>11</v>
      </c>
      <c r="D70" s="306">
        <v>0.66</v>
      </c>
      <c r="E70" s="302" t="s">
        <v>492</v>
      </c>
      <c r="I70" s="315"/>
    </row>
    <row r="71" spans="1:9" x14ac:dyDescent="0.25">
      <c r="A71" s="305" t="s">
        <v>101</v>
      </c>
      <c r="B71" s="367" t="str">
        <f>VLOOKUP(A71,[0]!TOX, 2, FALSE)</f>
        <v>86-73-7</v>
      </c>
      <c r="C71" s="306">
        <v>1</v>
      </c>
      <c r="D71" s="306">
        <v>0.66</v>
      </c>
      <c r="E71" s="302" t="s">
        <v>493</v>
      </c>
      <c r="I71" s="315"/>
    </row>
    <row r="72" spans="1:9" x14ac:dyDescent="0.25">
      <c r="A72" s="305" t="s">
        <v>99</v>
      </c>
      <c r="B72" s="367" t="str">
        <f>VLOOKUP(A72,[0]!TOX, 2, FALSE)</f>
        <v>76-44-8</v>
      </c>
      <c r="C72" s="306">
        <v>1</v>
      </c>
      <c r="D72" s="306">
        <v>2.0099999999999996E-3</v>
      </c>
      <c r="E72" s="302" t="s">
        <v>493</v>
      </c>
      <c r="I72" s="315"/>
    </row>
    <row r="73" spans="1:9" x14ac:dyDescent="0.25">
      <c r="A73" s="305" t="s">
        <v>97</v>
      </c>
      <c r="B73" s="367" t="str">
        <f>VLOOKUP(A73,[0]!TOX, 2, FALSE)</f>
        <v>1024-57-3</v>
      </c>
      <c r="C73" s="306">
        <v>1.5</v>
      </c>
      <c r="D73" s="306">
        <v>5.561E-2</v>
      </c>
      <c r="E73" s="302" t="s">
        <v>493</v>
      </c>
      <c r="I73" s="315"/>
    </row>
    <row r="74" spans="1:9" x14ac:dyDescent="0.25">
      <c r="A74" s="305" t="s">
        <v>95</v>
      </c>
      <c r="B74" s="367" t="str">
        <f>VLOOKUP(A74,[0]!TOX, 2, FALSE)</f>
        <v>118-74-1</v>
      </c>
      <c r="C74" s="306">
        <v>1</v>
      </c>
      <c r="D74" s="306">
        <v>0.66</v>
      </c>
      <c r="E74" s="302" t="s">
        <v>493</v>
      </c>
      <c r="I74" s="315"/>
    </row>
    <row r="75" spans="1:9" x14ac:dyDescent="0.25">
      <c r="A75" s="305" t="s">
        <v>93</v>
      </c>
      <c r="B75" s="367" t="str">
        <f>VLOOKUP(A75,[0]!TOX, 2, FALSE)</f>
        <v>87-68-3</v>
      </c>
      <c r="C75" s="306">
        <v>0.55000000000000004</v>
      </c>
      <c r="D75" s="306">
        <v>0.66</v>
      </c>
      <c r="E75" s="302" t="s">
        <v>493</v>
      </c>
      <c r="I75" s="315"/>
    </row>
    <row r="76" spans="1:9" x14ac:dyDescent="0.25">
      <c r="A76" s="307" t="s">
        <v>91</v>
      </c>
      <c r="B76" s="367" t="str">
        <f>VLOOKUP(A76,[0]!TOX, 2, FALSE)</f>
        <v>58-89-9</v>
      </c>
      <c r="C76" s="306">
        <v>0.5</v>
      </c>
      <c r="D76" s="306">
        <v>2.6800000000000001E-3</v>
      </c>
      <c r="E76" s="302" t="s">
        <v>493</v>
      </c>
      <c r="I76" s="315"/>
    </row>
    <row r="77" spans="1:9" x14ac:dyDescent="0.25">
      <c r="A77" s="305" t="s">
        <v>88</v>
      </c>
      <c r="B77" s="367" t="str">
        <f>VLOOKUP(A77,[0]!TOX, 2, FALSE)</f>
        <v>67-72-1</v>
      </c>
      <c r="C77" s="306">
        <v>8</v>
      </c>
      <c r="D77" s="306">
        <v>0.66</v>
      </c>
      <c r="E77" s="302" t="s">
        <v>492</v>
      </c>
      <c r="I77" s="315"/>
    </row>
    <row r="78" spans="1:9" x14ac:dyDescent="0.25">
      <c r="A78" s="305" t="s">
        <v>86</v>
      </c>
      <c r="B78" s="367" t="str">
        <f>VLOOKUP(A78,[0]!TOX, 2, FALSE)</f>
        <v>2691-41-0</v>
      </c>
      <c r="C78" s="308">
        <v>13</v>
      </c>
      <c r="D78" s="306">
        <v>2.2000000000000002</v>
      </c>
      <c r="E78" s="302"/>
      <c r="I78" s="315"/>
    </row>
    <row r="79" spans="1:9" x14ac:dyDescent="0.25">
      <c r="A79" s="305" t="s">
        <v>84</v>
      </c>
      <c r="B79" s="367" t="str">
        <f>VLOOKUP(A79,[0]!TOX, 2, FALSE)</f>
        <v>193-39-5</v>
      </c>
      <c r="C79" s="306">
        <v>0.5</v>
      </c>
      <c r="D79" s="306">
        <v>0.66</v>
      </c>
      <c r="E79" s="302" t="s">
        <v>493</v>
      </c>
      <c r="I79" s="315"/>
    </row>
    <row r="80" spans="1:9" x14ac:dyDescent="0.25">
      <c r="A80" s="305" t="s">
        <v>81</v>
      </c>
      <c r="B80" s="367" t="str">
        <f>VLOOKUP(A80,[0]!TOX, 2, FALSE)</f>
        <v>7439-92-1</v>
      </c>
      <c r="C80" s="306">
        <v>1</v>
      </c>
      <c r="D80" s="306">
        <v>8.4</v>
      </c>
      <c r="E80" s="302" t="s">
        <v>492</v>
      </c>
      <c r="I80" s="315"/>
    </row>
    <row r="81" spans="1:9" x14ac:dyDescent="0.25">
      <c r="A81" s="305" t="s">
        <v>79</v>
      </c>
      <c r="B81" s="367" t="str">
        <f>VLOOKUP(A81,[0]!TOX, 2, FALSE)</f>
        <v>7439-97-6</v>
      </c>
      <c r="C81" s="306">
        <v>0.2</v>
      </c>
      <c r="D81" s="306">
        <v>0.1</v>
      </c>
      <c r="E81" s="302" t="s">
        <v>493</v>
      </c>
      <c r="I81" s="315"/>
    </row>
    <row r="82" spans="1:9" x14ac:dyDescent="0.25">
      <c r="A82" s="305" t="s">
        <v>77</v>
      </c>
      <c r="B82" s="367" t="str">
        <f>VLOOKUP(A82,[0]!TOX, 2, FALSE)</f>
        <v>72-43-5</v>
      </c>
      <c r="C82" s="306">
        <v>1.5</v>
      </c>
      <c r="D82" s="306">
        <v>0.11792</v>
      </c>
      <c r="E82" s="302" t="s">
        <v>493</v>
      </c>
      <c r="I82" s="315"/>
    </row>
    <row r="83" spans="1:9" x14ac:dyDescent="0.25">
      <c r="A83" s="305" t="s">
        <v>75</v>
      </c>
      <c r="B83" s="367" t="str">
        <f>VLOOKUP(A83,[0]!TOX, 2, FALSE)</f>
        <v>78-93-3</v>
      </c>
      <c r="C83" s="306">
        <v>100</v>
      </c>
      <c r="D83" s="306">
        <v>0.1</v>
      </c>
      <c r="E83" s="302" t="s">
        <v>493</v>
      </c>
      <c r="I83" s="315"/>
    </row>
    <row r="84" spans="1:9" x14ac:dyDescent="0.25">
      <c r="A84" s="305" t="s">
        <v>73</v>
      </c>
      <c r="B84" s="367" t="str">
        <f>VLOOKUP(A84,[0]!TOX, 2, FALSE)</f>
        <v>108-10-1</v>
      </c>
      <c r="C84" s="306">
        <v>50</v>
      </c>
      <c r="D84" s="306">
        <v>0.05</v>
      </c>
      <c r="E84" s="302" t="s">
        <v>493</v>
      </c>
      <c r="I84" s="315"/>
    </row>
    <row r="85" spans="1:9" x14ac:dyDescent="0.25">
      <c r="A85" s="305" t="s">
        <v>71</v>
      </c>
      <c r="B85" s="367" t="str">
        <f>VLOOKUP(A85,[0]!TOX, 2, FALSE)</f>
        <v>22967-92-6</v>
      </c>
      <c r="C85" s="306"/>
      <c r="D85" s="306">
        <v>0</v>
      </c>
      <c r="E85" s="302"/>
      <c r="I85" s="315"/>
    </row>
    <row r="86" spans="1:9" x14ac:dyDescent="0.25">
      <c r="A86" s="305" t="s">
        <v>69</v>
      </c>
      <c r="B86" s="367" t="str">
        <f>VLOOKUP(A86,[0]!TOX, 2, FALSE)</f>
        <v>1634-04-4</v>
      </c>
      <c r="C86" s="306">
        <v>0.5</v>
      </c>
      <c r="D86" s="306">
        <v>0.1</v>
      </c>
      <c r="E86" s="302" t="s">
        <v>493</v>
      </c>
      <c r="I86" s="315"/>
    </row>
    <row r="87" spans="1:9" x14ac:dyDescent="0.25">
      <c r="A87" s="305" t="s">
        <v>66</v>
      </c>
      <c r="B87" s="367" t="str">
        <f>VLOOKUP(A87,[0]!TOX, 2, FALSE)</f>
        <v>91-57-6</v>
      </c>
      <c r="C87" s="306">
        <v>10</v>
      </c>
      <c r="D87" s="306">
        <v>0.66</v>
      </c>
      <c r="E87" s="302" t="s">
        <v>493</v>
      </c>
      <c r="I87" s="315"/>
    </row>
    <row r="88" spans="1:9" x14ac:dyDescent="0.25">
      <c r="A88" s="305" t="s">
        <v>63</v>
      </c>
      <c r="B88" s="367" t="str">
        <f>VLOOKUP(A88,[0]!TOX, 2, FALSE)</f>
        <v>91-20-3</v>
      </c>
      <c r="C88" s="306">
        <v>0.2</v>
      </c>
      <c r="D88" s="306">
        <v>0.66</v>
      </c>
      <c r="E88" s="302" t="s">
        <v>493</v>
      </c>
      <c r="I88" s="315"/>
    </row>
    <row r="89" spans="1:9" x14ac:dyDescent="0.25">
      <c r="A89" s="305" t="s">
        <v>61</v>
      </c>
      <c r="B89" s="367" t="str">
        <f>VLOOKUP(A89,[0]!TOX, 2, FALSE)</f>
        <v>7440-02-0</v>
      </c>
      <c r="C89" s="306">
        <v>15</v>
      </c>
      <c r="D89" s="306">
        <v>3</v>
      </c>
      <c r="E89" s="302" t="s">
        <v>492</v>
      </c>
      <c r="I89" s="315"/>
    </row>
    <row r="90" spans="1:9" x14ac:dyDescent="0.25">
      <c r="A90" s="305" t="s">
        <v>59</v>
      </c>
      <c r="B90" s="367" t="str">
        <f>VLOOKUP(A90,[0]!TOX, 2, FALSE)</f>
        <v>87-86-5</v>
      </c>
      <c r="C90" s="306">
        <v>15</v>
      </c>
      <c r="D90" s="306">
        <v>3.3</v>
      </c>
      <c r="E90" s="302" t="s">
        <v>493</v>
      </c>
      <c r="I90" s="315"/>
    </row>
    <row r="91" spans="1:9" x14ac:dyDescent="0.25">
      <c r="A91" s="305" t="s">
        <v>329</v>
      </c>
      <c r="B91" s="367" t="str">
        <f>VLOOKUP(A91,[0]!TOX, 2, FALSE)</f>
        <v>NA</v>
      </c>
      <c r="C91" s="306">
        <v>1</v>
      </c>
      <c r="D91" s="306">
        <v>0.1</v>
      </c>
      <c r="E91" s="302" t="s">
        <v>497</v>
      </c>
      <c r="I91" s="315"/>
    </row>
    <row r="92" spans="1:9" x14ac:dyDescent="0.25">
      <c r="A92" s="309" t="s">
        <v>674</v>
      </c>
      <c r="B92" s="367" t="str">
        <f>VLOOKUP(A92,[0]!TOX, 2, FALSE)</f>
        <v>NA</v>
      </c>
      <c r="C92" s="306"/>
      <c r="D92" s="306">
        <v>2.0000000000000001E-4</v>
      </c>
      <c r="E92" s="302" t="s">
        <v>664</v>
      </c>
      <c r="I92" s="315"/>
    </row>
    <row r="93" spans="1:9" x14ac:dyDescent="0.25">
      <c r="A93" s="309" t="s">
        <v>677</v>
      </c>
      <c r="B93" s="367" t="str">
        <f>VLOOKUP(A93,[0]!TOX, 2, FALSE)</f>
        <v>335-76-2</v>
      </c>
      <c r="C93" s="306"/>
      <c r="D93" s="306">
        <v>2.0000000000000001E-4</v>
      </c>
      <c r="E93" s="302" t="s">
        <v>664</v>
      </c>
      <c r="I93" s="315"/>
    </row>
    <row r="94" spans="1:9" x14ac:dyDescent="0.25">
      <c r="A94" s="309" t="s">
        <v>609</v>
      </c>
      <c r="B94" s="367" t="str">
        <f>VLOOKUP(A94,[0]!TOX, 2, FALSE)</f>
        <v>375-85-9</v>
      </c>
      <c r="C94" s="306"/>
      <c r="D94" s="306">
        <v>2.0000000000000001E-4</v>
      </c>
      <c r="E94" s="302" t="s">
        <v>664</v>
      </c>
      <c r="I94" s="315"/>
    </row>
    <row r="95" spans="1:9" x14ac:dyDescent="0.25">
      <c r="A95" s="309" t="s">
        <v>610</v>
      </c>
      <c r="B95" s="367" t="str">
        <f>VLOOKUP(A95,[0]!TOX, 2, FALSE)</f>
        <v>335-46-4</v>
      </c>
      <c r="C95" s="306"/>
      <c r="D95" s="306">
        <v>2.0000000000000001E-4</v>
      </c>
      <c r="E95" s="302" t="s">
        <v>664</v>
      </c>
      <c r="I95" s="315"/>
    </row>
    <row r="96" spans="1:9" x14ac:dyDescent="0.25">
      <c r="A96" s="309" t="s">
        <v>522</v>
      </c>
      <c r="B96" s="367" t="str">
        <f>VLOOKUP(A96,[0]!TOX, 2, FALSE)</f>
        <v>335-67-1</v>
      </c>
      <c r="C96" s="306"/>
      <c r="D96" s="306">
        <v>2.0000000000000001E-4</v>
      </c>
      <c r="E96" s="302" t="s">
        <v>664</v>
      </c>
      <c r="I96" s="315"/>
    </row>
    <row r="97" spans="1:9" x14ac:dyDescent="0.25">
      <c r="A97" s="309" t="s">
        <v>668</v>
      </c>
      <c r="B97" s="367" t="str">
        <f>VLOOKUP(A97,[0]!TOX, 2, FALSE)</f>
        <v>1763-23-1</v>
      </c>
      <c r="C97" s="306"/>
      <c r="D97" s="306">
        <v>2.0000000000000001E-4</v>
      </c>
      <c r="E97" s="302" t="s">
        <v>664</v>
      </c>
      <c r="I97" s="315"/>
    </row>
    <row r="98" spans="1:9" x14ac:dyDescent="0.25">
      <c r="A98" s="309" t="s">
        <v>611</v>
      </c>
      <c r="B98" s="367" t="str">
        <f>VLOOKUP(A98,[0]!TOX, 2, FALSE)</f>
        <v>375-95-1</v>
      </c>
      <c r="C98" s="306"/>
      <c r="D98" s="306">
        <v>2.0000000000000001E-4</v>
      </c>
      <c r="E98" s="302" t="s">
        <v>664</v>
      </c>
      <c r="I98" s="315"/>
    </row>
    <row r="99" spans="1:9" x14ac:dyDescent="0.25">
      <c r="A99" s="305" t="s">
        <v>57</v>
      </c>
      <c r="B99" s="367" t="str">
        <f>VLOOKUP(A99,[0]!TOX, 2, FALSE)</f>
        <v>NA</v>
      </c>
      <c r="C99" s="306"/>
      <c r="D99" s="306"/>
      <c r="E99" s="302"/>
      <c r="I99" s="315"/>
    </row>
    <row r="100" spans="1:9" x14ac:dyDescent="0.25">
      <c r="A100" s="305" t="s">
        <v>690</v>
      </c>
      <c r="B100" s="367" t="str">
        <f>VLOOKUP(A100,[0]!TOX, 2, FALSE)</f>
        <v>NA</v>
      </c>
      <c r="C100" s="306"/>
      <c r="D100" s="306"/>
      <c r="E100" s="302"/>
      <c r="I100" s="315"/>
    </row>
    <row r="101" spans="1:9" x14ac:dyDescent="0.25">
      <c r="A101" s="305" t="s">
        <v>691</v>
      </c>
      <c r="B101" s="367" t="str">
        <f>VLOOKUP(A101,[0]!TOX, 2, FALSE)</f>
        <v>NA</v>
      </c>
      <c r="C101" s="306"/>
      <c r="D101" s="306"/>
      <c r="E101" s="302"/>
      <c r="I101" s="315"/>
    </row>
    <row r="102" spans="1:9" x14ac:dyDescent="0.25">
      <c r="A102" s="320" t="s">
        <v>692</v>
      </c>
      <c r="B102" s="367" t="str">
        <f>VLOOKUP(A102,[0]!TOX, 2, FALSE)</f>
        <v>NA</v>
      </c>
      <c r="C102" s="306"/>
      <c r="D102" s="306"/>
      <c r="E102" s="302"/>
      <c r="I102" s="315"/>
    </row>
    <row r="103" spans="1:9" x14ac:dyDescent="0.25">
      <c r="A103" s="305" t="s">
        <v>693</v>
      </c>
      <c r="B103" s="367" t="str">
        <f>VLOOKUP(A103,[0]!TOX, 2, FALSE)</f>
        <v>NA</v>
      </c>
      <c r="C103" s="306"/>
      <c r="D103" s="306"/>
      <c r="E103" s="302"/>
      <c r="I103" s="315"/>
    </row>
    <row r="104" spans="1:9" x14ac:dyDescent="0.25">
      <c r="A104" s="305" t="s">
        <v>694</v>
      </c>
      <c r="B104" s="367" t="str">
        <f>VLOOKUP(A104,[0]!TOX, 2, FALSE)</f>
        <v>NA</v>
      </c>
      <c r="C104" s="306"/>
      <c r="D104" s="306"/>
      <c r="E104" s="302"/>
      <c r="I104" s="315"/>
    </row>
    <row r="105" spans="1:9" x14ac:dyDescent="0.25">
      <c r="A105" s="305" t="s">
        <v>695</v>
      </c>
      <c r="B105" s="367" t="str">
        <f>VLOOKUP(A105,[0]!TOX, 2, FALSE)</f>
        <v>NA</v>
      </c>
      <c r="C105" s="306"/>
      <c r="D105" s="306"/>
      <c r="E105" s="302"/>
      <c r="I105" s="315"/>
    </row>
    <row r="106" spans="1:9" x14ac:dyDescent="0.25">
      <c r="A106" s="305" t="s">
        <v>55</v>
      </c>
      <c r="B106" s="367" t="str">
        <f>VLOOKUP(A106,[0]!TOX, 2, FALSE)</f>
        <v>85-01-8</v>
      </c>
      <c r="C106" s="306">
        <v>1</v>
      </c>
      <c r="D106" s="306">
        <v>0.66</v>
      </c>
      <c r="E106" s="302" t="s">
        <v>493</v>
      </c>
      <c r="I106" s="315"/>
    </row>
    <row r="107" spans="1:9" x14ac:dyDescent="0.25">
      <c r="A107" s="305" t="s">
        <v>53</v>
      </c>
      <c r="B107" s="367" t="str">
        <f>VLOOKUP(A107,[0]!TOX, 2, FALSE)</f>
        <v>108-95-2</v>
      </c>
      <c r="C107" s="306">
        <v>10</v>
      </c>
      <c r="D107" s="306">
        <v>0.66</v>
      </c>
      <c r="E107" s="302" t="s">
        <v>493</v>
      </c>
      <c r="I107" s="315"/>
    </row>
    <row r="108" spans="1:9" x14ac:dyDescent="0.25">
      <c r="A108" s="305" t="s">
        <v>51</v>
      </c>
      <c r="B108" s="367" t="str">
        <f>VLOOKUP(A108,[0]!TOX, 2, FALSE)</f>
        <v>1336-36-3</v>
      </c>
      <c r="C108" s="306">
        <v>0.32500000000000001</v>
      </c>
      <c r="D108" s="306">
        <v>4.3549999999999998E-2</v>
      </c>
      <c r="E108" s="302" t="s">
        <v>493</v>
      </c>
      <c r="I108" s="315"/>
    </row>
    <row r="109" spans="1:9" x14ac:dyDescent="0.25">
      <c r="A109" s="305" t="s">
        <v>49</v>
      </c>
      <c r="B109" s="367" t="str">
        <f>VLOOKUP(A109,[0]!TOX, 2, FALSE)</f>
        <v>129-00-0</v>
      </c>
      <c r="C109" s="306">
        <v>0.5</v>
      </c>
      <c r="D109" s="306">
        <v>0.66</v>
      </c>
      <c r="E109" s="302" t="s">
        <v>493</v>
      </c>
      <c r="I109" s="316"/>
    </row>
    <row r="110" spans="1:9" x14ac:dyDescent="0.25">
      <c r="A110" s="305" t="s">
        <v>47</v>
      </c>
      <c r="B110" s="367" t="str">
        <f>VLOOKUP(A110,[0]!TOX, 2, FALSE)</f>
        <v>121-82-4</v>
      </c>
      <c r="C110" s="308">
        <v>0.84</v>
      </c>
      <c r="D110" s="306">
        <v>1</v>
      </c>
      <c r="E110" s="302"/>
      <c r="I110" s="315"/>
    </row>
    <row r="111" spans="1:9" x14ac:dyDescent="0.25">
      <c r="A111" s="305" t="s">
        <v>45</v>
      </c>
      <c r="B111" s="367" t="str">
        <f>VLOOKUP(A111,[0]!TOX, 2, FALSE)</f>
        <v>7782-49-2</v>
      </c>
      <c r="C111" s="306">
        <v>50</v>
      </c>
      <c r="D111" s="306">
        <v>15</v>
      </c>
      <c r="E111" s="302" t="s">
        <v>492</v>
      </c>
      <c r="I111" s="315"/>
    </row>
    <row r="112" spans="1:9" x14ac:dyDescent="0.25">
      <c r="A112" s="305" t="s">
        <v>43</v>
      </c>
      <c r="B112" s="367" t="str">
        <f>VLOOKUP(A112,[0]!TOX, 2, FALSE)</f>
        <v>7440-22-4</v>
      </c>
      <c r="C112" s="306">
        <v>7</v>
      </c>
      <c r="D112" s="306">
        <v>1.4</v>
      </c>
      <c r="E112" s="302" t="s">
        <v>492</v>
      </c>
      <c r="I112" s="315"/>
    </row>
    <row r="113" spans="1:9" x14ac:dyDescent="0.25">
      <c r="A113" s="305" t="s">
        <v>41</v>
      </c>
      <c r="B113" s="367" t="str">
        <f>VLOOKUP(A113,[0]!TOX, 2, FALSE)</f>
        <v>100-42-5</v>
      </c>
      <c r="C113" s="306">
        <v>0.3</v>
      </c>
      <c r="D113" s="306">
        <v>0.1</v>
      </c>
      <c r="E113" s="302" t="s">
        <v>493</v>
      </c>
      <c r="I113" s="315"/>
    </row>
    <row r="114" spans="1:9" x14ac:dyDescent="0.25">
      <c r="A114" s="305" t="s">
        <v>39</v>
      </c>
      <c r="B114" s="367" t="str">
        <f>VLOOKUP(A114,[0]!TOX, 2, FALSE)</f>
        <v>1746-01-6</v>
      </c>
      <c r="C114" s="310">
        <v>1.0000000000000001E-5</v>
      </c>
      <c r="D114" s="306">
        <v>9.9999999999999995E-7</v>
      </c>
      <c r="E114" s="302" t="s">
        <v>494</v>
      </c>
      <c r="I114" s="315"/>
    </row>
    <row r="115" spans="1:9" x14ac:dyDescent="0.25">
      <c r="A115" s="305" t="s">
        <v>37</v>
      </c>
      <c r="B115" s="367" t="str">
        <f>VLOOKUP(A115,[0]!TOX, 2, FALSE)</f>
        <v>630-20-6</v>
      </c>
      <c r="C115" s="306">
        <v>5</v>
      </c>
      <c r="D115" s="306">
        <v>0.1</v>
      </c>
      <c r="E115" s="302" t="s">
        <v>493</v>
      </c>
      <c r="I115" s="315"/>
    </row>
    <row r="116" spans="1:9" x14ac:dyDescent="0.25">
      <c r="A116" s="305" t="s">
        <v>35</v>
      </c>
      <c r="B116" s="367" t="str">
        <f>VLOOKUP(A116,[0]!TOX, 2, FALSE)</f>
        <v>79-34-5</v>
      </c>
      <c r="C116" s="306">
        <v>2</v>
      </c>
      <c r="D116" s="306">
        <v>5.0000000000000001E-3</v>
      </c>
      <c r="E116" s="302" t="s">
        <v>493</v>
      </c>
      <c r="I116" s="315"/>
    </row>
    <row r="117" spans="1:9" x14ac:dyDescent="0.25">
      <c r="A117" s="305" t="s">
        <v>33</v>
      </c>
      <c r="B117" s="367" t="str">
        <f>VLOOKUP(A117,[0]!TOX, 2, FALSE)</f>
        <v>127-18-4</v>
      </c>
      <c r="C117" s="306">
        <v>1.5</v>
      </c>
      <c r="D117" s="306">
        <v>0.1</v>
      </c>
      <c r="E117" s="302" t="s">
        <v>493</v>
      </c>
      <c r="I117" s="315"/>
    </row>
    <row r="118" spans="1:9" x14ac:dyDescent="0.25">
      <c r="A118" s="305" t="s">
        <v>31</v>
      </c>
      <c r="B118" s="367" t="str">
        <f>VLOOKUP(A118,[0]!TOX, 2, FALSE)</f>
        <v>7440-28-0</v>
      </c>
      <c r="C118" s="306">
        <v>40</v>
      </c>
      <c r="D118" s="306">
        <v>8</v>
      </c>
      <c r="E118" s="302" t="s">
        <v>492</v>
      </c>
      <c r="I118" s="315"/>
    </row>
    <row r="119" spans="1:9" x14ac:dyDescent="0.25">
      <c r="A119" s="305" t="s">
        <v>29</v>
      </c>
      <c r="B119" s="367" t="str">
        <f>VLOOKUP(A119,[0]!TOX, 2, FALSE)</f>
        <v>108-88-3</v>
      </c>
      <c r="C119" s="306">
        <v>0.5</v>
      </c>
      <c r="D119" s="306">
        <v>0.1</v>
      </c>
      <c r="E119" s="302" t="s">
        <v>493</v>
      </c>
      <c r="I119" s="315"/>
    </row>
    <row r="120" spans="1:9" x14ac:dyDescent="0.25">
      <c r="A120" s="305" t="s">
        <v>27</v>
      </c>
      <c r="B120" s="367" t="str">
        <f>VLOOKUP(A120,[0]!TOX, 2, FALSE)</f>
        <v>120-82-1</v>
      </c>
      <c r="C120" s="306">
        <v>1</v>
      </c>
      <c r="D120" s="306">
        <v>0.1</v>
      </c>
      <c r="E120" s="302" t="s">
        <v>493</v>
      </c>
      <c r="I120" s="315"/>
    </row>
    <row r="121" spans="1:9" x14ac:dyDescent="0.25">
      <c r="A121" s="305" t="s">
        <v>26</v>
      </c>
      <c r="B121" s="367" t="str">
        <f>VLOOKUP(A121,[0]!TOX, 2, FALSE)</f>
        <v>71-55-6</v>
      </c>
      <c r="C121" s="306">
        <v>1.5</v>
      </c>
      <c r="D121" s="306">
        <v>0.1</v>
      </c>
      <c r="E121" s="302" t="s">
        <v>493</v>
      </c>
      <c r="I121" s="315"/>
    </row>
    <row r="122" spans="1:9" x14ac:dyDescent="0.25">
      <c r="A122" s="305" t="s">
        <v>25</v>
      </c>
      <c r="B122" s="367" t="str">
        <f>VLOOKUP(A122,[0]!TOX, 2, FALSE)</f>
        <v xml:space="preserve">79-00-5 </v>
      </c>
      <c r="C122" s="306">
        <v>0.5</v>
      </c>
      <c r="D122" s="306">
        <v>0.1</v>
      </c>
      <c r="E122" s="302" t="s">
        <v>493</v>
      </c>
      <c r="I122" s="315"/>
    </row>
    <row r="123" spans="1:9" x14ac:dyDescent="0.25">
      <c r="A123" s="305" t="s">
        <v>22</v>
      </c>
      <c r="B123" s="367" t="str">
        <f>VLOOKUP(A123,[0]!TOX, 2, FALSE)</f>
        <v>79-01-6</v>
      </c>
      <c r="C123" s="306">
        <v>2</v>
      </c>
      <c r="D123" s="306">
        <v>5.0000000000000001E-3</v>
      </c>
      <c r="E123" s="302" t="s">
        <v>493</v>
      </c>
      <c r="I123" s="315"/>
    </row>
    <row r="124" spans="1:9" x14ac:dyDescent="0.25">
      <c r="A124" s="305" t="s">
        <v>19</v>
      </c>
      <c r="B124" s="367" t="str">
        <f>VLOOKUP(A124,[0]!TOX, 2, FALSE)</f>
        <v>95-95-4</v>
      </c>
      <c r="C124" s="306">
        <v>10</v>
      </c>
      <c r="D124" s="306">
        <v>0.66</v>
      </c>
      <c r="E124" s="302" t="s">
        <v>493</v>
      </c>
      <c r="I124" s="315"/>
    </row>
    <row r="125" spans="1:9" x14ac:dyDescent="0.25">
      <c r="A125" s="305" t="s">
        <v>17</v>
      </c>
      <c r="B125" s="367" t="str">
        <f>VLOOKUP(A125,[0]!TOX, 2, FALSE)</f>
        <v>88-06-2</v>
      </c>
      <c r="C125" s="306">
        <v>10</v>
      </c>
      <c r="D125" s="306">
        <v>0.66</v>
      </c>
      <c r="E125" s="302" t="s">
        <v>493</v>
      </c>
    </row>
    <row r="126" spans="1:9" x14ac:dyDescent="0.25">
      <c r="A126" s="305" t="s">
        <v>14</v>
      </c>
      <c r="B126" s="367" t="str">
        <f>VLOOKUP(A126,[0]!TOX, 2, FALSE)</f>
        <v>7440-62-2</v>
      </c>
      <c r="C126" s="306">
        <v>8</v>
      </c>
      <c r="D126" s="306"/>
      <c r="E126" s="302"/>
    </row>
    <row r="127" spans="1:9" x14ac:dyDescent="0.25">
      <c r="A127" s="305" t="s">
        <v>12</v>
      </c>
      <c r="B127" s="367" t="str">
        <f>VLOOKUP(A127,[0]!TOX, 2, FALSE)</f>
        <v>75-01-4</v>
      </c>
      <c r="C127" s="306">
        <v>1.5</v>
      </c>
      <c r="D127" s="306">
        <v>0.1</v>
      </c>
      <c r="E127" s="302" t="s">
        <v>493</v>
      </c>
    </row>
    <row r="128" spans="1:9" x14ac:dyDescent="0.25">
      <c r="A128" s="305" t="s">
        <v>7</v>
      </c>
      <c r="B128" s="367" t="str">
        <f>VLOOKUP(A128,[0]!TOX, 2, FALSE)</f>
        <v>1330-20-7</v>
      </c>
      <c r="C128" s="306">
        <v>2.5</v>
      </c>
      <c r="D128" s="306">
        <v>0.1</v>
      </c>
      <c r="E128" s="302" t="s">
        <v>493</v>
      </c>
    </row>
    <row r="129" spans="1:5" ht="13" thickBot="1" x14ac:dyDescent="0.3">
      <c r="A129" s="311" t="s">
        <v>4</v>
      </c>
      <c r="B129" s="368" t="str">
        <f>VLOOKUP(A129,[0]!TOX, 2, FALSE)</f>
        <v>7440-66-6</v>
      </c>
      <c r="C129" s="312">
        <v>2</v>
      </c>
      <c r="D129" s="312">
        <v>0.4</v>
      </c>
      <c r="E129" s="313" t="s">
        <v>492</v>
      </c>
    </row>
    <row r="130" spans="1:5" ht="13" thickTop="1" x14ac:dyDescent="0.25"/>
    <row r="137" spans="1:5" x14ac:dyDescent="0.25">
      <c r="A137" s="314"/>
    </row>
  </sheetData>
  <sheetProtection sheet="1" objects="1" scenarios="1"/>
  <phoneticPr fontId="0" type="noConversion"/>
  <printOptions horizontalCentered="1"/>
  <pageMargins left="0.75" right="0.75" top="1" bottom="1" header="0.5" footer="0.5"/>
  <pageSetup pageOrder="overThenDown" orientation="portrait" r:id="rId1"/>
  <headerFooter alignWithMargins="0">
    <oddHeader>&amp;C&amp;"Arial,Bold"MCP Numerical Standards Derivation</oddHeader>
    <oddFooter>&amp;L&amp;8MassDEP&amp;C&amp;8 2024&amp;R&amp;8Workbook:  MCP Toxicity
Sheet:  Introduction
Page: &amp;P</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R52"/>
  <sheetViews>
    <sheetView showGridLines="0" zoomScale="85" zoomScaleNormal="85" workbookViewId="0"/>
  </sheetViews>
  <sheetFormatPr defaultRowHeight="12.5" x14ac:dyDescent="0.25"/>
  <cols>
    <col min="1" max="1" width="2.453125" customWidth="1"/>
    <col min="2" max="2" width="11.453125" customWidth="1"/>
    <col min="3" max="3" width="13.54296875" bestFit="1" customWidth="1"/>
    <col min="5" max="5" width="7.54296875" bestFit="1" customWidth="1"/>
    <col min="6" max="6" width="4.54296875" style="196" bestFit="1" customWidth="1"/>
    <col min="9" max="9" width="3.54296875" style="191" customWidth="1"/>
    <col min="10" max="10" width="4.90625" customWidth="1"/>
    <col min="13" max="13" width="12.54296875" bestFit="1" customWidth="1"/>
  </cols>
  <sheetData>
    <row r="1" spans="2:16" ht="27" customHeight="1" x14ac:dyDescent="0.25"/>
    <row r="2" spans="2:16" ht="13" x14ac:dyDescent="0.3">
      <c r="B2" s="179" t="s">
        <v>324</v>
      </c>
      <c r="C2" s="1"/>
      <c r="D2" s="1"/>
      <c r="E2" s="1"/>
      <c r="F2" s="197"/>
      <c r="M2" s="91" t="s">
        <v>660</v>
      </c>
      <c r="N2" s="91" t="s">
        <v>661</v>
      </c>
    </row>
    <row r="3" spans="2:16" ht="13" x14ac:dyDescent="0.3">
      <c r="B3" s="1"/>
      <c r="C3" s="1"/>
      <c r="D3" s="1"/>
      <c r="E3" s="1"/>
      <c r="F3" s="197"/>
      <c r="M3" s="91" t="s">
        <v>659</v>
      </c>
      <c r="N3" s="91" t="s">
        <v>304</v>
      </c>
    </row>
    <row r="4" spans="2:16" x14ac:dyDescent="0.25">
      <c r="B4" s="7" t="s">
        <v>299</v>
      </c>
      <c r="C4" s="7" t="s">
        <v>300</v>
      </c>
      <c r="D4" s="7"/>
      <c r="E4" s="1"/>
      <c r="F4" s="197"/>
      <c r="M4" s="194" t="s">
        <v>651</v>
      </c>
      <c r="N4" s="195">
        <v>4.9000000000000004</v>
      </c>
    </row>
    <row r="5" spans="2:16" x14ac:dyDescent="0.25">
      <c r="B5" s="7"/>
      <c r="C5" s="7" t="s">
        <v>301</v>
      </c>
      <c r="D5" s="7"/>
      <c r="E5" s="1"/>
      <c r="F5" s="197"/>
      <c r="M5" s="194" t="s">
        <v>652</v>
      </c>
      <c r="N5" s="195">
        <v>6.6</v>
      </c>
    </row>
    <row r="6" spans="2:16" x14ac:dyDescent="0.25">
      <c r="B6" s="7"/>
      <c r="C6" s="7" t="s">
        <v>302</v>
      </c>
      <c r="D6" s="7" t="s">
        <v>303</v>
      </c>
      <c r="E6" s="1"/>
      <c r="F6" s="197"/>
      <c r="M6" s="194" t="s">
        <v>653</v>
      </c>
      <c r="N6" s="195">
        <v>8</v>
      </c>
    </row>
    <row r="7" spans="2:16" x14ac:dyDescent="0.25">
      <c r="B7" s="7"/>
      <c r="C7" s="7" t="s">
        <v>304</v>
      </c>
      <c r="D7" s="7" t="s">
        <v>305</v>
      </c>
      <c r="E7" s="1"/>
      <c r="F7" s="197"/>
      <c r="M7" s="194" t="s">
        <v>654</v>
      </c>
      <c r="N7" s="195">
        <v>9</v>
      </c>
    </row>
    <row r="8" spans="2:16" x14ac:dyDescent="0.25">
      <c r="B8" s="252" t="s">
        <v>565</v>
      </c>
      <c r="C8" s="253">
        <f>AVERAGE(N4:N7)</f>
        <v>7.125</v>
      </c>
      <c r="D8" s="254">
        <v>1</v>
      </c>
      <c r="E8" s="1"/>
      <c r="F8" s="197"/>
      <c r="J8" s="234"/>
      <c r="M8" s="194" t="s">
        <v>655</v>
      </c>
      <c r="N8" s="195">
        <v>10.9</v>
      </c>
    </row>
    <row r="9" spans="2:16" x14ac:dyDescent="0.25">
      <c r="B9" s="255" t="s">
        <v>306</v>
      </c>
      <c r="C9" s="201">
        <f t="shared" ref="C9:C27" si="0">AVERAGE(N8:N9)</f>
        <v>12</v>
      </c>
      <c r="D9" s="208">
        <v>1</v>
      </c>
      <c r="E9" s="1"/>
      <c r="F9" s="197"/>
      <c r="H9" s="211" t="s">
        <v>625</v>
      </c>
      <c r="I9" s="226"/>
      <c r="J9" s="228"/>
      <c r="M9" s="194">
        <v>2</v>
      </c>
      <c r="N9" s="195">
        <v>13.1</v>
      </c>
    </row>
    <row r="10" spans="2:16" x14ac:dyDescent="0.25">
      <c r="B10" s="255" t="s">
        <v>307</v>
      </c>
      <c r="C10" s="201">
        <f t="shared" si="0"/>
        <v>14.3</v>
      </c>
      <c r="D10" s="208">
        <v>1</v>
      </c>
      <c r="E10" s="1"/>
      <c r="F10" s="197"/>
      <c r="H10" s="213" t="s">
        <v>626</v>
      </c>
      <c r="I10" s="190"/>
      <c r="J10" s="229"/>
      <c r="M10" s="194">
        <v>3</v>
      </c>
      <c r="N10" s="195">
        <v>15.5</v>
      </c>
    </row>
    <row r="11" spans="2:16" x14ac:dyDescent="0.25">
      <c r="B11" s="255" t="s">
        <v>308</v>
      </c>
      <c r="C11" s="201">
        <f t="shared" si="0"/>
        <v>16.5</v>
      </c>
      <c r="D11" s="208">
        <v>1</v>
      </c>
      <c r="E11" s="1"/>
      <c r="F11" s="197"/>
      <c r="H11" s="247" t="s">
        <v>636</v>
      </c>
      <c r="I11" s="190">
        <f>SUM(C8:C9)/SUM(D8:D9)</f>
        <v>9.5625</v>
      </c>
      <c r="J11" s="230" t="s">
        <v>304</v>
      </c>
      <c r="M11" s="194">
        <v>4</v>
      </c>
      <c r="N11" s="195">
        <v>17.5</v>
      </c>
    </row>
    <row r="12" spans="2:16" x14ac:dyDescent="0.25">
      <c r="B12" s="255" t="s">
        <v>309</v>
      </c>
      <c r="C12" s="201">
        <f t="shared" si="0"/>
        <v>18.55</v>
      </c>
      <c r="D12" s="208">
        <v>1</v>
      </c>
      <c r="E12" s="216" t="s">
        <v>612</v>
      </c>
      <c r="F12" s="212"/>
      <c r="G12" s="237"/>
      <c r="H12" s="214"/>
      <c r="I12" s="192"/>
      <c r="J12" s="231"/>
      <c r="M12" s="194">
        <v>5</v>
      </c>
      <c r="N12" s="195">
        <v>19.600000000000001</v>
      </c>
    </row>
    <row r="13" spans="2:16" x14ac:dyDescent="0.25">
      <c r="B13" s="255" t="s">
        <v>310</v>
      </c>
      <c r="C13" s="201">
        <f t="shared" si="0"/>
        <v>20.85</v>
      </c>
      <c r="D13" s="208">
        <v>1</v>
      </c>
      <c r="E13" s="185" t="s">
        <v>615</v>
      </c>
      <c r="F13" s="198">
        <f>SUM(C8:C14)/SUM(D8:D14)</f>
        <v>16.175000000000001</v>
      </c>
      <c r="G13" s="238" t="s">
        <v>304</v>
      </c>
      <c r="H13" s="213"/>
      <c r="I13" s="190"/>
      <c r="J13" s="229"/>
      <c r="M13" s="194">
        <v>6</v>
      </c>
      <c r="N13" s="195">
        <v>22.1</v>
      </c>
    </row>
    <row r="14" spans="2:16" x14ac:dyDescent="0.25">
      <c r="B14" s="255" t="s">
        <v>311</v>
      </c>
      <c r="C14" s="201">
        <f t="shared" si="0"/>
        <v>23.9</v>
      </c>
      <c r="D14" s="208">
        <v>1</v>
      </c>
      <c r="E14" s="183" t="s">
        <v>613</v>
      </c>
      <c r="F14" s="198"/>
      <c r="G14" s="238"/>
      <c r="H14" s="213" t="s">
        <v>627</v>
      </c>
      <c r="I14" s="190">
        <f>SUM(C10:C13)/SUM(D10:D13)</f>
        <v>17.55</v>
      </c>
      <c r="J14" s="229" t="s">
        <v>304</v>
      </c>
      <c r="M14" s="194">
        <v>7</v>
      </c>
      <c r="N14" s="195">
        <v>25.7</v>
      </c>
      <c r="P14" s="477" t="s">
        <v>662</v>
      </c>
    </row>
    <row r="15" spans="2:16" x14ac:dyDescent="0.25">
      <c r="B15" s="255" t="s">
        <v>313</v>
      </c>
      <c r="C15" s="201">
        <f t="shared" si="0"/>
        <v>26.95</v>
      </c>
      <c r="D15" s="208">
        <v>1</v>
      </c>
      <c r="E15" s="217" t="s">
        <v>616</v>
      </c>
      <c r="F15" s="215">
        <f>SUM(C9:C15)/SUM(D9:D15)</f>
        <v>19.007142857142856</v>
      </c>
      <c r="G15" s="239" t="s">
        <v>304</v>
      </c>
      <c r="H15" s="248"/>
      <c r="I15" s="190"/>
      <c r="J15" s="232"/>
      <c r="L15" s="196"/>
      <c r="M15" s="194">
        <v>8</v>
      </c>
      <c r="N15" s="195">
        <v>28.2</v>
      </c>
      <c r="O15" s="191"/>
      <c r="P15" s="478">
        <f>AVERAGE(N8:N13)</f>
        <v>16.45</v>
      </c>
    </row>
    <row r="16" spans="2:16" x14ac:dyDescent="0.25">
      <c r="B16" s="263" t="s">
        <v>314</v>
      </c>
      <c r="C16" s="264">
        <f t="shared" si="0"/>
        <v>31.1</v>
      </c>
      <c r="D16" s="265">
        <v>1</v>
      </c>
      <c r="E16" s="1"/>
      <c r="F16" s="197"/>
      <c r="H16" s="248"/>
      <c r="I16" s="190"/>
      <c r="J16" s="232"/>
      <c r="M16" s="194">
        <v>9</v>
      </c>
      <c r="N16" s="195">
        <v>34</v>
      </c>
    </row>
    <row r="17" spans="2:14" x14ac:dyDescent="0.25">
      <c r="B17" s="256" t="s">
        <v>315</v>
      </c>
      <c r="C17" s="202">
        <f t="shared" si="0"/>
        <v>37.25</v>
      </c>
      <c r="D17" s="209">
        <v>1</v>
      </c>
      <c r="E17" s="1"/>
      <c r="F17" s="197"/>
      <c r="H17" s="247" t="s">
        <v>628</v>
      </c>
      <c r="I17" s="190">
        <f>SUM(C14:C23)/SUM(D14:D23)</f>
        <v>43.204999999999998</v>
      </c>
      <c r="J17" s="232" t="s">
        <v>304</v>
      </c>
      <c r="M17" s="194">
        <v>10</v>
      </c>
      <c r="N17" s="195">
        <v>40.5</v>
      </c>
    </row>
    <row r="18" spans="2:14" x14ac:dyDescent="0.25">
      <c r="B18" s="256" t="s">
        <v>316</v>
      </c>
      <c r="C18" s="202">
        <f t="shared" si="0"/>
        <v>43.9</v>
      </c>
      <c r="D18" s="209">
        <v>1</v>
      </c>
      <c r="E18" s="1"/>
      <c r="F18" s="197"/>
      <c r="H18" s="248"/>
      <c r="I18" s="190"/>
      <c r="J18" s="232"/>
      <c r="M18" s="194">
        <v>11</v>
      </c>
      <c r="N18" s="195">
        <v>47.3</v>
      </c>
    </row>
    <row r="19" spans="2:14" ht="13" x14ac:dyDescent="0.3">
      <c r="B19" s="256" t="s">
        <v>317</v>
      </c>
      <c r="C19" s="202">
        <f t="shared" si="0"/>
        <v>48.4</v>
      </c>
      <c r="D19" s="209">
        <v>1</v>
      </c>
      <c r="E19" s="240" t="s">
        <v>612</v>
      </c>
      <c r="F19" s="218"/>
      <c r="G19" s="240"/>
      <c r="H19" s="248"/>
      <c r="I19" s="190"/>
      <c r="J19" s="232"/>
      <c r="K19" s="89"/>
      <c r="L19" s="91"/>
      <c r="M19" s="194">
        <v>12</v>
      </c>
      <c r="N19" s="195">
        <v>49.5</v>
      </c>
    </row>
    <row r="20" spans="2:14" x14ac:dyDescent="0.25">
      <c r="B20" s="256" t="s">
        <v>318</v>
      </c>
      <c r="C20" s="202">
        <f t="shared" si="0"/>
        <v>51.95</v>
      </c>
      <c r="D20" s="209">
        <v>1</v>
      </c>
      <c r="E20" s="187" t="s">
        <v>617</v>
      </c>
      <c r="F20" s="199">
        <f>SUM(C15:C21)/SUM(D15:D21)</f>
        <v>41.99285714285714</v>
      </c>
      <c r="G20" s="241" t="s">
        <v>304</v>
      </c>
      <c r="H20" s="248"/>
      <c r="I20" s="190"/>
      <c r="J20" s="232"/>
      <c r="K20" s="90"/>
      <c r="L20" s="90"/>
      <c r="M20" s="194">
        <v>13</v>
      </c>
      <c r="N20" s="195">
        <v>54.4</v>
      </c>
    </row>
    <row r="21" spans="2:14" x14ac:dyDescent="0.25">
      <c r="B21" s="256" t="s">
        <v>319</v>
      </c>
      <c r="C21" s="202">
        <f t="shared" si="0"/>
        <v>54.4</v>
      </c>
      <c r="D21" s="209">
        <v>1</v>
      </c>
      <c r="E21" s="184" t="s">
        <v>613</v>
      </c>
      <c r="F21" s="199"/>
      <c r="G21" s="242"/>
      <c r="H21" s="248"/>
      <c r="I21" s="190"/>
      <c r="J21" s="232"/>
      <c r="K21" s="90"/>
      <c r="L21" s="90"/>
      <c r="M21" s="194">
        <v>14</v>
      </c>
      <c r="N21" s="195">
        <v>54.4</v>
      </c>
    </row>
    <row r="22" spans="2:14" x14ac:dyDescent="0.25">
      <c r="B22" s="257" t="s">
        <v>320</v>
      </c>
      <c r="C22" s="219">
        <f t="shared" si="0"/>
        <v>56</v>
      </c>
      <c r="D22" s="258">
        <v>1</v>
      </c>
      <c r="E22" s="250" t="s">
        <v>614</v>
      </c>
      <c r="F22" s="220">
        <f>SUM(C16:C22)/SUM(D16:D22)</f>
        <v>46.142857142857146</v>
      </c>
      <c r="G22" s="243" t="s">
        <v>304</v>
      </c>
      <c r="H22" s="248"/>
      <c r="I22" s="190"/>
      <c r="J22" s="232"/>
      <c r="K22" s="90"/>
      <c r="L22" s="90"/>
      <c r="M22" s="194">
        <v>15</v>
      </c>
      <c r="N22" s="195">
        <v>57.6</v>
      </c>
    </row>
    <row r="23" spans="2:14" x14ac:dyDescent="0.25">
      <c r="B23" s="259" t="s">
        <v>321</v>
      </c>
      <c r="C23" s="203">
        <f t="shared" si="0"/>
        <v>58.2</v>
      </c>
      <c r="D23" s="210">
        <v>1</v>
      </c>
      <c r="E23" s="1"/>
      <c r="F23" s="197"/>
      <c r="H23" s="248"/>
      <c r="I23" s="190"/>
      <c r="J23" s="232"/>
      <c r="K23" s="90"/>
      <c r="M23" s="194">
        <v>16</v>
      </c>
      <c r="N23" s="195">
        <v>58.8</v>
      </c>
    </row>
    <row r="24" spans="2:14" x14ac:dyDescent="0.25">
      <c r="B24" s="259" t="s">
        <v>322</v>
      </c>
      <c r="C24" s="203">
        <f t="shared" si="0"/>
        <v>59.7</v>
      </c>
      <c r="D24" s="210">
        <v>1</v>
      </c>
      <c r="E24" s="1"/>
      <c r="F24" s="197"/>
      <c r="H24" s="248"/>
      <c r="I24" s="190"/>
      <c r="J24" s="232"/>
      <c r="K24" s="90"/>
      <c r="M24" s="194">
        <v>17</v>
      </c>
      <c r="N24" s="195">
        <v>60.6</v>
      </c>
    </row>
    <row r="25" spans="2:14" x14ac:dyDescent="0.25">
      <c r="B25" s="259" t="s">
        <v>323</v>
      </c>
      <c r="C25" s="203">
        <f t="shared" si="0"/>
        <v>61.8</v>
      </c>
      <c r="D25" s="210">
        <v>1</v>
      </c>
      <c r="E25" s="1"/>
      <c r="F25" s="197"/>
      <c r="H25" s="248"/>
      <c r="I25" s="190"/>
      <c r="J25" s="232"/>
      <c r="K25" s="90"/>
      <c r="M25" s="194">
        <v>18</v>
      </c>
      <c r="N25" s="195">
        <v>63</v>
      </c>
    </row>
    <row r="26" spans="2:14" ht="13" x14ac:dyDescent="0.3">
      <c r="B26" s="260" t="s">
        <v>523</v>
      </c>
      <c r="C26" s="203">
        <f t="shared" si="0"/>
        <v>63</v>
      </c>
      <c r="D26" s="210">
        <v>1</v>
      </c>
      <c r="E26" s="1"/>
      <c r="F26" s="197"/>
      <c r="H26" s="248"/>
      <c r="I26" s="190"/>
      <c r="J26" s="232"/>
      <c r="K26" s="90"/>
      <c r="L26" s="91"/>
      <c r="M26" s="194">
        <v>19</v>
      </c>
      <c r="N26" s="195">
        <v>63</v>
      </c>
    </row>
    <row r="27" spans="2:14" ht="13" x14ac:dyDescent="0.3">
      <c r="B27" s="260" t="s">
        <v>524</v>
      </c>
      <c r="C27" s="203">
        <f t="shared" si="0"/>
        <v>64.150000000000006</v>
      </c>
      <c r="D27" s="210">
        <v>1</v>
      </c>
      <c r="E27" s="1"/>
      <c r="F27" s="197"/>
      <c r="H27" s="248"/>
      <c r="I27" s="190"/>
      <c r="J27" s="232"/>
      <c r="K27" s="91"/>
      <c r="L27" s="90"/>
      <c r="M27" s="194" t="s">
        <v>656</v>
      </c>
      <c r="N27" s="195">
        <v>65.3</v>
      </c>
    </row>
    <row r="28" spans="2:14" x14ac:dyDescent="0.25">
      <c r="B28" s="260" t="s">
        <v>525</v>
      </c>
      <c r="C28" s="203">
        <v>65.3</v>
      </c>
      <c r="D28" s="210">
        <v>1</v>
      </c>
      <c r="E28" s="1"/>
      <c r="F28" s="197"/>
      <c r="H28" s="248"/>
      <c r="I28" s="190"/>
      <c r="J28" s="232"/>
      <c r="M28" s="194" t="s">
        <v>657</v>
      </c>
      <c r="N28" s="195">
        <v>70.2</v>
      </c>
    </row>
    <row r="29" spans="2:14" x14ac:dyDescent="0.25">
      <c r="B29" s="260" t="s">
        <v>526</v>
      </c>
      <c r="C29" s="203">
        <v>65.3</v>
      </c>
      <c r="D29" s="210">
        <v>1</v>
      </c>
      <c r="E29" s="1"/>
      <c r="F29" s="197"/>
      <c r="H29" s="248"/>
      <c r="I29" s="190"/>
      <c r="J29" s="232"/>
      <c r="M29" s="194" t="s">
        <v>658</v>
      </c>
      <c r="N29" s="195">
        <v>72.900000000000006</v>
      </c>
    </row>
    <row r="30" spans="2:14" x14ac:dyDescent="0.25">
      <c r="B30" s="260" t="s">
        <v>527</v>
      </c>
      <c r="C30" s="203">
        <v>65.3</v>
      </c>
      <c r="D30" s="210">
        <v>1</v>
      </c>
      <c r="E30" s="251" t="s">
        <v>612</v>
      </c>
      <c r="F30" s="225"/>
      <c r="G30" s="244"/>
      <c r="H30" s="248"/>
      <c r="I30" s="190"/>
      <c r="J30" s="232"/>
    </row>
    <row r="31" spans="2:14" x14ac:dyDescent="0.25">
      <c r="B31" s="260" t="s">
        <v>528</v>
      </c>
      <c r="C31" s="203">
        <v>65.3</v>
      </c>
      <c r="D31" s="210">
        <v>1</v>
      </c>
      <c r="E31" s="186" t="s">
        <v>619</v>
      </c>
      <c r="F31" s="200">
        <f>SUM(C25:C31)/SUM(D25:D31)</f>
        <v>64.307142857142864</v>
      </c>
      <c r="G31" s="188" t="s">
        <v>304</v>
      </c>
      <c r="H31" s="248"/>
      <c r="I31" s="190"/>
      <c r="J31" s="232"/>
    </row>
    <row r="32" spans="2:14" x14ac:dyDescent="0.25">
      <c r="B32" s="260" t="s">
        <v>529</v>
      </c>
      <c r="C32" s="203">
        <v>65.3</v>
      </c>
      <c r="D32" s="210">
        <v>1</v>
      </c>
      <c r="E32" s="188" t="s">
        <v>613</v>
      </c>
      <c r="F32" s="200"/>
      <c r="G32" s="245"/>
      <c r="H32" s="248"/>
      <c r="I32" s="190"/>
      <c r="J32" s="232"/>
    </row>
    <row r="33" spans="2:18" x14ac:dyDescent="0.25">
      <c r="B33" s="260" t="s">
        <v>530</v>
      </c>
      <c r="C33" s="203">
        <v>65.3</v>
      </c>
      <c r="D33" s="210">
        <v>1</v>
      </c>
      <c r="E33" s="186" t="s">
        <v>549</v>
      </c>
      <c r="F33" s="200">
        <f>SUM(C26:C32)/SUM(D26:D32)</f>
        <v>64.807142857142864</v>
      </c>
      <c r="G33" s="245" t="s">
        <v>304</v>
      </c>
      <c r="H33" s="248"/>
      <c r="I33" s="190"/>
      <c r="J33" s="232"/>
    </row>
    <row r="34" spans="2:18" x14ac:dyDescent="0.25">
      <c r="B34" s="260" t="s">
        <v>531</v>
      </c>
      <c r="C34" s="203">
        <v>65.3</v>
      </c>
      <c r="D34" s="210">
        <v>1</v>
      </c>
      <c r="E34" s="15"/>
      <c r="F34" s="200"/>
      <c r="G34" s="245"/>
      <c r="H34" s="248"/>
      <c r="I34" s="190"/>
      <c r="J34" s="232"/>
    </row>
    <row r="35" spans="2:18" x14ac:dyDescent="0.25">
      <c r="B35" s="260" t="s">
        <v>532</v>
      </c>
      <c r="C35" s="203">
        <v>65.3</v>
      </c>
      <c r="D35" s="210">
        <v>1</v>
      </c>
      <c r="E35" s="188" t="s">
        <v>612</v>
      </c>
      <c r="F35" s="200"/>
      <c r="G35" s="245"/>
      <c r="H35" s="248"/>
      <c r="I35" s="190"/>
      <c r="J35" s="232"/>
    </row>
    <row r="36" spans="2:18" x14ac:dyDescent="0.25">
      <c r="B36" s="260" t="s">
        <v>550</v>
      </c>
      <c r="C36" s="203">
        <v>65.3</v>
      </c>
      <c r="D36" s="210">
        <v>1</v>
      </c>
      <c r="E36" s="189" t="s">
        <v>620</v>
      </c>
      <c r="F36" s="200">
        <f>SUM(C22:C37)/SUM(D22:D37)</f>
        <v>63.49062499999998</v>
      </c>
      <c r="G36" s="188" t="s">
        <v>304</v>
      </c>
      <c r="H36" s="248"/>
      <c r="I36" s="190"/>
      <c r="J36" s="232"/>
      <c r="R36" s="69" t="s">
        <v>254</v>
      </c>
    </row>
    <row r="37" spans="2:18" x14ac:dyDescent="0.25">
      <c r="B37" s="260" t="s">
        <v>533</v>
      </c>
      <c r="C37" s="203">
        <v>65.3</v>
      </c>
      <c r="D37" s="210">
        <v>1</v>
      </c>
      <c r="E37" s="188" t="s">
        <v>613</v>
      </c>
      <c r="F37" s="200"/>
      <c r="G37" s="245"/>
      <c r="H37" s="248"/>
      <c r="I37" s="190"/>
      <c r="J37" s="232"/>
    </row>
    <row r="38" spans="2:18" x14ac:dyDescent="0.25">
      <c r="B38" s="261" t="s">
        <v>534</v>
      </c>
      <c r="C38" s="221">
        <v>70.2</v>
      </c>
      <c r="D38" s="262">
        <v>1</v>
      </c>
      <c r="E38" s="222" t="s">
        <v>618</v>
      </c>
      <c r="F38" s="223">
        <f>SUM(C23:C38)/SUM(D23:D38)</f>
        <v>64.378124999999983</v>
      </c>
      <c r="G38" s="246" t="s">
        <v>304</v>
      </c>
      <c r="H38" s="249" t="s">
        <v>629</v>
      </c>
      <c r="I38" s="224">
        <f>SUM(C24:C38)/SUM(D24:D38)</f>
        <v>64.789999999999992</v>
      </c>
      <c r="J38" s="233" t="s">
        <v>304</v>
      </c>
    </row>
    <row r="39" spans="2:18" x14ac:dyDescent="0.25">
      <c r="B39" s="260" t="s">
        <v>535</v>
      </c>
      <c r="C39" s="203">
        <v>70.2</v>
      </c>
      <c r="D39" s="210">
        <v>1</v>
      </c>
      <c r="E39" s="16"/>
      <c r="F39" s="200"/>
      <c r="G39" s="266"/>
      <c r="H39" s="236"/>
      <c r="I39" s="235"/>
      <c r="J39" s="236"/>
    </row>
    <row r="40" spans="2:18" x14ac:dyDescent="0.25">
      <c r="B40" s="260" t="s">
        <v>536</v>
      </c>
      <c r="C40" s="203">
        <v>70.2</v>
      </c>
      <c r="D40" s="210">
        <v>1</v>
      </c>
      <c r="E40" s="16"/>
      <c r="F40" s="200"/>
      <c r="G40" s="267"/>
    </row>
    <row r="41" spans="2:18" x14ac:dyDescent="0.25">
      <c r="B41" s="260" t="s">
        <v>537</v>
      </c>
      <c r="C41" s="203">
        <v>70.2</v>
      </c>
      <c r="D41" s="210">
        <v>1</v>
      </c>
      <c r="E41" s="16"/>
      <c r="F41" s="200"/>
      <c r="G41" s="267"/>
    </row>
    <row r="42" spans="2:18" x14ac:dyDescent="0.25">
      <c r="B42" s="260" t="s">
        <v>538</v>
      </c>
      <c r="C42" s="203">
        <v>70.2</v>
      </c>
      <c r="D42" s="210">
        <v>1</v>
      </c>
      <c r="E42" s="16"/>
      <c r="F42" s="200"/>
      <c r="G42" s="267"/>
    </row>
    <row r="43" spans="2:18" x14ac:dyDescent="0.25">
      <c r="B43" s="260" t="s">
        <v>539</v>
      </c>
      <c r="C43" s="203">
        <v>70.2</v>
      </c>
      <c r="D43" s="210">
        <v>1</v>
      </c>
      <c r="E43" s="16"/>
      <c r="F43" s="200"/>
      <c r="G43" s="267"/>
    </row>
    <row r="44" spans="2:18" x14ac:dyDescent="0.25">
      <c r="B44" s="260" t="s">
        <v>540</v>
      </c>
      <c r="C44" s="203">
        <v>70.2</v>
      </c>
      <c r="D44" s="210">
        <v>1</v>
      </c>
      <c r="E44" s="16"/>
      <c r="F44" s="200"/>
      <c r="G44" s="267"/>
    </row>
    <row r="45" spans="2:18" x14ac:dyDescent="0.25">
      <c r="B45" s="260" t="s">
        <v>541</v>
      </c>
      <c r="C45" s="203">
        <v>70.2</v>
      </c>
      <c r="D45" s="210">
        <v>1</v>
      </c>
      <c r="E45" s="16"/>
      <c r="F45" s="200"/>
      <c r="G45" s="267"/>
    </row>
    <row r="46" spans="2:18" x14ac:dyDescent="0.25">
      <c r="B46" s="260" t="s">
        <v>542</v>
      </c>
      <c r="C46" s="203">
        <v>70.2</v>
      </c>
      <c r="D46" s="210">
        <v>1</v>
      </c>
      <c r="E46" s="16"/>
      <c r="F46" s="200"/>
      <c r="G46" s="267"/>
    </row>
    <row r="47" spans="2:18" x14ac:dyDescent="0.25">
      <c r="B47" s="260" t="s">
        <v>543</v>
      </c>
      <c r="C47" s="203">
        <v>70.2</v>
      </c>
      <c r="D47" s="210">
        <v>1</v>
      </c>
      <c r="E47" s="16"/>
      <c r="F47" s="200"/>
      <c r="G47" s="267"/>
    </row>
    <row r="48" spans="2:18" x14ac:dyDescent="0.25">
      <c r="B48" s="260" t="s">
        <v>544</v>
      </c>
      <c r="C48" s="203">
        <v>72.900000000000006</v>
      </c>
      <c r="D48" s="210">
        <v>1</v>
      </c>
      <c r="E48" s="16"/>
      <c r="F48" s="200"/>
      <c r="G48" s="267"/>
    </row>
    <row r="49" spans="2:7" x14ac:dyDescent="0.25">
      <c r="B49" s="260" t="s">
        <v>545</v>
      </c>
      <c r="C49" s="203">
        <v>72.900000000000006</v>
      </c>
      <c r="D49" s="210">
        <v>1</v>
      </c>
      <c r="E49" s="16"/>
      <c r="F49" s="200"/>
      <c r="G49" s="267"/>
    </row>
    <row r="50" spans="2:7" x14ac:dyDescent="0.25">
      <c r="B50" s="260" t="s">
        <v>546</v>
      </c>
      <c r="C50" s="203">
        <v>72.900000000000006</v>
      </c>
      <c r="D50" s="210">
        <v>1</v>
      </c>
      <c r="E50" s="16"/>
      <c r="F50" s="200"/>
      <c r="G50" s="267"/>
    </row>
    <row r="51" spans="2:7" x14ac:dyDescent="0.25">
      <c r="B51" s="260" t="s">
        <v>547</v>
      </c>
      <c r="C51" s="203">
        <v>72.900000000000006</v>
      </c>
      <c r="D51" s="210">
        <v>1</v>
      </c>
      <c r="E51" s="16" t="s">
        <v>312</v>
      </c>
      <c r="F51" s="200"/>
      <c r="G51" s="267"/>
    </row>
    <row r="52" spans="2:7" x14ac:dyDescent="0.25">
      <c r="B52" s="261" t="s">
        <v>548</v>
      </c>
      <c r="C52" s="221">
        <v>72.900000000000006</v>
      </c>
      <c r="D52" s="262">
        <v>1</v>
      </c>
      <c r="E52" s="269" t="s">
        <v>325</v>
      </c>
      <c r="F52" s="223">
        <f>SUM(C26:C52)/SUM(D26:D52)</f>
        <v>68.394444444444474</v>
      </c>
      <c r="G52" s="268" t="s">
        <v>304</v>
      </c>
    </row>
  </sheetData>
  <sheetProtection sheet="1" objects="1" scenarios="1"/>
  <phoneticPr fontId="0" type="noConversion"/>
  <printOptions horizontalCentered="1"/>
  <pageMargins left="0.5" right="0.5" top="1" bottom="1" header="0.5" footer="0.5"/>
  <pageSetup scale="95" orientation="portrait" r:id="rId1"/>
  <headerFooter>
    <oddHeader>&amp;C&amp;"Arial,Bold"MCP Numerical Standards Derivation</oddHeader>
    <oddFooter>&amp;L&amp;8MassDEP&amp;C&amp;8 2024&amp;R&amp;8Workbook:  MCP Toxicity
Sheet:  Introduction
Page: &amp;P</oddFooter>
  </headerFooter>
  <ignoredErrors>
    <ignoredError sqref="F22 F15 F33 F52 F38 F36 F31 F20 F13 C8:C27 P14:P15" formulaRange="1"/>
  </ignoredError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70"/>
  <sheetViews>
    <sheetView showGridLines="0" topLeftCell="A2" zoomScale="85" zoomScaleNormal="85" workbookViewId="0">
      <selection activeCell="A3" sqref="A3"/>
    </sheetView>
  </sheetViews>
  <sheetFormatPr defaultRowHeight="12.5" x14ac:dyDescent="0.25"/>
  <cols>
    <col min="1" max="1" width="13.36328125" style="191" customWidth="1"/>
    <col min="7" max="7" width="10.90625" customWidth="1"/>
    <col min="8" max="8" width="15.36328125" customWidth="1"/>
    <col min="9" max="9" width="12.90625" customWidth="1"/>
    <col min="12" max="12" width="14.1796875" customWidth="1"/>
    <col min="15" max="18" width="11.81640625" customWidth="1"/>
    <col min="19" max="19" width="8.7265625" customWidth="1"/>
  </cols>
  <sheetData>
    <row r="1" spans="1:15" hidden="1" x14ac:dyDescent="0.25"/>
    <row r="2" spans="1:15" ht="13" x14ac:dyDescent="0.3">
      <c r="A2" s="270" t="s">
        <v>603</v>
      </c>
      <c r="E2" t="s">
        <v>254</v>
      </c>
      <c r="H2" s="92"/>
      <c r="N2" s="90"/>
      <c r="O2" s="90"/>
    </row>
    <row r="3" spans="1:15" ht="17" x14ac:dyDescent="0.35">
      <c r="B3" s="93" t="s">
        <v>551</v>
      </c>
      <c r="C3" s="511" t="s">
        <v>552</v>
      </c>
      <c r="D3" s="512"/>
      <c r="E3" s="512"/>
      <c r="F3" s="512"/>
      <c r="G3" s="513"/>
      <c r="H3" s="272" t="s">
        <v>553</v>
      </c>
      <c r="I3" s="514" t="s">
        <v>554</v>
      </c>
      <c r="J3" s="515"/>
      <c r="K3" s="515"/>
      <c r="L3" s="515"/>
      <c r="M3" s="516"/>
      <c r="N3" s="517" t="s">
        <v>608</v>
      </c>
      <c r="O3" s="518"/>
    </row>
    <row r="4" spans="1:15" ht="28" x14ac:dyDescent="0.3">
      <c r="A4" s="227"/>
      <c r="B4" s="94"/>
      <c r="C4" s="95" t="s">
        <v>555</v>
      </c>
      <c r="D4" s="96" t="s">
        <v>556</v>
      </c>
      <c r="E4" s="96" t="s">
        <v>557</v>
      </c>
      <c r="F4" s="97" t="s">
        <v>558</v>
      </c>
      <c r="G4" s="94" t="s">
        <v>559</v>
      </c>
      <c r="H4" s="117" t="s">
        <v>560</v>
      </c>
      <c r="I4" s="98" t="s">
        <v>555</v>
      </c>
      <c r="J4" s="99" t="s">
        <v>556</v>
      </c>
      <c r="K4" s="99" t="s">
        <v>557</v>
      </c>
      <c r="L4" s="100" t="s">
        <v>561</v>
      </c>
      <c r="M4" s="101" t="s">
        <v>559</v>
      </c>
      <c r="N4" s="276" t="s">
        <v>562</v>
      </c>
      <c r="O4" s="102" t="s">
        <v>563</v>
      </c>
    </row>
    <row r="5" spans="1:15" ht="14" x14ac:dyDescent="0.3">
      <c r="A5" s="191" t="s">
        <v>564</v>
      </c>
      <c r="B5" s="93" t="s">
        <v>565</v>
      </c>
      <c r="C5" s="103">
        <v>0.182</v>
      </c>
      <c r="D5" s="104">
        <f>0.137*0.47</f>
        <v>6.4390000000000003E-2</v>
      </c>
      <c r="E5" s="105">
        <v>5.2999999999999999E-2</v>
      </c>
      <c r="F5" s="105">
        <f>0.206*0.4</f>
        <v>8.2400000000000001E-2</v>
      </c>
      <c r="G5" s="106">
        <v>6.5000000000000002E-2</v>
      </c>
      <c r="H5" s="273">
        <f t="shared" ref="H5:H23" si="0">O40</f>
        <v>0.39</v>
      </c>
      <c r="I5" s="277">
        <f>$H5*C5</f>
        <v>7.0980000000000001E-2</v>
      </c>
      <c r="J5" s="108">
        <f>$H5*D5</f>
        <v>2.5112100000000002E-2</v>
      </c>
      <c r="K5" s="108">
        <f t="shared" ref="K5:M20" si="1">$H5*E5</f>
        <v>2.0670000000000001E-2</v>
      </c>
      <c r="L5" s="108">
        <f t="shared" si="1"/>
        <v>3.2136000000000005E-2</v>
      </c>
      <c r="M5" s="278">
        <f t="shared" si="1"/>
        <v>2.5350000000000001E-2</v>
      </c>
      <c r="N5" s="107">
        <f>SUM(I5:M5)</f>
        <v>0.17424810000000002</v>
      </c>
      <c r="O5" s="109">
        <f>N5*10000</f>
        <v>1742.4810000000002</v>
      </c>
    </row>
    <row r="6" spans="1:15" ht="14" x14ac:dyDescent="0.3">
      <c r="B6" s="110" t="s">
        <v>306</v>
      </c>
      <c r="C6" s="111">
        <v>0.16500000000000001</v>
      </c>
      <c r="D6" s="112">
        <f>0.13*0.47</f>
        <v>6.1100000000000002E-2</v>
      </c>
      <c r="E6" s="112">
        <v>5.7000000000000002E-2</v>
      </c>
      <c r="F6" s="112">
        <f>0.231*0.4</f>
        <v>9.240000000000001E-2</v>
      </c>
      <c r="G6" s="113">
        <v>6.3E-2</v>
      </c>
      <c r="H6" s="274">
        <f t="shared" si="0"/>
        <v>0.52</v>
      </c>
      <c r="I6" s="279">
        <f t="shared" ref="I6:M23" si="2">$H6*C6</f>
        <v>8.5800000000000001E-2</v>
      </c>
      <c r="J6" s="115">
        <f t="shared" si="2"/>
        <v>3.1772000000000002E-2</v>
      </c>
      <c r="K6" s="115">
        <f t="shared" si="1"/>
        <v>2.9640000000000003E-2</v>
      </c>
      <c r="L6" s="115">
        <f t="shared" si="1"/>
        <v>4.8048000000000007E-2</v>
      </c>
      <c r="M6" s="280">
        <f t="shared" si="1"/>
        <v>3.2760000000000004E-2</v>
      </c>
      <c r="N6" s="114">
        <f t="shared" ref="N6:N23" si="3">SUM(I6:M6)</f>
        <v>0.22802000000000003</v>
      </c>
      <c r="O6" s="116">
        <f t="shared" ref="O6:O23" si="4">N6*10000</f>
        <v>2280.2000000000003</v>
      </c>
    </row>
    <row r="7" spans="1:15" ht="14" x14ac:dyDescent="0.3">
      <c r="A7" s="191" t="s">
        <v>566</v>
      </c>
      <c r="B7" s="93" t="s">
        <v>307</v>
      </c>
      <c r="C7" s="95">
        <v>8.4000000000000005E-2</v>
      </c>
      <c r="D7" s="96">
        <v>5.6000000000000001E-2</v>
      </c>
      <c r="E7" s="96">
        <v>4.8000000000000001E-2</v>
      </c>
      <c r="F7" s="96">
        <v>0.112</v>
      </c>
      <c r="G7" s="94">
        <v>0.06</v>
      </c>
      <c r="H7" s="274">
        <f t="shared" si="0"/>
        <v>0.59</v>
      </c>
      <c r="I7" s="279">
        <f t="shared" si="2"/>
        <v>4.956E-2</v>
      </c>
      <c r="J7" s="115">
        <f t="shared" si="2"/>
        <v>3.304E-2</v>
      </c>
      <c r="K7" s="115">
        <f t="shared" si="1"/>
        <v>2.8319999999999998E-2</v>
      </c>
      <c r="L7" s="115">
        <f t="shared" si="1"/>
        <v>6.608E-2</v>
      </c>
      <c r="M7" s="280">
        <f t="shared" si="1"/>
        <v>3.5399999999999994E-2</v>
      </c>
      <c r="N7" s="114">
        <f t="shared" si="3"/>
        <v>0.21239999999999998</v>
      </c>
      <c r="O7" s="116">
        <f t="shared" si="4"/>
        <v>2124</v>
      </c>
    </row>
    <row r="8" spans="1:15" ht="14" x14ac:dyDescent="0.3">
      <c r="B8" s="117" t="s">
        <v>308</v>
      </c>
      <c r="C8" s="95">
        <v>8.4000000000000005E-2</v>
      </c>
      <c r="D8" s="96">
        <v>5.6000000000000001E-2</v>
      </c>
      <c r="E8" s="96">
        <v>4.8000000000000001E-2</v>
      </c>
      <c r="F8" s="96">
        <v>0.112</v>
      </c>
      <c r="G8" s="94">
        <v>0.06</v>
      </c>
      <c r="H8" s="274">
        <f t="shared" si="0"/>
        <v>0.67515463917525786</v>
      </c>
      <c r="I8" s="279">
        <f t="shared" si="2"/>
        <v>5.6712989690721666E-2</v>
      </c>
      <c r="J8" s="115">
        <f t="shared" si="2"/>
        <v>3.7808659793814439E-2</v>
      </c>
      <c r="K8" s="115">
        <f t="shared" si="1"/>
        <v>3.2407422680412377E-2</v>
      </c>
      <c r="L8" s="115">
        <f t="shared" si="1"/>
        <v>7.5617319587628878E-2</v>
      </c>
      <c r="M8" s="280">
        <f t="shared" si="1"/>
        <v>4.0509278350515474E-2</v>
      </c>
      <c r="N8" s="114">
        <f t="shared" si="3"/>
        <v>0.24305567010309281</v>
      </c>
      <c r="O8" s="116">
        <f t="shared" si="4"/>
        <v>2430.5567010309283</v>
      </c>
    </row>
    <row r="9" spans="1:15" ht="14" x14ac:dyDescent="0.3">
      <c r="B9" s="117" t="s">
        <v>309</v>
      </c>
      <c r="C9" s="95">
        <v>7.8E-2</v>
      </c>
      <c r="D9" s="96">
        <v>5.5E-2</v>
      </c>
      <c r="E9" s="96">
        <v>4.9000000000000002E-2</v>
      </c>
      <c r="F9" s="96">
        <v>0.104</v>
      </c>
      <c r="G9" s="94">
        <v>6.3E-2</v>
      </c>
      <c r="H9" s="274">
        <f t="shared" si="0"/>
        <v>0.73445173383317719</v>
      </c>
      <c r="I9" s="279">
        <f t="shared" si="2"/>
        <v>5.7287235238987821E-2</v>
      </c>
      <c r="J9" s="115">
        <f t="shared" si="2"/>
        <v>4.0394845360824744E-2</v>
      </c>
      <c r="K9" s="115">
        <f t="shared" si="1"/>
        <v>3.5988134957825685E-2</v>
      </c>
      <c r="L9" s="115">
        <f t="shared" si="1"/>
        <v>7.6382980318650429E-2</v>
      </c>
      <c r="M9" s="280">
        <f t="shared" si="1"/>
        <v>4.627045923149016E-2</v>
      </c>
      <c r="N9" s="114">
        <f t="shared" si="3"/>
        <v>0.25632365510777883</v>
      </c>
      <c r="O9" s="116">
        <f t="shared" si="4"/>
        <v>2563.2365510777881</v>
      </c>
    </row>
    <row r="10" spans="1:15" ht="14" x14ac:dyDescent="0.3">
      <c r="B10" s="117" t="s">
        <v>310</v>
      </c>
      <c r="C10" s="95">
        <v>7.8E-2</v>
      </c>
      <c r="D10" s="96">
        <v>5.5E-2</v>
      </c>
      <c r="E10" s="96">
        <v>4.9000000000000002E-2</v>
      </c>
      <c r="F10" s="96">
        <v>0.104</v>
      </c>
      <c r="G10" s="94">
        <v>6.3E-2</v>
      </c>
      <c r="H10" s="274">
        <f t="shared" si="0"/>
        <v>0.81039362699156525</v>
      </c>
      <c r="I10" s="279">
        <f t="shared" si="2"/>
        <v>6.3210702905342087E-2</v>
      </c>
      <c r="J10" s="115">
        <f t="shared" si="2"/>
        <v>4.457164948453609E-2</v>
      </c>
      <c r="K10" s="115">
        <f t="shared" si="1"/>
        <v>3.9709287722586702E-2</v>
      </c>
      <c r="L10" s="115">
        <f t="shared" si="1"/>
        <v>8.4280937207122777E-2</v>
      </c>
      <c r="M10" s="280">
        <f t="shared" si="1"/>
        <v>5.1054798500468609E-2</v>
      </c>
      <c r="N10" s="114">
        <f t="shared" si="3"/>
        <v>0.28282737582005629</v>
      </c>
      <c r="O10" s="116">
        <f t="shared" si="4"/>
        <v>2828.273758200563</v>
      </c>
    </row>
    <row r="11" spans="1:15" ht="14" x14ac:dyDescent="0.3">
      <c r="B11" s="117" t="s">
        <v>311</v>
      </c>
      <c r="C11" s="95">
        <v>6.9000000000000006E-2</v>
      </c>
      <c r="D11" s="96">
        <v>5.2999999999999999E-2</v>
      </c>
      <c r="E11" s="96">
        <v>4.9000000000000002E-2</v>
      </c>
      <c r="F11" s="96">
        <v>0.114</v>
      </c>
      <c r="G11" s="94">
        <v>6.6000000000000003E-2</v>
      </c>
      <c r="H11" s="274">
        <f t="shared" si="0"/>
        <v>0.87847695390781566</v>
      </c>
      <c r="I11" s="279">
        <f t="shared" si="2"/>
        <v>6.0614909819639289E-2</v>
      </c>
      <c r="J11" s="115">
        <f t="shared" si="2"/>
        <v>4.6559278557114225E-2</v>
      </c>
      <c r="K11" s="115">
        <f t="shared" si="1"/>
        <v>4.3045370741482972E-2</v>
      </c>
      <c r="L11" s="115">
        <f t="shared" si="1"/>
        <v>0.10014637274549099</v>
      </c>
      <c r="M11" s="280">
        <f t="shared" si="1"/>
        <v>5.7979478957915838E-2</v>
      </c>
      <c r="N11" s="114">
        <f t="shared" si="3"/>
        <v>0.3083454108216433</v>
      </c>
      <c r="O11" s="116">
        <f t="shared" si="4"/>
        <v>3083.4541082164328</v>
      </c>
    </row>
    <row r="12" spans="1:15" ht="14" x14ac:dyDescent="0.3">
      <c r="B12" s="117" t="s">
        <v>313</v>
      </c>
      <c r="C12" s="95">
        <v>6.9000000000000006E-2</v>
      </c>
      <c r="D12" s="96">
        <v>5.2999999999999999E-2</v>
      </c>
      <c r="E12" s="96">
        <v>4.9000000000000002E-2</v>
      </c>
      <c r="F12" s="96">
        <v>0.114</v>
      </c>
      <c r="G12" s="94">
        <v>6.6000000000000003E-2</v>
      </c>
      <c r="H12" s="274">
        <f t="shared" si="0"/>
        <v>0.95559118236472951</v>
      </c>
      <c r="I12" s="279">
        <f t="shared" si="2"/>
        <v>6.5935791583166342E-2</v>
      </c>
      <c r="J12" s="115">
        <f t="shared" si="2"/>
        <v>5.0646332665330661E-2</v>
      </c>
      <c r="K12" s="115">
        <f t="shared" si="1"/>
        <v>4.6823967935871749E-2</v>
      </c>
      <c r="L12" s="115">
        <f t="shared" si="1"/>
        <v>0.10893739478957917</v>
      </c>
      <c r="M12" s="280">
        <f t="shared" si="1"/>
        <v>6.306901803607215E-2</v>
      </c>
      <c r="N12" s="114">
        <f t="shared" si="3"/>
        <v>0.33541250501002007</v>
      </c>
      <c r="O12" s="116">
        <f t="shared" si="4"/>
        <v>3354.1250501002005</v>
      </c>
    </row>
    <row r="13" spans="1:15" ht="14" x14ac:dyDescent="0.3">
      <c r="B13" s="117" t="s">
        <v>314</v>
      </c>
      <c r="C13" s="95">
        <v>6.0999999999999999E-2</v>
      </c>
      <c r="D13" s="96">
        <v>5.5E-2</v>
      </c>
      <c r="E13" s="96">
        <v>4.7E-2</v>
      </c>
      <c r="F13" s="96">
        <v>0.113</v>
      </c>
      <c r="G13" s="94">
        <v>6.5000000000000002E-2</v>
      </c>
      <c r="H13" s="274">
        <f t="shared" si="0"/>
        <v>1.0420841683366733</v>
      </c>
      <c r="I13" s="279">
        <f t="shared" si="2"/>
        <v>6.3567134268537065E-2</v>
      </c>
      <c r="J13" s="115">
        <f t="shared" si="2"/>
        <v>5.7314629258517033E-2</v>
      </c>
      <c r="K13" s="115">
        <f t="shared" si="1"/>
        <v>4.8977955911823641E-2</v>
      </c>
      <c r="L13" s="115">
        <f t="shared" si="1"/>
        <v>0.11775551102204408</v>
      </c>
      <c r="M13" s="280">
        <f t="shared" si="1"/>
        <v>6.7735470941883771E-2</v>
      </c>
      <c r="N13" s="114">
        <f t="shared" si="3"/>
        <v>0.35535070140280556</v>
      </c>
      <c r="O13" s="116">
        <f t="shared" si="4"/>
        <v>3553.5070140280554</v>
      </c>
    </row>
    <row r="14" spans="1:15" ht="14" x14ac:dyDescent="0.3">
      <c r="B14" s="117" t="s">
        <v>315</v>
      </c>
      <c r="C14" s="95">
        <v>6.0999999999999999E-2</v>
      </c>
      <c r="D14" s="96">
        <v>5.5E-2</v>
      </c>
      <c r="E14" s="96">
        <v>4.7E-2</v>
      </c>
      <c r="F14" s="96">
        <v>0.113</v>
      </c>
      <c r="G14" s="94">
        <v>6.5000000000000002E-2</v>
      </c>
      <c r="H14" s="274">
        <f t="shared" si="0"/>
        <v>1.1046092184368739</v>
      </c>
      <c r="I14" s="279">
        <f t="shared" si="2"/>
        <v>6.7381162324649302E-2</v>
      </c>
      <c r="J14" s="115">
        <f t="shared" si="2"/>
        <v>6.0753507014028062E-2</v>
      </c>
      <c r="K14" s="115">
        <f t="shared" si="1"/>
        <v>5.191663326653307E-2</v>
      </c>
      <c r="L14" s="115">
        <f t="shared" si="1"/>
        <v>0.12482084168336675</v>
      </c>
      <c r="M14" s="280">
        <f t="shared" si="1"/>
        <v>7.1799599198396805E-2</v>
      </c>
      <c r="N14" s="114">
        <f t="shared" si="3"/>
        <v>0.37667174348697396</v>
      </c>
      <c r="O14" s="116">
        <f t="shared" si="4"/>
        <v>3766.7174348697395</v>
      </c>
    </row>
    <row r="15" spans="1:15" ht="14" x14ac:dyDescent="0.3">
      <c r="B15" s="117" t="s">
        <v>316</v>
      </c>
      <c r="C15" s="95">
        <v>5.2999999999999999E-2</v>
      </c>
      <c r="D15" s="96">
        <v>5.2999999999999999E-2</v>
      </c>
      <c r="E15" s="96">
        <v>4.4999999999999998E-2</v>
      </c>
      <c r="F15" s="96">
        <v>0.122</v>
      </c>
      <c r="G15" s="94">
        <v>6.7000000000000004E-2</v>
      </c>
      <c r="H15" s="274">
        <f t="shared" si="0"/>
        <v>1.2192384769539077</v>
      </c>
      <c r="I15" s="279">
        <f t="shared" si="2"/>
        <v>6.4619639278557114E-2</v>
      </c>
      <c r="J15" s="115">
        <f t="shared" si="2"/>
        <v>6.4619639278557114E-2</v>
      </c>
      <c r="K15" s="115">
        <f t="shared" si="1"/>
        <v>5.4865731462925844E-2</v>
      </c>
      <c r="L15" s="115">
        <f t="shared" si="1"/>
        <v>0.14874709418837676</v>
      </c>
      <c r="M15" s="280">
        <f t="shared" si="1"/>
        <v>8.1688977955911818E-2</v>
      </c>
      <c r="N15" s="114">
        <f t="shared" si="3"/>
        <v>0.41454108216432861</v>
      </c>
      <c r="O15" s="116">
        <f t="shared" si="4"/>
        <v>4145.410821643286</v>
      </c>
    </row>
    <row r="16" spans="1:15" ht="14" x14ac:dyDescent="0.3">
      <c r="B16" s="117" t="s">
        <v>317</v>
      </c>
      <c r="C16" s="95">
        <v>5.2999999999999999E-2</v>
      </c>
      <c r="D16" s="96">
        <v>5.2999999999999999E-2</v>
      </c>
      <c r="E16" s="96">
        <v>4.4999999999999998E-2</v>
      </c>
      <c r="F16" s="96">
        <v>0.122</v>
      </c>
      <c r="G16" s="94">
        <v>6.7000000000000004E-2</v>
      </c>
      <c r="H16" s="274">
        <f t="shared" si="0"/>
        <v>1.3801369863013699</v>
      </c>
      <c r="I16" s="279">
        <f t="shared" si="2"/>
        <v>7.31472602739726E-2</v>
      </c>
      <c r="J16" s="115">
        <f t="shared" si="2"/>
        <v>7.31472602739726E-2</v>
      </c>
      <c r="K16" s="115">
        <f t="shared" si="1"/>
        <v>6.2106164383561646E-2</v>
      </c>
      <c r="L16" s="115">
        <f t="shared" si="1"/>
        <v>0.16837671232876714</v>
      </c>
      <c r="M16" s="280">
        <f t="shared" si="1"/>
        <v>9.2469178082191794E-2</v>
      </c>
      <c r="N16" s="114">
        <f t="shared" si="3"/>
        <v>0.46924657534246578</v>
      </c>
      <c r="O16" s="116">
        <f t="shared" si="4"/>
        <v>4692.465753424658</v>
      </c>
    </row>
    <row r="17" spans="1:15" ht="14" x14ac:dyDescent="0.3">
      <c r="B17" s="117" t="s">
        <v>318</v>
      </c>
      <c r="C17" s="95">
        <v>4.8000000000000001E-2</v>
      </c>
      <c r="D17" s="96">
        <v>5.5E-2</v>
      </c>
      <c r="E17" s="96">
        <v>4.4999999999999998E-2</v>
      </c>
      <c r="F17" s="96">
        <v>0.125</v>
      </c>
      <c r="G17" s="94">
        <v>6.5000000000000002E-2</v>
      </c>
      <c r="H17" s="274">
        <f t="shared" si="0"/>
        <v>1.4863013698630136</v>
      </c>
      <c r="I17" s="279">
        <f t="shared" si="2"/>
        <v>7.134246575342465E-2</v>
      </c>
      <c r="J17" s="115">
        <f t="shared" si="2"/>
        <v>8.1746575342465752E-2</v>
      </c>
      <c r="K17" s="115">
        <f t="shared" si="1"/>
        <v>6.6883561643835618E-2</v>
      </c>
      <c r="L17" s="115">
        <f t="shared" si="1"/>
        <v>0.18578767123287671</v>
      </c>
      <c r="M17" s="280">
        <f t="shared" si="1"/>
        <v>9.6609589041095886E-2</v>
      </c>
      <c r="N17" s="114">
        <f t="shared" si="3"/>
        <v>0.50236986301369857</v>
      </c>
      <c r="O17" s="116">
        <f t="shared" si="4"/>
        <v>5023.6986301369861</v>
      </c>
    </row>
    <row r="18" spans="1:15" ht="14" x14ac:dyDescent="0.3">
      <c r="B18" s="117" t="s">
        <v>319</v>
      </c>
      <c r="C18" s="95">
        <v>4.8000000000000001E-2</v>
      </c>
      <c r="D18" s="96">
        <v>5.5E-2</v>
      </c>
      <c r="E18" s="96">
        <v>4.4999999999999998E-2</v>
      </c>
      <c r="F18" s="96">
        <v>0.125</v>
      </c>
      <c r="G18" s="94">
        <v>6.5000000000000002E-2</v>
      </c>
      <c r="H18" s="274">
        <f t="shared" si="0"/>
        <v>1.5712328767123289</v>
      </c>
      <c r="I18" s="279">
        <f t="shared" si="2"/>
        <v>7.5419178082191785E-2</v>
      </c>
      <c r="J18" s="115">
        <f t="shared" si="2"/>
        <v>8.6417808219178091E-2</v>
      </c>
      <c r="K18" s="115">
        <f t="shared" si="1"/>
        <v>7.0705479452054798E-2</v>
      </c>
      <c r="L18" s="115">
        <f t="shared" si="1"/>
        <v>0.19640410958904111</v>
      </c>
      <c r="M18" s="280">
        <f t="shared" si="1"/>
        <v>0.10213013698630138</v>
      </c>
      <c r="N18" s="114">
        <f t="shared" si="3"/>
        <v>0.53107671232876719</v>
      </c>
      <c r="O18" s="116">
        <f t="shared" si="4"/>
        <v>5310.7671232876719</v>
      </c>
    </row>
    <row r="19" spans="1:15" ht="14" x14ac:dyDescent="0.3">
      <c r="B19" s="117" t="s">
        <v>320</v>
      </c>
      <c r="C19" s="95">
        <v>4.4999999999999998E-2</v>
      </c>
      <c r="D19" s="96">
        <v>5.2999999999999999E-2</v>
      </c>
      <c r="E19" s="96">
        <v>4.2000000000000003E-2</v>
      </c>
      <c r="F19" s="96">
        <v>0.121</v>
      </c>
      <c r="G19" s="94">
        <v>6.0999999999999999E-2</v>
      </c>
      <c r="H19" s="274">
        <f t="shared" si="0"/>
        <v>1.6455479452054795</v>
      </c>
      <c r="I19" s="279">
        <f t="shared" si="2"/>
        <v>7.4049657534246582E-2</v>
      </c>
      <c r="J19" s="115">
        <f t="shared" si="2"/>
        <v>8.7214041095890413E-2</v>
      </c>
      <c r="K19" s="115">
        <f t="shared" si="1"/>
        <v>6.9113013698630141E-2</v>
      </c>
      <c r="L19" s="115">
        <f t="shared" si="1"/>
        <v>0.19911130136986302</v>
      </c>
      <c r="M19" s="280">
        <f t="shared" si="1"/>
        <v>0.10037842465753424</v>
      </c>
      <c r="N19" s="114">
        <f t="shared" si="3"/>
        <v>0.52986643835616443</v>
      </c>
      <c r="O19" s="116">
        <f t="shared" si="4"/>
        <v>5298.6643835616442</v>
      </c>
    </row>
    <row r="20" spans="1:15" ht="14" x14ac:dyDescent="0.3">
      <c r="B20" s="117" t="s">
        <v>321</v>
      </c>
      <c r="C20" s="95">
        <v>4.4999999999999998E-2</v>
      </c>
      <c r="D20" s="96">
        <v>5.2999999999999999E-2</v>
      </c>
      <c r="E20" s="96">
        <v>4.2000000000000003E-2</v>
      </c>
      <c r="F20" s="96">
        <v>0.121</v>
      </c>
      <c r="G20" s="94">
        <v>6.0999999999999999E-2</v>
      </c>
      <c r="H20" s="274">
        <f t="shared" si="0"/>
        <v>1.6667808219178084</v>
      </c>
      <c r="I20" s="279">
        <f t="shared" si="2"/>
        <v>7.5005136986301374E-2</v>
      </c>
      <c r="J20" s="115">
        <f t="shared" si="2"/>
        <v>8.833938356164385E-2</v>
      </c>
      <c r="K20" s="115">
        <f t="shared" si="1"/>
        <v>7.0004794520547961E-2</v>
      </c>
      <c r="L20" s="115">
        <f t="shared" si="1"/>
        <v>0.20168047945205481</v>
      </c>
      <c r="M20" s="280">
        <f t="shared" si="1"/>
        <v>0.10167363013698631</v>
      </c>
      <c r="N20" s="114">
        <f t="shared" si="3"/>
        <v>0.53670342465753429</v>
      </c>
      <c r="O20" s="116">
        <f t="shared" si="4"/>
        <v>5367.0342465753429</v>
      </c>
    </row>
    <row r="21" spans="1:15" ht="14" x14ac:dyDescent="0.3">
      <c r="B21" s="117" t="s">
        <v>322</v>
      </c>
      <c r="C21" s="95">
        <v>4.2999999999999997E-2</v>
      </c>
      <c r="D21" s="96">
        <v>5.0999999999999997E-2</v>
      </c>
      <c r="E21" s="96">
        <v>4.3999999999999997E-2</v>
      </c>
      <c r="F21" s="96">
        <v>0.11899999999999999</v>
      </c>
      <c r="G21" s="94">
        <v>6.0999999999999999E-2</v>
      </c>
      <c r="H21" s="274">
        <f t="shared" si="0"/>
        <v>1.6289156626506027</v>
      </c>
      <c r="I21" s="279">
        <f t="shared" si="2"/>
        <v>7.0043373493975908E-2</v>
      </c>
      <c r="J21" s="115">
        <f t="shared" si="2"/>
        <v>8.3074698795180729E-2</v>
      </c>
      <c r="K21" s="115">
        <f t="shared" si="2"/>
        <v>7.1672289156626517E-2</v>
      </c>
      <c r="L21" s="115">
        <f t="shared" si="2"/>
        <v>0.19384096385542171</v>
      </c>
      <c r="M21" s="280">
        <f t="shared" si="2"/>
        <v>9.936385542168677E-2</v>
      </c>
      <c r="N21" s="114">
        <f t="shared" si="3"/>
        <v>0.51799518072289163</v>
      </c>
      <c r="O21" s="116">
        <f t="shared" si="4"/>
        <v>5179.9518072289166</v>
      </c>
    </row>
    <row r="22" spans="1:15" ht="14" x14ac:dyDescent="0.3">
      <c r="B22" s="110" t="s">
        <v>323</v>
      </c>
      <c r="C22" s="95">
        <v>4.2999999999999997E-2</v>
      </c>
      <c r="D22" s="96">
        <v>5.0999999999999997E-2</v>
      </c>
      <c r="E22" s="96">
        <v>4.3999999999999997E-2</v>
      </c>
      <c r="F22" s="96">
        <v>0.11899999999999999</v>
      </c>
      <c r="G22" s="94">
        <v>6.0999999999999999E-2</v>
      </c>
      <c r="H22" s="274">
        <f t="shared" si="0"/>
        <v>1.6594578313253014</v>
      </c>
      <c r="I22" s="279">
        <f t="shared" si="2"/>
        <v>7.135668674698796E-2</v>
      </c>
      <c r="J22" s="115">
        <f t="shared" si="2"/>
        <v>8.4632349397590373E-2</v>
      </c>
      <c r="K22" s="115">
        <f t="shared" si="2"/>
        <v>7.3016144578313263E-2</v>
      </c>
      <c r="L22" s="115">
        <f t="shared" si="2"/>
        <v>0.19747548192771086</v>
      </c>
      <c r="M22" s="280">
        <f t="shared" si="2"/>
        <v>0.10122692771084339</v>
      </c>
      <c r="N22" s="114">
        <f t="shared" si="3"/>
        <v>0.52770759036144588</v>
      </c>
      <c r="O22" s="116">
        <f t="shared" si="4"/>
        <v>5277.0759036144591</v>
      </c>
    </row>
    <row r="23" spans="1:15" ht="14" x14ac:dyDescent="0.3">
      <c r="B23" s="118" t="s">
        <v>567</v>
      </c>
      <c r="C23" s="119">
        <v>6.2E-2</v>
      </c>
      <c r="D23" s="120">
        <f>0.128*0.47</f>
        <v>6.0159999999999998E-2</v>
      </c>
      <c r="E23" s="120">
        <v>4.8000000000000001E-2</v>
      </c>
      <c r="F23" s="120">
        <f>0.323*0.4</f>
        <v>0.12920000000000001</v>
      </c>
      <c r="G23" s="121">
        <v>6.6000000000000003E-2</v>
      </c>
      <c r="H23" s="275">
        <f t="shared" si="0"/>
        <v>1.7205421686746991</v>
      </c>
      <c r="I23" s="281">
        <f t="shared" si="2"/>
        <v>0.10667361445783134</v>
      </c>
      <c r="J23" s="123">
        <f t="shared" si="2"/>
        <v>0.10350781686746989</v>
      </c>
      <c r="K23" s="123">
        <f t="shared" si="2"/>
        <v>8.258602409638556E-2</v>
      </c>
      <c r="L23" s="123">
        <f t="shared" si="2"/>
        <v>0.22229404819277115</v>
      </c>
      <c r="M23" s="282">
        <f t="shared" si="2"/>
        <v>0.11355578313253015</v>
      </c>
      <c r="N23" s="122">
        <f t="shared" si="3"/>
        <v>0.62861728674698802</v>
      </c>
      <c r="O23" s="124">
        <f t="shared" si="4"/>
        <v>6286.1728674698807</v>
      </c>
    </row>
    <row r="24" spans="1:15" x14ac:dyDescent="0.25">
      <c r="A24" s="271" t="s">
        <v>607</v>
      </c>
      <c r="N24" s="90"/>
      <c r="O24" s="90"/>
    </row>
    <row r="25" spans="1:15" x14ac:dyDescent="0.25">
      <c r="A25" s="522" t="s">
        <v>605</v>
      </c>
      <c r="B25" s="522"/>
      <c r="C25" s="522"/>
      <c r="D25" s="522"/>
      <c r="E25" s="522"/>
      <c r="F25" s="522"/>
      <c r="G25" s="522"/>
      <c r="H25" s="522"/>
      <c r="I25" s="522"/>
      <c r="J25" s="522"/>
      <c r="K25" s="522"/>
      <c r="N25" s="90"/>
      <c r="O25" s="90"/>
    </row>
    <row r="26" spans="1:15" x14ac:dyDescent="0.25">
      <c r="A26" t="s">
        <v>670</v>
      </c>
      <c r="N26" s="90"/>
      <c r="O26" s="90"/>
    </row>
    <row r="27" spans="1:15" x14ac:dyDescent="0.25">
      <c r="A27" t="s">
        <v>669</v>
      </c>
      <c r="N27" s="90"/>
      <c r="O27" s="90"/>
    </row>
    <row r="28" spans="1:15" ht="13" thickBot="1" x14ac:dyDescent="0.3">
      <c r="N28" s="90"/>
      <c r="O28" s="90"/>
    </row>
    <row r="29" spans="1:15" ht="16" thickTop="1" x14ac:dyDescent="0.35">
      <c r="A29" s="433" t="s">
        <v>699</v>
      </c>
      <c r="B29" s="418"/>
      <c r="C29" s="418"/>
      <c r="D29" s="418"/>
      <c r="E29" s="418"/>
      <c r="F29" s="418"/>
      <c r="G29" s="418"/>
      <c r="H29" s="418"/>
      <c r="I29" s="418"/>
      <c r="J29" s="418"/>
      <c r="K29" s="418"/>
      <c r="L29" s="419"/>
      <c r="N29" s="90"/>
      <c r="O29" s="90"/>
    </row>
    <row r="30" spans="1:15" ht="14" x14ac:dyDescent="0.3">
      <c r="A30" s="420"/>
      <c r="I30" s="423" t="s">
        <v>568</v>
      </c>
      <c r="J30" s="125"/>
      <c r="K30" s="125"/>
      <c r="L30" s="421"/>
      <c r="M30" s="125"/>
      <c r="N30" s="126"/>
      <c r="O30" s="90"/>
    </row>
    <row r="31" spans="1:15" ht="14" x14ac:dyDescent="0.3">
      <c r="A31" s="420"/>
      <c r="I31" s="434" t="s">
        <v>569</v>
      </c>
      <c r="J31" s="125"/>
      <c r="K31" s="125"/>
      <c r="L31" s="421"/>
      <c r="M31" s="125"/>
      <c r="N31" s="126"/>
      <c r="O31" s="90"/>
    </row>
    <row r="32" spans="1:15" ht="14" x14ac:dyDescent="0.3">
      <c r="A32" s="420"/>
      <c r="H32" s="416"/>
      <c r="I32" s="417"/>
      <c r="J32" s="417"/>
      <c r="K32" s="417"/>
      <c r="L32" s="421"/>
      <c r="M32" s="125"/>
      <c r="N32" s="126"/>
      <c r="O32" s="90"/>
    </row>
    <row r="33" spans="1:18" ht="17.5" thickBot="1" x14ac:dyDescent="0.4">
      <c r="A33" s="420"/>
      <c r="B33" s="519"/>
      <c r="C33" s="520"/>
      <c r="D33" s="520"/>
      <c r="E33" s="520"/>
      <c r="G33" s="128" t="s">
        <v>551</v>
      </c>
      <c r="H33" s="129"/>
      <c r="I33" s="130" t="s">
        <v>571</v>
      </c>
      <c r="J33" s="131"/>
      <c r="K33" s="132"/>
      <c r="L33" s="422"/>
      <c r="M33" s="90"/>
      <c r="N33" s="90"/>
      <c r="O33" s="90"/>
    </row>
    <row r="34" spans="1:18" ht="29.5" thickTop="1" thickBot="1" x14ac:dyDescent="0.4">
      <c r="A34" s="420"/>
      <c r="G34" s="133" t="s">
        <v>572</v>
      </c>
      <c r="H34" s="134" t="s">
        <v>560</v>
      </c>
      <c r="I34" s="135" t="s">
        <v>305</v>
      </c>
      <c r="J34" s="180" t="s">
        <v>606</v>
      </c>
      <c r="K34" s="136"/>
      <c r="M34" s="469"/>
      <c r="N34" s="430"/>
      <c r="O34" s="508" t="s">
        <v>697</v>
      </c>
      <c r="P34" s="508"/>
      <c r="Q34" s="508"/>
      <c r="R34" s="431"/>
    </row>
    <row r="35" spans="1:18" ht="16" thickTop="1" x14ac:dyDescent="0.3">
      <c r="A35" s="420"/>
      <c r="C35" s="426" t="s">
        <v>570</v>
      </c>
      <c r="G35" s="137" t="s">
        <v>574</v>
      </c>
      <c r="H35" s="138">
        <v>0.28000000000000003</v>
      </c>
      <c r="I35" s="139">
        <f>1/12</f>
        <v>8.3333333333333329E-2</v>
      </c>
      <c r="J35" s="140">
        <f>H35*I35</f>
        <v>2.3333333333333334E-2</v>
      </c>
      <c r="K35" s="141"/>
      <c r="M35" s="470" t="s">
        <v>254</v>
      </c>
      <c r="N35" s="90"/>
      <c r="O35" s="507" t="s">
        <v>703</v>
      </c>
      <c r="P35" s="507"/>
      <c r="Q35" s="507"/>
      <c r="R35" s="432"/>
    </row>
    <row r="36" spans="1:18" ht="14" x14ac:dyDescent="0.3">
      <c r="A36" s="420"/>
      <c r="B36" s="521" t="s">
        <v>573</v>
      </c>
      <c r="C36" s="520"/>
      <c r="D36" s="520"/>
      <c r="E36" s="520"/>
      <c r="F36" s="423"/>
      <c r="G36" s="137" t="s">
        <v>575</v>
      </c>
      <c r="H36" s="138">
        <v>0.31</v>
      </c>
      <c r="I36" s="139">
        <f>2/12</f>
        <v>0.16666666666666666</v>
      </c>
      <c r="J36" s="140">
        <f>H36*I36</f>
        <v>5.1666666666666666E-2</v>
      </c>
      <c r="K36" s="142"/>
      <c r="M36" s="471"/>
      <c r="N36" s="90"/>
      <c r="O36" s="90"/>
      <c r="R36" s="432"/>
    </row>
    <row r="37" spans="1:18" ht="14.5" thickBot="1" x14ac:dyDescent="0.35">
      <c r="A37" s="420"/>
      <c r="B37" s="509"/>
      <c r="C37" s="510"/>
      <c r="D37" s="510"/>
      <c r="E37" s="510"/>
      <c r="F37" s="423"/>
      <c r="G37" s="137" t="s">
        <v>576</v>
      </c>
      <c r="H37" s="138">
        <v>0.38</v>
      </c>
      <c r="I37" s="143">
        <f>3/12</f>
        <v>0.25</v>
      </c>
      <c r="J37" s="140">
        <f>H37*I37</f>
        <v>9.5000000000000001E-2</v>
      </c>
      <c r="K37" s="142"/>
      <c r="M37" s="471"/>
      <c r="N37" s="90"/>
      <c r="O37" s="465" t="s">
        <v>698</v>
      </c>
      <c r="P37" s="450" t="s">
        <v>604</v>
      </c>
      <c r="R37" s="432"/>
    </row>
    <row r="38" spans="1:18" ht="38.5" x14ac:dyDescent="0.35">
      <c r="A38" s="420"/>
      <c r="B38" s="451" t="s">
        <v>577</v>
      </c>
      <c r="C38" t="s">
        <v>578</v>
      </c>
      <c r="E38" s="145"/>
      <c r="F38" s="423"/>
      <c r="G38" s="163" t="s">
        <v>579</v>
      </c>
      <c r="H38" s="283">
        <v>0.44</v>
      </c>
      <c r="I38" s="284">
        <f>6/12</f>
        <v>0.5</v>
      </c>
      <c r="J38" s="285">
        <f>H38*I38</f>
        <v>0.22</v>
      </c>
      <c r="K38" s="177"/>
      <c r="M38" s="472"/>
      <c r="N38" s="462" t="s">
        <v>702</v>
      </c>
      <c r="O38" s="463" t="s">
        <v>602</v>
      </c>
      <c r="P38" s="464" t="s">
        <v>602</v>
      </c>
      <c r="R38" s="432"/>
    </row>
    <row r="39" spans="1:18" ht="29.25" customHeight="1" thickBot="1" x14ac:dyDescent="0.4">
      <c r="A39" s="420"/>
      <c r="B39" s="182" t="s">
        <v>551</v>
      </c>
      <c r="C39" s="181"/>
      <c r="E39" s="146"/>
      <c r="G39" s="147" t="s">
        <v>663</v>
      </c>
      <c r="H39" s="134"/>
      <c r="I39" s="135"/>
      <c r="J39" s="133"/>
      <c r="K39" s="148"/>
      <c r="L39" s="435" t="s">
        <v>580</v>
      </c>
      <c r="M39" s="473" t="s">
        <v>551</v>
      </c>
      <c r="N39" s="458" t="s">
        <v>581</v>
      </c>
      <c r="O39" s="455" t="s">
        <v>700</v>
      </c>
      <c r="P39" s="437" t="s">
        <v>701</v>
      </c>
      <c r="Q39" s="178"/>
      <c r="R39" s="432"/>
    </row>
    <row r="40" spans="1:18" ht="15.5" thickTop="1" thickBot="1" x14ac:dyDescent="0.4">
      <c r="A40" s="420" t="s">
        <v>582</v>
      </c>
      <c r="B40" s="149" t="s">
        <v>565</v>
      </c>
      <c r="C40" s="424">
        <v>0.57899999999999996</v>
      </c>
      <c r="E40" s="146"/>
      <c r="G40" s="137" t="s">
        <v>565</v>
      </c>
      <c r="H40" s="150"/>
      <c r="I40" s="425"/>
      <c r="J40" s="467">
        <f>SUM(J35:J38)</f>
        <v>0.39</v>
      </c>
      <c r="K40" s="151" t="s">
        <v>583</v>
      </c>
      <c r="L40" s="435" t="s">
        <v>584</v>
      </c>
      <c r="M40" s="474" t="s">
        <v>565</v>
      </c>
      <c r="N40" s="459"/>
      <c r="O40" s="456">
        <f>J40</f>
        <v>0.39</v>
      </c>
      <c r="P40" s="452">
        <f>O40*10000</f>
        <v>3900</v>
      </c>
      <c r="R40" s="432"/>
    </row>
    <row r="41" spans="1:18" ht="14.5" thickBot="1" x14ac:dyDescent="0.35">
      <c r="A41" s="420" t="s">
        <v>585</v>
      </c>
      <c r="B41" s="149" t="s">
        <v>306</v>
      </c>
      <c r="C41" s="424">
        <v>0.57899999999999996</v>
      </c>
      <c r="E41" s="146"/>
      <c r="G41" s="137" t="s">
        <v>306</v>
      </c>
      <c r="H41" s="150">
        <v>0.52</v>
      </c>
      <c r="I41" s="152">
        <v>1</v>
      </c>
      <c r="J41" s="468">
        <f>H41*I41</f>
        <v>0.52</v>
      </c>
      <c r="K41" s="151" t="s">
        <v>586</v>
      </c>
      <c r="L41" s="90"/>
      <c r="M41" s="474" t="s">
        <v>306</v>
      </c>
      <c r="N41" s="459"/>
      <c r="O41" s="456">
        <f>J41</f>
        <v>0.52</v>
      </c>
      <c r="P41" s="453">
        <f t="shared" ref="P41:P61" si="5">O41*10000</f>
        <v>5200</v>
      </c>
      <c r="Q41" s="438" t="s">
        <v>637</v>
      </c>
      <c r="R41" s="439">
        <f>AVERAGE(P40:P41)</f>
        <v>4550</v>
      </c>
    </row>
    <row r="42" spans="1:18" ht="14" x14ac:dyDescent="0.3">
      <c r="A42" s="420"/>
      <c r="B42" s="149" t="s">
        <v>307</v>
      </c>
      <c r="C42" s="424">
        <v>0.57899999999999996</v>
      </c>
      <c r="E42" s="146"/>
      <c r="G42" s="137" t="s">
        <v>307</v>
      </c>
      <c r="H42" s="150">
        <v>0.59</v>
      </c>
      <c r="I42" s="152">
        <v>1</v>
      </c>
      <c r="J42" s="468">
        <f>H42*I42</f>
        <v>0.59</v>
      </c>
      <c r="K42" s="151" t="s">
        <v>587</v>
      </c>
      <c r="L42" s="90"/>
      <c r="M42" s="474" t="s">
        <v>307</v>
      </c>
      <c r="N42" s="459"/>
      <c r="O42" s="456">
        <f>J42</f>
        <v>0.59</v>
      </c>
      <c r="P42" s="453">
        <f t="shared" si="5"/>
        <v>5900</v>
      </c>
      <c r="Q42" s="440"/>
      <c r="R42" s="441"/>
    </row>
    <row r="43" spans="1:18" ht="14" x14ac:dyDescent="0.3">
      <c r="A43" s="420"/>
      <c r="B43" s="144" t="s">
        <v>308</v>
      </c>
      <c r="C43" s="153">
        <v>0.64900000000000002</v>
      </c>
      <c r="D43" s="154" t="s">
        <v>588</v>
      </c>
      <c r="E43" s="155">
        <f>AVERAGE(C43:D45)</f>
        <v>0.71133333333333326</v>
      </c>
      <c r="G43" s="128" t="s">
        <v>589</v>
      </c>
      <c r="H43" s="156"/>
      <c r="I43" s="204">
        <v>3</v>
      </c>
      <c r="J43" s="157">
        <v>0.74</v>
      </c>
      <c r="K43" s="158" t="s">
        <v>590</v>
      </c>
      <c r="L43" s="114">
        <f>(J43-E43)*100/E43</f>
        <v>4.0299906279287816</v>
      </c>
      <c r="M43" s="475" t="s">
        <v>308</v>
      </c>
      <c r="N43" s="460">
        <f>(C43*L43)/100+C43</f>
        <v>0.67515463917525786</v>
      </c>
      <c r="O43" s="456">
        <f>N43</f>
        <v>0.67515463917525786</v>
      </c>
      <c r="P43" s="453">
        <f t="shared" si="5"/>
        <v>6751.5463917525785</v>
      </c>
      <c r="Q43" s="440"/>
      <c r="R43" s="441"/>
    </row>
    <row r="44" spans="1:18" ht="14.5" thickBot="1" x14ac:dyDescent="0.35">
      <c r="A44" s="420"/>
      <c r="B44" s="149" t="s">
        <v>309</v>
      </c>
      <c r="C44" s="424">
        <v>0.70599999999999996</v>
      </c>
      <c r="D44" s="426"/>
      <c r="E44" s="159"/>
      <c r="G44" s="137"/>
      <c r="H44" s="150"/>
      <c r="J44" s="139"/>
      <c r="K44" s="151"/>
      <c r="L44" s="114"/>
      <c r="M44" s="474" t="s">
        <v>309</v>
      </c>
      <c r="N44" s="460">
        <f>(C44*L43)/100+C44</f>
        <v>0.73445173383317719</v>
      </c>
      <c r="O44" s="456">
        <f t="shared" ref="O44:O60" si="6">N44</f>
        <v>0.73445173383317719</v>
      </c>
      <c r="P44" s="453">
        <f t="shared" si="5"/>
        <v>7344.5173383317715</v>
      </c>
      <c r="Q44" s="442"/>
      <c r="R44" s="441"/>
    </row>
    <row r="45" spans="1:18" ht="14.5" thickBot="1" x14ac:dyDescent="0.35">
      <c r="A45" s="420"/>
      <c r="B45" s="149" t="s">
        <v>310</v>
      </c>
      <c r="C45" s="424">
        <v>0.77900000000000003</v>
      </c>
      <c r="D45" s="426"/>
      <c r="E45" s="159"/>
      <c r="G45" s="137"/>
      <c r="H45" s="150"/>
      <c r="I45" s="92"/>
      <c r="J45" s="139"/>
      <c r="K45" s="151"/>
      <c r="L45" s="114"/>
      <c r="M45" s="474" t="s">
        <v>310</v>
      </c>
      <c r="N45" s="460">
        <f>(C45*L43)/100+C45</f>
        <v>0.81039362699156525</v>
      </c>
      <c r="O45" s="456">
        <f t="shared" si="6"/>
        <v>0.81039362699156525</v>
      </c>
      <c r="P45" s="453">
        <f t="shared" si="5"/>
        <v>8103.9362699156527</v>
      </c>
      <c r="Q45" s="438" t="s">
        <v>638</v>
      </c>
      <c r="R45" s="439">
        <f>AVERAGE(P42:P45)</f>
        <v>7025</v>
      </c>
    </row>
    <row r="46" spans="1:18" ht="14.5" thickBot="1" x14ac:dyDescent="0.35">
      <c r="A46" s="420"/>
      <c r="B46" s="144" t="s">
        <v>311</v>
      </c>
      <c r="C46" s="153">
        <v>0.84299999999999997</v>
      </c>
      <c r="D46" s="154" t="s">
        <v>591</v>
      </c>
      <c r="E46" s="155">
        <f>AVERAGE(C46:D50)</f>
        <v>0.998</v>
      </c>
      <c r="G46" s="128" t="s">
        <v>592</v>
      </c>
      <c r="H46" s="156"/>
      <c r="I46" s="90">
        <v>5</v>
      </c>
      <c r="J46" s="157">
        <v>1.04</v>
      </c>
      <c r="K46" s="158" t="s">
        <v>593</v>
      </c>
      <c r="L46" s="114">
        <f>(J46-E46)*100/E46</f>
        <v>4.2084168336673384</v>
      </c>
      <c r="M46" s="475" t="s">
        <v>311</v>
      </c>
      <c r="N46" s="460">
        <f>(C46*L46)/100+C46</f>
        <v>0.87847695390781566</v>
      </c>
      <c r="O46" s="456">
        <f t="shared" si="6"/>
        <v>0.87847695390781566</v>
      </c>
      <c r="P46" s="453">
        <f t="shared" si="5"/>
        <v>8784.7695390781573</v>
      </c>
      <c r="Q46" s="442"/>
      <c r="R46" s="441"/>
    </row>
    <row r="47" spans="1:18" ht="14.5" thickBot="1" x14ac:dyDescent="0.35">
      <c r="A47" s="420"/>
      <c r="B47" s="149" t="s">
        <v>313</v>
      </c>
      <c r="C47" s="424">
        <v>0.91700000000000004</v>
      </c>
      <c r="D47" s="426"/>
      <c r="E47" s="159"/>
      <c r="G47" s="137"/>
      <c r="H47" s="150"/>
      <c r="I47" s="90"/>
      <c r="J47" s="139"/>
      <c r="K47" s="151"/>
      <c r="L47" s="114"/>
      <c r="M47" s="474" t="s">
        <v>313</v>
      </c>
      <c r="N47" s="460">
        <f>(C47*L46)/100+C47</f>
        <v>0.95559118236472951</v>
      </c>
      <c r="O47" s="456">
        <f t="shared" si="6"/>
        <v>0.95559118236472951</v>
      </c>
      <c r="P47" s="453">
        <f t="shared" si="5"/>
        <v>9555.911823647295</v>
      </c>
      <c r="Q47" s="443" t="s">
        <v>641</v>
      </c>
      <c r="R47" s="444">
        <f>AVERAGE(P40:P46)</f>
        <v>6569.2527912968799</v>
      </c>
    </row>
    <row r="48" spans="1:18" ht="14" x14ac:dyDescent="0.3">
      <c r="A48" s="420"/>
      <c r="B48" s="149" t="s">
        <v>314</v>
      </c>
      <c r="C48" s="424">
        <v>1</v>
      </c>
      <c r="D48" s="426"/>
      <c r="E48" s="159"/>
      <c r="G48" s="137"/>
      <c r="H48" s="150"/>
      <c r="I48" s="90"/>
      <c r="J48" s="139"/>
      <c r="K48" s="151"/>
      <c r="L48" s="114"/>
      <c r="M48" s="474" t="s">
        <v>314</v>
      </c>
      <c r="N48" s="460">
        <f>(C48*L46)/100+C48</f>
        <v>1.0420841683366733</v>
      </c>
      <c r="O48" s="456">
        <f t="shared" si="6"/>
        <v>1.0420841683366733</v>
      </c>
      <c r="P48" s="453">
        <f t="shared" si="5"/>
        <v>10420.841683366732</v>
      </c>
      <c r="Q48" s="445"/>
      <c r="R48" s="446"/>
    </row>
    <row r="49" spans="1:18" ht="14" x14ac:dyDescent="0.3">
      <c r="A49" s="420"/>
      <c r="B49" s="149" t="s">
        <v>315</v>
      </c>
      <c r="C49" s="424">
        <v>1.06</v>
      </c>
      <c r="D49" s="426"/>
      <c r="E49" s="159"/>
      <c r="G49" s="137"/>
      <c r="H49" s="150"/>
      <c r="I49" s="90"/>
      <c r="J49" s="139"/>
      <c r="K49" s="151"/>
      <c r="L49" s="114"/>
      <c r="M49" s="474" t="s">
        <v>315</v>
      </c>
      <c r="N49" s="460">
        <f>(C49*L46)/100+C49</f>
        <v>1.1046092184368739</v>
      </c>
      <c r="O49" s="456">
        <f t="shared" si="6"/>
        <v>1.1046092184368739</v>
      </c>
      <c r="P49" s="453">
        <f t="shared" si="5"/>
        <v>11046.092184368739</v>
      </c>
      <c r="Q49" s="440"/>
      <c r="R49" s="441"/>
    </row>
    <row r="50" spans="1:18" ht="14" x14ac:dyDescent="0.3">
      <c r="A50" s="420"/>
      <c r="B50" s="149" t="s">
        <v>316</v>
      </c>
      <c r="C50" s="424">
        <v>1.17</v>
      </c>
      <c r="D50" s="426"/>
      <c r="E50" s="159"/>
      <c r="G50" s="137"/>
      <c r="H50" s="150"/>
      <c r="I50" s="160"/>
      <c r="J50" s="139"/>
      <c r="K50" s="151"/>
      <c r="L50" s="114"/>
      <c r="M50" s="474" t="s">
        <v>316</v>
      </c>
      <c r="N50" s="460">
        <f>(C50*L46)/100+C50</f>
        <v>1.2192384769539077</v>
      </c>
      <c r="O50" s="456">
        <f t="shared" si="6"/>
        <v>1.2192384769539077</v>
      </c>
      <c r="P50" s="453">
        <f t="shared" si="5"/>
        <v>12192.384769539078</v>
      </c>
      <c r="Q50" s="440"/>
      <c r="R50" s="441"/>
    </row>
    <row r="51" spans="1:18" ht="14.5" thickBot="1" x14ac:dyDescent="0.35">
      <c r="A51" s="420"/>
      <c r="B51" s="144" t="s">
        <v>317</v>
      </c>
      <c r="C51" s="153">
        <v>1.3</v>
      </c>
      <c r="D51" s="154" t="s">
        <v>594</v>
      </c>
      <c r="E51" s="155">
        <f>AVERAGE(C51:D55)</f>
        <v>1.46</v>
      </c>
      <c r="G51" s="128" t="s">
        <v>595</v>
      </c>
      <c r="H51" s="156"/>
      <c r="I51" s="90">
        <v>5</v>
      </c>
      <c r="J51" s="157">
        <v>1.55</v>
      </c>
      <c r="K51" s="158" t="s">
        <v>596</v>
      </c>
      <c r="L51" s="114">
        <f>(J51-E51)*100/E51</f>
        <v>6.1643835616438407</v>
      </c>
      <c r="M51" s="475" t="s">
        <v>317</v>
      </c>
      <c r="N51" s="460">
        <f>(C51*L51)/100+C51</f>
        <v>1.3801369863013699</v>
      </c>
      <c r="O51" s="456">
        <f t="shared" si="6"/>
        <v>1.3801369863013699</v>
      </c>
      <c r="P51" s="453">
        <f t="shared" si="5"/>
        <v>13801.369863013699</v>
      </c>
      <c r="Q51" s="440"/>
      <c r="R51" s="441"/>
    </row>
    <row r="52" spans="1:18" ht="14.5" thickBot="1" x14ac:dyDescent="0.35">
      <c r="A52" s="420"/>
      <c r="B52" s="149" t="s">
        <v>318</v>
      </c>
      <c r="C52" s="424">
        <v>1.4</v>
      </c>
      <c r="D52" s="426"/>
      <c r="E52" s="159"/>
      <c r="G52" s="137"/>
      <c r="H52" s="150"/>
      <c r="I52" s="90"/>
      <c r="J52" s="139"/>
      <c r="K52" s="151"/>
      <c r="L52" s="114"/>
      <c r="M52" s="474" t="s">
        <v>318</v>
      </c>
      <c r="N52" s="460">
        <f>(C52*L51)/100+C52</f>
        <v>1.4863013698630136</v>
      </c>
      <c r="O52" s="456">
        <f t="shared" si="6"/>
        <v>1.4863013698630136</v>
      </c>
      <c r="P52" s="453">
        <f t="shared" si="5"/>
        <v>14863.013698630137</v>
      </c>
      <c r="Q52" s="438" t="s">
        <v>639</v>
      </c>
      <c r="R52" s="439">
        <f>AVERAGE(P46:P55)</f>
        <v>12950</v>
      </c>
    </row>
    <row r="53" spans="1:18" ht="14.5" thickBot="1" x14ac:dyDescent="0.35">
      <c r="A53" s="420"/>
      <c r="B53" s="149" t="s">
        <v>319</v>
      </c>
      <c r="C53" s="424">
        <v>1.48</v>
      </c>
      <c r="D53" s="426"/>
      <c r="E53" s="159"/>
      <c r="G53" s="137"/>
      <c r="H53" s="150"/>
      <c r="I53" s="90"/>
      <c r="J53" s="139"/>
      <c r="K53" s="151"/>
      <c r="L53" s="114"/>
      <c r="M53" s="474" t="s">
        <v>319</v>
      </c>
      <c r="N53" s="460">
        <f>(C53*L51)/100+C53</f>
        <v>1.5712328767123289</v>
      </c>
      <c r="O53" s="456">
        <f t="shared" si="6"/>
        <v>1.5712328767123289</v>
      </c>
      <c r="P53" s="453">
        <f t="shared" si="5"/>
        <v>15712.328767123288</v>
      </c>
      <c r="Q53" s="440"/>
      <c r="R53" s="447"/>
    </row>
    <row r="54" spans="1:18" ht="14.5" thickBot="1" x14ac:dyDescent="0.35">
      <c r="A54" s="420"/>
      <c r="B54" s="149" t="s">
        <v>320</v>
      </c>
      <c r="C54" s="424">
        <v>1.55</v>
      </c>
      <c r="D54" s="426"/>
      <c r="E54" s="159"/>
      <c r="G54" s="137"/>
      <c r="H54" s="150"/>
      <c r="I54" s="90"/>
      <c r="J54" s="139"/>
      <c r="K54" s="151"/>
      <c r="L54" s="114"/>
      <c r="M54" s="474" t="s">
        <v>320</v>
      </c>
      <c r="N54" s="460">
        <f>(C54*L51)/100+C54</f>
        <v>1.6455479452054795</v>
      </c>
      <c r="O54" s="456">
        <f t="shared" si="6"/>
        <v>1.6455479452054795</v>
      </c>
      <c r="P54" s="453">
        <f t="shared" si="5"/>
        <v>16455.479452054795</v>
      </c>
      <c r="Q54" s="438" t="s">
        <v>642</v>
      </c>
      <c r="R54" s="439">
        <f>AVERAGE(P47:P53)</f>
        <v>12513.13468424128</v>
      </c>
    </row>
    <row r="55" spans="1:18" ht="14" x14ac:dyDescent="0.3">
      <c r="A55" s="420"/>
      <c r="B55" s="149" t="s">
        <v>321</v>
      </c>
      <c r="C55" s="424">
        <v>1.57</v>
      </c>
      <c r="D55" s="426"/>
      <c r="E55" s="159"/>
      <c r="G55" s="137"/>
      <c r="H55" s="150"/>
      <c r="I55" s="160"/>
      <c r="J55" s="139"/>
      <c r="K55" s="151"/>
      <c r="L55" s="114"/>
      <c r="M55" s="474" t="s">
        <v>321</v>
      </c>
      <c r="N55" s="460">
        <f>(C55*L51)/100+C55</f>
        <v>1.6667808219178084</v>
      </c>
      <c r="O55" s="456">
        <f t="shared" si="6"/>
        <v>1.6667808219178084</v>
      </c>
      <c r="P55" s="453">
        <f t="shared" si="5"/>
        <v>16667.808219178085</v>
      </c>
      <c r="Q55" s="440"/>
      <c r="R55" s="441"/>
    </row>
    <row r="56" spans="1:18" ht="14" x14ac:dyDescent="0.3">
      <c r="A56" s="420"/>
      <c r="B56" s="144" t="s">
        <v>322</v>
      </c>
      <c r="C56" s="153">
        <v>1.6</v>
      </c>
      <c r="D56" s="154" t="s">
        <v>597</v>
      </c>
      <c r="E56" s="155">
        <f>AVERAGE(C56:D60)</f>
        <v>1.6599999999999997</v>
      </c>
      <c r="G56" s="128" t="s">
        <v>598</v>
      </c>
      <c r="H56" s="156"/>
      <c r="I56" s="90">
        <v>5</v>
      </c>
      <c r="J56" s="157">
        <v>1.69</v>
      </c>
      <c r="K56" s="158" t="s">
        <v>599</v>
      </c>
      <c r="L56" s="114">
        <f>(J56-E56)*100/E56</f>
        <v>1.807228915662666</v>
      </c>
      <c r="M56" s="475" t="s">
        <v>322</v>
      </c>
      <c r="N56" s="460">
        <f>(C56*L56)/100+C56</f>
        <v>1.6289156626506027</v>
      </c>
      <c r="O56" s="456">
        <f t="shared" si="6"/>
        <v>1.6289156626506027</v>
      </c>
      <c r="P56" s="453">
        <f t="shared" si="5"/>
        <v>16289.156626506026</v>
      </c>
      <c r="Q56" s="440"/>
      <c r="R56" s="441"/>
    </row>
    <row r="57" spans="1:18" ht="14" x14ac:dyDescent="0.3">
      <c r="A57" s="420"/>
      <c r="B57" s="161" t="s">
        <v>323</v>
      </c>
      <c r="C57" s="162">
        <v>1.63</v>
      </c>
      <c r="E57" s="159"/>
      <c r="G57" s="163"/>
      <c r="H57" s="164"/>
      <c r="I57" s="92"/>
      <c r="J57" s="165"/>
      <c r="K57" s="151"/>
      <c r="L57" s="436"/>
      <c r="M57" s="474" t="s">
        <v>323</v>
      </c>
      <c r="N57" s="460">
        <f>(C57*L56)/100+C57</f>
        <v>1.6594578313253014</v>
      </c>
      <c r="O57" s="456">
        <f t="shared" si="6"/>
        <v>1.6594578313253014</v>
      </c>
      <c r="P57" s="453">
        <f t="shared" si="5"/>
        <v>16594.578313253016</v>
      </c>
      <c r="Q57" s="440"/>
      <c r="R57" s="441"/>
    </row>
    <row r="58" spans="1:18" ht="14.5" thickBot="1" x14ac:dyDescent="0.35">
      <c r="A58" s="420"/>
      <c r="B58" s="166" t="s">
        <v>523</v>
      </c>
      <c r="C58" s="424">
        <v>1.69</v>
      </c>
      <c r="E58" s="159"/>
      <c r="G58" s="167" t="s">
        <v>567</v>
      </c>
      <c r="H58" s="168" t="s">
        <v>600</v>
      </c>
      <c r="J58" s="169">
        <v>1.82</v>
      </c>
      <c r="K58" s="142"/>
      <c r="L58" s="436"/>
      <c r="M58" s="474" t="s">
        <v>523</v>
      </c>
      <c r="N58" s="460">
        <f>(C58*L56)/100+C58</f>
        <v>1.7205421686746991</v>
      </c>
      <c r="O58" s="456">
        <f t="shared" si="6"/>
        <v>1.7205421686746991</v>
      </c>
      <c r="P58" s="453">
        <f t="shared" si="5"/>
        <v>17205.421686746991</v>
      </c>
      <c r="Q58" s="440"/>
      <c r="R58" s="441"/>
    </row>
    <row r="59" spans="1:18" ht="14.5" thickBot="1" x14ac:dyDescent="0.35">
      <c r="A59" s="420"/>
      <c r="B59" s="170" t="s">
        <v>524</v>
      </c>
      <c r="C59" s="424">
        <v>1.69</v>
      </c>
      <c r="E59" s="159"/>
      <c r="G59" s="171"/>
      <c r="H59" s="466" t="s">
        <v>704</v>
      </c>
      <c r="J59" s="172"/>
      <c r="K59" s="142"/>
      <c r="L59" s="90"/>
      <c r="M59" s="474" t="s">
        <v>524</v>
      </c>
      <c r="N59" s="460">
        <f>(C59*L56)/100+C59</f>
        <v>1.7205421686746991</v>
      </c>
      <c r="O59" s="456">
        <f t="shared" si="6"/>
        <v>1.7205421686746991</v>
      </c>
      <c r="P59" s="453">
        <f t="shared" si="5"/>
        <v>17205.421686746991</v>
      </c>
      <c r="Q59" s="438" t="s">
        <v>640</v>
      </c>
      <c r="R59" s="439">
        <f>(SUM(P56:P60)+(P61*9))/14</f>
        <v>17735.714285714286</v>
      </c>
    </row>
    <row r="60" spans="1:18" ht="14.5" thickBot="1" x14ac:dyDescent="0.35">
      <c r="A60" s="420"/>
      <c r="B60" s="173" t="s">
        <v>525</v>
      </c>
      <c r="C60" s="162">
        <v>1.69</v>
      </c>
      <c r="D60" s="92"/>
      <c r="E60" s="174"/>
      <c r="G60" s="175"/>
      <c r="H60" s="175"/>
      <c r="I60" s="92"/>
      <c r="J60" s="176"/>
      <c r="K60" s="177"/>
      <c r="L60" s="90"/>
      <c r="M60" s="473" t="s">
        <v>525</v>
      </c>
      <c r="N60" s="460">
        <f>(C60*L56)/100+C60</f>
        <v>1.7205421686746991</v>
      </c>
      <c r="O60" s="456">
        <f t="shared" si="6"/>
        <v>1.7205421686746991</v>
      </c>
      <c r="P60" s="453">
        <f t="shared" si="5"/>
        <v>17205.421686746991</v>
      </c>
      <c r="Q60" s="440"/>
      <c r="R60" s="447"/>
    </row>
    <row r="61" spans="1:18" ht="14.5" thickBot="1" x14ac:dyDescent="0.35">
      <c r="A61" s="427"/>
      <c r="B61" s="428"/>
      <c r="C61" s="428"/>
      <c r="D61" s="428"/>
      <c r="E61" s="428"/>
      <c r="F61" s="428"/>
      <c r="G61" s="428"/>
      <c r="H61" s="429"/>
      <c r="I61" s="428"/>
      <c r="J61" s="428"/>
      <c r="K61" s="428"/>
      <c r="L61" s="428"/>
      <c r="M61" s="476" t="s">
        <v>601</v>
      </c>
      <c r="N61" s="461"/>
      <c r="O61" s="457">
        <f>J58</f>
        <v>1.82</v>
      </c>
      <c r="P61" s="454">
        <f t="shared" si="5"/>
        <v>18200</v>
      </c>
      <c r="Q61" s="448" t="s">
        <v>643</v>
      </c>
      <c r="R61" s="449">
        <f>(SUM(P54:P60)+(P61*9))/16</f>
        <v>17588.955479452055</v>
      </c>
    </row>
    <row r="62" spans="1:18" ht="14.5" thickTop="1" x14ac:dyDescent="0.3">
      <c r="H62" s="127"/>
      <c r="M62" s="69"/>
      <c r="N62" s="90"/>
      <c r="O62" s="90"/>
    </row>
    <row r="63" spans="1:18" x14ac:dyDescent="0.25">
      <c r="M63" s="69"/>
    </row>
    <row r="70" spans="13:13" x14ac:dyDescent="0.25">
      <c r="M70" s="69" t="s">
        <v>254</v>
      </c>
    </row>
  </sheetData>
  <sheetProtection sheet="1" objects="1" scenarios="1"/>
  <mergeCells count="9">
    <mergeCell ref="O35:Q35"/>
    <mergeCell ref="O34:Q34"/>
    <mergeCell ref="B37:E37"/>
    <mergeCell ref="C3:G3"/>
    <mergeCell ref="I3:M3"/>
    <mergeCell ref="N3:O3"/>
    <mergeCell ref="B33:E33"/>
    <mergeCell ref="B36:E36"/>
    <mergeCell ref="A25:K25"/>
  </mergeCells>
  <pageMargins left="0.5" right="0.5" top="1" bottom="0.75" header="0.5" footer="0.5"/>
  <pageSetup paperSize="5" scale="75" orientation="landscape" r:id="rId1"/>
  <headerFooter>
    <oddHeader>&amp;C&amp;"Arial,Bold"MCP Numerical Standards Derivation</oddHeader>
    <oddFooter>&amp;L&amp;8MassDEP&amp;C&amp;8 2024&amp;R&amp;8Workboob:  &amp;F
Sheet:  &amp;A
Page: &amp;P/&amp;N</oddFooter>
  </headerFooter>
  <rowBreaks count="1" manualBreakCount="1">
    <brk id="27" max="16383" man="1"/>
  </row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595"/>
  <sheetViews>
    <sheetView showGridLines="0" zoomScale="125" zoomScaleNormal="125" workbookViewId="0">
      <pane ySplit="4" topLeftCell="A5" activePane="bottomLeft" state="frozen"/>
      <selection activeCell="B3" sqref="B3"/>
      <selection pane="bottomLeft" activeCell="A3" sqref="A3"/>
    </sheetView>
  </sheetViews>
  <sheetFormatPr defaultColWidth="9.08984375" defaultRowHeight="12.5" x14ac:dyDescent="0.25"/>
  <cols>
    <col min="1" max="1" width="11" style="494" customWidth="1"/>
    <col min="2" max="2" width="98.453125" style="356" customWidth="1"/>
    <col min="3" max="8" width="9.08984375" style="1"/>
    <col min="9" max="9" width="6.54296875" style="1" customWidth="1"/>
    <col min="10" max="10" width="18" style="1" customWidth="1"/>
    <col min="11" max="16384" width="9.08984375" style="1"/>
  </cols>
  <sheetData>
    <row r="1" spans="1:11" ht="14" x14ac:dyDescent="0.25">
      <c r="A1" s="482" t="s">
        <v>262</v>
      </c>
    </row>
    <row r="2" spans="1:11" x14ac:dyDescent="0.25">
      <c r="A2" s="483"/>
      <c r="B2" s="17"/>
    </row>
    <row r="3" spans="1:11" x14ac:dyDescent="0.25">
      <c r="A3" s="483"/>
      <c r="B3" s="17"/>
      <c r="K3"/>
    </row>
    <row r="4" spans="1:11" ht="13" thickBot="1" x14ac:dyDescent="0.3">
      <c r="A4" s="484" t="s">
        <v>261</v>
      </c>
      <c r="B4" s="321" t="s">
        <v>249</v>
      </c>
      <c r="C4" s="9"/>
      <c r="D4" s="9"/>
    </row>
    <row r="5" spans="1:11" x14ac:dyDescent="0.25">
      <c r="A5" s="485"/>
      <c r="B5" s="357" t="s">
        <v>506</v>
      </c>
    </row>
    <row r="6" spans="1:11" s="3" customFormat="1" ht="10" x14ac:dyDescent="0.2">
      <c r="A6" s="486">
        <v>1</v>
      </c>
      <c r="B6" s="358" t="s">
        <v>712</v>
      </c>
    </row>
    <row r="7" spans="1:11" s="3" customFormat="1" ht="10" x14ac:dyDescent="0.2">
      <c r="A7" s="486" t="s">
        <v>330</v>
      </c>
      <c r="B7" s="358" t="s">
        <v>258</v>
      </c>
    </row>
    <row r="8" spans="1:11" s="3" customFormat="1" ht="10" x14ac:dyDescent="0.2">
      <c r="A8" s="486"/>
      <c r="B8" s="358" t="s">
        <v>257</v>
      </c>
    </row>
    <row r="9" spans="1:11" s="3" customFormat="1" ht="10" x14ac:dyDescent="0.2">
      <c r="A9" s="486" t="s">
        <v>153</v>
      </c>
      <c r="B9" s="358" t="s">
        <v>260</v>
      </c>
    </row>
    <row r="10" spans="1:11" s="3" customFormat="1" ht="10" x14ac:dyDescent="0.2">
      <c r="A10" s="486" t="s">
        <v>331</v>
      </c>
      <c r="B10" s="358" t="s">
        <v>432</v>
      </c>
    </row>
    <row r="11" spans="1:11" s="3" customFormat="1" ht="10" x14ac:dyDescent="0.2">
      <c r="A11" s="486" t="s">
        <v>188</v>
      </c>
      <c r="B11" s="358" t="s">
        <v>259</v>
      </c>
    </row>
    <row r="12" spans="1:11" s="3" customFormat="1" ht="20" x14ac:dyDescent="0.2">
      <c r="A12" s="486" t="s">
        <v>10</v>
      </c>
      <c r="B12" s="358" t="s">
        <v>633</v>
      </c>
    </row>
    <row r="13" spans="1:11" s="3" customFormat="1" ht="10" x14ac:dyDescent="0.2">
      <c r="A13" s="486"/>
      <c r="B13" s="358" t="s">
        <v>713</v>
      </c>
    </row>
    <row r="14" spans="1:11" s="3" customFormat="1" ht="10" x14ac:dyDescent="0.2">
      <c r="A14" s="486" t="s">
        <v>332</v>
      </c>
      <c r="B14" s="358" t="s">
        <v>517</v>
      </c>
    </row>
    <row r="15" spans="1:11" s="3" customFormat="1" ht="10" x14ac:dyDescent="0.2">
      <c r="A15" s="486" t="s">
        <v>82</v>
      </c>
      <c r="B15" s="358" t="s">
        <v>256</v>
      </c>
    </row>
    <row r="16" spans="1:11" s="3" customFormat="1" ht="10" x14ac:dyDescent="0.2">
      <c r="A16" s="486" t="s">
        <v>333</v>
      </c>
      <c r="B16" s="358" t="s">
        <v>433</v>
      </c>
    </row>
    <row r="17" spans="1:2" s="3" customFormat="1" ht="10" x14ac:dyDescent="0.2">
      <c r="A17" s="486" t="s">
        <v>334</v>
      </c>
      <c r="B17" s="358" t="s">
        <v>298</v>
      </c>
    </row>
    <row r="18" spans="1:2" s="3" customFormat="1" ht="10" x14ac:dyDescent="0.2">
      <c r="A18" s="486" t="s">
        <v>204</v>
      </c>
      <c r="B18" s="358" t="s">
        <v>406</v>
      </c>
    </row>
    <row r="19" spans="1:2" s="3" customFormat="1" ht="10" x14ac:dyDescent="0.2">
      <c r="A19" s="486" t="s">
        <v>64</v>
      </c>
      <c r="B19" s="358" t="s">
        <v>402</v>
      </c>
    </row>
    <row r="20" spans="1:2" s="3" customFormat="1" ht="10" x14ac:dyDescent="0.2">
      <c r="A20" s="486" t="s">
        <v>403</v>
      </c>
      <c r="B20" s="358" t="s">
        <v>435</v>
      </c>
    </row>
    <row r="21" spans="1:2" s="3" customFormat="1" ht="10" x14ac:dyDescent="0.2">
      <c r="A21" s="486" t="s">
        <v>512</v>
      </c>
      <c r="B21" s="358" t="s">
        <v>513</v>
      </c>
    </row>
    <row r="22" spans="1:2" s="3" customFormat="1" ht="10" x14ac:dyDescent="0.2">
      <c r="A22" s="486" t="s">
        <v>667</v>
      </c>
      <c r="B22" s="358" t="s">
        <v>666</v>
      </c>
    </row>
    <row r="23" spans="1:2" s="3" customFormat="1" ht="10" x14ac:dyDescent="0.2">
      <c r="A23" s="486"/>
      <c r="B23" s="358"/>
    </row>
    <row r="24" spans="1:2" s="3" customFormat="1" ht="10" x14ac:dyDescent="0.2">
      <c r="A24" s="486">
        <v>2</v>
      </c>
      <c r="B24" s="358" t="s">
        <v>436</v>
      </c>
    </row>
    <row r="25" spans="1:2" s="3" customFormat="1" ht="10" x14ac:dyDescent="0.2">
      <c r="A25" s="486" t="s">
        <v>152</v>
      </c>
      <c r="B25" s="358" t="s">
        <v>255</v>
      </c>
    </row>
    <row r="26" spans="1:2" s="3" customFormat="1" ht="10" x14ac:dyDescent="0.2">
      <c r="A26" s="486" t="s">
        <v>254</v>
      </c>
      <c r="B26" s="358" t="s">
        <v>253</v>
      </c>
    </row>
    <row r="27" spans="1:2" s="3" customFormat="1" ht="10" x14ac:dyDescent="0.2">
      <c r="A27" s="486" t="s">
        <v>335</v>
      </c>
      <c r="B27" s="358" t="s">
        <v>434</v>
      </c>
    </row>
    <row r="28" spans="1:2" s="3" customFormat="1" ht="10" x14ac:dyDescent="0.2">
      <c r="A28" s="486" t="s">
        <v>336</v>
      </c>
      <c r="B28" s="358" t="s">
        <v>359</v>
      </c>
    </row>
    <row r="29" spans="1:2" s="3" customFormat="1" ht="10" x14ac:dyDescent="0.2">
      <c r="A29" s="486"/>
      <c r="B29" s="358" t="s">
        <v>252</v>
      </c>
    </row>
    <row r="30" spans="1:2" s="3" customFormat="1" ht="10" x14ac:dyDescent="0.2">
      <c r="A30" s="486" t="s">
        <v>337</v>
      </c>
      <c r="B30" s="358" t="s">
        <v>437</v>
      </c>
    </row>
    <row r="31" spans="1:2" s="3" customFormat="1" ht="10" x14ac:dyDescent="0.2">
      <c r="A31" s="486" t="s">
        <v>338</v>
      </c>
      <c r="B31" s="358" t="s">
        <v>440</v>
      </c>
    </row>
    <row r="32" spans="1:2" s="3" customFormat="1" ht="10" x14ac:dyDescent="0.2">
      <c r="A32" s="486" t="s">
        <v>166</v>
      </c>
      <c r="B32" s="358" t="s">
        <v>251</v>
      </c>
    </row>
    <row r="33" spans="1:2" s="3" customFormat="1" ht="10" x14ac:dyDescent="0.2">
      <c r="A33" s="486" t="s">
        <v>339</v>
      </c>
      <c r="B33" s="358" t="s">
        <v>250</v>
      </c>
    </row>
    <row r="34" spans="1:2" s="3" customFormat="1" ht="10" x14ac:dyDescent="0.2">
      <c r="A34" s="486"/>
      <c r="B34" s="358"/>
    </row>
    <row r="35" spans="1:2" s="3" customFormat="1" ht="10" x14ac:dyDescent="0.2">
      <c r="A35" s="486">
        <v>3</v>
      </c>
      <c r="B35" s="358" t="s">
        <v>438</v>
      </c>
    </row>
    <row r="36" spans="1:2" s="3" customFormat="1" ht="10" x14ac:dyDescent="0.2">
      <c r="A36" s="486"/>
      <c r="B36" s="358" t="s">
        <v>439</v>
      </c>
    </row>
    <row r="37" spans="1:2" s="3" customFormat="1" ht="10" x14ac:dyDescent="0.2">
      <c r="A37" s="486" t="s">
        <v>518</v>
      </c>
      <c r="B37" s="358" t="s">
        <v>519</v>
      </c>
    </row>
    <row r="38" spans="1:2" s="3" customFormat="1" ht="20" x14ac:dyDescent="0.2">
      <c r="A38" s="486"/>
      <c r="B38" s="358" t="s">
        <v>520</v>
      </c>
    </row>
    <row r="39" spans="1:2" s="3" customFormat="1" ht="10" x14ac:dyDescent="0.2">
      <c r="A39" s="486"/>
      <c r="B39" s="358"/>
    </row>
    <row r="40" spans="1:2" s="3" customFormat="1" ht="10" x14ac:dyDescent="0.2">
      <c r="A40" s="486">
        <v>4</v>
      </c>
      <c r="B40" s="358" t="s">
        <v>358</v>
      </c>
    </row>
    <row r="41" spans="1:2" s="3" customFormat="1" ht="10" x14ac:dyDescent="0.2">
      <c r="A41" s="486"/>
      <c r="B41" s="358" t="s">
        <v>441</v>
      </c>
    </row>
    <row r="42" spans="1:2" s="3" customFormat="1" ht="10" x14ac:dyDescent="0.2">
      <c r="A42" s="486"/>
      <c r="B42" s="358"/>
    </row>
    <row r="43" spans="1:2" s="3" customFormat="1" ht="20" x14ac:dyDescent="0.2">
      <c r="A43" s="486" t="s">
        <v>442</v>
      </c>
      <c r="B43" s="358" t="s">
        <v>465</v>
      </c>
    </row>
    <row r="44" spans="1:2" s="3" customFormat="1" ht="10" x14ac:dyDescent="0.2">
      <c r="A44" s="486" t="s">
        <v>443</v>
      </c>
      <c r="B44" s="358" t="s">
        <v>485</v>
      </c>
    </row>
    <row r="45" spans="1:2" s="3" customFormat="1" ht="10" x14ac:dyDescent="0.2">
      <c r="A45" s="486" t="s">
        <v>446</v>
      </c>
      <c r="B45" s="358" t="s">
        <v>463</v>
      </c>
    </row>
    <row r="46" spans="1:2" s="3" customFormat="1" ht="10" x14ac:dyDescent="0.2">
      <c r="A46" s="486"/>
      <c r="B46" s="358" t="s">
        <v>464</v>
      </c>
    </row>
    <row r="47" spans="1:2" s="3" customFormat="1" ht="20" x14ac:dyDescent="0.2">
      <c r="A47" s="486" t="s">
        <v>478</v>
      </c>
      <c r="B47" s="358" t="s">
        <v>479</v>
      </c>
    </row>
    <row r="48" spans="1:2" s="3" customFormat="1" ht="10" x14ac:dyDescent="0.2">
      <c r="A48" s="487"/>
      <c r="B48" s="358" t="s">
        <v>632</v>
      </c>
    </row>
    <row r="49" spans="1:2" s="3" customFormat="1" ht="10" x14ac:dyDescent="0.2">
      <c r="A49" s="486" t="s">
        <v>486</v>
      </c>
      <c r="B49" s="358" t="s">
        <v>487</v>
      </c>
    </row>
    <row r="50" spans="1:2" s="3" customFormat="1" ht="10" x14ac:dyDescent="0.2">
      <c r="A50" s="486"/>
      <c r="B50" s="358"/>
    </row>
    <row r="51" spans="1:2" s="3" customFormat="1" ht="10" x14ac:dyDescent="0.2">
      <c r="A51" s="486" t="s">
        <v>521</v>
      </c>
      <c r="B51" s="358" t="s">
        <v>634</v>
      </c>
    </row>
    <row r="52" spans="1:2" s="3" customFormat="1" ht="20" x14ac:dyDescent="0.2">
      <c r="A52" s="486"/>
      <c r="B52" s="358" t="s">
        <v>635</v>
      </c>
    </row>
    <row r="53" spans="1:2" s="3" customFormat="1" ht="10" x14ac:dyDescent="0.2">
      <c r="A53" s="486" t="s">
        <v>675</v>
      </c>
      <c r="B53" s="358" t="s">
        <v>676</v>
      </c>
    </row>
    <row r="54" spans="1:2" s="3" customFormat="1" ht="10" x14ac:dyDescent="0.2">
      <c r="A54" s="486"/>
      <c r="B54" s="358"/>
    </row>
    <row r="55" spans="1:2" s="3" customFormat="1" ht="10" x14ac:dyDescent="0.2">
      <c r="A55" s="486">
        <v>6</v>
      </c>
      <c r="B55" s="358" t="s">
        <v>361</v>
      </c>
    </row>
    <row r="56" spans="1:2" s="3" customFormat="1" ht="10" x14ac:dyDescent="0.2">
      <c r="A56" s="486" t="s">
        <v>5</v>
      </c>
      <c r="B56" s="358" t="s">
        <v>349</v>
      </c>
    </row>
    <row r="57" spans="1:2" s="3" customFormat="1" ht="10" x14ac:dyDescent="0.2">
      <c r="A57" s="486" t="s">
        <v>8</v>
      </c>
      <c r="B57" s="358" t="s">
        <v>401</v>
      </c>
    </row>
    <row r="58" spans="1:2" s="3" customFormat="1" ht="10" x14ac:dyDescent="0.2">
      <c r="A58" s="486" t="s">
        <v>473</v>
      </c>
      <c r="B58" s="358" t="s">
        <v>356</v>
      </c>
    </row>
    <row r="59" spans="1:2" s="3" customFormat="1" ht="10" x14ac:dyDescent="0.2">
      <c r="A59" s="486" t="s">
        <v>476</v>
      </c>
      <c r="B59" s="358" t="s">
        <v>477</v>
      </c>
    </row>
    <row r="60" spans="1:2" s="3" customFormat="1" ht="10" x14ac:dyDescent="0.2">
      <c r="A60" s="486"/>
      <c r="B60" s="358"/>
    </row>
    <row r="61" spans="1:2" s="3" customFormat="1" ht="10" x14ac:dyDescent="0.2">
      <c r="A61" s="486" t="s">
        <v>474</v>
      </c>
      <c r="B61" s="358" t="s">
        <v>286</v>
      </c>
    </row>
    <row r="62" spans="1:2" s="3" customFormat="1" ht="12" x14ac:dyDescent="0.2">
      <c r="A62" s="486"/>
      <c r="B62" s="358" t="s">
        <v>681</v>
      </c>
    </row>
    <row r="63" spans="1:2" s="3" customFormat="1" ht="10" x14ac:dyDescent="0.2">
      <c r="A63" s="486" t="s">
        <v>475</v>
      </c>
      <c r="B63" s="358" t="s">
        <v>287</v>
      </c>
    </row>
    <row r="64" spans="1:2" s="3" customFormat="1" ht="12" x14ac:dyDescent="0.2">
      <c r="A64" s="486"/>
      <c r="B64" s="358" t="s">
        <v>682</v>
      </c>
    </row>
    <row r="65" spans="1:18" s="3" customFormat="1" ht="20" x14ac:dyDescent="0.2">
      <c r="A65" s="486" t="s">
        <v>488</v>
      </c>
      <c r="B65" s="358" t="s">
        <v>328</v>
      </c>
    </row>
    <row r="66" spans="1:18" s="3" customFormat="1" ht="10" x14ac:dyDescent="0.2">
      <c r="A66" s="488"/>
      <c r="B66" s="323"/>
    </row>
    <row r="68" spans="1:18" x14ac:dyDescent="0.25">
      <c r="A68" s="489"/>
      <c r="B68" s="357" t="s">
        <v>499</v>
      </c>
    </row>
    <row r="69" spans="1:18" s="3" customFormat="1" ht="20" x14ac:dyDescent="0.2">
      <c r="A69" s="486">
        <v>9</v>
      </c>
      <c r="B69" s="358" t="s">
        <v>422</v>
      </c>
    </row>
    <row r="70" spans="1:18" s="3" customFormat="1" ht="10" x14ac:dyDescent="0.2">
      <c r="A70" s="488"/>
      <c r="B70" s="358" t="s">
        <v>414</v>
      </c>
    </row>
    <row r="71" spans="1:18" s="3" customFormat="1" ht="20" x14ac:dyDescent="0.2">
      <c r="A71" s="486" t="s">
        <v>500</v>
      </c>
      <c r="B71" s="358" t="s">
        <v>429</v>
      </c>
    </row>
    <row r="72" spans="1:18" s="3" customFormat="1" ht="20" x14ac:dyDescent="0.2">
      <c r="A72" s="486"/>
      <c r="B72" s="358" t="s">
        <v>683</v>
      </c>
      <c r="C72" s="322"/>
      <c r="D72" s="322"/>
      <c r="E72" s="322"/>
      <c r="F72" s="322"/>
      <c r="G72" s="322"/>
      <c r="H72" s="322"/>
      <c r="I72" s="322"/>
      <c r="J72" s="322"/>
      <c r="K72" s="322"/>
      <c r="L72" s="322"/>
      <c r="M72" s="322"/>
      <c r="N72" s="322"/>
      <c r="O72" s="322"/>
    </row>
    <row r="73" spans="1:18" s="3" customFormat="1" ht="20" x14ac:dyDescent="0.2">
      <c r="A73" s="486"/>
      <c r="B73" s="358" t="s">
        <v>684</v>
      </c>
      <c r="C73" s="322"/>
      <c r="D73" s="322"/>
      <c r="E73" s="322"/>
      <c r="F73" s="322"/>
      <c r="G73" s="322"/>
      <c r="H73" s="322"/>
      <c r="I73" s="322"/>
      <c r="J73" s="322"/>
      <c r="K73" s="322"/>
      <c r="L73" s="322"/>
      <c r="M73" s="322"/>
      <c r="N73" s="322"/>
      <c r="O73" s="322"/>
      <c r="P73" s="322"/>
      <c r="Q73" s="322"/>
      <c r="R73" s="322"/>
    </row>
    <row r="74" spans="1:18" s="3" customFormat="1" ht="10" x14ac:dyDescent="0.2">
      <c r="A74" s="486"/>
      <c r="B74" s="358" t="s">
        <v>685</v>
      </c>
      <c r="C74" s="322"/>
      <c r="D74" s="322"/>
      <c r="E74" s="322"/>
      <c r="F74" s="322"/>
      <c r="G74" s="322"/>
      <c r="H74" s="322"/>
      <c r="I74" s="322"/>
      <c r="J74" s="322"/>
      <c r="K74" s="322"/>
      <c r="L74" s="322"/>
      <c r="M74" s="322"/>
      <c r="N74" s="322"/>
      <c r="O74" s="322"/>
    </row>
    <row r="75" spans="1:18" s="3" customFormat="1" ht="20" x14ac:dyDescent="0.2">
      <c r="A75" s="486"/>
      <c r="B75" s="358" t="s">
        <v>686</v>
      </c>
      <c r="C75" s="322"/>
      <c r="D75" s="322"/>
      <c r="E75" s="322"/>
      <c r="F75" s="322"/>
      <c r="G75" s="322"/>
      <c r="H75" s="322"/>
      <c r="I75" s="322"/>
      <c r="J75" s="322"/>
      <c r="K75" s="322"/>
      <c r="L75" s="322"/>
      <c r="M75" s="322"/>
      <c r="N75" s="322"/>
      <c r="O75" s="322"/>
    </row>
    <row r="76" spans="1:18" s="3" customFormat="1" ht="10" x14ac:dyDescent="0.2">
      <c r="A76" s="486"/>
      <c r="B76" s="358" t="s">
        <v>427</v>
      </c>
      <c r="C76" s="322"/>
      <c r="D76" s="322"/>
      <c r="E76" s="322"/>
      <c r="F76" s="322"/>
      <c r="G76" s="322"/>
      <c r="H76" s="322"/>
      <c r="I76" s="322"/>
      <c r="J76" s="322"/>
      <c r="K76" s="322"/>
      <c r="L76" s="322"/>
      <c r="M76" s="322"/>
      <c r="N76" s="322"/>
      <c r="O76" s="322"/>
    </row>
    <row r="77" spans="1:18" s="3" customFormat="1" ht="20" x14ac:dyDescent="0.2">
      <c r="A77" s="486"/>
      <c r="B77" s="359" t="s">
        <v>687</v>
      </c>
    </row>
    <row r="78" spans="1:18" s="3" customFormat="1" ht="10" x14ac:dyDescent="0.2">
      <c r="A78" s="486"/>
      <c r="B78" s="359" t="s">
        <v>688</v>
      </c>
    </row>
    <row r="79" spans="1:18" s="3" customFormat="1" ht="20" x14ac:dyDescent="0.2">
      <c r="A79" s="486"/>
      <c r="B79" s="358" t="s">
        <v>425</v>
      </c>
    </row>
    <row r="80" spans="1:18" s="3" customFormat="1" ht="10" x14ac:dyDescent="0.2">
      <c r="A80" s="486"/>
      <c r="B80" s="358" t="s">
        <v>428</v>
      </c>
    </row>
    <row r="81" spans="1:10" s="3" customFormat="1" ht="21" x14ac:dyDescent="0.25">
      <c r="A81" s="486" t="s">
        <v>501</v>
      </c>
      <c r="B81" s="360" t="s">
        <v>423</v>
      </c>
    </row>
    <row r="82" spans="1:10" s="3" customFormat="1" ht="10.5" x14ac:dyDescent="0.25">
      <c r="A82" s="486"/>
      <c r="B82" s="360" t="s">
        <v>411</v>
      </c>
    </row>
    <row r="83" spans="1:10" s="3" customFormat="1" ht="20" x14ac:dyDescent="0.2">
      <c r="A83" s="486" t="s">
        <v>502</v>
      </c>
      <c r="B83" s="358" t="s">
        <v>424</v>
      </c>
    </row>
    <row r="84" spans="1:10" s="3" customFormat="1" ht="20" x14ac:dyDescent="0.2">
      <c r="A84" s="486" t="s">
        <v>503</v>
      </c>
      <c r="B84" s="358" t="s">
        <v>413</v>
      </c>
    </row>
    <row r="85" spans="1:10" s="3" customFormat="1" ht="10" x14ac:dyDescent="0.2">
      <c r="A85" s="486"/>
      <c r="B85" s="358" t="s">
        <v>412</v>
      </c>
    </row>
    <row r="86" spans="1:10" s="3" customFormat="1" ht="20" x14ac:dyDescent="0.2">
      <c r="A86" s="486" t="s">
        <v>504</v>
      </c>
      <c r="B86" s="358" t="s">
        <v>417</v>
      </c>
      <c r="J86" s="322"/>
    </row>
    <row r="87" spans="1:10" s="3" customFormat="1" ht="20" x14ac:dyDescent="0.2">
      <c r="A87" s="486"/>
      <c r="B87" s="358" t="s">
        <v>418</v>
      </c>
      <c r="J87" s="322"/>
    </row>
    <row r="88" spans="1:10" s="3" customFormat="1" ht="20" x14ac:dyDescent="0.2">
      <c r="A88" s="486"/>
      <c r="B88" s="358" t="s">
        <v>419</v>
      </c>
    </row>
    <row r="89" spans="1:10" s="3" customFormat="1" ht="10" x14ac:dyDescent="0.2">
      <c r="A89" s="486" t="s">
        <v>505</v>
      </c>
      <c r="B89" s="323" t="s">
        <v>415</v>
      </c>
    </row>
    <row r="90" spans="1:10" s="3" customFormat="1" ht="10" x14ac:dyDescent="0.2">
      <c r="A90" s="486"/>
      <c r="B90" s="323" t="s">
        <v>416</v>
      </c>
    </row>
    <row r="91" spans="1:10" s="3" customFormat="1" ht="10" x14ac:dyDescent="0.2">
      <c r="A91" s="486" t="s">
        <v>515</v>
      </c>
      <c r="B91" s="323" t="s">
        <v>516</v>
      </c>
    </row>
    <row r="92" spans="1:10" s="3" customFormat="1" ht="20" x14ac:dyDescent="0.2">
      <c r="A92" s="486" t="s">
        <v>622</v>
      </c>
      <c r="B92" s="323" t="s">
        <v>623</v>
      </c>
    </row>
    <row r="93" spans="1:10" s="3" customFormat="1" ht="10" x14ac:dyDescent="0.2">
      <c r="A93" s="486"/>
      <c r="B93" s="323" t="s">
        <v>624</v>
      </c>
    </row>
    <row r="94" spans="1:10" s="3" customFormat="1" ht="10" x14ac:dyDescent="0.2">
      <c r="A94" s="486"/>
      <c r="B94" s="323"/>
    </row>
    <row r="95" spans="1:10" x14ac:dyDescent="0.25">
      <c r="A95" s="489"/>
      <c r="B95" s="357" t="s">
        <v>288</v>
      </c>
    </row>
    <row r="96" spans="1:10" s="3" customFormat="1" ht="10" x14ac:dyDescent="0.2">
      <c r="A96" s="486" t="s">
        <v>492</v>
      </c>
      <c r="B96" s="358" t="s">
        <v>452</v>
      </c>
    </row>
    <row r="97" spans="1:2" s="3" customFormat="1" ht="10" x14ac:dyDescent="0.2">
      <c r="A97" s="486" t="s">
        <v>493</v>
      </c>
      <c r="B97" s="358" t="s">
        <v>447</v>
      </c>
    </row>
    <row r="98" spans="1:2" s="3" customFormat="1" ht="10" x14ac:dyDescent="0.2">
      <c r="A98" s="486" t="s">
        <v>494</v>
      </c>
      <c r="B98" s="358" t="s">
        <v>454</v>
      </c>
    </row>
    <row r="99" spans="1:2" s="3" customFormat="1" ht="10" x14ac:dyDescent="0.2">
      <c r="A99" s="486" t="s">
        <v>495</v>
      </c>
      <c r="B99" s="358" t="s">
        <v>453</v>
      </c>
    </row>
    <row r="100" spans="1:2" s="3" customFormat="1" ht="20" x14ac:dyDescent="0.2">
      <c r="A100" s="486" t="s">
        <v>496</v>
      </c>
      <c r="B100" s="358" t="s">
        <v>448</v>
      </c>
    </row>
    <row r="101" spans="1:2" s="3" customFormat="1" ht="10" x14ac:dyDescent="0.2">
      <c r="A101" s="486"/>
      <c r="B101" s="358" t="s">
        <v>421</v>
      </c>
    </row>
    <row r="102" spans="1:2" s="3" customFormat="1" ht="10" x14ac:dyDescent="0.2">
      <c r="A102" s="486"/>
      <c r="B102" s="358" t="s">
        <v>420</v>
      </c>
    </row>
    <row r="103" spans="1:2" s="3" customFormat="1" ht="10" x14ac:dyDescent="0.2">
      <c r="A103" s="486"/>
      <c r="B103" s="358" t="s">
        <v>451</v>
      </c>
    </row>
    <row r="104" spans="1:2" s="3" customFormat="1" ht="20" x14ac:dyDescent="0.2">
      <c r="A104" s="486" t="s">
        <v>497</v>
      </c>
      <c r="B104" s="361" t="s">
        <v>449</v>
      </c>
    </row>
    <row r="105" spans="1:2" s="3" customFormat="1" ht="10" x14ac:dyDescent="0.2">
      <c r="A105" s="486"/>
      <c r="B105" s="358" t="s">
        <v>450</v>
      </c>
    </row>
    <row r="106" spans="1:2" s="3" customFormat="1" ht="20" x14ac:dyDescent="0.2">
      <c r="A106" s="486" t="s">
        <v>498</v>
      </c>
      <c r="B106" s="358" t="s">
        <v>472</v>
      </c>
    </row>
    <row r="107" spans="1:2" s="3" customFormat="1" ht="10" x14ac:dyDescent="0.2">
      <c r="A107" s="486"/>
      <c r="B107" s="358" t="s">
        <v>348</v>
      </c>
    </row>
    <row r="108" spans="1:2" s="3" customFormat="1" ht="10" x14ac:dyDescent="0.2">
      <c r="A108" s="486" t="s">
        <v>664</v>
      </c>
      <c r="B108" s="358" t="s">
        <v>665</v>
      </c>
    </row>
    <row r="109" spans="1:2" s="3" customFormat="1" ht="10" x14ac:dyDescent="0.2">
      <c r="A109" s="486"/>
      <c r="B109" s="358"/>
    </row>
    <row r="110" spans="1:2" x14ac:dyDescent="0.25">
      <c r="A110" s="489"/>
      <c r="B110" s="357" t="s">
        <v>509</v>
      </c>
    </row>
    <row r="111" spans="1:2" s="3" customFormat="1" ht="20" x14ac:dyDescent="0.2">
      <c r="A111" s="486">
        <v>11</v>
      </c>
      <c r="B111" s="358" t="s">
        <v>508</v>
      </c>
    </row>
    <row r="112" spans="1:2" s="3" customFormat="1" ht="10" x14ac:dyDescent="0.2">
      <c r="A112" s="486"/>
      <c r="B112" s="358" t="s">
        <v>507</v>
      </c>
    </row>
    <row r="113" spans="1:2" s="3" customFormat="1" ht="10" x14ac:dyDescent="0.2">
      <c r="A113" s="486"/>
      <c r="B113" s="358"/>
    </row>
    <row r="114" spans="1:2" s="3" customFormat="1" ht="10" x14ac:dyDescent="0.2">
      <c r="A114" s="486">
        <v>12</v>
      </c>
      <c r="B114" s="358" t="s">
        <v>456</v>
      </c>
    </row>
    <row r="115" spans="1:2" s="3" customFormat="1" ht="10" x14ac:dyDescent="0.2">
      <c r="A115" s="486"/>
      <c r="B115" s="358"/>
    </row>
    <row r="116" spans="1:2" s="3" customFormat="1" ht="20" x14ac:dyDescent="0.2">
      <c r="A116" s="486">
        <v>13</v>
      </c>
      <c r="B116" s="358" t="s">
        <v>455</v>
      </c>
    </row>
    <row r="117" spans="1:2" s="3" customFormat="1" ht="10" x14ac:dyDescent="0.2">
      <c r="A117" s="486"/>
      <c r="B117" s="323"/>
    </row>
    <row r="118" spans="1:2" s="3" customFormat="1" ht="10" x14ac:dyDescent="0.2">
      <c r="A118" s="486">
        <v>14</v>
      </c>
      <c r="B118" s="358" t="s">
        <v>457</v>
      </c>
    </row>
    <row r="119" spans="1:2" s="3" customFormat="1" ht="10" x14ac:dyDescent="0.2">
      <c r="A119" s="486"/>
      <c r="B119" s="358"/>
    </row>
    <row r="120" spans="1:2" s="3" customFormat="1" ht="10" x14ac:dyDescent="0.2">
      <c r="A120" s="486">
        <v>15</v>
      </c>
      <c r="B120" s="358" t="s">
        <v>462</v>
      </c>
    </row>
    <row r="121" spans="1:2" s="3" customFormat="1" ht="10" x14ac:dyDescent="0.2">
      <c r="A121" s="486"/>
      <c r="B121" s="358"/>
    </row>
    <row r="122" spans="1:2" s="3" customFormat="1" ht="10" x14ac:dyDescent="0.2">
      <c r="A122" s="486">
        <v>16</v>
      </c>
      <c r="B122" s="358" t="s">
        <v>241</v>
      </c>
    </row>
    <row r="123" spans="1:2" s="3" customFormat="1" ht="10" x14ac:dyDescent="0.2">
      <c r="A123" s="488"/>
      <c r="B123" s="323"/>
    </row>
    <row r="124" spans="1:2" s="3" customFormat="1" ht="10" x14ac:dyDescent="0.2">
      <c r="A124" s="486">
        <v>17</v>
      </c>
      <c r="B124" s="358" t="s">
        <v>480</v>
      </c>
    </row>
    <row r="125" spans="1:2" s="3" customFormat="1" ht="10" x14ac:dyDescent="0.2">
      <c r="A125" s="486" t="s">
        <v>466</v>
      </c>
      <c r="B125" s="358" t="s">
        <v>468</v>
      </c>
    </row>
    <row r="126" spans="1:2" s="3" customFormat="1" ht="10" x14ac:dyDescent="0.2">
      <c r="A126" s="486" t="s">
        <v>467</v>
      </c>
      <c r="B126" s="358" t="s">
        <v>469</v>
      </c>
    </row>
    <row r="127" spans="1:2" s="3" customFormat="1" ht="10" x14ac:dyDescent="0.2">
      <c r="A127" s="486"/>
      <c r="B127" s="358"/>
    </row>
    <row r="128" spans="1:2" s="3" customFormat="1" ht="10" x14ac:dyDescent="0.2">
      <c r="A128" s="486" t="s">
        <v>482</v>
      </c>
      <c r="B128" s="358" t="s">
        <v>444</v>
      </c>
    </row>
    <row r="129" spans="1:2" s="3" customFormat="1" ht="10" x14ac:dyDescent="0.2">
      <c r="A129" s="486"/>
      <c r="B129" s="358" t="s">
        <v>445</v>
      </c>
    </row>
    <row r="130" spans="1:2" s="3" customFormat="1" ht="20" x14ac:dyDescent="0.2">
      <c r="A130" s="486" t="s">
        <v>483</v>
      </c>
      <c r="B130" s="358" t="s">
        <v>484</v>
      </c>
    </row>
    <row r="131" spans="1:2" s="3" customFormat="1" ht="10" x14ac:dyDescent="0.2">
      <c r="A131" s="486"/>
      <c r="B131" s="358" t="s">
        <v>360</v>
      </c>
    </row>
    <row r="132" spans="1:2" s="3" customFormat="1" ht="10" x14ac:dyDescent="0.2">
      <c r="A132" s="486"/>
      <c r="B132" s="358"/>
    </row>
    <row r="133" spans="1:2" s="3" customFormat="1" ht="10" x14ac:dyDescent="0.2">
      <c r="A133" s="486">
        <v>19</v>
      </c>
      <c r="B133" s="358" t="s">
        <v>470</v>
      </c>
    </row>
    <row r="134" spans="1:2" s="3" customFormat="1" ht="10" x14ac:dyDescent="0.2">
      <c r="A134" s="486"/>
      <c r="B134" s="358"/>
    </row>
    <row r="135" spans="1:2" s="3" customFormat="1" ht="20" x14ac:dyDescent="0.2">
      <c r="A135" s="486">
        <v>20</v>
      </c>
      <c r="B135" s="358" t="s">
        <v>481</v>
      </c>
    </row>
    <row r="136" spans="1:2" s="3" customFormat="1" ht="10" x14ac:dyDescent="0.2">
      <c r="A136" s="486"/>
      <c r="B136" s="358"/>
    </row>
    <row r="137" spans="1:2" s="3" customFormat="1" ht="10" x14ac:dyDescent="0.2">
      <c r="A137" s="486">
        <v>21</v>
      </c>
      <c r="B137" s="358" t="s">
        <v>285</v>
      </c>
    </row>
    <row r="138" spans="1:2" s="3" customFormat="1" ht="10" x14ac:dyDescent="0.2">
      <c r="A138" s="486"/>
      <c r="B138" s="358"/>
    </row>
    <row r="139" spans="1:2" s="3" customFormat="1" ht="10" x14ac:dyDescent="0.2">
      <c r="A139" s="486">
        <v>22</v>
      </c>
      <c r="B139" s="358" t="s">
        <v>471</v>
      </c>
    </row>
    <row r="140" spans="1:2" s="3" customFormat="1" ht="10" x14ac:dyDescent="0.2">
      <c r="A140" s="486"/>
      <c r="B140" s="358"/>
    </row>
    <row r="141" spans="1:2" s="3" customFormat="1" ht="10" x14ac:dyDescent="0.2">
      <c r="A141" s="486">
        <v>23</v>
      </c>
      <c r="B141" s="358" t="s">
        <v>340</v>
      </c>
    </row>
    <row r="142" spans="1:2" s="3" customFormat="1" ht="10" x14ac:dyDescent="0.2">
      <c r="A142" s="486"/>
      <c r="B142" s="358"/>
    </row>
    <row r="143" spans="1:2" s="3" customFormat="1" ht="20" x14ac:dyDescent="0.2">
      <c r="A143" s="486">
        <v>24</v>
      </c>
      <c r="B143" s="358" t="s">
        <v>458</v>
      </c>
    </row>
    <row r="144" spans="1:2" s="3" customFormat="1" ht="10" x14ac:dyDescent="0.2">
      <c r="A144" s="486"/>
      <c r="B144" s="358"/>
    </row>
    <row r="145" spans="1:2" s="3" customFormat="1" ht="10" x14ac:dyDescent="0.2">
      <c r="A145" s="486">
        <v>25</v>
      </c>
      <c r="B145" s="358" t="s">
        <v>461</v>
      </c>
    </row>
    <row r="146" spans="1:2" s="3" customFormat="1" ht="10" x14ac:dyDescent="0.2">
      <c r="A146" s="486"/>
      <c r="B146" s="358"/>
    </row>
    <row r="147" spans="1:2" s="3" customFormat="1" ht="10" x14ac:dyDescent="0.2">
      <c r="A147" s="486">
        <v>27</v>
      </c>
      <c r="B147" s="358" t="s">
        <v>460</v>
      </c>
    </row>
    <row r="148" spans="1:2" s="3" customFormat="1" ht="10" x14ac:dyDescent="0.2">
      <c r="A148" s="486"/>
      <c r="B148" s="358" t="s">
        <v>291</v>
      </c>
    </row>
    <row r="149" spans="1:2" s="3" customFormat="1" ht="10" x14ac:dyDescent="0.2">
      <c r="A149" s="486"/>
      <c r="B149" s="358"/>
    </row>
    <row r="150" spans="1:2" s="3" customFormat="1" ht="20" x14ac:dyDescent="0.2">
      <c r="A150" s="486">
        <v>28</v>
      </c>
      <c r="B150" s="358" t="s">
        <v>459</v>
      </c>
    </row>
    <row r="151" spans="1:2" s="3" customFormat="1" ht="10" x14ac:dyDescent="0.2">
      <c r="A151" s="486"/>
      <c r="B151" s="358"/>
    </row>
    <row r="152" spans="1:2" x14ac:dyDescent="0.25">
      <c r="A152" s="489"/>
      <c r="B152" s="357" t="s">
        <v>489</v>
      </c>
    </row>
    <row r="153" spans="1:2" s="3" customFormat="1" ht="20" x14ac:dyDescent="0.2">
      <c r="A153" s="486"/>
      <c r="B153" s="358" t="s">
        <v>490</v>
      </c>
    </row>
    <row r="154" spans="1:2" s="3" customFormat="1" ht="10" x14ac:dyDescent="0.2">
      <c r="A154" s="486"/>
      <c r="B154" s="358" t="s">
        <v>491</v>
      </c>
    </row>
    <row r="155" spans="1:2" s="3" customFormat="1" ht="10" x14ac:dyDescent="0.2">
      <c r="A155" s="486"/>
      <c r="B155" s="358"/>
    </row>
    <row r="156" spans="1:2" s="3" customFormat="1" ht="10" x14ac:dyDescent="0.2">
      <c r="A156" s="486"/>
      <c r="B156" s="358"/>
    </row>
    <row r="157" spans="1:2" s="3" customFormat="1" ht="10" x14ac:dyDescent="0.2">
      <c r="A157" s="486"/>
      <c r="B157" s="358"/>
    </row>
    <row r="158" spans="1:2" x14ac:dyDescent="0.25">
      <c r="A158" s="489"/>
      <c r="B158" s="357" t="s">
        <v>511</v>
      </c>
    </row>
    <row r="159" spans="1:2" s="3" customFormat="1" ht="20" x14ac:dyDescent="0.2">
      <c r="A159" s="486" t="s">
        <v>248</v>
      </c>
      <c r="B159" s="358" t="s">
        <v>247</v>
      </c>
    </row>
    <row r="160" spans="1:2" s="3" customFormat="1" ht="10" x14ac:dyDescent="0.2">
      <c r="A160" s="487"/>
      <c r="B160" s="358"/>
    </row>
    <row r="161" spans="1:2" s="3" customFormat="1" ht="10" x14ac:dyDescent="0.2">
      <c r="A161" s="486" t="s">
        <v>246</v>
      </c>
      <c r="B161" s="358" t="s">
        <v>294</v>
      </c>
    </row>
    <row r="162" spans="1:2" s="3" customFormat="1" ht="10" x14ac:dyDescent="0.2">
      <c r="A162" s="486"/>
      <c r="B162" s="358" t="s">
        <v>293</v>
      </c>
    </row>
    <row r="163" spans="1:2" s="3" customFormat="1" ht="10" x14ac:dyDescent="0.2">
      <c r="A163" s="486"/>
      <c r="B163" s="358"/>
    </row>
    <row r="164" spans="1:2" s="3" customFormat="1" ht="10" x14ac:dyDescent="0.2">
      <c r="A164" s="486" t="s">
        <v>245</v>
      </c>
      <c r="B164" s="358" t="s">
        <v>295</v>
      </c>
    </row>
    <row r="165" spans="1:2" s="3" customFormat="1" ht="10" x14ac:dyDescent="0.2">
      <c r="A165" s="486"/>
      <c r="B165" s="358" t="s">
        <v>293</v>
      </c>
    </row>
    <row r="166" spans="1:2" s="3" customFormat="1" ht="10" x14ac:dyDescent="0.2">
      <c r="A166" s="486"/>
      <c r="B166" s="358"/>
    </row>
    <row r="167" spans="1:2" s="3" customFormat="1" ht="10" x14ac:dyDescent="0.2">
      <c r="A167" s="486" t="s">
        <v>56</v>
      </c>
      <c r="B167" s="358" t="s">
        <v>244</v>
      </c>
    </row>
    <row r="168" spans="1:2" s="3" customFormat="1" ht="10" x14ac:dyDescent="0.2">
      <c r="A168" s="486"/>
      <c r="B168" s="358"/>
    </row>
    <row r="169" spans="1:2" s="3" customFormat="1" ht="10" x14ac:dyDescent="0.2">
      <c r="A169" s="486" t="s">
        <v>1</v>
      </c>
      <c r="B169" s="358" t="s">
        <v>243</v>
      </c>
    </row>
    <row r="170" spans="1:2" s="3" customFormat="1" ht="10" x14ac:dyDescent="0.2">
      <c r="A170" s="486"/>
      <c r="B170" s="358"/>
    </row>
    <row r="171" spans="1:2" s="3" customFormat="1" ht="10" x14ac:dyDescent="0.2">
      <c r="A171" s="486" t="s">
        <v>242</v>
      </c>
      <c r="B171" s="358" t="s">
        <v>292</v>
      </c>
    </row>
    <row r="172" spans="1:2" s="3" customFormat="1" ht="10" x14ac:dyDescent="0.2">
      <c r="A172" s="486"/>
      <c r="B172" s="358" t="s">
        <v>293</v>
      </c>
    </row>
    <row r="173" spans="1:2" s="3" customFormat="1" ht="10" x14ac:dyDescent="0.2">
      <c r="A173" s="490" t="s">
        <v>248</v>
      </c>
      <c r="B173" s="323"/>
    </row>
    <row r="174" spans="1:2" s="3" customFormat="1" ht="20" x14ac:dyDescent="0.2">
      <c r="A174" s="491"/>
      <c r="B174" s="323" t="s">
        <v>247</v>
      </c>
    </row>
    <row r="175" spans="1:2" s="3" customFormat="1" ht="10" x14ac:dyDescent="0.2">
      <c r="A175" s="491"/>
      <c r="B175" s="323"/>
    </row>
    <row r="176" spans="1:2" s="3" customFormat="1" ht="10" x14ac:dyDescent="0.2">
      <c r="A176" s="490" t="s">
        <v>246</v>
      </c>
      <c r="B176" s="323" t="s">
        <v>294</v>
      </c>
    </row>
    <row r="177" spans="1:2" s="3" customFormat="1" ht="10" x14ac:dyDescent="0.2">
      <c r="A177" s="490"/>
      <c r="B177" s="323" t="s">
        <v>293</v>
      </c>
    </row>
    <row r="178" spans="1:2" s="3" customFormat="1" ht="10" x14ac:dyDescent="0.2">
      <c r="A178" s="490"/>
      <c r="B178" s="323"/>
    </row>
    <row r="179" spans="1:2" s="3" customFormat="1" ht="10" x14ac:dyDescent="0.2">
      <c r="A179" s="490" t="s">
        <v>245</v>
      </c>
      <c r="B179" s="323" t="s">
        <v>295</v>
      </c>
    </row>
    <row r="180" spans="1:2" s="3" customFormat="1" ht="10" x14ac:dyDescent="0.2">
      <c r="A180" s="490"/>
      <c r="B180" s="323" t="s">
        <v>293</v>
      </c>
    </row>
    <row r="181" spans="1:2" s="3" customFormat="1" ht="10" x14ac:dyDescent="0.2">
      <c r="A181" s="490"/>
      <c r="B181" s="323"/>
    </row>
    <row r="182" spans="1:2" s="3" customFormat="1" ht="10" x14ac:dyDescent="0.2">
      <c r="A182" s="490" t="s">
        <v>56</v>
      </c>
      <c r="B182" s="323" t="s">
        <v>244</v>
      </c>
    </row>
    <row r="183" spans="1:2" s="3" customFormat="1" ht="10" x14ac:dyDescent="0.2">
      <c r="A183" s="490"/>
      <c r="B183" s="323"/>
    </row>
    <row r="184" spans="1:2" s="3" customFormat="1" ht="10" x14ac:dyDescent="0.2">
      <c r="A184" s="490" t="s">
        <v>1</v>
      </c>
      <c r="B184" s="323" t="s">
        <v>510</v>
      </c>
    </row>
    <row r="185" spans="1:2" x14ac:dyDescent="0.25">
      <c r="A185" s="492"/>
      <c r="B185" s="17"/>
    </row>
    <row r="186" spans="1:2" x14ac:dyDescent="0.25">
      <c r="A186" s="492"/>
      <c r="B186" s="17"/>
    </row>
    <row r="187" spans="1:2" x14ac:dyDescent="0.25">
      <c r="A187" s="489"/>
      <c r="B187" s="362"/>
    </row>
    <row r="188" spans="1:2" x14ac:dyDescent="0.25">
      <c r="A188" s="489"/>
      <c r="B188" s="362"/>
    </row>
    <row r="190" spans="1:2" x14ac:dyDescent="0.25">
      <c r="A190" s="489"/>
      <c r="B190" s="362"/>
    </row>
    <row r="191" spans="1:2" x14ac:dyDescent="0.25">
      <c r="A191" s="489"/>
      <c r="B191" s="362"/>
    </row>
    <row r="193" spans="1:2" x14ac:dyDescent="0.25">
      <c r="A193" s="489"/>
      <c r="B193" s="362"/>
    </row>
    <row r="195" spans="1:2" x14ac:dyDescent="0.25">
      <c r="A195" s="489"/>
      <c r="B195" s="362"/>
    </row>
    <row r="197" spans="1:2" x14ac:dyDescent="0.25">
      <c r="A197" s="489"/>
      <c r="B197" s="362"/>
    </row>
    <row r="199" spans="1:2" x14ac:dyDescent="0.25">
      <c r="A199" s="489"/>
      <c r="B199" s="362"/>
    </row>
    <row r="201" spans="1:2" x14ac:dyDescent="0.25">
      <c r="A201" s="489"/>
      <c r="B201" s="362"/>
    </row>
    <row r="202" spans="1:2" x14ac:dyDescent="0.25">
      <c r="A202" s="493"/>
    </row>
    <row r="203" spans="1:2" x14ac:dyDescent="0.25">
      <c r="A203" s="489"/>
      <c r="B203" s="362"/>
    </row>
    <row r="204" spans="1:2" x14ac:dyDescent="0.25">
      <c r="A204" s="493"/>
    </row>
    <row r="205" spans="1:2" x14ac:dyDescent="0.25">
      <c r="A205" s="489"/>
      <c r="B205" s="362"/>
    </row>
    <row r="206" spans="1:2" x14ac:dyDescent="0.25">
      <c r="A206" s="493"/>
    </row>
    <row r="207" spans="1:2" x14ac:dyDescent="0.25">
      <c r="A207" s="489"/>
      <c r="B207" s="362"/>
    </row>
    <row r="208" spans="1:2" x14ac:dyDescent="0.25">
      <c r="A208" s="493"/>
    </row>
    <row r="209" spans="1:1" x14ac:dyDescent="0.25">
      <c r="A209" s="493"/>
    </row>
    <row r="210" spans="1:1" x14ac:dyDescent="0.25">
      <c r="A210" s="493"/>
    </row>
    <row r="211" spans="1:1" x14ac:dyDescent="0.25">
      <c r="A211" s="493"/>
    </row>
    <row r="212" spans="1:1" x14ac:dyDescent="0.25">
      <c r="A212" s="493"/>
    </row>
    <row r="213" spans="1:1" x14ac:dyDescent="0.25">
      <c r="A213" s="493"/>
    </row>
    <row r="214" spans="1:1" x14ac:dyDescent="0.25">
      <c r="A214" s="493"/>
    </row>
    <row r="215" spans="1:1" x14ac:dyDescent="0.25">
      <c r="A215" s="493"/>
    </row>
    <row r="216" spans="1:1" x14ac:dyDescent="0.25">
      <c r="A216" s="493"/>
    </row>
    <row r="217" spans="1:1" x14ac:dyDescent="0.25">
      <c r="A217" s="493"/>
    </row>
    <row r="218" spans="1:1" x14ac:dyDescent="0.25">
      <c r="A218" s="493"/>
    </row>
    <row r="219" spans="1:1" x14ac:dyDescent="0.25">
      <c r="A219" s="493"/>
    </row>
    <row r="220" spans="1:1" x14ac:dyDescent="0.25">
      <c r="A220" s="493"/>
    </row>
    <row r="221" spans="1:1" x14ac:dyDescent="0.25">
      <c r="A221" s="493"/>
    </row>
    <row r="222" spans="1:1" x14ac:dyDescent="0.25">
      <c r="A222" s="493"/>
    </row>
    <row r="223" spans="1:1" x14ac:dyDescent="0.25">
      <c r="A223" s="493"/>
    </row>
    <row r="224" spans="1:1" x14ac:dyDescent="0.25">
      <c r="A224" s="493"/>
    </row>
    <row r="225" spans="1:1" x14ac:dyDescent="0.25">
      <c r="A225" s="493"/>
    </row>
    <row r="226" spans="1:1" x14ac:dyDescent="0.25">
      <c r="A226" s="493"/>
    </row>
    <row r="227" spans="1:1" x14ac:dyDescent="0.25">
      <c r="A227" s="493"/>
    </row>
    <row r="228" spans="1:1" x14ac:dyDescent="0.25">
      <c r="A228" s="493"/>
    </row>
    <row r="229" spans="1:1" x14ac:dyDescent="0.25">
      <c r="A229" s="493"/>
    </row>
    <row r="230" spans="1:1" x14ac:dyDescent="0.25">
      <c r="A230" s="493"/>
    </row>
    <row r="231" spans="1:1" x14ac:dyDescent="0.25">
      <c r="A231" s="493"/>
    </row>
    <row r="232" spans="1:1" x14ac:dyDescent="0.25">
      <c r="A232" s="493"/>
    </row>
    <row r="233" spans="1:1" x14ac:dyDescent="0.25">
      <c r="A233" s="493"/>
    </row>
    <row r="234" spans="1:1" x14ac:dyDescent="0.25">
      <c r="A234" s="493"/>
    </row>
    <row r="235" spans="1:1" x14ac:dyDescent="0.25">
      <c r="A235" s="493"/>
    </row>
    <row r="236" spans="1:1" x14ac:dyDescent="0.25">
      <c r="A236" s="493"/>
    </row>
    <row r="237" spans="1:1" x14ac:dyDescent="0.25">
      <c r="A237" s="493"/>
    </row>
    <row r="238" spans="1:1" x14ac:dyDescent="0.25">
      <c r="A238" s="493"/>
    </row>
    <row r="239" spans="1:1" x14ac:dyDescent="0.25">
      <c r="A239" s="493"/>
    </row>
    <row r="240" spans="1:1" x14ac:dyDescent="0.25">
      <c r="A240" s="493"/>
    </row>
    <row r="241" spans="1:1" x14ac:dyDescent="0.25">
      <c r="A241" s="493"/>
    </row>
    <row r="242" spans="1:1" x14ac:dyDescent="0.25">
      <c r="A242" s="493"/>
    </row>
    <row r="243" spans="1:1" x14ac:dyDescent="0.25">
      <c r="A243" s="493"/>
    </row>
    <row r="244" spans="1:1" x14ac:dyDescent="0.25">
      <c r="A244" s="493"/>
    </row>
    <row r="245" spans="1:1" x14ac:dyDescent="0.25">
      <c r="A245" s="493"/>
    </row>
    <row r="246" spans="1:1" x14ac:dyDescent="0.25">
      <c r="A246" s="493"/>
    </row>
    <row r="247" spans="1:1" x14ac:dyDescent="0.25">
      <c r="A247" s="493"/>
    </row>
    <row r="248" spans="1:1" x14ac:dyDescent="0.25">
      <c r="A248" s="493"/>
    </row>
    <row r="249" spans="1:1" x14ac:dyDescent="0.25">
      <c r="A249" s="493"/>
    </row>
    <row r="250" spans="1:1" x14ac:dyDescent="0.25">
      <c r="A250" s="493"/>
    </row>
    <row r="251" spans="1:1" x14ac:dyDescent="0.25">
      <c r="A251" s="493"/>
    </row>
    <row r="252" spans="1:1" x14ac:dyDescent="0.25">
      <c r="A252" s="493"/>
    </row>
    <row r="253" spans="1:1" x14ac:dyDescent="0.25">
      <c r="A253" s="493"/>
    </row>
    <row r="254" spans="1:1" x14ac:dyDescent="0.25">
      <c r="A254" s="493"/>
    </row>
    <row r="255" spans="1:1" x14ac:dyDescent="0.25">
      <c r="A255" s="493"/>
    </row>
    <row r="256" spans="1:1" x14ac:dyDescent="0.25">
      <c r="A256" s="493"/>
    </row>
    <row r="257" spans="1:1" x14ac:dyDescent="0.25">
      <c r="A257" s="493"/>
    </row>
    <row r="258" spans="1:1" x14ac:dyDescent="0.25">
      <c r="A258" s="493"/>
    </row>
    <row r="259" spans="1:1" x14ac:dyDescent="0.25">
      <c r="A259" s="493"/>
    </row>
    <row r="260" spans="1:1" x14ac:dyDescent="0.25">
      <c r="A260" s="493"/>
    </row>
    <row r="261" spans="1:1" x14ac:dyDescent="0.25">
      <c r="A261" s="493"/>
    </row>
    <row r="262" spans="1:1" x14ac:dyDescent="0.25">
      <c r="A262" s="493"/>
    </row>
    <row r="263" spans="1:1" x14ac:dyDescent="0.25">
      <c r="A263" s="493"/>
    </row>
    <row r="264" spans="1:1" x14ac:dyDescent="0.25">
      <c r="A264" s="493"/>
    </row>
    <row r="265" spans="1:1" x14ac:dyDescent="0.25">
      <c r="A265" s="493"/>
    </row>
    <row r="266" spans="1:1" x14ac:dyDescent="0.25">
      <c r="A266" s="493"/>
    </row>
    <row r="267" spans="1:1" x14ac:dyDescent="0.25">
      <c r="A267" s="493"/>
    </row>
    <row r="268" spans="1:1" x14ac:dyDescent="0.25">
      <c r="A268" s="493"/>
    </row>
    <row r="269" spans="1:1" x14ac:dyDescent="0.25">
      <c r="A269" s="493"/>
    </row>
    <row r="270" spans="1:1" x14ac:dyDescent="0.25">
      <c r="A270" s="493"/>
    </row>
    <row r="271" spans="1:1" x14ac:dyDescent="0.25">
      <c r="A271" s="493"/>
    </row>
    <row r="272" spans="1:1" x14ac:dyDescent="0.25">
      <c r="A272" s="493"/>
    </row>
    <row r="273" spans="1:1" x14ac:dyDescent="0.25">
      <c r="A273" s="493"/>
    </row>
    <row r="274" spans="1:1" x14ac:dyDescent="0.25">
      <c r="A274" s="493"/>
    </row>
    <row r="275" spans="1:1" x14ac:dyDescent="0.25">
      <c r="A275" s="493"/>
    </row>
    <row r="276" spans="1:1" x14ac:dyDescent="0.25">
      <c r="A276" s="493"/>
    </row>
    <row r="277" spans="1:1" x14ac:dyDescent="0.25">
      <c r="A277" s="493"/>
    </row>
    <row r="278" spans="1:1" x14ac:dyDescent="0.25">
      <c r="A278" s="493"/>
    </row>
    <row r="279" spans="1:1" x14ac:dyDescent="0.25">
      <c r="A279" s="493"/>
    </row>
    <row r="280" spans="1:1" x14ac:dyDescent="0.25">
      <c r="A280" s="493"/>
    </row>
    <row r="281" spans="1:1" x14ac:dyDescent="0.25">
      <c r="A281" s="493"/>
    </row>
    <row r="282" spans="1:1" x14ac:dyDescent="0.25">
      <c r="A282" s="493"/>
    </row>
    <row r="283" spans="1:1" x14ac:dyDescent="0.25">
      <c r="A283" s="493"/>
    </row>
    <row r="284" spans="1:1" x14ac:dyDescent="0.25">
      <c r="A284" s="493"/>
    </row>
    <row r="285" spans="1:1" x14ac:dyDescent="0.25">
      <c r="A285" s="493"/>
    </row>
    <row r="286" spans="1:1" x14ac:dyDescent="0.25">
      <c r="A286" s="493"/>
    </row>
    <row r="287" spans="1:1" x14ac:dyDescent="0.25">
      <c r="A287" s="493"/>
    </row>
    <row r="288" spans="1:1" x14ac:dyDescent="0.25">
      <c r="A288" s="493"/>
    </row>
    <row r="289" spans="1:1" x14ac:dyDescent="0.25">
      <c r="A289" s="493"/>
    </row>
    <row r="290" spans="1:1" x14ac:dyDescent="0.25">
      <c r="A290" s="493"/>
    </row>
    <row r="291" spans="1:1" x14ac:dyDescent="0.25">
      <c r="A291" s="493"/>
    </row>
    <row r="292" spans="1:1" x14ac:dyDescent="0.25">
      <c r="A292" s="493"/>
    </row>
    <row r="293" spans="1:1" x14ac:dyDescent="0.25">
      <c r="A293" s="493"/>
    </row>
    <row r="294" spans="1:1" x14ac:dyDescent="0.25">
      <c r="A294" s="493"/>
    </row>
    <row r="295" spans="1:1" x14ac:dyDescent="0.25">
      <c r="A295" s="493"/>
    </row>
    <row r="296" spans="1:1" x14ac:dyDescent="0.25">
      <c r="A296" s="493"/>
    </row>
    <row r="297" spans="1:1" x14ac:dyDescent="0.25">
      <c r="A297" s="493"/>
    </row>
    <row r="298" spans="1:1" x14ac:dyDescent="0.25">
      <c r="A298" s="493"/>
    </row>
    <row r="299" spans="1:1" x14ac:dyDescent="0.25">
      <c r="A299" s="493"/>
    </row>
    <row r="300" spans="1:1" x14ac:dyDescent="0.25">
      <c r="A300" s="493"/>
    </row>
    <row r="301" spans="1:1" x14ac:dyDescent="0.25">
      <c r="A301" s="493"/>
    </row>
    <row r="302" spans="1:1" x14ac:dyDescent="0.25">
      <c r="A302" s="493"/>
    </row>
    <row r="303" spans="1:1" x14ac:dyDescent="0.25">
      <c r="A303" s="493"/>
    </row>
    <row r="304" spans="1:1" x14ac:dyDescent="0.25">
      <c r="A304" s="493"/>
    </row>
    <row r="305" spans="1:1" x14ac:dyDescent="0.25">
      <c r="A305" s="493"/>
    </row>
    <row r="306" spans="1:1" x14ac:dyDescent="0.25">
      <c r="A306" s="493"/>
    </row>
    <row r="307" spans="1:1" x14ac:dyDescent="0.25">
      <c r="A307" s="493"/>
    </row>
    <row r="308" spans="1:1" x14ac:dyDescent="0.25">
      <c r="A308" s="493"/>
    </row>
    <row r="309" spans="1:1" x14ac:dyDescent="0.25">
      <c r="A309" s="493"/>
    </row>
    <row r="310" spans="1:1" x14ac:dyDescent="0.25">
      <c r="A310" s="493"/>
    </row>
    <row r="311" spans="1:1" x14ac:dyDescent="0.25">
      <c r="A311" s="493"/>
    </row>
    <row r="312" spans="1:1" x14ac:dyDescent="0.25">
      <c r="A312" s="493"/>
    </row>
    <row r="313" spans="1:1" x14ac:dyDescent="0.25">
      <c r="A313" s="493"/>
    </row>
    <row r="314" spans="1:1" x14ac:dyDescent="0.25">
      <c r="A314" s="493"/>
    </row>
    <row r="315" spans="1:1" x14ac:dyDescent="0.25">
      <c r="A315" s="493"/>
    </row>
    <row r="316" spans="1:1" x14ac:dyDescent="0.25">
      <c r="A316" s="493"/>
    </row>
    <row r="317" spans="1:1" x14ac:dyDescent="0.25">
      <c r="A317" s="493"/>
    </row>
    <row r="318" spans="1:1" x14ac:dyDescent="0.25">
      <c r="A318" s="493"/>
    </row>
    <row r="319" spans="1:1" x14ac:dyDescent="0.25">
      <c r="A319" s="493"/>
    </row>
    <row r="320" spans="1:1" x14ac:dyDescent="0.25">
      <c r="A320" s="493"/>
    </row>
    <row r="321" spans="1:1" x14ac:dyDescent="0.25">
      <c r="A321" s="493"/>
    </row>
    <row r="322" spans="1:1" x14ac:dyDescent="0.25">
      <c r="A322" s="493"/>
    </row>
    <row r="323" spans="1:1" x14ac:dyDescent="0.25">
      <c r="A323" s="493"/>
    </row>
    <row r="324" spans="1:1" x14ac:dyDescent="0.25">
      <c r="A324" s="493"/>
    </row>
    <row r="325" spans="1:1" x14ac:dyDescent="0.25">
      <c r="A325" s="493"/>
    </row>
    <row r="326" spans="1:1" x14ac:dyDescent="0.25">
      <c r="A326" s="493"/>
    </row>
    <row r="327" spans="1:1" x14ac:dyDescent="0.25">
      <c r="A327" s="493"/>
    </row>
    <row r="328" spans="1:1" x14ac:dyDescent="0.25">
      <c r="A328" s="493"/>
    </row>
    <row r="329" spans="1:1" x14ac:dyDescent="0.25">
      <c r="A329" s="493"/>
    </row>
    <row r="330" spans="1:1" x14ac:dyDescent="0.25">
      <c r="A330" s="493"/>
    </row>
    <row r="331" spans="1:1" x14ac:dyDescent="0.25">
      <c r="A331" s="493"/>
    </row>
    <row r="332" spans="1:1" x14ac:dyDescent="0.25">
      <c r="A332" s="493"/>
    </row>
    <row r="333" spans="1:1" x14ac:dyDescent="0.25">
      <c r="A333" s="493"/>
    </row>
    <row r="334" spans="1:1" x14ac:dyDescent="0.25">
      <c r="A334" s="493"/>
    </row>
    <row r="335" spans="1:1" x14ac:dyDescent="0.25">
      <c r="A335" s="493"/>
    </row>
    <row r="336" spans="1:1" x14ac:dyDescent="0.25">
      <c r="A336" s="493"/>
    </row>
    <row r="337" spans="1:1" x14ac:dyDescent="0.25">
      <c r="A337" s="493"/>
    </row>
    <row r="338" spans="1:1" x14ac:dyDescent="0.25">
      <c r="A338" s="493"/>
    </row>
    <row r="339" spans="1:1" x14ac:dyDescent="0.25">
      <c r="A339" s="493"/>
    </row>
    <row r="340" spans="1:1" x14ac:dyDescent="0.25">
      <c r="A340" s="493"/>
    </row>
    <row r="341" spans="1:1" x14ac:dyDescent="0.25">
      <c r="A341" s="493"/>
    </row>
    <row r="342" spans="1:1" x14ac:dyDescent="0.25">
      <c r="A342" s="493"/>
    </row>
    <row r="343" spans="1:1" x14ac:dyDescent="0.25">
      <c r="A343" s="493"/>
    </row>
    <row r="344" spans="1:1" x14ac:dyDescent="0.25">
      <c r="A344" s="493"/>
    </row>
    <row r="345" spans="1:1" x14ac:dyDescent="0.25">
      <c r="A345" s="493"/>
    </row>
    <row r="346" spans="1:1" x14ac:dyDescent="0.25">
      <c r="A346" s="493"/>
    </row>
    <row r="347" spans="1:1" x14ac:dyDescent="0.25">
      <c r="A347" s="493"/>
    </row>
    <row r="348" spans="1:1" x14ac:dyDescent="0.25">
      <c r="A348" s="493"/>
    </row>
    <row r="349" spans="1:1" x14ac:dyDescent="0.25">
      <c r="A349" s="493"/>
    </row>
    <row r="350" spans="1:1" x14ac:dyDescent="0.25">
      <c r="A350" s="493"/>
    </row>
    <row r="351" spans="1:1" x14ac:dyDescent="0.25">
      <c r="A351" s="493"/>
    </row>
    <row r="352" spans="1:1" x14ac:dyDescent="0.25">
      <c r="A352" s="493"/>
    </row>
    <row r="353" spans="1:1" x14ac:dyDescent="0.25">
      <c r="A353" s="493"/>
    </row>
    <row r="354" spans="1:1" x14ac:dyDescent="0.25">
      <c r="A354" s="493"/>
    </row>
    <row r="355" spans="1:1" x14ac:dyDescent="0.25">
      <c r="A355" s="493"/>
    </row>
    <row r="356" spans="1:1" x14ac:dyDescent="0.25">
      <c r="A356" s="493"/>
    </row>
    <row r="357" spans="1:1" x14ac:dyDescent="0.25">
      <c r="A357" s="493"/>
    </row>
    <row r="358" spans="1:1" x14ac:dyDescent="0.25">
      <c r="A358" s="493"/>
    </row>
    <row r="359" spans="1:1" x14ac:dyDescent="0.25">
      <c r="A359" s="493"/>
    </row>
    <row r="360" spans="1:1" x14ac:dyDescent="0.25">
      <c r="A360" s="493"/>
    </row>
    <row r="361" spans="1:1" x14ac:dyDescent="0.25">
      <c r="A361" s="493"/>
    </row>
    <row r="362" spans="1:1" x14ac:dyDescent="0.25">
      <c r="A362" s="493"/>
    </row>
    <row r="363" spans="1:1" x14ac:dyDescent="0.25">
      <c r="A363" s="493"/>
    </row>
    <row r="364" spans="1:1" x14ac:dyDescent="0.25">
      <c r="A364" s="493"/>
    </row>
    <row r="365" spans="1:1" x14ac:dyDescent="0.25">
      <c r="A365" s="493"/>
    </row>
    <row r="366" spans="1:1" x14ac:dyDescent="0.25">
      <c r="A366" s="493"/>
    </row>
    <row r="367" spans="1:1" x14ac:dyDescent="0.25">
      <c r="A367" s="493"/>
    </row>
    <row r="368" spans="1:1" x14ac:dyDescent="0.25">
      <c r="A368" s="493"/>
    </row>
    <row r="369" spans="1:1" x14ac:dyDescent="0.25">
      <c r="A369" s="493"/>
    </row>
    <row r="370" spans="1:1" x14ac:dyDescent="0.25">
      <c r="A370" s="493"/>
    </row>
    <row r="371" spans="1:1" x14ac:dyDescent="0.25">
      <c r="A371" s="493"/>
    </row>
    <row r="372" spans="1:1" x14ac:dyDescent="0.25">
      <c r="A372" s="493"/>
    </row>
    <row r="373" spans="1:1" x14ac:dyDescent="0.25">
      <c r="A373" s="493"/>
    </row>
    <row r="374" spans="1:1" x14ac:dyDescent="0.25">
      <c r="A374" s="493"/>
    </row>
    <row r="375" spans="1:1" x14ac:dyDescent="0.25">
      <c r="A375" s="493"/>
    </row>
    <row r="376" spans="1:1" x14ac:dyDescent="0.25">
      <c r="A376" s="493"/>
    </row>
    <row r="377" spans="1:1" x14ac:dyDescent="0.25">
      <c r="A377" s="493"/>
    </row>
    <row r="378" spans="1:1" x14ac:dyDescent="0.25">
      <c r="A378" s="493"/>
    </row>
    <row r="379" spans="1:1" x14ac:dyDescent="0.25">
      <c r="A379" s="493"/>
    </row>
    <row r="380" spans="1:1" x14ac:dyDescent="0.25">
      <c r="A380" s="493"/>
    </row>
    <row r="381" spans="1:1" x14ac:dyDescent="0.25">
      <c r="A381" s="493"/>
    </row>
    <row r="382" spans="1:1" x14ac:dyDescent="0.25">
      <c r="A382" s="493"/>
    </row>
    <row r="383" spans="1:1" x14ac:dyDescent="0.25">
      <c r="A383" s="493"/>
    </row>
    <row r="384" spans="1:1" x14ac:dyDescent="0.25">
      <c r="A384" s="493"/>
    </row>
    <row r="385" spans="1:1" x14ac:dyDescent="0.25">
      <c r="A385" s="493"/>
    </row>
    <row r="386" spans="1:1" x14ac:dyDescent="0.25">
      <c r="A386" s="493"/>
    </row>
    <row r="387" spans="1:1" x14ac:dyDescent="0.25">
      <c r="A387" s="493"/>
    </row>
    <row r="388" spans="1:1" x14ac:dyDescent="0.25">
      <c r="A388" s="493"/>
    </row>
    <row r="389" spans="1:1" x14ac:dyDescent="0.25">
      <c r="A389" s="493"/>
    </row>
    <row r="390" spans="1:1" x14ac:dyDescent="0.25">
      <c r="A390" s="493"/>
    </row>
    <row r="391" spans="1:1" x14ac:dyDescent="0.25">
      <c r="A391" s="493"/>
    </row>
    <row r="392" spans="1:1" x14ac:dyDescent="0.25">
      <c r="A392" s="493"/>
    </row>
    <row r="393" spans="1:1" x14ac:dyDescent="0.25">
      <c r="A393" s="493"/>
    </row>
    <row r="394" spans="1:1" x14ac:dyDescent="0.25">
      <c r="A394" s="493"/>
    </row>
    <row r="395" spans="1:1" x14ac:dyDescent="0.25">
      <c r="A395" s="493"/>
    </row>
    <row r="396" spans="1:1" x14ac:dyDescent="0.25">
      <c r="A396" s="493"/>
    </row>
    <row r="397" spans="1:1" x14ac:dyDescent="0.25">
      <c r="A397" s="493"/>
    </row>
    <row r="398" spans="1:1" x14ac:dyDescent="0.25">
      <c r="A398" s="493"/>
    </row>
    <row r="399" spans="1:1" x14ac:dyDescent="0.25">
      <c r="A399" s="493"/>
    </row>
    <row r="400" spans="1:1" x14ac:dyDescent="0.25">
      <c r="A400" s="493"/>
    </row>
    <row r="401" spans="1:1" x14ac:dyDescent="0.25">
      <c r="A401" s="493"/>
    </row>
    <row r="402" spans="1:1" x14ac:dyDescent="0.25">
      <c r="A402" s="493"/>
    </row>
    <row r="403" spans="1:1" x14ac:dyDescent="0.25">
      <c r="A403" s="493"/>
    </row>
    <row r="404" spans="1:1" x14ac:dyDescent="0.25">
      <c r="A404" s="493"/>
    </row>
    <row r="405" spans="1:1" x14ac:dyDescent="0.25">
      <c r="A405" s="493"/>
    </row>
    <row r="406" spans="1:1" x14ac:dyDescent="0.25">
      <c r="A406" s="493"/>
    </row>
    <row r="407" spans="1:1" x14ac:dyDescent="0.25">
      <c r="A407" s="493"/>
    </row>
    <row r="408" spans="1:1" x14ac:dyDescent="0.25">
      <c r="A408" s="493"/>
    </row>
    <row r="409" spans="1:1" x14ac:dyDescent="0.25">
      <c r="A409" s="493"/>
    </row>
    <row r="410" spans="1:1" x14ac:dyDescent="0.25">
      <c r="A410" s="493"/>
    </row>
    <row r="411" spans="1:1" x14ac:dyDescent="0.25">
      <c r="A411" s="493"/>
    </row>
    <row r="412" spans="1:1" x14ac:dyDescent="0.25">
      <c r="A412" s="493"/>
    </row>
    <row r="413" spans="1:1" x14ac:dyDescent="0.25">
      <c r="A413" s="493"/>
    </row>
    <row r="414" spans="1:1" x14ac:dyDescent="0.25">
      <c r="A414" s="493"/>
    </row>
    <row r="415" spans="1:1" x14ac:dyDescent="0.25">
      <c r="A415" s="493"/>
    </row>
    <row r="416" spans="1:1" x14ac:dyDescent="0.25">
      <c r="A416" s="493"/>
    </row>
    <row r="417" spans="1:1" x14ac:dyDescent="0.25">
      <c r="A417" s="493"/>
    </row>
    <row r="418" spans="1:1" x14ac:dyDescent="0.25">
      <c r="A418" s="493"/>
    </row>
    <row r="419" spans="1:1" x14ac:dyDescent="0.25">
      <c r="A419" s="493"/>
    </row>
    <row r="420" spans="1:1" x14ac:dyDescent="0.25">
      <c r="A420" s="493"/>
    </row>
    <row r="421" spans="1:1" x14ac:dyDescent="0.25">
      <c r="A421" s="493"/>
    </row>
    <row r="422" spans="1:1" x14ac:dyDescent="0.25">
      <c r="A422" s="493"/>
    </row>
    <row r="423" spans="1:1" x14ac:dyDescent="0.25">
      <c r="A423" s="493"/>
    </row>
    <row r="424" spans="1:1" x14ac:dyDescent="0.25">
      <c r="A424" s="493"/>
    </row>
    <row r="425" spans="1:1" x14ac:dyDescent="0.25">
      <c r="A425" s="493"/>
    </row>
    <row r="426" spans="1:1" x14ac:dyDescent="0.25">
      <c r="A426" s="493"/>
    </row>
    <row r="427" spans="1:1" x14ac:dyDescent="0.25">
      <c r="A427" s="493"/>
    </row>
    <row r="428" spans="1:1" x14ac:dyDescent="0.25">
      <c r="A428" s="493"/>
    </row>
    <row r="429" spans="1:1" x14ac:dyDescent="0.25">
      <c r="A429" s="493"/>
    </row>
    <row r="430" spans="1:1" x14ac:dyDescent="0.25">
      <c r="A430" s="493"/>
    </row>
    <row r="431" spans="1:1" x14ac:dyDescent="0.25">
      <c r="A431" s="493"/>
    </row>
    <row r="432" spans="1:1" x14ac:dyDescent="0.25">
      <c r="A432" s="493"/>
    </row>
    <row r="433" spans="1:1" x14ac:dyDescent="0.25">
      <c r="A433" s="493"/>
    </row>
    <row r="434" spans="1:1" x14ac:dyDescent="0.25">
      <c r="A434" s="493"/>
    </row>
    <row r="435" spans="1:1" x14ac:dyDescent="0.25">
      <c r="A435" s="493"/>
    </row>
    <row r="436" spans="1:1" x14ac:dyDescent="0.25">
      <c r="A436" s="493"/>
    </row>
    <row r="437" spans="1:1" x14ac:dyDescent="0.25">
      <c r="A437" s="493"/>
    </row>
    <row r="438" spans="1:1" x14ac:dyDescent="0.25">
      <c r="A438" s="493"/>
    </row>
    <row r="439" spans="1:1" x14ac:dyDescent="0.25">
      <c r="A439" s="493"/>
    </row>
    <row r="440" spans="1:1" x14ac:dyDescent="0.25">
      <c r="A440" s="493"/>
    </row>
    <row r="441" spans="1:1" x14ac:dyDescent="0.25">
      <c r="A441" s="493"/>
    </row>
    <row r="442" spans="1:1" x14ac:dyDescent="0.25">
      <c r="A442" s="493"/>
    </row>
    <row r="443" spans="1:1" x14ac:dyDescent="0.25">
      <c r="A443" s="493"/>
    </row>
    <row r="444" spans="1:1" x14ac:dyDescent="0.25">
      <c r="A444" s="493"/>
    </row>
    <row r="445" spans="1:1" x14ac:dyDescent="0.25">
      <c r="A445" s="493"/>
    </row>
    <row r="446" spans="1:1" x14ac:dyDescent="0.25">
      <c r="A446" s="493"/>
    </row>
    <row r="447" spans="1:1" x14ac:dyDescent="0.25">
      <c r="A447" s="493"/>
    </row>
    <row r="448" spans="1:1" x14ac:dyDescent="0.25">
      <c r="A448" s="493"/>
    </row>
    <row r="449" spans="1:1" x14ac:dyDescent="0.25">
      <c r="A449" s="493"/>
    </row>
    <row r="450" spans="1:1" x14ac:dyDescent="0.25">
      <c r="A450" s="493"/>
    </row>
    <row r="451" spans="1:1" x14ac:dyDescent="0.25">
      <c r="A451" s="493"/>
    </row>
    <row r="452" spans="1:1" x14ac:dyDescent="0.25">
      <c r="A452" s="493"/>
    </row>
    <row r="453" spans="1:1" x14ac:dyDescent="0.25">
      <c r="A453" s="493"/>
    </row>
    <row r="454" spans="1:1" x14ac:dyDescent="0.25">
      <c r="A454" s="493"/>
    </row>
    <row r="455" spans="1:1" x14ac:dyDescent="0.25">
      <c r="A455" s="493"/>
    </row>
    <row r="456" spans="1:1" x14ac:dyDescent="0.25">
      <c r="A456" s="493"/>
    </row>
    <row r="457" spans="1:1" x14ac:dyDescent="0.25">
      <c r="A457" s="493"/>
    </row>
    <row r="458" spans="1:1" x14ac:dyDescent="0.25">
      <c r="A458" s="493"/>
    </row>
    <row r="459" spans="1:1" x14ac:dyDescent="0.25">
      <c r="A459" s="493"/>
    </row>
    <row r="460" spans="1:1" x14ac:dyDescent="0.25">
      <c r="A460" s="493"/>
    </row>
    <row r="461" spans="1:1" x14ac:dyDescent="0.25">
      <c r="A461" s="493"/>
    </row>
    <row r="462" spans="1:1" x14ac:dyDescent="0.25">
      <c r="A462" s="493"/>
    </row>
    <row r="463" spans="1:1" x14ac:dyDescent="0.25">
      <c r="A463" s="493"/>
    </row>
    <row r="464" spans="1:1" x14ac:dyDescent="0.25">
      <c r="A464" s="493"/>
    </row>
    <row r="465" spans="1:1" x14ac:dyDescent="0.25">
      <c r="A465" s="493"/>
    </row>
    <row r="466" spans="1:1" x14ac:dyDescent="0.25">
      <c r="A466" s="493"/>
    </row>
    <row r="467" spans="1:1" x14ac:dyDescent="0.25">
      <c r="A467" s="493"/>
    </row>
    <row r="468" spans="1:1" x14ac:dyDescent="0.25">
      <c r="A468" s="493"/>
    </row>
    <row r="469" spans="1:1" x14ac:dyDescent="0.25">
      <c r="A469" s="493"/>
    </row>
    <row r="470" spans="1:1" x14ac:dyDescent="0.25">
      <c r="A470" s="493"/>
    </row>
    <row r="471" spans="1:1" x14ac:dyDescent="0.25">
      <c r="A471" s="493"/>
    </row>
    <row r="472" spans="1:1" x14ac:dyDescent="0.25">
      <c r="A472" s="493"/>
    </row>
    <row r="473" spans="1:1" x14ac:dyDescent="0.25">
      <c r="A473" s="493"/>
    </row>
    <row r="474" spans="1:1" x14ac:dyDescent="0.25">
      <c r="A474" s="493"/>
    </row>
    <row r="475" spans="1:1" x14ac:dyDescent="0.25">
      <c r="A475" s="493"/>
    </row>
    <row r="476" spans="1:1" x14ac:dyDescent="0.25">
      <c r="A476" s="493"/>
    </row>
    <row r="477" spans="1:1" x14ac:dyDescent="0.25">
      <c r="A477" s="493"/>
    </row>
    <row r="478" spans="1:1" x14ac:dyDescent="0.25">
      <c r="A478" s="493"/>
    </row>
    <row r="479" spans="1:1" x14ac:dyDescent="0.25">
      <c r="A479" s="493"/>
    </row>
    <row r="480" spans="1:1" x14ac:dyDescent="0.25">
      <c r="A480" s="493"/>
    </row>
    <row r="481" spans="1:1" x14ac:dyDescent="0.25">
      <c r="A481" s="493"/>
    </row>
    <row r="482" spans="1:1" x14ac:dyDescent="0.25">
      <c r="A482" s="493"/>
    </row>
    <row r="483" spans="1:1" x14ac:dyDescent="0.25">
      <c r="A483" s="493"/>
    </row>
    <row r="484" spans="1:1" x14ac:dyDescent="0.25">
      <c r="A484" s="493"/>
    </row>
    <row r="485" spans="1:1" x14ac:dyDescent="0.25">
      <c r="A485" s="493"/>
    </row>
    <row r="486" spans="1:1" x14ac:dyDescent="0.25">
      <c r="A486" s="493"/>
    </row>
    <row r="487" spans="1:1" x14ac:dyDescent="0.25">
      <c r="A487" s="493"/>
    </row>
    <row r="488" spans="1:1" x14ac:dyDescent="0.25">
      <c r="A488" s="493"/>
    </row>
    <row r="489" spans="1:1" x14ac:dyDescent="0.25">
      <c r="A489" s="493"/>
    </row>
    <row r="490" spans="1:1" x14ac:dyDescent="0.25">
      <c r="A490" s="493"/>
    </row>
    <row r="491" spans="1:1" x14ac:dyDescent="0.25">
      <c r="A491" s="493"/>
    </row>
    <row r="492" spans="1:1" x14ac:dyDescent="0.25">
      <c r="A492" s="493"/>
    </row>
    <row r="493" spans="1:1" x14ac:dyDescent="0.25">
      <c r="A493" s="493"/>
    </row>
    <row r="494" spans="1:1" x14ac:dyDescent="0.25">
      <c r="A494" s="493"/>
    </row>
    <row r="495" spans="1:1" x14ac:dyDescent="0.25">
      <c r="A495" s="493"/>
    </row>
    <row r="496" spans="1:1" x14ac:dyDescent="0.25">
      <c r="A496" s="493"/>
    </row>
    <row r="497" spans="1:1" x14ac:dyDescent="0.25">
      <c r="A497" s="493"/>
    </row>
    <row r="498" spans="1:1" x14ac:dyDescent="0.25">
      <c r="A498" s="493"/>
    </row>
    <row r="499" spans="1:1" x14ac:dyDescent="0.25">
      <c r="A499" s="493"/>
    </row>
    <row r="500" spans="1:1" x14ac:dyDescent="0.25">
      <c r="A500" s="493"/>
    </row>
    <row r="501" spans="1:1" x14ac:dyDescent="0.25">
      <c r="A501" s="493"/>
    </row>
    <row r="502" spans="1:1" x14ac:dyDescent="0.25">
      <c r="A502" s="493"/>
    </row>
    <row r="503" spans="1:1" x14ac:dyDescent="0.25">
      <c r="A503" s="493"/>
    </row>
    <row r="504" spans="1:1" x14ac:dyDescent="0.25">
      <c r="A504" s="493"/>
    </row>
    <row r="505" spans="1:1" x14ac:dyDescent="0.25">
      <c r="A505" s="493"/>
    </row>
    <row r="506" spans="1:1" x14ac:dyDescent="0.25">
      <c r="A506" s="493"/>
    </row>
    <row r="507" spans="1:1" x14ac:dyDescent="0.25">
      <c r="A507" s="493"/>
    </row>
    <row r="508" spans="1:1" x14ac:dyDescent="0.25">
      <c r="A508" s="493"/>
    </row>
    <row r="509" spans="1:1" x14ac:dyDescent="0.25">
      <c r="A509" s="493"/>
    </row>
    <row r="510" spans="1:1" x14ac:dyDescent="0.25">
      <c r="A510" s="493"/>
    </row>
    <row r="511" spans="1:1" x14ac:dyDescent="0.25">
      <c r="A511" s="493"/>
    </row>
    <row r="512" spans="1:1" x14ac:dyDescent="0.25">
      <c r="A512" s="493"/>
    </row>
    <row r="513" spans="1:1" x14ac:dyDescent="0.25">
      <c r="A513" s="493"/>
    </row>
    <row r="514" spans="1:1" x14ac:dyDescent="0.25">
      <c r="A514" s="493"/>
    </row>
    <row r="515" spans="1:1" x14ac:dyDescent="0.25">
      <c r="A515" s="493"/>
    </row>
    <row r="516" spans="1:1" x14ac:dyDescent="0.25">
      <c r="A516" s="493"/>
    </row>
    <row r="517" spans="1:1" x14ac:dyDescent="0.25">
      <c r="A517" s="493"/>
    </row>
    <row r="518" spans="1:1" x14ac:dyDescent="0.25">
      <c r="A518" s="493"/>
    </row>
    <row r="519" spans="1:1" x14ac:dyDescent="0.25">
      <c r="A519" s="493"/>
    </row>
    <row r="520" spans="1:1" x14ac:dyDescent="0.25">
      <c r="A520" s="493"/>
    </row>
    <row r="521" spans="1:1" x14ac:dyDescent="0.25">
      <c r="A521" s="493"/>
    </row>
    <row r="522" spans="1:1" x14ac:dyDescent="0.25">
      <c r="A522" s="493"/>
    </row>
    <row r="523" spans="1:1" x14ac:dyDescent="0.25">
      <c r="A523" s="493"/>
    </row>
    <row r="524" spans="1:1" x14ac:dyDescent="0.25">
      <c r="A524" s="493"/>
    </row>
    <row r="525" spans="1:1" x14ac:dyDescent="0.25">
      <c r="A525" s="493"/>
    </row>
    <row r="526" spans="1:1" x14ac:dyDescent="0.25">
      <c r="A526" s="493"/>
    </row>
    <row r="527" spans="1:1" x14ac:dyDescent="0.25">
      <c r="A527" s="493"/>
    </row>
    <row r="528" spans="1:1" x14ac:dyDescent="0.25">
      <c r="A528" s="493"/>
    </row>
    <row r="529" spans="1:1" x14ac:dyDescent="0.25">
      <c r="A529" s="493"/>
    </row>
    <row r="530" spans="1:1" x14ac:dyDescent="0.25">
      <c r="A530" s="493"/>
    </row>
    <row r="531" spans="1:1" x14ac:dyDescent="0.25">
      <c r="A531" s="493"/>
    </row>
    <row r="532" spans="1:1" x14ac:dyDescent="0.25">
      <c r="A532" s="493"/>
    </row>
    <row r="533" spans="1:1" x14ac:dyDescent="0.25">
      <c r="A533" s="493"/>
    </row>
    <row r="534" spans="1:1" x14ac:dyDescent="0.25">
      <c r="A534" s="493"/>
    </row>
    <row r="535" spans="1:1" x14ac:dyDescent="0.25">
      <c r="A535" s="493"/>
    </row>
    <row r="536" spans="1:1" x14ac:dyDescent="0.25">
      <c r="A536" s="493"/>
    </row>
    <row r="537" spans="1:1" x14ac:dyDescent="0.25">
      <c r="A537" s="493"/>
    </row>
    <row r="538" spans="1:1" x14ac:dyDescent="0.25">
      <c r="A538" s="493"/>
    </row>
    <row r="539" spans="1:1" x14ac:dyDescent="0.25">
      <c r="A539" s="493"/>
    </row>
    <row r="540" spans="1:1" x14ac:dyDescent="0.25">
      <c r="A540" s="493"/>
    </row>
    <row r="541" spans="1:1" x14ac:dyDescent="0.25">
      <c r="A541" s="493"/>
    </row>
    <row r="542" spans="1:1" x14ac:dyDescent="0.25">
      <c r="A542" s="493"/>
    </row>
    <row r="543" spans="1:1" x14ac:dyDescent="0.25">
      <c r="A543" s="493"/>
    </row>
    <row r="544" spans="1:1" x14ac:dyDescent="0.25">
      <c r="A544" s="493"/>
    </row>
    <row r="545" spans="1:1" x14ac:dyDescent="0.25">
      <c r="A545" s="493"/>
    </row>
    <row r="546" spans="1:1" x14ac:dyDescent="0.25">
      <c r="A546" s="493"/>
    </row>
    <row r="547" spans="1:1" x14ac:dyDescent="0.25">
      <c r="A547" s="493"/>
    </row>
    <row r="548" spans="1:1" x14ac:dyDescent="0.25">
      <c r="A548" s="493"/>
    </row>
    <row r="549" spans="1:1" x14ac:dyDescent="0.25">
      <c r="A549" s="493"/>
    </row>
    <row r="550" spans="1:1" x14ac:dyDescent="0.25">
      <c r="A550" s="493"/>
    </row>
    <row r="551" spans="1:1" x14ac:dyDescent="0.25">
      <c r="A551" s="493"/>
    </row>
    <row r="552" spans="1:1" x14ac:dyDescent="0.25">
      <c r="A552" s="493"/>
    </row>
    <row r="553" spans="1:1" x14ac:dyDescent="0.25">
      <c r="A553" s="493"/>
    </row>
    <row r="554" spans="1:1" x14ac:dyDescent="0.25">
      <c r="A554" s="493"/>
    </row>
    <row r="555" spans="1:1" x14ac:dyDescent="0.25">
      <c r="A555" s="493"/>
    </row>
    <row r="556" spans="1:1" x14ac:dyDescent="0.25">
      <c r="A556" s="493"/>
    </row>
    <row r="557" spans="1:1" x14ac:dyDescent="0.25">
      <c r="A557" s="493"/>
    </row>
    <row r="558" spans="1:1" x14ac:dyDescent="0.25">
      <c r="A558" s="493"/>
    </row>
    <row r="559" spans="1:1" x14ac:dyDescent="0.25">
      <c r="A559" s="493"/>
    </row>
    <row r="560" spans="1:1" x14ac:dyDescent="0.25">
      <c r="A560" s="493"/>
    </row>
    <row r="561" spans="1:1" x14ac:dyDescent="0.25">
      <c r="A561" s="493"/>
    </row>
    <row r="562" spans="1:1" x14ac:dyDescent="0.25">
      <c r="A562" s="493"/>
    </row>
    <row r="563" spans="1:1" x14ac:dyDescent="0.25">
      <c r="A563" s="493"/>
    </row>
    <row r="564" spans="1:1" x14ac:dyDescent="0.25">
      <c r="A564" s="493"/>
    </row>
    <row r="565" spans="1:1" x14ac:dyDescent="0.25">
      <c r="A565" s="493"/>
    </row>
    <row r="566" spans="1:1" x14ac:dyDescent="0.25">
      <c r="A566" s="493"/>
    </row>
    <row r="567" spans="1:1" x14ac:dyDescent="0.25">
      <c r="A567" s="493"/>
    </row>
    <row r="568" spans="1:1" x14ac:dyDescent="0.25">
      <c r="A568" s="493"/>
    </row>
    <row r="569" spans="1:1" x14ac:dyDescent="0.25">
      <c r="A569" s="493"/>
    </row>
    <row r="570" spans="1:1" x14ac:dyDescent="0.25">
      <c r="A570" s="493"/>
    </row>
    <row r="571" spans="1:1" x14ac:dyDescent="0.25">
      <c r="A571" s="493"/>
    </row>
    <row r="572" spans="1:1" x14ac:dyDescent="0.25">
      <c r="A572" s="493"/>
    </row>
    <row r="573" spans="1:1" x14ac:dyDescent="0.25">
      <c r="A573" s="493"/>
    </row>
    <row r="574" spans="1:1" x14ac:dyDescent="0.25">
      <c r="A574" s="493"/>
    </row>
    <row r="575" spans="1:1" x14ac:dyDescent="0.25">
      <c r="A575" s="493"/>
    </row>
    <row r="576" spans="1:1" x14ac:dyDescent="0.25">
      <c r="A576" s="493"/>
    </row>
    <row r="577" spans="1:1" x14ac:dyDescent="0.25">
      <c r="A577" s="493"/>
    </row>
    <row r="578" spans="1:1" x14ac:dyDescent="0.25">
      <c r="A578" s="493"/>
    </row>
    <row r="579" spans="1:1" x14ac:dyDescent="0.25">
      <c r="A579" s="493"/>
    </row>
    <row r="580" spans="1:1" x14ac:dyDescent="0.25">
      <c r="A580" s="493"/>
    </row>
    <row r="581" spans="1:1" x14ac:dyDescent="0.25">
      <c r="A581" s="493"/>
    </row>
    <row r="582" spans="1:1" x14ac:dyDescent="0.25">
      <c r="A582" s="493"/>
    </row>
    <row r="583" spans="1:1" x14ac:dyDescent="0.25">
      <c r="A583" s="493"/>
    </row>
    <row r="584" spans="1:1" x14ac:dyDescent="0.25">
      <c r="A584" s="493"/>
    </row>
    <row r="585" spans="1:1" x14ac:dyDescent="0.25">
      <c r="A585" s="493"/>
    </row>
    <row r="586" spans="1:1" x14ac:dyDescent="0.25">
      <c r="A586" s="493"/>
    </row>
    <row r="587" spans="1:1" x14ac:dyDescent="0.25">
      <c r="A587" s="493"/>
    </row>
    <row r="588" spans="1:1" x14ac:dyDescent="0.25">
      <c r="A588" s="493"/>
    </row>
    <row r="589" spans="1:1" x14ac:dyDescent="0.25">
      <c r="A589" s="493"/>
    </row>
    <row r="590" spans="1:1" x14ac:dyDescent="0.25">
      <c r="A590" s="493"/>
    </row>
    <row r="591" spans="1:1" x14ac:dyDescent="0.25">
      <c r="A591" s="493"/>
    </row>
    <row r="592" spans="1:1" x14ac:dyDescent="0.25">
      <c r="A592" s="493"/>
    </row>
    <row r="593" spans="1:1" x14ac:dyDescent="0.25">
      <c r="A593" s="493"/>
    </row>
    <row r="594" spans="1:1" x14ac:dyDescent="0.25">
      <c r="A594" s="493"/>
    </row>
    <row r="595" spans="1:1" x14ac:dyDescent="0.25">
      <c r="A595" s="493"/>
    </row>
  </sheetData>
  <sheetProtection sheet="1" selectLockedCells="1" selectUnlockedCells="1"/>
  <phoneticPr fontId="0" type="noConversion"/>
  <printOptions horizontalCentered="1"/>
  <pageMargins left="0.5" right="0.5" top="1" bottom="1" header="0.5" footer="0.5"/>
  <pageSetup orientation="landscape" r:id="rId1"/>
  <headerFooter>
    <oddHeader>&amp;C&amp;"Arial,Bold"MCP Numerical Standards Derivation</oddHeader>
    <oddFooter>&amp;L&amp;8MassDEP&amp;C&amp;8 2024&amp;R&amp;8Workbook:  MCP Toxicity
Sheet:  Introduction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7</vt:i4>
      </vt:variant>
      <vt:variant>
        <vt:lpstr>Named Ranges</vt:lpstr>
      </vt:variant>
      <vt:variant>
        <vt:i4>12</vt:i4>
      </vt:variant>
    </vt:vector>
  </HeadingPairs>
  <TitlesOfParts>
    <vt:vector size="19" baseType="lpstr">
      <vt:lpstr>Introduction</vt:lpstr>
      <vt:lpstr>Toxicity</vt:lpstr>
      <vt:lpstr>Target Risk</vt:lpstr>
      <vt:lpstr>PQLs</vt:lpstr>
      <vt:lpstr>BW</vt:lpstr>
      <vt:lpstr>Skin Surface Area</vt:lpstr>
      <vt:lpstr>References</vt:lpstr>
      <vt:lpstr>PQL</vt:lpstr>
      <vt:lpstr>BW!Print_Area</vt:lpstr>
      <vt:lpstr>Introduction!Print_Area</vt:lpstr>
      <vt:lpstr>PQLs!Print_Area</vt:lpstr>
      <vt:lpstr>References!Print_Area</vt:lpstr>
      <vt:lpstr>'Target Risk'!Print_Area</vt:lpstr>
      <vt:lpstr>Toxicity!Print_Area</vt:lpstr>
      <vt:lpstr>BW!Print_Titles</vt:lpstr>
      <vt:lpstr>PQLs!Print_Titles</vt:lpstr>
      <vt:lpstr>References!Print_Titles</vt:lpstr>
      <vt:lpstr>Toxicity!Print_Titles</vt:lpstr>
      <vt:lpstr>TOX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2022-12-07T23:46:12Z</dcterms:created>
  <dcterms:modified xsi:type="dcterms:W3CDTF">2024-02-29T22:22:33Z</dcterms:modified>
</cp:coreProperties>
</file>