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updateLinks="always"/>
  <xr:revisionPtr revIDLastSave="0" documentId="13_ncr:1_{811CC840-1180-4F5B-A86A-5241695C0726}" xr6:coauthVersionLast="47" xr6:coauthVersionMax="47" xr10:uidLastSave="{00000000-0000-0000-0000-000000000000}"/>
  <workbookProtection lockStructure="1"/>
  <bookViews>
    <workbookView xWindow="-110" yWindow="-110" windowWidth="19420" windowHeight="10420" tabRatio="715" xr2:uid="{00000000-000D-0000-FFFF-FFFF00000000}"/>
  </bookViews>
  <sheets>
    <sheet name="Introduction" sheetId="8" r:id="rId1"/>
    <sheet name="S-1" sheetId="1" r:id="rId2"/>
    <sheet name="S-1 Assumptions" sheetId="2" r:id="rId3"/>
    <sheet name="S-1 TCE &amp; VC" sheetId="9" r:id="rId4"/>
    <sheet name="S-2" sheetId="3" r:id="rId5"/>
    <sheet name="S-2 Assumptions" sheetId="6" r:id="rId6"/>
    <sheet name="S-3" sheetId="5" r:id="rId7"/>
    <sheet name="S-3 Assumptions" sheetId="4" r:id="rId8"/>
  </sheets>
  <externalReferences>
    <externalReference r:id="rId9"/>
  </externalReferences>
  <definedNames>
    <definedName name="_xlnm._FilterDatabase" localSheetId="1" hidden="1">'S-1'!$A$6:$J$129</definedName>
    <definedName name="_xlnm._FilterDatabase" localSheetId="4" hidden="1">'S-2'!$A$6:$W$129</definedName>
    <definedName name="_xlnm._FilterDatabase" localSheetId="6" hidden="1">'S-3'!$A$6:$L$129</definedName>
    <definedName name="_xlnm.Print_Area" localSheetId="0">Introduction!$B$1:$G$51</definedName>
    <definedName name="_xlnm.Print_Area" localSheetId="1">'S-1'!$A$1:$J$129</definedName>
    <definedName name="_xlnm.Print_Area" localSheetId="2">'S-1 Assumptions'!$A$1:$AB$77</definedName>
    <definedName name="_xlnm.Print_Area" localSheetId="3">'S-1 TCE &amp; VC'!$A$1:$E$18</definedName>
    <definedName name="_xlnm.Print_Area" localSheetId="4">'S-2'!$A$1:$I$129</definedName>
    <definedName name="_xlnm.Print_Area" localSheetId="5">'S-2 Assumptions'!$A$1:$X$52</definedName>
    <definedName name="_xlnm.Print_Area" localSheetId="6">'S-3'!$A$1:$L$129</definedName>
    <definedName name="_xlnm.Print_Area" localSheetId="7">'S-3 Assumptions'!$A$1:$X$93</definedName>
    <definedName name="_xlnm.Print_Titles" localSheetId="1">'S-1'!$A:$A,'S-1'!$1:$6</definedName>
    <definedName name="_xlnm.Print_Titles" localSheetId="4">'S-2'!$A:$A,'S-2'!$1:$6</definedName>
    <definedName name="_xlnm.Print_Titles" localSheetId="6">'S-3'!$A:$A,'S-3'!$1:$6</definedName>
    <definedName name="Sone">'S-1'!$A$1:$J$129</definedName>
    <definedName name="Sthree">'S-3'!$A$1:$L$129</definedName>
    <definedName name="Stwo">'S-2'!$A$1:$I$129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0" i="4" l="1"/>
  <c r="B63" i="4"/>
  <c r="B41" i="4"/>
  <c r="E49" i="8" l="1"/>
  <c r="B91" i="4" l="1"/>
  <c r="B84" i="4"/>
  <c r="B48" i="4"/>
  <c r="B28" i="4"/>
  <c r="B20" i="4"/>
  <c r="B49" i="6"/>
  <c r="B42" i="6"/>
  <c r="B28" i="6"/>
  <c r="B20" i="6"/>
  <c r="B66" i="2"/>
  <c r="B65" i="2"/>
  <c r="B64" i="2"/>
  <c r="B63" i="2"/>
  <c r="B58" i="2"/>
  <c r="B57" i="2"/>
  <c r="B56" i="2"/>
  <c r="B50" i="2"/>
  <c r="B33" i="2"/>
  <c r="B32" i="2"/>
  <c r="B31" i="2"/>
  <c r="B30" i="2"/>
  <c r="B25" i="2"/>
  <c r="B24" i="2"/>
  <c r="B23" i="2"/>
  <c r="B17" i="2"/>
  <c r="V17" i="4"/>
  <c r="T17" i="4"/>
  <c r="R17" i="4"/>
  <c r="P17" i="4"/>
  <c r="M17" i="4"/>
  <c r="V19" i="6"/>
  <c r="V18" i="6"/>
  <c r="V17" i="6"/>
  <c r="R19" i="6"/>
  <c r="P19" i="6"/>
  <c r="M19" i="6"/>
  <c r="R18" i="6"/>
  <c r="P18" i="6"/>
  <c r="M18" i="6"/>
  <c r="R17" i="6"/>
  <c r="P17" i="6"/>
  <c r="M17" i="6"/>
  <c r="Y41" i="2"/>
  <c r="W41" i="2"/>
  <c r="U41" i="2"/>
  <c r="S41" i="2"/>
  <c r="P41" i="2"/>
  <c r="Y40" i="2"/>
  <c r="W40" i="2"/>
  <c r="U40" i="2"/>
  <c r="S40" i="2"/>
  <c r="P40" i="2"/>
  <c r="Y39" i="2"/>
  <c r="W39" i="2"/>
  <c r="U39" i="2"/>
  <c r="S39" i="2"/>
  <c r="P39" i="2"/>
  <c r="Y38" i="2"/>
  <c r="W38" i="2"/>
  <c r="U38" i="2"/>
  <c r="S38" i="2"/>
  <c r="P38" i="2"/>
  <c r="Y37" i="2"/>
  <c r="W37" i="2"/>
  <c r="U37" i="2"/>
  <c r="S37" i="2"/>
  <c r="P37" i="2"/>
  <c r="Y32" i="2"/>
  <c r="W32" i="2"/>
  <c r="U32" i="2"/>
  <c r="S32" i="2"/>
  <c r="P32" i="2"/>
  <c r="Y31" i="2"/>
  <c r="W31" i="2"/>
  <c r="U31" i="2"/>
  <c r="S31" i="2"/>
  <c r="P31" i="2"/>
  <c r="Y30" i="2"/>
  <c r="W30" i="2"/>
  <c r="U30" i="2"/>
  <c r="S30" i="2"/>
  <c r="P30" i="2"/>
  <c r="Y29" i="2"/>
  <c r="W29" i="2"/>
  <c r="U29" i="2"/>
  <c r="S29" i="2"/>
  <c r="P29" i="2"/>
  <c r="Y28" i="2"/>
  <c r="W28" i="2"/>
  <c r="U28" i="2"/>
  <c r="S28" i="2"/>
  <c r="P28" i="2"/>
  <c r="Y27" i="2"/>
  <c r="W27" i="2"/>
  <c r="U27" i="2"/>
  <c r="S27" i="2"/>
  <c r="P27" i="2"/>
  <c r="Y26" i="2"/>
  <c r="W26" i="2"/>
  <c r="U26" i="2"/>
  <c r="S26" i="2"/>
  <c r="P26" i="2"/>
  <c r="Y21" i="2"/>
  <c r="W21" i="2"/>
  <c r="U21" i="2"/>
  <c r="S21" i="2"/>
  <c r="P21" i="2"/>
  <c r="Y20" i="2"/>
  <c r="W20" i="2"/>
  <c r="U20" i="2"/>
  <c r="S20" i="2"/>
  <c r="P20" i="2"/>
  <c r="Y19" i="2"/>
  <c r="W19" i="2"/>
  <c r="U19" i="2"/>
  <c r="S19" i="2"/>
  <c r="P19" i="2"/>
  <c r="Y18" i="2"/>
  <c r="W18" i="2"/>
  <c r="U18" i="2"/>
  <c r="S18" i="2"/>
  <c r="P18" i="2"/>
  <c r="Y17" i="2"/>
  <c r="W17" i="2"/>
  <c r="U17" i="2"/>
  <c r="S17" i="2"/>
  <c r="P17" i="2"/>
  <c r="Y16" i="2"/>
  <c r="W16" i="2"/>
  <c r="U16" i="2"/>
  <c r="S16" i="2"/>
  <c r="P16" i="2"/>
  <c r="Y15" i="2"/>
  <c r="W15" i="2"/>
  <c r="U15" i="2"/>
  <c r="S15" i="2"/>
  <c r="P15" i="2"/>
  <c r="E4" i="5"/>
  <c r="B4" i="5"/>
  <c r="F129" i="5"/>
  <c r="E129" i="5"/>
  <c r="F128" i="5"/>
  <c r="E128" i="5"/>
  <c r="F126" i="5"/>
  <c r="E126" i="5"/>
  <c r="F124" i="5"/>
  <c r="E124" i="5"/>
  <c r="F121" i="5"/>
  <c r="E121" i="5"/>
  <c r="F120" i="5"/>
  <c r="E120" i="5"/>
  <c r="F119" i="5"/>
  <c r="E119" i="5"/>
  <c r="F118" i="5"/>
  <c r="E118" i="5"/>
  <c r="F112" i="5"/>
  <c r="E112" i="5"/>
  <c r="F111" i="5"/>
  <c r="E111" i="5"/>
  <c r="F109" i="5"/>
  <c r="E109" i="5"/>
  <c r="F107" i="5"/>
  <c r="E107" i="5"/>
  <c r="F106" i="5"/>
  <c r="E106" i="5"/>
  <c r="F105" i="5"/>
  <c r="E105" i="5"/>
  <c r="F104" i="5"/>
  <c r="E104" i="5"/>
  <c r="F103" i="5"/>
  <c r="E103" i="5"/>
  <c r="F102" i="5"/>
  <c r="E102" i="5"/>
  <c r="F101" i="5"/>
  <c r="E101" i="5"/>
  <c r="F100" i="5"/>
  <c r="E100" i="5"/>
  <c r="F99" i="5"/>
  <c r="E99" i="5"/>
  <c r="B99" i="5"/>
  <c r="F98" i="5"/>
  <c r="E98" i="5"/>
  <c r="F97" i="5"/>
  <c r="E97" i="5"/>
  <c r="F96" i="5"/>
  <c r="E96" i="5"/>
  <c r="F95" i="5"/>
  <c r="E95" i="5"/>
  <c r="F94" i="5"/>
  <c r="E94" i="5"/>
  <c r="F93" i="5"/>
  <c r="E93" i="5"/>
  <c r="F92" i="5"/>
  <c r="E92" i="5"/>
  <c r="F91" i="5"/>
  <c r="E91" i="5"/>
  <c r="E89" i="5"/>
  <c r="F88" i="5"/>
  <c r="E88" i="5"/>
  <c r="F87" i="5"/>
  <c r="E87" i="5"/>
  <c r="F86" i="5"/>
  <c r="E86" i="5"/>
  <c r="F85" i="5"/>
  <c r="E85" i="5"/>
  <c r="F84" i="5"/>
  <c r="E84" i="5"/>
  <c r="F83" i="5"/>
  <c r="E83" i="5"/>
  <c r="F82" i="5"/>
  <c r="E82" i="5"/>
  <c r="F81" i="5"/>
  <c r="E81" i="5"/>
  <c r="F80" i="5"/>
  <c r="E80" i="5"/>
  <c r="F78" i="5"/>
  <c r="E78" i="5"/>
  <c r="F71" i="5"/>
  <c r="E71" i="5"/>
  <c r="F70" i="5"/>
  <c r="E70" i="5"/>
  <c r="F68" i="5"/>
  <c r="E68" i="5"/>
  <c r="F67" i="5"/>
  <c r="E67" i="5"/>
  <c r="F66" i="5"/>
  <c r="E66" i="5"/>
  <c r="F63" i="5"/>
  <c r="E63" i="5"/>
  <c r="F62" i="5"/>
  <c r="E62" i="5"/>
  <c r="F61" i="5"/>
  <c r="E61" i="5"/>
  <c r="F60" i="5"/>
  <c r="E60" i="5"/>
  <c r="F56" i="5"/>
  <c r="E56" i="5"/>
  <c r="F54" i="5"/>
  <c r="E54" i="5"/>
  <c r="F53" i="5"/>
  <c r="E53" i="5"/>
  <c r="F52" i="5"/>
  <c r="E52" i="5"/>
  <c r="F50" i="5"/>
  <c r="E50" i="5"/>
  <c r="F44" i="5"/>
  <c r="E44" i="5"/>
  <c r="F43" i="5"/>
  <c r="E43" i="5"/>
  <c r="F40" i="5"/>
  <c r="E40" i="5"/>
  <c r="E38" i="5"/>
  <c r="F37" i="5"/>
  <c r="E37" i="5"/>
  <c r="E36" i="5"/>
  <c r="F35" i="5"/>
  <c r="E35" i="5"/>
  <c r="E34" i="5"/>
  <c r="F33" i="5"/>
  <c r="E33" i="5"/>
  <c r="F32" i="5"/>
  <c r="E29" i="5"/>
  <c r="F28" i="5"/>
  <c r="E28" i="5"/>
  <c r="F22" i="5"/>
  <c r="E21" i="5"/>
  <c r="F19" i="5"/>
  <c r="E19" i="5"/>
  <c r="F14" i="5"/>
  <c r="E14" i="5"/>
  <c r="F12" i="5"/>
  <c r="E12" i="5"/>
  <c r="F11" i="5"/>
  <c r="E11" i="5"/>
  <c r="F9" i="5"/>
  <c r="E9" i="5"/>
  <c r="F8" i="5"/>
  <c r="E8" i="5"/>
  <c r="F7" i="5"/>
  <c r="E7" i="5"/>
  <c r="C129" i="3"/>
  <c r="C128" i="3"/>
  <c r="C126" i="3"/>
  <c r="C124" i="3"/>
  <c r="C121" i="3"/>
  <c r="C120" i="3"/>
  <c r="C119" i="3"/>
  <c r="C118" i="3"/>
  <c r="C112" i="3"/>
  <c r="C111" i="3"/>
  <c r="C109" i="3"/>
  <c r="C107" i="3"/>
  <c r="C106" i="3"/>
  <c r="C105" i="3"/>
  <c r="C104" i="3"/>
  <c r="C103" i="3"/>
  <c r="C102" i="3"/>
  <c r="C101" i="3"/>
  <c r="C100" i="3"/>
  <c r="C99" i="3"/>
  <c r="C98" i="3"/>
  <c r="C97" i="3"/>
  <c r="C96" i="3"/>
  <c r="C95" i="3"/>
  <c r="C94" i="3"/>
  <c r="C93" i="3"/>
  <c r="C92" i="3"/>
  <c r="C91" i="3"/>
  <c r="C89" i="3"/>
  <c r="C88" i="3"/>
  <c r="C87" i="3"/>
  <c r="C86" i="3"/>
  <c r="C85" i="3"/>
  <c r="C84" i="3"/>
  <c r="C83" i="3"/>
  <c r="C82" i="3"/>
  <c r="C81" i="3"/>
  <c r="C80" i="3"/>
  <c r="C78" i="3"/>
  <c r="C71" i="3"/>
  <c r="C70" i="3"/>
  <c r="C68" i="3"/>
  <c r="C67" i="3"/>
  <c r="C66" i="3"/>
  <c r="C63" i="3"/>
  <c r="C62" i="3"/>
  <c r="C61" i="3"/>
  <c r="C60" i="3"/>
  <c r="C56" i="3"/>
  <c r="C54" i="3"/>
  <c r="C53" i="3"/>
  <c r="C52" i="3"/>
  <c r="C50" i="3"/>
  <c r="C44" i="3"/>
  <c r="C43" i="3"/>
  <c r="C40" i="3"/>
  <c r="C38" i="3"/>
  <c r="D38" i="3" s="1"/>
  <c r="C37" i="3"/>
  <c r="C36" i="3"/>
  <c r="C35" i="3"/>
  <c r="C34" i="3"/>
  <c r="C33" i="3"/>
  <c r="C29" i="3"/>
  <c r="C28" i="3"/>
  <c r="C21" i="3"/>
  <c r="C19" i="3"/>
  <c r="C14" i="3"/>
  <c r="C12" i="3"/>
  <c r="C11" i="3"/>
  <c r="C9" i="3"/>
  <c r="C8" i="3"/>
  <c r="C7" i="3"/>
  <c r="E129" i="1"/>
  <c r="D129" i="1"/>
  <c r="C129" i="1"/>
  <c r="E128" i="1"/>
  <c r="D128" i="1"/>
  <c r="C128" i="1"/>
  <c r="E126" i="1"/>
  <c r="D126" i="1"/>
  <c r="C126" i="1"/>
  <c r="D125" i="1"/>
  <c r="E124" i="1"/>
  <c r="D124" i="1"/>
  <c r="C124" i="1"/>
  <c r="D122" i="1"/>
  <c r="E121" i="1"/>
  <c r="D121" i="1"/>
  <c r="C121" i="1"/>
  <c r="E120" i="1"/>
  <c r="D120" i="1"/>
  <c r="C120" i="1"/>
  <c r="E119" i="1"/>
  <c r="D119" i="1"/>
  <c r="C119" i="1"/>
  <c r="E118" i="1"/>
  <c r="D118" i="1"/>
  <c r="C118" i="1"/>
  <c r="D117" i="1"/>
  <c r="D116" i="1"/>
  <c r="D115" i="1"/>
  <c r="D114" i="1"/>
  <c r="D113" i="1"/>
  <c r="E112" i="1"/>
  <c r="D112" i="1"/>
  <c r="C112" i="1"/>
  <c r="E111" i="1"/>
  <c r="D111" i="1"/>
  <c r="C111" i="1"/>
  <c r="D110" i="1"/>
  <c r="E109" i="1"/>
  <c r="D109" i="1"/>
  <c r="C109" i="1"/>
  <c r="D108" i="1"/>
  <c r="E107" i="1"/>
  <c r="D107" i="1"/>
  <c r="C107" i="1"/>
  <c r="E106" i="1"/>
  <c r="D106" i="1"/>
  <c r="C106" i="1"/>
  <c r="E105" i="1"/>
  <c r="D105" i="1"/>
  <c r="C105" i="1"/>
  <c r="E104" i="1"/>
  <c r="D104" i="1"/>
  <c r="C104" i="1"/>
  <c r="E103" i="1"/>
  <c r="D103" i="1"/>
  <c r="C103" i="1"/>
  <c r="E102" i="1"/>
  <c r="D102" i="1"/>
  <c r="C102" i="1"/>
  <c r="E101" i="1"/>
  <c r="D101" i="1"/>
  <c r="C101" i="1"/>
  <c r="E100" i="1"/>
  <c r="D100" i="1"/>
  <c r="C100" i="1"/>
  <c r="E99" i="1"/>
  <c r="D99" i="1"/>
  <c r="C99" i="1"/>
  <c r="E98" i="1"/>
  <c r="D98" i="1"/>
  <c r="C98" i="1"/>
  <c r="E97" i="1"/>
  <c r="D97" i="1"/>
  <c r="C97" i="1"/>
  <c r="E96" i="1"/>
  <c r="D96" i="1"/>
  <c r="C96" i="1"/>
  <c r="E95" i="1"/>
  <c r="D95" i="1"/>
  <c r="C95" i="1"/>
  <c r="E94" i="1"/>
  <c r="D94" i="1"/>
  <c r="C94" i="1"/>
  <c r="E93" i="1"/>
  <c r="D93" i="1"/>
  <c r="C93" i="1"/>
  <c r="E92" i="1"/>
  <c r="D92" i="1"/>
  <c r="C92" i="1"/>
  <c r="E91" i="1"/>
  <c r="D91" i="1"/>
  <c r="C91" i="1"/>
  <c r="D90" i="1"/>
  <c r="E89" i="1"/>
  <c r="D89" i="1"/>
  <c r="C89" i="1"/>
  <c r="E88" i="1"/>
  <c r="D88" i="1"/>
  <c r="C88" i="1"/>
  <c r="E87" i="1"/>
  <c r="D87" i="1"/>
  <c r="C87" i="1"/>
  <c r="E86" i="1"/>
  <c r="D86" i="1"/>
  <c r="C86" i="1"/>
  <c r="E85" i="1"/>
  <c r="D85" i="1"/>
  <c r="C85" i="1"/>
  <c r="E84" i="1"/>
  <c r="D84" i="1"/>
  <c r="C84" i="1"/>
  <c r="E83" i="1"/>
  <c r="D83" i="1"/>
  <c r="C83" i="1"/>
  <c r="E82" i="1"/>
  <c r="D82" i="1"/>
  <c r="C82" i="1"/>
  <c r="E81" i="1"/>
  <c r="D81" i="1"/>
  <c r="C81" i="1"/>
  <c r="E80" i="1"/>
  <c r="D80" i="1"/>
  <c r="C80" i="1"/>
  <c r="E78" i="1"/>
  <c r="D78" i="1"/>
  <c r="C78" i="1"/>
  <c r="D77" i="1"/>
  <c r="D76" i="1"/>
  <c r="D75" i="1"/>
  <c r="D74" i="1"/>
  <c r="D73" i="1"/>
  <c r="D72" i="1"/>
  <c r="E71" i="1"/>
  <c r="D71" i="1"/>
  <c r="C71" i="1"/>
  <c r="E70" i="1"/>
  <c r="D70" i="1"/>
  <c r="C70" i="1"/>
  <c r="D69" i="1"/>
  <c r="E68" i="1"/>
  <c r="D68" i="1"/>
  <c r="C68" i="1"/>
  <c r="E67" i="1"/>
  <c r="D67" i="1"/>
  <c r="C67" i="1"/>
  <c r="E66" i="1"/>
  <c r="D66" i="1"/>
  <c r="C66" i="1"/>
  <c r="D65" i="1"/>
  <c r="D64" i="1"/>
  <c r="E63" i="1"/>
  <c r="D63" i="1"/>
  <c r="C63" i="1"/>
  <c r="E62" i="1"/>
  <c r="D62" i="1"/>
  <c r="C62" i="1"/>
  <c r="E61" i="1"/>
  <c r="D61" i="1"/>
  <c r="C61" i="1"/>
  <c r="E60" i="1"/>
  <c r="D60" i="1"/>
  <c r="C60" i="1"/>
  <c r="D59" i="1"/>
  <c r="D58" i="1"/>
  <c r="D57" i="1"/>
  <c r="E56" i="1"/>
  <c r="D56" i="1"/>
  <c r="C56" i="1"/>
  <c r="E54" i="1"/>
  <c r="D54" i="1"/>
  <c r="C54" i="1"/>
  <c r="E53" i="1"/>
  <c r="D53" i="1"/>
  <c r="C53" i="1"/>
  <c r="E52" i="1"/>
  <c r="D52" i="1"/>
  <c r="C52" i="1"/>
  <c r="D51" i="1"/>
  <c r="E50" i="1"/>
  <c r="D50" i="1"/>
  <c r="C50" i="1"/>
  <c r="D49" i="1"/>
  <c r="D48" i="1"/>
  <c r="D47" i="1"/>
  <c r="D46" i="1"/>
  <c r="D45" i="1"/>
  <c r="E44" i="1"/>
  <c r="D44" i="1"/>
  <c r="C44" i="1"/>
  <c r="E43" i="1"/>
  <c r="D43" i="1"/>
  <c r="C43" i="1"/>
  <c r="D42" i="1"/>
  <c r="E40" i="1"/>
  <c r="D40" i="1"/>
  <c r="C40" i="1"/>
  <c r="E38" i="1"/>
  <c r="D38" i="1"/>
  <c r="C38" i="1"/>
  <c r="E37" i="1"/>
  <c r="D37" i="1"/>
  <c r="C37" i="1"/>
  <c r="E36" i="1"/>
  <c r="D36" i="1"/>
  <c r="C36" i="1"/>
  <c r="E35" i="1"/>
  <c r="D35" i="1"/>
  <c r="C35" i="1"/>
  <c r="E34" i="1"/>
  <c r="D34" i="1"/>
  <c r="C34" i="1"/>
  <c r="E33" i="1"/>
  <c r="D33" i="1"/>
  <c r="C33" i="1"/>
  <c r="D32" i="1"/>
  <c r="D31" i="1"/>
  <c r="D30" i="1"/>
  <c r="E29" i="1"/>
  <c r="D29" i="1"/>
  <c r="C29" i="1"/>
  <c r="E28" i="1"/>
  <c r="D28" i="1"/>
  <c r="C28" i="1"/>
  <c r="D27" i="1"/>
  <c r="D26" i="1"/>
  <c r="D25" i="1"/>
  <c r="D24" i="1"/>
  <c r="D23" i="1"/>
  <c r="D22" i="1"/>
  <c r="E21" i="1"/>
  <c r="D21" i="1"/>
  <c r="C21" i="1"/>
  <c r="E19" i="1"/>
  <c r="D19" i="1"/>
  <c r="C19" i="1"/>
  <c r="D15" i="1"/>
  <c r="E14" i="1"/>
  <c r="D14" i="1"/>
  <c r="C14" i="1"/>
  <c r="D13" i="1"/>
  <c r="E12" i="1"/>
  <c r="D12" i="1"/>
  <c r="C12" i="1"/>
  <c r="E11" i="1"/>
  <c r="D11" i="1"/>
  <c r="C11" i="1"/>
  <c r="D10" i="1"/>
  <c r="E9" i="1"/>
  <c r="D9" i="1"/>
  <c r="C9" i="1"/>
  <c r="E8" i="1"/>
  <c r="D8" i="1"/>
  <c r="C8" i="1"/>
  <c r="E7" i="1"/>
  <c r="D7" i="1"/>
  <c r="C7" i="1"/>
  <c r="E38" i="3" l="1"/>
  <c r="G92" i="5"/>
  <c r="G91" i="5" l="1"/>
  <c r="G94" i="5" l="1"/>
  <c r="G95" i="5"/>
  <c r="G97" i="5"/>
  <c r="G93" i="5"/>
  <c r="K33" i="2" l="1"/>
  <c r="K32" i="2"/>
  <c r="K31" i="2"/>
  <c r="K30" i="2" l="1"/>
  <c r="K37" i="2"/>
  <c r="P43" i="2" l="1"/>
  <c r="P34" i="2" l="1"/>
  <c r="N93" i="4" l="1"/>
  <c r="D91" i="4"/>
  <c r="O93" i="4" s="1"/>
  <c r="J85" i="4"/>
  <c r="O85" i="4" s="1"/>
  <c r="M72" i="4"/>
  <c r="K72" i="4"/>
  <c r="C70" i="4"/>
  <c r="L64" i="4"/>
  <c r="J64" i="4"/>
  <c r="G50" i="4"/>
  <c r="J21" i="4"/>
  <c r="N17" i="4"/>
  <c r="C48" i="4" s="1"/>
  <c r="G129" i="5"/>
  <c r="G128" i="5"/>
  <c r="G126" i="5"/>
  <c r="G121" i="5"/>
  <c r="G120" i="5"/>
  <c r="G119" i="5"/>
  <c r="G118" i="5"/>
  <c r="G112" i="5"/>
  <c r="G111" i="5"/>
  <c r="G109" i="5"/>
  <c r="G107" i="5"/>
  <c r="G106" i="5"/>
  <c r="G105" i="5"/>
  <c r="G104" i="5"/>
  <c r="G103" i="5"/>
  <c r="G102" i="5"/>
  <c r="G101" i="5"/>
  <c r="G100" i="5"/>
  <c r="G99" i="5"/>
  <c r="G98" i="5"/>
  <c r="G88" i="5"/>
  <c r="G87" i="5"/>
  <c r="G84" i="5"/>
  <c r="G83" i="5"/>
  <c r="G80" i="5"/>
  <c r="G78" i="5"/>
  <c r="G71" i="5"/>
  <c r="G70" i="5"/>
  <c r="G67" i="5"/>
  <c r="G66" i="5"/>
  <c r="G63" i="5"/>
  <c r="G62" i="5"/>
  <c r="G61" i="5"/>
  <c r="G60" i="5"/>
  <c r="G56" i="5"/>
  <c r="G54" i="5"/>
  <c r="G53" i="5"/>
  <c r="G52" i="5"/>
  <c r="G50" i="5"/>
  <c r="G44" i="5"/>
  <c r="G43" i="5"/>
  <c r="G40" i="5"/>
  <c r="G37" i="5"/>
  <c r="G35" i="5"/>
  <c r="G28" i="5"/>
  <c r="G19" i="5"/>
  <c r="G14" i="5"/>
  <c r="G12" i="5"/>
  <c r="G11" i="5"/>
  <c r="G8" i="5"/>
  <c r="G7" i="5"/>
  <c r="G51" i="6"/>
  <c r="H43" i="6"/>
  <c r="G43" i="6"/>
  <c r="F29" i="6"/>
  <c r="V21" i="6"/>
  <c r="T21" i="6"/>
  <c r="R21" i="6"/>
  <c r="P21" i="6"/>
  <c r="M21" i="6"/>
  <c r="G21" i="6"/>
  <c r="N19" i="6"/>
  <c r="N18" i="6"/>
  <c r="N17" i="6"/>
  <c r="G59" i="2"/>
  <c r="O44" i="2"/>
  <c r="Q41" i="2"/>
  <c r="Q40" i="2"/>
  <c r="Q39" i="2"/>
  <c r="Q38" i="2"/>
  <c r="Q37" i="2"/>
  <c r="P35" i="2"/>
  <c r="O35" i="2"/>
  <c r="Q32" i="2"/>
  <c r="Q31" i="2"/>
  <c r="Q30" i="2"/>
  <c r="Q29" i="2"/>
  <c r="Q28" i="2"/>
  <c r="Q27" i="2"/>
  <c r="F26" i="2"/>
  <c r="Q26" i="2"/>
  <c r="O24" i="2"/>
  <c r="Q21" i="2"/>
  <c r="Q20" i="2"/>
  <c r="Q18" i="2"/>
  <c r="Q17" i="2"/>
  <c r="Q16" i="2"/>
  <c r="Q15" i="2"/>
  <c r="N72" i="4" l="1"/>
  <c r="N64" i="4"/>
  <c r="Q43" i="2"/>
  <c r="AA15" i="2"/>
  <c r="D63" i="2" s="1"/>
  <c r="C63" i="2"/>
  <c r="Q34" i="2"/>
  <c r="X17" i="4"/>
  <c r="D41" i="4" s="1"/>
  <c r="C41" i="4"/>
  <c r="N21" i="6"/>
  <c r="X21" i="6" s="1"/>
  <c r="Q44" i="2"/>
  <c r="Q35" i="2"/>
  <c r="P44" i="2"/>
  <c r="G81" i="5"/>
  <c r="G82" i="5"/>
  <c r="G85" i="5"/>
  <c r="G86" i="5"/>
  <c r="G124" i="5"/>
  <c r="G33" i="5"/>
  <c r="G9" i="5"/>
  <c r="F125" i="5" l="1"/>
  <c r="F114" i="5"/>
  <c r="F74" i="5"/>
  <c r="F59" i="5"/>
  <c r="F48" i="5"/>
  <c r="F42" i="5"/>
  <c r="F27" i="5"/>
  <c r="F20" i="5"/>
  <c r="F115" i="5"/>
  <c r="F113" i="5"/>
  <c r="F108" i="5"/>
  <c r="F73" i="5"/>
  <c r="F58" i="5"/>
  <c r="F47" i="5"/>
  <c r="F41" i="5"/>
  <c r="F36" i="5"/>
  <c r="G36" i="5" s="1"/>
  <c r="F26" i="5"/>
  <c r="F13" i="5"/>
  <c r="F79" i="5"/>
  <c r="F72" i="5"/>
  <c r="F57" i="5"/>
  <c r="F46" i="5"/>
  <c r="F31" i="5"/>
  <c r="F25" i="5"/>
  <c r="F64" i="5"/>
  <c r="F123" i="5"/>
  <c r="F45" i="5"/>
  <c r="F30" i="5"/>
  <c r="F24" i="5"/>
  <c r="F18" i="5"/>
  <c r="F122" i="5"/>
  <c r="F51" i="5"/>
  <c r="F39" i="5"/>
  <c r="F29" i="5"/>
  <c r="G29" i="5" s="1"/>
  <c r="F23" i="5"/>
  <c r="F17" i="5"/>
  <c r="F49" i="5"/>
  <c r="F127" i="5"/>
  <c r="F117" i="5"/>
  <c r="F90" i="5"/>
  <c r="F77" i="5"/>
  <c r="F55" i="5"/>
  <c r="F38" i="5"/>
  <c r="F34" i="5"/>
  <c r="G34" i="5" s="1"/>
  <c r="F16" i="5"/>
  <c r="F69" i="5"/>
  <c r="F116" i="5"/>
  <c r="F110" i="5"/>
  <c r="F89" i="5"/>
  <c r="G89" i="5" s="1"/>
  <c r="F76" i="5"/>
  <c r="F65" i="5"/>
  <c r="F21" i="5"/>
  <c r="G21" i="5" s="1"/>
  <c r="F15" i="5"/>
  <c r="F10" i="5"/>
  <c r="F75" i="5"/>
  <c r="C127" i="5"/>
  <c r="C124" i="5"/>
  <c r="C118" i="5"/>
  <c r="C114" i="5"/>
  <c r="C111" i="5"/>
  <c r="C105" i="5"/>
  <c r="C92" i="5"/>
  <c r="C89" i="5"/>
  <c r="C81" i="5"/>
  <c r="C78" i="5"/>
  <c r="C74" i="5"/>
  <c r="C55" i="5"/>
  <c r="C49" i="5"/>
  <c r="C45" i="5"/>
  <c r="C42" i="5"/>
  <c r="C36" i="5"/>
  <c r="C25" i="5"/>
  <c r="C71" i="5"/>
  <c r="C30" i="5"/>
  <c r="C102" i="5"/>
  <c r="C97" i="5"/>
  <c r="C86" i="5"/>
  <c r="C64" i="5"/>
  <c r="C58" i="5"/>
  <c r="C52" i="5"/>
  <c r="C33" i="5"/>
  <c r="C26" i="5"/>
  <c r="C22" i="5"/>
  <c r="C19" i="5"/>
  <c r="C15" i="5"/>
  <c r="C12" i="5"/>
  <c r="C9" i="5"/>
  <c r="C61" i="5"/>
  <c r="C41" i="5"/>
  <c r="C29" i="5"/>
  <c r="C32" i="5"/>
  <c r="C121" i="5"/>
  <c r="C39" i="5"/>
  <c r="C123" i="5"/>
  <c r="C120" i="5"/>
  <c r="C117" i="5"/>
  <c r="C113" i="5"/>
  <c r="C110" i="5"/>
  <c r="C107" i="5"/>
  <c r="C99" i="5"/>
  <c r="D99" i="5" s="1"/>
  <c r="H99" i="5" s="1"/>
  <c r="C94" i="5"/>
  <c r="C83" i="5"/>
  <c r="C77" i="5"/>
  <c r="C73" i="5"/>
  <c r="C70" i="5"/>
  <c r="C67" i="5"/>
  <c r="C48" i="5"/>
  <c r="C38" i="5"/>
  <c r="D38" i="5" s="1"/>
  <c r="C18" i="5"/>
  <c r="C84" i="5"/>
  <c r="C65" i="5"/>
  <c r="C16" i="5"/>
  <c r="C129" i="5"/>
  <c r="C126" i="5"/>
  <c r="C104" i="5"/>
  <c r="C91" i="5"/>
  <c r="C88" i="5"/>
  <c r="C80" i="5"/>
  <c r="C57" i="5"/>
  <c r="C54" i="5"/>
  <c r="C51" i="5"/>
  <c r="C44" i="5"/>
  <c r="C35" i="5"/>
  <c r="C68" i="5"/>
  <c r="C23" i="5"/>
  <c r="C122" i="5"/>
  <c r="C116" i="5"/>
  <c r="C101" i="5"/>
  <c r="C96" i="5"/>
  <c r="C85" i="5"/>
  <c r="C76" i="5"/>
  <c r="C72" i="5"/>
  <c r="C69" i="5"/>
  <c r="C63" i="5"/>
  <c r="C47" i="5"/>
  <c r="C21" i="5"/>
  <c r="C14" i="5"/>
  <c r="C11" i="5"/>
  <c r="C8" i="5"/>
  <c r="C24" i="5"/>
  <c r="C108" i="5"/>
  <c r="C27" i="5"/>
  <c r="C125" i="5"/>
  <c r="C119" i="5"/>
  <c r="C112" i="5"/>
  <c r="C109" i="5"/>
  <c r="C106" i="5"/>
  <c r="C93" i="5"/>
  <c r="C90" i="5"/>
  <c r="C82" i="5"/>
  <c r="C79" i="5"/>
  <c r="C66" i="5"/>
  <c r="C60" i="5"/>
  <c r="C40" i="5"/>
  <c r="C37" i="5"/>
  <c r="C31" i="5"/>
  <c r="C28" i="5"/>
  <c r="C17" i="5"/>
  <c r="C100" i="5"/>
  <c r="C62" i="5"/>
  <c r="C7" i="5"/>
  <c r="C128" i="5"/>
  <c r="C115" i="5"/>
  <c r="C103" i="5"/>
  <c r="C98" i="5"/>
  <c r="C87" i="5"/>
  <c r="C75" i="5"/>
  <c r="C56" i="5"/>
  <c r="C53" i="5"/>
  <c r="C50" i="5"/>
  <c r="C46" i="5"/>
  <c r="C43" i="5"/>
  <c r="C34" i="5"/>
  <c r="C20" i="5"/>
  <c r="C13" i="5"/>
  <c r="C10" i="5"/>
  <c r="C95" i="5"/>
  <c r="C59" i="5"/>
  <c r="L77" i="2"/>
  <c r="B13" i="9" s="1"/>
  <c r="L67" i="2"/>
  <c r="D48" i="4"/>
  <c r="K42" i="4"/>
  <c r="C42" i="6"/>
  <c r="C49" i="6"/>
  <c r="D49" i="6"/>
  <c r="D42" i="6"/>
  <c r="B129" i="5" l="1"/>
  <c r="B65" i="5"/>
  <c r="B82" i="5"/>
  <c r="B107" i="5"/>
  <c r="B36" i="5"/>
  <c r="B68" i="5"/>
  <c r="D68" i="5" s="1"/>
  <c r="B93" i="5"/>
  <c r="D93" i="5" s="1"/>
  <c r="H93" i="5" s="1"/>
  <c r="B118" i="5"/>
  <c r="D118" i="5" s="1"/>
  <c r="H118" i="5" s="1"/>
  <c r="B54" i="5"/>
  <c r="B71" i="5"/>
  <c r="D71" i="5" s="1"/>
  <c r="H71" i="5" s="1"/>
  <c r="B96" i="5"/>
  <c r="B32" i="5"/>
  <c r="B17" i="5"/>
  <c r="B27" i="5"/>
  <c r="D27" i="5" s="1"/>
  <c r="B14" i="5"/>
  <c r="D14" i="5" s="1"/>
  <c r="H14" i="5" s="1"/>
  <c r="B63" i="5"/>
  <c r="D63" i="5" s="1"/>
  <c r="H63" i="5" s="1"/>
  <c r="B121" i="5"/>
  <c r="B57" i="5"/>
  <c r="D57" i="5" s="1"/>
  <c r="B74" i="5"/>
  <c r="B91" i="5"/>
  <c r="B124" i="5"/>
  <c r="D124" i="5" s="1"/>
  <c r="H124" i="5" s="1"/>
  <c r="B60" i="5"/>
  <c r="D60" i="5" s="1"/>
  <c r="H60" i="5" s="1"/>
  <c r="B85" i="5"/>
  <c r="D85" i="5" s="1"/>
  <c r="H85" i="5" s="1"/>
  <c r="B110" i="5"/>
  <c r="D110" i="5" s="1"/>
  <c r="B127" i="5"/>
  <c r="B72" i="5"/>
  <c r="D72" i="5" s="1"/>
  <c r="B113" i="5"/>
  <c r="B49" i="5"/>
  <c r="B66" i="5"/>
  <c r="B83" i="5"/>
  <c r="D83" i="5" s="1"/>
  <c r="H83" i="5" s="1"/>
  <c r="B116" i="5"/>
  <c r="D116" i="5" s="1"/>
  <c r="B52" i="5"/>
  <c r="D52" i="5" s="1"/>
  <c r="H52" i="5" s="1"/>
  <c r="B77" i="5"/>
  <c r="B102" i="5"/>
  <c r="D102" i="5" s="1"/>
  <c r="H102" i="5" s="1"/>
  <c r="B119" i="5"/>
  <c r="D119" i="5" s="1"/>
  <c r="H119" i="5" s="1"/>
  <c r="B55" i="5"/>
  <c r="B29" i="5"/>
  <c r="B105" i="5"/>
  <c r="D105" i="5" s="1"/>
  <c r="H105" i="5" s="1"/>
  <c r="B122" i="5"/>
  <c r="D122" i="5" s="1"/>
  <c r="B58" i="5"/>
  <c r="D58" i="5" s="1"/>
  <c r="B75" i="5"/>
  <c r="D75" i="5" s="1"/>
  <c r="B108" i="5"/>
  <c r="D108" i="5" s="1"/>
  <c r="B44" i="5"/>
  <c r="D44" i="5" s="1"/>
  <c r="H44" i="5" s="1"/>
  <c r="B69" i="5"/>
  <c r="B94" i="5"/>
  <c r="B111" i="5"/>
  <c r="D111" i="5" s="1"/>
  <c r="H111" i="5" s="1"/>
  <c r="B47" i="5"/>
  <c r="D47" i="5" s="1"/>
  <c r="B40" i="5"/>
  <c r="D40" i="5" s="1"/>
  <c r="H40" i="5" s="1"/>
  <c r="B8" i="5"/>
  <c r="B26" i="5"/>
  <c r="D26" i="5" s="1"/>
  <c r="B46" i="5"/>
  <c r="D46" i="5" s="1"/>
  <c r="B21" i="5"/>
  <c r="B18" i="5"/>
  <c r="D18" i="5" s="1"/>
  <c r="B13" i="5"/>
  <c r="D13" i="5" s="1"/>
  <c r="B88" i="5"/>
  <c r="D88" i="5" s="1"/>
  <c r="H88" i="5" s="1"/>
  <c r="B97" i="5"/>
  <c r="D97" i="5" s="1"/>
  <c r="H97" i="5" s="1"/>
  <c r="B114" i="5"/>
  <c r="B50" i="5"/>
  <c r="D50" i="5" s="1"/>
  <c r="H50" i="5" s="1"/>
  <c r="B67" i="5"/>
  <c r="D67" i="5" s="1"/>
  <c r="H67" i="5" s="1"/>
  <c r="B100" i="5"/>
  <c r="D100" i="5" s="1"/>
  <c r="H100" i="5" s="1"/>
  <c r="B125" i="5"/>
  <c r="D125" i="5" s="1"/>
  <c r="B61" i="5"/>
  <c r="D61" i="5" s="1"/>
  <c r="H61" i="5" s="1"/>
  <c r="B86" i="5"/>
  <c r="D86" i="5" s="1"/>
  <c r="H86" i="5" s="1"/>
  <c r="B103" i="5"/>
  <c r="D103" i="5" s="1"/>
  <c r="H103" i="5" s="1"/>
  <c r="B128" i="5"/>
  <c r="D128" i="5" s="1"/>
  <c r="H128" i="5" s="1"/>
  <c r="B31" i="5"/>
  <c r="D31" i="5" s="1"/>
  <c r="B41" i="5"/>
  <c r="D41" i="5" s="1"/>
  <c r="B39" i="5"/>
  <c r="B9" i="5"/>
  <c r="B35" i="5"/>
  <c r="D35" i="5" s="1"/>
  <c r="H35" i="5" s="1"/>
  <c r="B89" i="5"/>
  <c r="D89" i="5" s="1"/>
  <c r="H89" i="5" s="1"/>
  <c r="B106" i="5"/>
  <c r="D106" i="5" s="1"/>
  <c r="H106" i="5" s="1"/>
  <c r="B42" i="5"/>
  <c r="D42" i="5" s="1"/>
  <c r="B59" i="5"/>
  <c r="D59" i="5" s="1"/>
  <c r="B92" i="5"/>
  <c r="D92" i="5" s="1"/>
  <c r="H92" i="5" s="1"/>
  <c r="B117" i="5"/>
  <c r="D117" i="5" s="1"/>
  <c r="B53" i="5"/>
  <c r="B78" i="5"/>
  <c r="D78" i="5" s="1"/>
  <c r="H78" i="5" s="1"/>
  <c r="B95" i="5"/>
  <c r="D95" i="5" s="1"/>
  <c r="H95" i="5" s="1"/>
  <c r="B120" i="5"/>
  <c r="D120" i="5" s="1"/>
  <c r="H120" i="5" s="1"/>
  <c r="B23" i="5"/>
  <c r="D23" i="5" s="1"/>
  <c r="B37" i="5"/>
  <c r="D37" i="5" s="1"/>
  <c r="H37" i="5" s="1"/>
  <c r="B10" i="5"/>
  <c r="D10" i="5" s="1"/>
  <c r="B28" i="5"/>
  <c r="B48" i="5"/>
  <c r="D48" i="5" s="1"/>
  <c r="B24" i="5"/>
  <c r="D24" i="5" s="1"/>
  <c r="B16" i="5"/>
  <c r="D16" i="5" s="1"/>
  <c r="B81" i="5"/>
  <c r="D81" i="5" s="1"/>
  <c r="H81" i="5" s="1"/>
  <c r="B98" i="5"/>
  <c r="D98" i="5" s="1"/>
  <c r="H98" i="5" s="1"/>
  <c r="B123" i="5"/>
  <c r="D123" i="5" s="1"/>
  <c r="B51" i="5"/>
  <c r="D51" i="5" s="1"/>
  <c r="B84" i="5"/>
  <c r="D84" i="5" s="1"/>
  <c r="H84" i="5" s="1"/>
  <c r="B109" i="5"/>
  <c r="D109" i="5" s="1"/>
  <c r="H109" i="5" s="1"/>
  <c r="B45" i="5"/>
  <c r="D45" i="5" s="1"/>
  <c r="B70" i="5"/>
  <c r="D70" i="5" s="1"/>
  <c r="H70" i="5" s="1"/>
  <c r="B87" i="5"/>
  <c r="D87" i="5" s="1"/>
  <c r="H87" i="5" s="1"/>
  <c r="B112" i="5"/>
  <c r="D112" i="5" s="1"/>
  <c r="H112" i="5" s="1"/>
  <c r="B15" i="5"/>
  <c r="D15" i="5" s="1"/>
  <c r="B33" i="5"/>
  <c r="D33" i="5" s="1"/>
  <c r="H33" i="5" s="1"/>
  <c r="B64" i="5"/>
  <c r="B20" i="5"/>
  <c r="D20" i="5" s="1"/>
  <c r="B30" i="5"/>
  <c r="D30" i="5" s="1"/>
  <c r="B19" i="5"/>
  <c r="D19" i="5" s="1"/>
  <c r="H19" i="5" s="1"/>
  <c r="B11" i="5"/>
  <c r="D11" i="5" s="1"/>
  <c r="H11" i="5" s="1"/>
  <c r="B73" i="5"/>
  <c r="D73" i="5" s="1"/>
  <c r="B90" i="5"/>
  <c r="D90" i="5" s="1"/>
  <c r="B115" i="5"/>
  <c r="D115" i="5" s="1"/>
  <c r="B43" i="5"/>
  <c r="D43" i="5" s="1"/>
  <c r="H43" i="5" s="1"/>
  <c r="B76" i="5"/>
  <c r="D76" i="5" s="1"/>
  <c r="B101" i="5"/>
  <c r="D101" i="5" s="1"/>
  <c r="H101" i="5" s="1"/>
  <c r="B126" i="5"/>
  <c r="D126" i="5" s="1"/>
  <c r="H126" i="5" s="1"/>
  <c r="B62" i="5"/>
  <c r="D62" i="5" s="1"/>
  <c r="H62" i="5" s="1"/>
  <c r="B79" i="5"/>
  <c r="D79" i="5" s="1"/>
  <c r="B104" i="5"/>
  <c r="D104" i="5" s="1"/>
  <c r="H104" i="5" s="1"/>
  <c r="B7" i="5"/>
  <c r="D7" i="5" s="1"/>
  <c r="H7" i="5" s="1"/>
  <c r="B25" i="5"/>
  <c r="D25" i="5" s="1"/>
  <c r="B34" i="5"/>
  <c r="D34" i="5" s="1"/>
  <c r="H34" i="5" s="1"/>
  <c r="B12" i="5"/>
  <c r="D12" i="5" s="1"/>
  <c r="H12" i="5" s="1"/>
  <c r="B22" i="5"/>
  <c r="D22" i="5" s="1"/>
  <c r="B56" i="5"/>
  <c r="D56" i="5" s="1"/>
  <c r="H56" i="5" s="1"/>
  <c r="B80" i="5"/>
  <c r="D80" i="5" s="1"/>
  <c r="H80" i="5" s="1"/>
  <c r="I99" i="5"/>
  <c r="D77" i="5"/>
  <c r="D64" i="5"/>
  <c r="D91" i="5"/>
  <c r="H91" i="5" s="1"/>
  <c r="D66" i="5"/>
  <c r="H66" i="5" s="1"/>
  <c r="D82" i="5"/>
  <c r="H82" i="5" s="1"/>
  <c r="D65" i="5"/>
  <c r="D36" i="5"/>
  <c r="H36" i="5" s="1"/>
  <c r="D121" i="5"/>
  <c r="H121" i="5" s="1"/>
  <c r="D96" i="5"/>
  <c r="D94" i="5"/>
  <c r="H94" i="5" s="1"/>
  <c r="D29" i="5"/>
  <c r="H29" i="5" s="1"/>
  <c r="D69" i="5"/>
  <c r="D127" i="5"/>
  <c r="D9" i="5"/>
  <c r="H9" i="5" s="1"/>
  <c r="D129" i="5"/>
  <c r="H129" i="5" s="1"/>
  <c r="D17" i="5"/>
  <c r="D39" i="5"/>
  <c r="D113" i="5"/>
  <c r="D21" i="5"/>
  <c r="H21" i="5" s="1"/>
  <c r="D54" i="5"/>
  <c r="H54" i="5" s="1"/>
  <c r="D8" i="5"/>
  <c r="H8" i="5" s="1"/>
  <c r="D55" i="5"/>
  <c r="D107" i="5"/>
  <c r="H107" i="5" s="1"/>
  <c r="D74" i="5"/>
  <c r="D53" i="5"/>
  <c r="H53" i="5" s="1"/>
  <c r="D32" i="5"/>
  <c r="D28" i="5"/>
  <c r="H28" i="5" s="1"/>
  <c r="D49" i="5"/>
  <c r="I80" i="5" l="1"/>
  <c r="I95" i="5"/>
  <c r="I70" i="5"/>
  <c r="I128" i="5"/>
  <c r="I81" i="5"/>
  <c r="I12" i="5"/>
  <c r="I104" i="5"/>
  <c r="I103" i="5"/>
  <c r="I129" i="5"/>
  <c r="I56" i="5"/>
  <c r="I102" i="5"/>
  <c r="I124" i="5"/>
  <c r="I8" i="5"/>
  <c r="I36" i="5"/>
  <c r="I54" i="5"/>
  <c r="I35" i="5"/>
  <c r="I105" i="5"/>
  <c r="I84" i="5"/>
  <c r="I78" i="5"/>
  <c r="I83" i="5"/>
  <c r="I91" i="5"/>
  <c r="I101" i="5"/>
  <c r="I98" i="5"/>
  <c r="I60" i="5"/>
  <c r="I9" i="5"/>
  <c r="I71" i="5"/>
  <c r="I33" i="5"/>
  <c r="I118" i="5"/>
  <c r="I37" i="5"/>
  <c r="I87" i="5"/>
  <c r="I121" i="5"/>
  <c r="I97" i="5"/>
  <c r="I34" i="5"/>
  <c r="I14" i="5"/>
  <c r="I112" i="5"/>
  <c r="I93" i="5"/>
  <c r="I86" i="5"/>
  <c r="I126" i="5"/>
  <c r="I19" i="5"/>
  <c r="I107" i="5"/>
  <c r="I7" i="5"/>
  <c r="I89" i="5"/>
  <c r="I43" i="5"/>
  <c r="I44" i="5"/>
  <c r="I50" i="5"/>
  <c r="I109" i="5"/>
  <c r="I53" i="5"/>
  <c r="I88" i="5"/>
  <c r="I120" i="5"/>
  <c r="I21" i="5"/>
  <c r="I119" i="5"/>
  <c r="I62" i="5"/>
  <c r="I29" i="5"/>
  <c r="I52" i="5"/>
  <c r="I100" i="5"/>
  <c r="I106" i="5"/>
  <c r="I61" i="5"/>
  <c r="I67" i="5"/>
  <c r="I82" i="5"/>
  <c r="I111" i="5"/>
  <c r="I85" i="5"/>
  <c r="I28" i="5"/>
  <c r="I11" i="5"/>
  <c r="I94" i="5"/>
  <c r="I63" i="5"/>
  <c r="I66" i="5"/>
  <c r="I40" i="5"/>
  <c r="I92" i="5"/>
  <c r="J21" i="6"/>
  <c r="K51" i="6"/>
  <c r="K43" i="6"/>
  <c r="J29" i="6"/>
  <c r="K50" i="4"/>
  <c r="J29" i="4"/>
  <c r="C125" i="3" l="1"/>
  <c r="C117" i="3"/>
  <c r="C77" i="3"/>
  <c r="C69" i="3"/>
  <c r="C45" i="3"/>
  <c r="C27" i="3"/>
  <c r="C72" i="3"/>
  <c r="C64" i="3"/>
  <c r="C123" i="3"/>
  <c r="C115" i="3"/>
  <c r="C75" i="3"/>
  <c r="C59" i="3"/>
  <c r="C51" i="3"/>
  <c r="C110" i="3"/>
  <c r="C46" i="3"/>
  <c r="C113" i="3"/>
  <c r="C73" i="3"/>
  <c r="C65" i="3"/>
  <c r="C57" i="3"/>
  <c r="C49" i="3"/>
  <c r="C41" i="3"/>
  <c r="C31" i="3"/>
  <c r="C23" i="3"/>
  <c r="C116" i="3"/>
  <c r="C108" i="3"/>
  <c r="C76" i="3"/>
  <c r="C127" i="3"/>
  <c r="C79" i="3"/>
  <c r="C55" i="3"/>
  <c r="C122" i="3"/>
  <c r="C114" i="3"/>
  <c r="C90" i="3"/>
  <c r="C74" i="3"/>
  <c r="C58" i="3"/>
  <c r="C42" i="3"/>
  <c r="C32" i="3"/>
  <c r="C48" i="3"/>
  <c r="C20" i="3"/>
  <c r="C47" i="3"/>
  <c r="C15" i="3"/>
  <c r="C30" i="3"/>
  <c r="C18" i="3"/>
  <c r="C10" i="3"/>
  <c r="C25" i="3"/>
  <c r="C13" i="3"/>
  <c r="C16" i="3"/>
  <c r="C39" i="3"/>
  <c r="C26" i="3"/>
  <c r="C24" i="3"/>
  <c r="C22" i="3"/>
  <c r="C17" i="3"/>
  <c r="E123" i="5"/>
  <c r="E115" i="5"/>
  <c r="E75" i="5"/>
  <c r="G75" i="5" s="1"/>
  <c r="H75" i="5" s="1"/>
  <c r="E59" i="5"/>
  <c r="G59" i="5" s="1"/>
  <c r="H59" i="5" s="1"/>
  <c r="E51" i="5"/>
  <c r="G51" i="5" s="1"/>
  <c r="H51" i="5" s="1"/>
  <c r="E116" i="5"/>
  <c r="G116" i="5" s="1"/>
  <c r="H116" i="5" s="1"/>
  <c r="E108" i="5"/>
  <c r="G108" i="5" s="1"/>
  <c r="H108" i="5" s="1"/>
  <c r="E76" i="5"/>
  <c r="G76" i="5" s="1"/>
  <c r="H76" i="5" s="1"/>
  <c r="E125" i="5"/>
  <c r="E117" i="5"/>
  <c r="G117" i="5" s="1"/>
  <c r="H117" i="5" s="1"/>
  <c r="E77" i="5"/>
  <c r="G77" i="5" s="1"/>
  <c r="H77" i="5" s="1"/>
  <c r="E69" i="5"/>
  <c r="G69" i="5" s="1"/>
  <c r="H69" i="5" s="1"/>
  <c r="E45" i="5"/>
  <c r="G45" i="5" s="1"/>
  <c r="H45" i="5" s="1"/>
  <c r="E110" i="5"/>
  <c r="G110" i="5" s="1"/>
  <c r="H110" i="5" s="1"/>
  <c r="E46" i="5"/>
  <c r="G46" i="5" s="1"/>
  <c r="H46" i="5" s="1"/>
  <c r="E127" i="5"/>
  <c r="G127" i="5" s="1"/>
  <c r="H127" i="5" s="1"/>
  <c r="E79" i="5"/>
  <c r="G79" i="5" s="1"/>
  <c r="H79" i="5" s="1"/>
  <c r="E55" i="5"/>
  <c r="G55" i="5" s="1"/>
  <c r="H55" i="5" s="1"/>
  <c r="E47" i="5"/>
  <c r="G47" i="5" s="1"/>
  <c r="H47" i="5" s="1"/>
  <c r="E39" i="5"/>
  <c r="G39" i="5" s="1"/>
  <c r="H39" i="5" s="1"/>
  <c r="E72" i="5"/>
  <c r="G72" i="5" s="1"/>
  <c r="H72" i="5" s="1"/>
  <c r="E64" i="5"/>
  <c r="G64" i="5" s="1"/>
  <c r="H64" i="5" s="1"/>
  <c r="E113" i="5"/>
  <c r="G113" i="5" s="1"/>
  <c r="H113" i="5" s="1"/>
  <c r="E73" i="5"/>
  <c r="G73" i="5" s="1"/>
  <c r="H73" i="5" s="1"/>
  <c r="E65" i="5"/>
  <c r="E57" i="5"/>
  <c r="G57" i="5" s="1"/>
  <c r="H57" i="5" s="1"/>
  <c r="E49" i="5"/>
  <c r="G49" i="5" s="1"/>
  <c r="H49" i="5" s="1"/>
  <c r="E122" i="5"/>
  <c r="E114" i="5"/>
  <c r="G114" i="5" s="1"/>
  <c r="E90" i="5"/>
  <c r="G90" i="5" s="1"/>
  <c r="H90" i="5" s="1"/>
  <c r="E41" i="5"/>
  <c r="G41" i="5" s="1"/>
  <c r="H41" i="5" s="1"/>
  <c r="E25" i="5"/>
  <c r="G25" i="5" s="1"/>
  <c r="H25" i="5" s="1"/>
  <c r="E17" i="5"/>
  <c r="G17" i="5" s="1"/>
  <c r="H17" i="5" s="1"/>
  <c r="E26" i="5"/>
  <c r="G26" i="5" s="1"/>
  <c r="H26" i="5" s="1"/>
  <c r="E18" i="5"/>
  <c r="G18" i="5" s="1"/>
  <c r="H18" i="5" s="1"/>
  <c r="E10" i="5"/>
  <c r="G10" i="5" s="1"/>
  <c r="H10" i="5" s="1"/>
  <c r="E27" i="5"/>
  <c r="G27" i="5" s="1"/>
  <c r="H27" i="5" s="1"/>
  <c r="E20" i="5"/>
  <c r="G20" i="5" s="1"/>
  <c r="H20" i="5" s="1"/>
  <c r="E42" i="5"/>
  <c r="G42" i="5" s="1"/>
  <c r="H42" i="5" s="1"/>
  <c r="E13" i="5"/>
  <c r="G13" i="5" s="1"/>
  <c r="H13" i="5" s="1"/>
  <c r="E74" i="5"/>
  <c r="G74" i="5" s="1"/>
  <c r="H74" i="5" s="1"/>
  <c r="E48" i="5"/>
  <c r="G48" i="5" s="1"/>
  <c r="H48" i="5" s="1"/>
  <c r="E30" i="5"/>
  <c r="G30" i="5" s="1"/>
  <c r="H30" i="5" s="1"/>
  <c r="E22" i="5"/>
  <c r="G22" i="5" s="1"/>
  <c r="H22" i="5" s="1"/>
  <c r="E31" i="5"/>
  <c r="G31" i="5" s="1"/>
  <c r="H31" i="5" s="1"/>
  <c r="E23" i="5"/>
  <c r="G23" i="5" s="1"/>
  <c r="H23" i="5" s="1"/>
  <c r="E15" i="5"/>
  <c r="G15" i="5" s="1"/>
  <c r="H15" i="5" s="1"/>
  <c r="E58" i="5"/>
  <c r="G58" i="5" s="1"/>
  <c r="H58" i="5" s="1"/>
  <c r="E32" i="5"/>
  <c r="G32" i="5" s="1"/>
  <c r="H32" i="5" s="1"/>
  <c r="E24" i="5"/>
  <c r="G24" i="5" s="1"/>
  <c r="H24" i="5" s="1"/>
  <c r="E16" i="5"/>
  <c r="G16" i="5" s="1"/>
  <c r="H16" i="5" s="1"/>
  <c r="B122" i="3"/>
  <c r="B114" i="3"/>
  <c r="B106" i="3"/>
  <c r="D106" i="3" s="1"/>
  <c r="B98" i="3"/>
  <c r="D98" i="3" s="1"/>
  <c r="B90" i="3"/>
  <c r="B82" i="3"/>
  <c r="D82" i="3" s="1"/>
  <c r="B74" i="3"/>
  <c r="D74" i="3" s="1"/>
  <c r="B66" i="3"/>
  <c r="D66" i="3" s="1"/>
  <c r="B58" i="3"/>
  <c r="D58" i="3" s="1"/>
  <c r="B50" i="3"/>
  <c r="D50" i="3" s="1"/>
  <c r="B42" i="3"/>
  <c r="B37" i="3"/>
  <c r="D37" i="3" s="1"/>
  <c r="B32" i="3"/>
  <c r="B24" i="3"/>
  <c r="B125" i="3"/>
  <c r="D125" i="3" s="1"/>
  <c r="B117" i="3"/>
  <c r="D117" i="3" s="1"/>
  <c r="B109" i="3"/>
  <c r="D109" i="3" s="1"/>
  <c r="B101" i="3"/>
  <c r="D101" i="3" s="1"/>
  <c r="B93" i="3"/>
  <c r="D93" i="3" s="1"/>
  <c r="B85" i="3"/>
  <c r="D85" i="3" s="1"/>
  <c r="B77" i="3"/>
  <c r="B69" i="3"/>
  <c r="B61" i="3"/>
  <c r="D61" i="3" s="1"/>
  <c r="B53" i="3"/>
  <c r="D53" i="3" s="1"/>
  <c r="B128" i="3"/>
  <c r="D128" i="3" s="1"/>
  <c r="B120" i="3"/>
  <c r="D120" i="3" s="1"/>
  <c r="B112" i="3"/>
  <c r="D112" i="3" s="1"/>
  <c r="B104" i="3"/>
  <c r="D104" i="3" s="1"/>
  <c r="B96" i="3"/>
  <c r="D96" i="3" s="1"/>
  <c r="B88" i="3"/>
  <c r="D88" i="3" s="1"/>
  <c r="B80" i="3"/>
  <c r="D80" i="3" s="1"/>
  <c r="B72" i="3"/>
  <c r="B64" i="3"/>
  <c r="B56" i="3"/>
  <c r="D56" i="3" s="1"/>
  <c r="B48" i="3"/>
  <c r="D48" i="3" s="1"/>
  <c r="B40" i="3"/>
  <c r="D40" i="3" s="1"/>
  <c r="B30" i="3"/>
  <c r="B123" i="3"/>
  <c r="B115" i="3"/>
  <c r="B107" i="3"/>
  <c r="D107" i="3" s="1"/>
  <c r="B99" i="3"/>
  <c r="D99" i="3" s="1"/>
  <c r="B91" i="3"/>
  <c r="D91" i="3" s="1"/>
  <c r="B83" i="3"/>
  <c r="D83" i="3" s="1"/>
  <c r="B75" i="3"/>
  <c r="B67" i="3"/>
  <c r="D67" i="3" s="1"/>
  <c r="B59" i="3"/>
  <c r="B51" i="3"/>
  <c r="B43" i="3"/>
  <c r="D43" i="3" s="1"/>
  <c r="B33" i="3"/>
  <c r="D33" i="3" s="1"/>
  <c r="B126" i="3"/>
  <c r="D126" i="3" s="1"/>
  <c r="B118" i="3"/>
  <c r="D118" i="3" s="1"/>
  <c r="B110" i="3"/>
  <c r="B102" i="3"/>
  <c r="D102" i="3" s="1"/>
  <c r="B94" i="3"/>
  <c r="D94" i="3" s="1"/>
  <c r="B86" i="3"/>
  <c r="D86" i="3" s="1"/>
  <c r="B78" i="3"/>
  <c r="D78" i="3" s="1"/>
  <c r="B70" i="3"/>
  <c r="D70" i="3" s="1"/>
  <c r="B62" i="3"/>
  <c r="D62" i="3" s="1"/>
  <c r="B54" i="3"/>
  <c r="D54" i="3" s="1"/>
  <c r="B46" i="3"/>
  <c r="B36" i="3"/>
  <c r="D36" i="3" s="1"/>
  <c r="E36" i="3" s="1"/>
  <c r="B28" i="3"/>
  <c r="D28" i="3" s="1"/>
  <c r="B129" i="3"/>
  <c r="D129" i="3" s="1"/>
  <c r="B121" i="3"/>
  <c r="D121" i="3" s="1"/>
  <c r="B113" i="3"/>
  <c r="B105" i="3"/>
  <c r="D105" i="3" s="1"/>
  <c r="B97" i="3"/>
  <c r="D97" i="3" s="1"/>
  <c r="B89" i="3"/>
  <c r="D89" i="3" s="1"/>
  <c r="B81" i="3"/>
  <c r="D81" i="3" s="1"/>
  <c r="B73" i="3"/>
  <c r="B65" i="3"/>
  <c r="B57" i="3"/>
  <c r="B49" i="3"/>
  <c r="B41" i="3"/>
  <c r="B124" i="3"/>
  <c r="D124" i="3" s="1"/>
  <c r="B116" i="3"/>
  <c r="B108" i="3"/>
  <c r="B100" i="3"/>
  <c r="D100" i="3" s="1"/>
  <c r="B92" i="3"/>
  <c r="D92" i="3" s="1"/>
  <c r="B84" i="3"/>
  <c r="D84" i="3" s="1"/>
  <c r="B76" i="3"/>
  <c r="D76" i="3" s="1"/>
  <c r="B68" i="3"/>
  <c r="D68" i="3" s="1"/>
  <c r="B60" i="3"/>
  <c r="D60" i="3" s="1"/>
  <c r="B52" i="3"/>
  <c r="D52" i="3" s="1"/>
  <c r="B127" i="3"/>
  <c r="B119" i="3"/>
  <c r="D119" i="3" s="1"/>
  <c r="B111" i="3"/>
  <c r="D111" i="3" s="1"/>
  <c r="B103" i="3"/>
  <c r="D103" i="3" s="1"/>
  <c r="B95" i="3"/>
  <c r="D95" i="3" s="1"/>
  <c r="B87" i="3"/>
  <c r="D87" i="3" s="1"/>
  <c r="B79" i="3"/>
  <c r="D79" i="3" s="1"/>
  <c r="B71" i="3"/>
  <c r="D71" i="3" s="1"/>
  <c r="B63" i="3"/>
  <c r="D63" i="3" s="1"/>
  <c r="B55" i="3"/>
  <c r="B47" i="3"/>
  <c r="B39" i="3"/>
  <c r="B26" i="3"/>
  <c r="B22" i="3"/>
  <c r="B17" i="3"/>
  <c r="D17" i="3" s="1"/>
  <c r="B9" i="3"/>
  <c r="D9" i="3" s="1"/>
  <c r="B34" i="3"/>
  <c r="D34" i="3" s="1"/>
  <c r="B20" i="3"/>
  <c r="B12" i="3"/>
  <c r="D12" i="3" s="1"/>
  <c r="B15" i="3"/>
  <c r="B7" i="3"/>
  <c r="D7" i="3" s="1"/>
  <c r="B23" i="3"/>
  <c r="B18" i="3"/>
  <c r="D18" i="3" s="1"/>
  <c r="B10" i="3"/>
  <c r="B45" i="3"/>
  <c r="B27" i="3"/>
  <c r="B25" i="3"/>
  <c r="B21" i="3"/>
  <c r="D21" i="3" s="1"/>
  <c r="B13" i="3"/>
  <c r="B29" i="3"/>
  <c r="D29" i="3" s="1"/>
  <c r="B16" i="3"/>
  <c r="B8" i="3"/>
  <c r="D8" i="3" s="1"/>
  <c r="B44" i="3"/>
  <c r="D44" i="3" s="1"/>
  <c r="B19" i="3"/>
  <c r="D19" i="3" s="1"/>
  <c r="B11" i="3"/>
  <c r="D11" i="3" s="1"/>
  <c r="B35" i="3"/>
  <c r="D35" i="3" s="1"/>
  <c r="B31" i="3"/>
  <c r="B14" i="3"/>
  <c r="D14" i="3" s="1"/>
  <c r="G123" i="5"/>
  <c r="H123" i="5" s="1"/>
  <c r="G115" i="5"/>
  <c r="H115" i="5" s="1"/>
  <c r="G65" i="5"/>
  <c r="H65" i="5" s="1"/>
  <c r="G122" i="5"/>
  <c r="H122" i="5" s="1"/>
  <c r="G96" i="5"/>
  <c r="H96" i="5" s="1"/>
  <c r="G38" i="5"/>
  <c r="H38" i="5" s="1"/>
  <c r="G68" i="5"/>
  <c r="H68" i="5" s="1"/>
  <c r="G125" i="5"/>
  <c r="H125" i="5" s="1"/>
  <c r="D110" i="3" l="1"/>
  <c r="D49" i="3"/>
  <c r="D25" i="3"/>
  <c r="D59" i="3"/>
  <c r="D69" i="3"/>
  <c r="D42" i="3"/>
  <c r="D22" i="3"/>
  <c r="D65" i="3"/>
  <c r="D115" i="3"/>
  <c r="E115" i="3" s="1"/>
  <c r="D45" i="3"/>
  <c r="D127" i="3"/>
  <c r="E127" i="3" s="1"/>
  <c r="D77" i="3"/>
  <c r="D57" i="3"/>
  <c r="D10" i="3"/>
  <c r="E10" i="3" s="1"/>
  <c r="D75" i="3"/>
  <c r="E75" i="3" s="1"/>
  <c r="D41" i="3"/>
  <c r="E41" i="3" s="1"/>
  <c r="D13" i="3"/>
  <c r="D51" i="3"/>
  <c r="D55" i="3"/>
  <c r="D16" i="3"/>
  <c r="D31" i="3"/>
  <c r="D122" i="3"/>
  <c r="E122" i="3" s="1"/>
  <c r="D27" i="3"/>
  <c r="D20" i="3"/>
  <c r="D32" i="3"/>
  <c r="D46" i="3"/>
  <c r="E46" i="3" s="1"/>
  <c r="D23" i="3"/>
  <c r="E23" i="3" s="1"/>
  <c r="D114" i="3"/>
  <c r="D39" i="3"/>
  <c r="D72" i="3"/>
  <c r="D47" i="3"/>
  <c r="E47" i="3" s="1"/>
  <c r="D15" i="3"/>
  <c r="D73" i="3"/>
  <c r="D123" i="3"/>
  <c r="D24" i="3"/>
  <c r="D108" i="3"/>
  <c r="E108" i="3" s="1"/>
  <c r="D30" i="3"/>
  <c r="I79" i="5"/>
  <c r="I17" i="5"/>
  <c r="I74" i="5"/>
  <c r="E119" i="3"/>
  <c r="E28" i="3"/>
  <c r="E69" i="3"/>
  <c r="I76" i="5"/>
  <c r="I16" i="5"/>
  <c r="E44" i="3"/>
  <c r="E63" i="3"/>
  <c r="E81" i="3"/>
  <c r="E102" i="3"/>
  <c r="E67" i="3"/>
  <c r="E96" i="3"/>
  <c r="E77" i="3"/>
  <c r="D90" i="3"/>
  <c r="I115" i="5"/>
  <c r="I113" i="5"/>
  <c r="E19" i="3"/>
  <c r="E59" i="3"/>
  <c r="I77" i="5"/>
  <c r="I23" i="5"/>
  <c r="I64" i="5"/>
  <c r="E45" i="3"/>
  <c r="E34" i="3"/>
  <c r="I45" i="5"/>
  <c r="I42" i="5"/>
  <c r="I108" i="5"/>
  <c r="I24" i="5"/>
  <c r="I55" i="5"/>
  <c r="E8" i="3"/>
  <c r="E9" i="3"/>
  <c r="E71" i="3"/>
  <c r="E52" i="3"/>
  <c r="D116" i="3"/>
  <c r="E89" i="3"/>
  <c r="E110" i="3"/>
  <c r="E40" i="3"/>
  <c r="E104" i="3"/>
  <c r="E85" i="3"/>
  <c r="E37" i="3"/>
  <c r="E98" i="3"/>
  <c r="I73" i="5"/>
  <c r="I47" i="5"/>
  <c r="I59" i="5"/>
  <c r="E94" i="3"/>
  <c r="E82" i="3"/>
  <c r="I117" i="5"/>
  <c r="I25" i="5"/>
  <c r="I30" i="5"/>
  <c r="I31" i="5"/>
  <c r="E16" i="3"/>
  <c r="E18" i="3"/>
  <c r="E17" i="3"/>
  <c r="E79" i="3"/>
  <c r="E60" i="3"/>
  <c r="E124" i="3"/>
  <c r="E97" i="3"/>
  <c r="E54" i="3"/>
  <c r="E118" i="3"/>
  <c r="E83" i="3"/>
  <c r="E48" i="3"/>
  <c r="E112" i="3"/>
  <c r="E93" i="3"/>
  <c r="E106" i="3"/>
  <c r="I32" i="5"/>
  <c r="I125" i="5"/>
  <c r="E100" i="3"/>
  <c r="E88" i="3"/>
  <c r="I39" i="5"/>
  <c r="I72" i="5"/>
  <c r="I46" i="5"/>
  <c r="I75" i="5"/>
  <c r="I90" i="5"/>
  <c r="I27" i="5"/>
  <c r="I41" i="5"/>
  <c r="I127" i="5"/>
  <c r="E14" i="3"/>
  <c r="E29" i="3"/>
  <c r="E87" i="3"/>
  <c r="E68" i="3"/>
  <c r="E105" i="3"/>
  <c r="E62" i="3"/>
  <c r="E126" i="3"/>
  <c r="E91" i="3"/>
  <c r="E56" i="3"/>
  <c r="E120" i="3"/>
  <c r="E101" i="3"/>
  <c r="E50" i="3"/>
  <c r="E114" i="3"/>
  <c r="E25" i="3"/>
  <c r="I49" i="5"/>
  <c r="I123" i="5"/>
  <c r="I48" i="5"/>
  <c r="I51" i="5"/>
  <c r="I57" i="5"/>
  <c r="I22" i="5"/>
  <c r="I10" i="5"/>
  <c r="I122" i="5"/>
  <c r="I110" i="5"/>
  <c r="E31" i="3"/>
  <c r="E7" i="3"/>
  <c r="D26" i="3"/>
  <c r="E95" i="3"/>
  <c r="E76" i="3"/>
  <c r="E49" i="3"/>
  <c r="D113" i="3"/>
  <c r="E70" i="3"/>
  <c r="E33" i="3"/>
  <c r="E99" i="3"/>
  <c r="D64" i="3"/>
  <c r="E128" i="3"/>
  <c r="E109" i="3"/>
  <c r="E58" i="3"/>
  <c r="I38" i="5"/>
  <c r="I26" i="5"/>
  <c r="I96" i="5"/>
  <c r="I15" i="5"/>
  <c r="I20" i="5"/>
  <c r="I68" i="5"/>
  <c r="I58" i="5"/>
  <c r="I18" i="5"/>
  <c r="I65" i="5"/>
  <c r="I116" i="5"/>
  <c r="E35" i="3"/>
  <c r="E21" i="3"/>
  <c r="E103" i="3"/>
  <c r="E84" i="3"/>
  <c r="E121" i="3"/>
  <c r="E78" i="3"/>
  <c r="E43" i="3"/>
  <c r="E107" i="3"/>
  <c r="E53" i="3"/>
  <c r="E117" i="3"/>
  <c r="E66" i="3"/>
  <c r="I69" i="5"/>
  <c r="I13" i="5"/>
  <c r="E11" i="3"/>
  <c r="E12" i="3"/>
  <c r="E111" i="3"/>
  <c r="E92" i="3"/>
  <c r="E129" i="3"/>
  <c r="E86" i="3"/>
  <c r="E51" i="3"/>
  <c r="E80" i="3"/>
  <c r="E61" i="3"/>
  <c r="E125" i="3"/>
  <c r="E74" i="3"/>
  <c r="K26" i="2"/>
  <c r="K18" i="2"/>
  <c r="E20" i="3" l="1"/>
  <c r="E65" i="3"/>
  <c r="E13" i="3"/>
  <c r="E22" i="3"/>
  <c r="E42" i="3"/>
  <c r="E27" i="3"/>
  <c r="E72" i="3"/>
  <c r="E39" i="3"/>
  <c r="E57" i="3"/>
  <c r="E55" i="3"/>
  <c r="E32" i="3"/>
  <c r="E123" i="3"/>
  <c r="E24" i="3"/>
  <c r="E15" i="3"/>
  <c r="E30" i="3"/>
  <c r="E73" i="3"/>
  <c r="E90" i="3"/>
  <c r="E26" i="3"/>
  <c r="E113" i="3"/>
  <c r="E64" i="3"/>
  <c r="E116" i="3"/>
  <c r="U43" i="2"/>
  <c r="U44" i="2"/>
  <c r="U35" i="2"/>
  <c r="Y34" i="2" l="1"/>
  <c r="S44" i="2"/>
  <c r="S43" i="2"/>
  <c r="W44" i="2"/>
  <c r="W43" i="2"/>
  <c r="Y44" i="2"/>
  <c r="Y43" i="2"/>
  <c r="W34" i="2"/>
  <c r="U34" i="2"/>
  <c r="Y35" i="2"/>
  <c r="W35" i="2"/>
  <c r="S35" i="2"/>
  <c r="AA44" i="2" l="1"/>
  <c r="D58" i="2" s="1"/>
  <c r="C58" i="2"/>
  <c r="C66" i="2"/>
  <c r="AA39" i="2"/>
  <c r="D66" i="2" s="1"/>
  <c r="S34" i="2"/>
  <c r="C57" i="2"/>
  <c r="AA35" i="2"/>
  <c r="D57" i="2" s="1"/>
  <c r="AA29" i="2" l="1"/>
  <c r="D65" i="2" s="1"/>
  <c r="C65" i="2"/>
  <c r="L70" i="2"/>
  <c r="L69" i="2" l="1"/>
  <c r="U24" i="2" l="1"/>
  <c r="S24" i="2"/>
  <c r="Y23" i="2"/>
  <c r="Y22" i="2"/>
  <c r="Y24" i="2"/>
  <c r="U23" i="2" l="1"/>
  <c r="U22" i="2"/>
  <c r="S23" i="2"/>
  <c r="S22" i="2"/>
  <c r="P23" i="2"/>
  <c r="Q19" i="2"/>
  <c r="P24" i="2"/>
  <c r="W22" i="2"/>
  <c r="W23" i="2"/>
  <c r="W24" i="2"/>
  <c r="Q23" i="2" l="1"/>
  <c r="Q24" i="2"/>
  <c r="Q22" i="2"/>
  <c r="AA24" i="2" l="1"/>
  <c r="C50" i="2"/>
  <c r="C56" i="2"/>
  <c r="AA19" i="2"/>
  <c r="D64" i="2" s="1"/>
  <c r="C64" i="2"/>
  <c r="L68" i="2" l="1"/>
  <c r="D50" i="2"/>
  <c r="L51" i="2" s="1"/>
  <c r="D56" i="2"/>
  <c r="L59" i="2" s="1"/>
  <c r="B106" i="1" l="1"/>
  <c r="F106" i="1" s="1"/>
  <c r="B119" i="1"/>
  <c r="F119" i="1" s="1"/>
  <c r="B126" i="1"/>
  <c r="F126" i="1" s="1"/>
  <c r="B79" i="1"/>
  <c r="B33" i="1"/>
  <c r="F33" i="1" s="1"/>
  <c r="B34" i="1"/>
  <c r="F34" i="1" s="1"/>
  <c r="B83" i="1"/>
  <c r="F83" i="1" s="1"/>
  <c r="B19" i="1"/>
  <c r="F19" i="1" s="1"/>
  <c r="B51" i="1"/>
  <c r="B102" i="1"/>
  <c r="F102" i="1" s="1"/>
  <c r="B60" i="1"/>
  <c r="F60" i="1" s="1"/>
  <c r="B61" i="1"/>
  <c r="F61" i="1" s="1"/>
  <c r="B110" i="1"/>
  <c r="B105" i="1"/>
  <c r="F105" i="1" s="1"/>
  <c r="B118" i="1"/>
  <c r="F118" i="1" s="1"/>
  <c r="B125" i="1"/>
  <c r="B75" i="1"/>
  <c r="B25" i="1"/>
  <c r="B26" i="1"/>
  <c r="B76" i="1"/>
  <c r="B11" i="1"/>
  <c r="F11" i="1" s="1"/>
  <c r="B43" i="1"/>
  <c r="F43" i="1" s="1"/>
  <c r="B88" i="1"/>
  <c r="F88" i="1" s="1"/>
  <c r="B52" i="1"/>
  <c r="F52" i="1" s="1"/>
  <c r="B53" i="1"/>
  <c r="F53" i="1" s="1"/>
  <c r="B100" i="1"/>
  <c r="F100" i="1" s="1"/>
  <c r="B62" i="1"/>
  <c r="F62" i="1" s="1"/>
  <c r="B55" i="1"/>
  <c r="B35" i="1"/>
  <c r="F35" i="1" s="1"/>
  <c r="B97" i="1"/>
  <c r="F97" i="1" s="1"/>
  <c r="B104" i="1"/>
  <c r="F104" i="1" s="1"/>
  <c r="B117" i="1"/>
  <c r="B124" i="1"/>
  <c r="F124" i="1" s="1"/>
  <c r="B71" i="1"/>
  <c r="F71" i="1" s="1"/>
  <c r="B101" i="1"/>
  <c r="F101" i="1" s="1"/>
  <c r="B18" i="1"/>
  <c r="B72" i="1"/>
  <c r="B15" i="1"/>
  <c r="B36" i="1"/>
  <c r="F36" i="1" s="1"/>
  <c r="B84" i="1"/>
  <c r="F84" i="1" s="1"/>
  <c r="B44" i="1"/>
  <c r="F44" i="1" s="1"/>
  <c r="B45" i="1"/>
  <c r="B89" i="1"/>
  <c r="F89" i="1" s="1"/>
  <c r="B54" i="1"/>
  <c r="F54" i="1" s="1"/>
  <c r="B47" i="1"/>
  <c r="B39" i="1"/>
  <c r="B87" i="1"/>
  <c r="F87" i="1" s="1"/>
  <c r="B66" i="1"/>
  <c r="F66" i="1" s="1"/>
  <c r="B103" i="1"/>
  <c r="F103" i="1" s="1"/>
  <c r="B116" i="1"/>
  <c r="B129" i="1"/>
  <c r="F129" i="1" s="1"/>
  <c r="B67" i="1"/>
  <c r="F67" i="1" s="1"/>
  <c r="B98" i="1"/>
  <c r="F98" i="1" s="1"/>
  <c r="B10" i="1"/>
  <c r="B68" i="1"/>
  <c r="F68" i="1" s="1"/>
  <c r="B111" i="1"/>
  <c r="F111" i="1" s="1"/>
  <c r="B28" i="1"/>
  <c r="F28" i="1" s="1"/>
  <c r="B80" i="1"/>
  <c r="F80" i="1" s="1"/>
  <c r="B21" i="1"/>
  <c r="F21" i="1" s="1"/>
  <c r="B37" i="1"/>
  <c r="F37" i="1" s="1"/>
  <c r="B85" i="1"/>
  <c r="F85" i="1" s="1"/>
  <c r="B46" i="1"/>
  <c r="B41" i="1"/>
  <c r="B9" i="1"/>
  <c r="F9" i="1" s="1"/>
  <c r="B38" i="1"/>
  <c r="F38" i="1" s="1"/>
  <c r="B93" i="1"/>
  <c r="F93" i="1" s="1"/>
  <c r="B123" i="1"/>
  <c r="B115" i="1"/>
  <c r="B128" i="1"/>
  <c r="F128" i="1" s="1"/>
  <c r="B63" i="1"/>
  <c r="F63" i="1" s="1"/>
  <c r="B94" i="1"/>
  <c r="F94" i="1" s="1"/>
  <c r="B42" i="1"/>
  <c r="B64" i="1"/>
  <c r="B99" i="1"/>
  <c r="F99" i="1" s="1"/>
  <c r="B20" i="1"/>
  <c r="B77" i="1"/>
  <c r="B13" i="1"/>
  <c r="B30" i="1"/>
  <c r="B81" i="1"/>
  <c r="F81" i="1" s="1"/>
  <c r="B31" i="1"/>
  <c r="B32" i="1"/>
  <c r="B112" i="1"/>
  <c r="F112" i="1" s="1"/>
  <c r="B92" i="1"/>
  <c r="F92" i="1" s="1"/>
  <c r="B122" i="1"/>
  <c r="B114" i="1"/>
  <c r="B90" i="1"/>
  <c r="B56" i="1"/>
  <c r="F56" i="1" s="1"/>
  <c r="B57" i="1"/>
  <c r="B27" i="1"/>
  <c r="B58" i="1"/>
  <c r="B95" i="1"/>
  <c r="F95" i="1" s="1"/>
  <c r="B12" i="1"/>
  <c r="F12" i="1" s="1"/>
  <c r="B73" i="1"/>
  <c r="B7" i="1"/>
  <c r="F7" i="1" s="1"/>
  <c r="B22" i="1"/>
  <c r="B78" i="1"/>
  <c r="F78" i="1" s="1"/>
  <c r="B23" i="1"/>
  <c r="B24" i="1"/>
  <c r="B96" i="1"/>
  <c r="F96" i="1" s="1"/>
  <c r="B16" i="1"/>
  <c r="B40" i="1"/>
  <c r="F40" i="1" s="1"/>
  <c r="B59" i="1"/>
  <c r="B8" i="1"/>
  <c r="F8" i="1" s="1"/>
  <c r="B17" i="1"/>
  <c r="B108" i="1"/>
  <c r="B121" i="1"/>
  <c r="F121" i="1" s="1"/>
  <c r="B113" i="1"/>
  <c r="B86" i="1"/>
  <c r="F86" i="1" s="1"/>
  <c r="B48" i="1"/>
  <c r="B49" i="1"/>
  <c r="B109" i="1"/>
  <c r="F109" i="1" s="1"/>
  <c r="B50" i="1"/>
  <c r="F50" i="1" s="1"/>
  <c r="B91" i="1"/>
  <c r="F91" i="1" s="1"/>
  <c r="B29" i="1"/>
  <c r="F29" i="1" s="1"/>
  <c r="B69" i="1"/>
  <c r="B14" i="1"/>
  <c r="F14" i="1" s="1"/>
  <c r="B74" i="1"/>
  <c r="B82" i="1"/>
  <c r="F82" i="1" s="1"/>
  <c r="B65" i="1"/>
  <c r="B107" i="1"/>
  <c r="F107" i="1" s="1"/>
  <c r="B120" i="1"/>
  <c r="F120" i="1" s="1"/>
  <c r="B127" i="1"/>
  <c r="B70" i="1"/>
  <c r="F70" i="1" s="1"/>
  <c r="C122" i="1"/>
  <c r="C127" i="1"/>
  <c r="E115" i="1"/>
  <c r="C41" i="1"/>
  <c r="E65" i="1"/>
  <c r="C20" i="1"/>
  <c r="C73" i="1"/>
  <c r="C30" i="1"/>
  <c r="C74" i="1"/>
  <c r="C47" i="1"/>
  <c r="C90" i="1"/>
  <c r="E42" i="1"/>
  <c r="C117" i="1"/>
  <c r="C125" i="1"/>
  <c r="E114" i="1"/>
  <c r="C26" i="1"/>
  <c r="C64" i="1"/>
  <c r="C16" i="1"/>
  <c r="C69" i="1"/>
  <c r="E24" i="1"/>
  <c r="E48" i="1"/>
  <c r="C32" i="1"/>
  <c r="C79" i="1"/>
  <c r="E27" i="1"/>
  <c r="C116" i="1"/>
  <c r="E90" i="1"/>
  <c r="E113" i="1"/>
  <c r="C18" i="1"/>
  <c r="C58" i="1"/>
  <c r="C10" i="1"/>
  <c r="C65" i="1"/>
  <c r="C22" i="1"/>
  <c r="C46" i="1"/>
  <c r="C24" i="1"/>
  <c r="E76" i="1"/>
  <c r="C25" i="1"/>
  <c r="C115" i="1"/>
  <c r="E108" i="1"/>
  <c r="C108" i="1"/>
  <c r="E77" i="1"/>
  <c r="C42" i="1"/>
  <c r="C59" i="1"/>
  <c r="E46" i="1"/>
  <c r="E110" i="1"/>
  <c r="C31" i="1"/>
  <c r="E10" i="1"/>
  <c r="C75" i="1"/>
  <c r="C17" i="1"/>
  <c r="C114" i="1"/>
  <c r="B7" i="9"/>
  <c r="E59" i="1"/>
  <c r="C76" i="1"/>
  <c r="C27" i="1"/>
  <c r="E45" i="1"/>
  <c r="E31" i="1"/>
  <c r="E47" i="1"/>
  <c r="E25" i="1"/>
  <c r="E57" i="1"/>
  <c r="E72" i="1"/>
  <c r="C113" i="1"/>
  <c r="E122" i="1"/>
  <c r="C57" i="1"/>
  <c r="E73" i="1"/>
  <c r="E13" i="1"/>
  <c r="E30" i="1"/>
  <c r="E23" i="1"/>
  <c r="C45" i="1"/>
  <c r="C23" i="1"/>
  <c r="C55" i="1"/>
  <c r="E64" i="1"/>
  <c r="C110" i="1"/>
  <c r="E117" i="1"/>
  <c r="E51" i="1"/>
  <c r="C72" i="1"/>
  <c r="C51" i="1"/>
  <c r="C77" i="1"/>
  <c r="E15" i="1"/>
  <c r="E32" i="1"/>
  <c r="C15" i="1"/>
  <c r="C39" i="1"/>
  <c r="E58" i="1"/>
  <c r="E125" i="1"/>
  <c r="E116" i="1"/>
  <c r="C49" i="1"/>
  <c r="E69" i="1"/>
  <c r="E22" i="1"/>
  <c r="E74" i="1"/>
  <c r="C13" i="1"/>
  <c r="E75" i="1"/>
  <c r="E49" i="1"/>
  <c r="E26" i="1"/>
  <c r="C48" i="1"/>
  <c r="E20" i="1"/>
  <c r="D17" i="1"/>
  <c r="C13" i="9"/>
  <c r="D13" i="9" s="1"/>
  <c r="D127" i="1" s="1"/>
  <c r="E16" i="1"/>
  <c r="E41" i="1"/>
  <c r="E39" i="1"/>
  <c r="C7" i="9"/>
  <c r="E79" i="1"/>
  <c r="D41" i="1"/>
  <c r="E18" i="1"/>
  <c r="D18" i="1"/>
  <c r="D20" i="1"/>
  <c r="D55" i="1"/>
  <c r="D39" i="1"/>
  <c r="D79" i="1"/>
  <c r="E17" i="1"/>
  <c r="E55" i="1"/>
  <c r="D16" i="1"/>
  <c r="D7" i="9" l="1"/>
  <c r="E7" i="9" s="1"/>
  <c r="F65" i="1"/>
  <c r="G65" i="1" s="1"/>
  <c r="F113" i="1"/>
  <c r="G107" i="1"/>
  <c r="G50" i="1"/>
  <c r="F17" i="1"/>
  <c r="G78" i="1"/>
  <c r="F57" i="1"/>
  <c r="F31" i="1"/>
  <c r="F42" i="1"/>
  <c r="G9" i="1"/>
  <c r="G111" i="1"/>
  <c r="G66" i="1"/>
  <c r="G84" i="1"/>
  <c r="F117" i="1"/>
  <c r="G52" i="1"/>
  <c r="F125" i="1"/>
  <c r="G19" i="1"/>
  <c r="G109" i="1"/>
  <c r="G8" i="1"/>
  <c r="F22" i="1"/>
  <c r="G56" i="1"/>
  <c r="G81" i="1"/>
  <c r="G94" i="1"/>
  <c r="F41" i="1"/>
  <c r="G68" i="1"/>
  <c r="G87" i="1"/>
  <c r="G36" i="1"/>
  <c r="G104" i="1"/>
  <c r="G88" i="1"/>
  <c r="G118" i="1"/>
  <c r="G83" i="1"/>
  <c r="G82" i="1"/>
  <c r="F49" i="1"/>
  <c r="F59" i="1"/>
  <c r="G7" i="1"/>
  <c r="F90" i="1"/>
  <c r="F30" i="1"/>
  <c r="G63" i="1"/>
  <c r="F46" i="1"/>
  <c r="F10" i="1"/>
  <c r="F39" i="1"/>
  <c r="F15" i="1"/>
  <c r="G97" i="1"/>
  <c r="G43" i="1"/>
  <c r="G105" i="1"/>
  <c r="G34" i="1"/>
  <c r="F74" i="1"/>
  <c r="F48" i="1"/>
  <c r="G40" i="1"/>
  <c r="F73" i="1"/>
  <c r="F114" i="1"/>
  <c r="F13" i="1"/>
  <c r="G128" i="1"/>
  <c r="G85" i="1"/>
  <c r="G98" i="1"/>
  <c r="F47" i="1"/>
  <c r="F72" i="1"/>
  <c r="G35" i="1"/>
  <c r="G11" i="1"/>
  <c r="F110" i="1"/>
  <c r="G33" i="1"/>
  <c r="G14" i="1"/>
  <c r="G86" i="1"/>
  <c r="F16" i="1"/>
  <c r="G12" i="1"/>
  <c r="F122" i="1"/>
  <c r="F77" i="1"/>
  <c r="F115" i="1"/>
  <c r="G37" i="1"/>
  <c r="G67" i="1"/>
  <c r="G54" i="1"/>
  <c r="F18" i="1"/>
  <c r="F55" i="1"/>
  <c r="F76" i="1"/>
  <c r="G61" i="1"/>
  <c r="F79" i="1"/>
  <c r="G70" i="1"/>
  <c r="F69" i="1"/>
  <c r="G113" i="1"/>
  <c r="G96" i="1"/>
  <c r="G95" i="1"/>
  <c r="G92" i="1"/>
  <c r="F20" i="1"/>
  <c r="G21" i="1"/>
  <c r="G129" i="1"/>
  <c r="G89" i="1"/>
  <c r="G101" i="1"/>
  <c r="G62" i="1"/>
  <c r="F26" i="1"/>
  <c r="G60" i="1"/>
  <c r="G126" i="1"/>
  <c r="G29" i="1"/>
  <c r="G121" i="1"/>
  <c r="F24" i="1"/>
  <c r="F58" i="1"/>
  <c r="G112" i="1"/>
  <c r="G99" i="1"/>
  <c r="G93" i="1"/>
  <c r="G80" i="1"/>
  <c r="F116" i="1"/>
  <c r="F45" i="1"/>
  <c r="G71" i="1"/>
  <c r="G100" i="1"/>
  <c r="F25" i="1"/>
  <c r="G102" i="1"/>
  <c r="G119" i="1"/>
  <c r="G120" i="1"/>
  <c r="G91" i="1"/>
  <c r="F108" i="1"/>
  <c r="F23" i="1"/>
  <c r="F27" i="1"/>
  <c r="F32" i="1"/>
  <c r="F64" i="1"/>
  <c r="G38" i="1"/>
  <c r="G28" i="1"/>
  <c r="G103" i="1"/>
  <c r="G44" i="1"/>
  <c r="G124" i="1"/>
  <c r="G53" i="1"/>
  <c r="F75" i="1"/>
  <c r="F51" i="1"/>
  <c r="G106" i="1"/>
  <c r="E127" i="1"/>
  <c r="F127" i="1" s="1"/>
  <c r="D123" i="1"/>
  <c r="E123" i="1"/>
  <c r="F123" i="1" s="1"/>
  <c r="G127" i="1" l="1"/>
  <c r="G123" i="1"/>
  <c r="G122" i="1"/>
  <c r="G114" i="1"/>
  <c r="G10" i="1"/>
  <c r="G59" i="1"/>
  <c r="G57" i="1"/>
  <c r="G75" i="1"/>
  <c r="G73" i="1"/>
  <c r="G46" i="1"/>
  <c r="G49" i="1"/>
  <c r="G22" i="1"/>
  <c r="G47" i="1"/>
  <c r="G26" i="1"/>
  <c r="G79" i="1"/>
  <c r="G110" i="1"/>
  <c r="G41" i="1"/>
  <c r="G125" i="1"/>
  <c r="G25" i="1"/>
  <c r="G24" i="1"/>
  <c r="G16" i="1"/>
  <c r="G17" i="1"/>
  <c r="G58" i="1"/>
  <c r="G64" i="1"/>
  <c r="G32" i="1"/>
  <c r="G48" i="1"/>
  <c r="G30" i="1"/>
  <c r="G108" i="1"/>
  <c r="G51" i="1"/>
  <c r="G27" i="1"/>
  <c r="G45" i="1"/>
  <c r="G76" i="1"/>
  <c r="G74" i="1"/>
  <c r="G90" i="1"/>
  <c r="G117" i="1"/>
  <c r="G23" i="1"/>
  <c r="G116" i="1"/>
  <c r="G20" i="1"/>
  <c r="G55" i="1"/>
  <c r="G115" i="1"/>
  <c r="G15" i="1"/>
  <c r="G42" i="1"/>
  <c r="G69" i="1"/>
  <c r="G18" i="1"/>
  <c r="G77" i="1"/>
  <c r="G72" i="1"/>
  <c r="G13" i="1"/>
  <c r="G39" i="1"/>
  <c r="G31" i="1"/>
  <c r="D114" i="5"/>
  <c r="H114" i="5" s="1"/>
  <c r="I114" i="5" l="1"/>
  <c r="J92" i="5" l="1"/>
  <c r="F92" i="3"/>
  <c r="G92" i="3" s="1"/>
  <c r="H92" i="1"/>
  <c r="I92" i="3" l="1"/>
  <c r="H92" i="3"/>
  <c r="L92" i="5"/>
  <c r="K92" i="5"/>
  <c r="J92" i="1"/>
  <c r="I92" i="1"/>
  <c r="J91" i="5"/>
  <c r="F91" i="3"/>
  <c r="G91" i="3" s="1"/>
  <c r="H91" i="1"/>
  <c r="I91" i="3" l="1"/>
  <c r="H91" i="3"/>
  <c r="L91" i="5"/>
  <c r="K91" i="5"/>
  <c r="J91" i="1"/>
  <c r="I91" i="1"/>
  <c r="J127" i="5" l="1"/>
  <c r="F127" i="3"/>
  <c r="H127" i="1"/>
  <c r="J126" i="5"/>
  <c r="F126" i="3"/>
  <c r="H126" i="1"/>
  <c r="J99" i="5"/>
  <c r="L99" i="5" s="1"/>
  <c r="F99" i="3"/>
  <c r="H99" i="1"/>
  <c r="J125" i="5"/>
  <c r="F125" i="3"/>
  <c r="H125" i="1"/>
  <c r="J93" i="5"/>
  <c r="F93" i="3"/>
  <c r="H93" i="1"/>
  <c r="J97" i="5"/>
  <c r="F97" i="3"/>
  <c r="H97" i="1"/>
  <c r="J128" i="5"/>
  <c r="F128" i="3"/>
  <c r="H128" i="1"/>
  <c r="F96" i="3"/>
  <c r="J96" i="5"/>
  <c r="H96" i="1"/>
  <c r="J95" i="5"/>
  <c r="F95" i="3"/>
  <c r="H95" i="1"/>
  <c r="J94" i="5"/>
  <c r="F94" i="3"/>
  <c r="H94" i="1"/>
  <c r="J129" i="5"/>
  <c r="F129" i="3"/>
  <c r="H129" i="1"/>
  <c r="G99" i="3" l="1"/>
  <c r="I99" i="3" s="1"/>
  <c r="G96" i="3"/>
  <c r="G129" i="3"/>
  <c r="H129" i="3" s="1"/>
  <c r="G97" i="3"/>
  <c r="J127" i="1"/>
  <c r="I127" i="1"/>
  <c r="I129" i="3"/>
  <c r="J93" i="1"/>
  <c r="I93" i="1"/>
  <c r="G127" i="3"/>
  <c r="L96" i="5"/>
  <c r="K96" i="5"/>
  <c r="L129" i="5"/>
  <c r="K129" i="5"/>
  <c r="J97" i="1"/>
  <c r="I97" i="1"/>
  <c r="G93" i="3"/>
  <c r="L127" i="5"/>
  <c r="K127" i="5"/>
  <c r="L93" i="5"/>
  <c r="K93" i="5"/>
  <c r="J125" i="1"/>
  <c r="I125" i="1"/>
  <c r="J94" i="1"/>
  <c r="I94" i="1"/>
  <c r="I97" i="3"/>
  <c r="H97" i="3"/>
  <c r="G94" i="3"/>
  <c r="L97" i="5"/>
  <c r="K97" i="5"/>
  <c r="G125" i="3"/>
  <c r="I96" i="3"/>
  <c r="H96" i="3"/>
  <c r="L94" i="5"/>
  <c r="K94" i="5"/>
  <c r="J128" i="1"/>
  <c r="I128" i="1"/>
  <c r="L125" i="5"/>
  <c r="K125" i="5"/>
  <c r="J126" i="1"/>
  <c r="I126" i="1"/>
  <c r="J129" i="1"/>
  <c r="I129" i="1"/>
  <c r="J95" i="1"/>
  <c r="I95" i="1"/>
  <c r="G95" i="3"/>
  <c r="J96" i="1"/>
  <c r="I96" i="1"/>
  <c r="G128" i="3"/>
  <c r="G126" i="3"/>
  <c r="L95" i="5"/>
  <c r="K95" i="5"/>
  <c r="L128" i="5"/>
  <c r="K128" i="5"/>
  <c r="L126" i="5"/>
  <c r="K126" i="5"/>
  <c r="I128" i="3" l="1"/>
  <c r="H128" i="3"/>
  <c r="I94" i="3"/>
  <c r="H94" i="3"/>
  <c r="I126" i="3"/>
  <c r="H126" i="3"/>
  <c r="I127" i="3"/>
  <c r="H127" i="3"/>
  <c r="I95" i="3"/>
  <c r="H95" i="3"/>
  <c r="I125" i="3"/>
  <c r="H125" i="3"/>
  <c r="I93" i="3"/>
  <c r="H93" i="3"/>
  <c r="J102" i="5" l="1"/>
  <c r="F102" i="3"/>
  <c r="G102" i="3" s="1"/>
  <c r="H102" i="1"/>
  <c r="J107" i="5"/>
  <c r="F107" i="3"/>
  <c r="H107" i="1"/>
  <c r="J75" i="5"/>
  <c r="F75" i="3"/>
  <c r="G75" i="3" s="1"/>
  <c r="H75" i="1"/>
  <c r="J43" i="5"/>
  <c r="F43" i="3"/>
  <c r="H43" i="1"/>
  <c r="J8" i="5"/>
  <c r="F8" i="3"/>
  <c r="G8" i="3" s="1"/>
  <c r="H8" i="1"/>
  <c r="J122" i="5"/>
  <c r="F122" i="3"/>
  <c r="H122" i="1"/>
  <c r="F114" i="3"/>
  <c r="H114" i="1"/>
  <c r="J114" i="5"/>
  <c r="J106" i="5"/>
  <c r="F106" i="3"/>
  <c r="H106" i="1"/>
  <c r="J90" i="5"/>
  <c r="F90" i="3"/>
  <c r="G90" i="3" s="1"/>
  <c r="H90" i="1"/>
  <c r="J82" i="5"/>
  <c r="F82" i="3"/>
  <c r="H82" i="1"/>
  <c r="J74" i="5"/>
  <c r="F74" i="3"/>
  <c r="G74" i="3" s="1"/>
  <c r="H74" i="1"/>
  <c r="J66" i="5"/>
  <c r="F66" i="3"/>
  <c r="H66" i="1"/>
  <c r="J58" i="5"/>
  <c r="F58" i="3"/>
  <c r="G58" i="3" s="1"/>
  <c r="H58" i="1"/>
  <c r="J50" i="5"/>
  <c r="F50" i="3"/>
  <c r="H50" i="1"/>
  <c r="J42" i="5"/>
  <c r="F42" i="3"/>
  <c r="G42" i="3" s="1"/>
  <c r="H42" i="1"/>
  <c r="J34" i="5"/>
  <c r="F34" i="3"/>
  <c r="H34" i="1"/>
  <c r="J26" i="5"/>
  <c r="F26" i="3"/>
  <c r="H26" i="1"/>
  <c r="J18" i="5"/>
  <c r="F18" i="3"/>
  <c r="H18" i="1"/>
  <c r="J110" i="5"/>
  <c r="F110" i="3"/>
  <c r="G110" i="3" s="1"/>
  <c r="H110" i="1"/>
  <c r="J54" i="5"/>
  <c r="F54" i="3"/>
  <c r="H54" i="1"/>
  <c r="J7" i="5"/>
  <c r="F7" i="3"/>
  <c r="G7" i="3" s="1"/>
  <c r="H7" i="1"/>
  <c r="J98" i="5"/>
  <c r="F98" i="3"/>
  <c r="H98" i="1"/>
  <c r="F59" i="3"/>
  <c r="J59" i="5"/>
  <c r="H59" i="1"/>
  <c r="J27" i="5"/>
  <c r="F27" i="3"/>
  <c r="H27" i="1"/>
  <c r="J9" i="5"/>
  <c r="F9" i="3"/>
  <c r="H9" i="1"/>
  <c r="J105" i="5"/>
  <c r="F105" i="3"/>
  <c r="H105" i="1"/>
  <c r="J81" i="5"/>
  <c r="F81" i="3"/>
  <c r="H81" i="1"/>
  <c r="J73" i="5"/>
  <c r="F73" i="3"/>
  <c r="H73" i="1"/>
  <c r="J65" i="5"/>
  <c r="F65" i="3"/>
  <c r="G65" i="3" s="1"/>
  <c r="H65" i="1"/>
  <c r="J57" i="5"/>
  <c r="F57" i="3"/>
  <c r="H57" i="1"/>
  <c r="J49" i="5"/>
  <c r="F49" i="3"/>
  <c r="H49" i="1"/>
  <c r="J41" i="5"/>
  <c r="F41" i="3"/>
  <c r="H41" i="1"/>
  <c r="J33" i="5"/>
  <c r="F33" i="3"/>
  <c r="H33" i="1"/>
  <c r="F25" i="3"/>
  <c r="J25" i="5"/>
  <c r="H25" i="1"/>
  <c r="F17" i="3"/>
  <c r="J17" i="5"/>
  <c r="H17" i="1"/>
  <c r="J86" i="5"/>
  <c r="F86" i="3"/>
  <c r="H86" i="1"/>
  <c r="J123" i="5"/>
  <c r="F123" i="3"/>
  <c r="G123" i="3" s="1"/>
  <c r="H123" i="1"/>
  <c r="J83" i="5"/>
  <c r="F83" i="3"/>
  <c r="H83" i="1"/>
  <c r="J51" i="5"/>
  <c r="F51" i="3"/>
  <c r="H51" i="1"/>
  <c r="J19" i="5"/>
  <c r="F19" i="3"/>
  <c r="H19" i="1"/>
  <c r="J113" i="5"/>
  <c r="F113" i="3"/>
  <c r="G113" i="3" s="1"/>
  <c r="H113" i="1"/>
  <c r="J89" i="5"/>
  <c r="F89" i="3"/>
  <c r="H89" i="1"/>
  <c r="J13" i="5"/>
  <c r="F13" i="3"/>
  <c r="H13" i="1"/>
  <c r="J120" i="5"/>
  <c r="F120" i="3"/>
  <c r="H120" i="1"/>
  <c r="J112" i="5"/>
  <c r="F112" i="3"/>
  <c r="G112" i="3" s="1"/>
  <c r="H112" i="1"/>
  <c r="J104" i="5"/>
  <c r="F104" i="3"/>
  <c r="H104" i="1"/>
  <c r="J88" i="5"/>
  <c r="F88" i="3"/>
  <c r="H88" i="1"/>
  <c r="J80" i="5"/>
  <c r="F80" i="3"/>
  <c r="H80" i="1"/>
  <c r="J72" i="5"/>
  <c r="F72" i="3"/>
  <c r="G72" i="3" s="1"/>
  <c r="H72" i="1"/>
  <c r="J64" i="5"/>
  <c r="F64" i="3"/>
  <c r="H64" i="1"/>
  <c r="J56" i="5"/>
  <c r="F56" i="3"/>
  <c r="H56" i="1"/>
  <c r="F48" i="3"/>
  <c r="J48" i="5"/>
  <c r="H48" i="1"/>
  <c r="J40" i="5"/>
  <c r="F40" i="3"/>
  <c r="G40" i="3" s="1"/>
  <c r="H40" i="1"/>
  <c r="J32" i="5"/>
  <c r="F32" i="3"/>
  <c r="H32" i="1"/>
  <c r="J24" i="5"/>
  <c r="F24" i="3"/>
  <c r="H24" i="1"/>
  <c r="J16" i="5"/>
  <c r="F16" i="3"/>
  <c r="H16" i="1"/>
  <c r="J78" i="5"/>
  <c r="F78" i="3"/>
  <c r="G78" i="3" s="1"/>
  <c r="H78" i="1"/>
  <c r="J115" i="5"/>
  <c r="F115" i="3"/>
  <c r="H115" i="1"/>
  <c r="J67" i="5"/>
  <c r="F67" i="3"/>
  <c r="H67" i="1"/>
  <c r="J35" i="5"/>
  <c r="F35" i="3"/>
  <c r="H35" i="1"/>
  <c r="J121" i="5"/>
  <c r="F121" i="3"/>
  <c r="H121" i="1"/>
  <c r="J12" i="5"/>
  <c r="F12" i="3"/>
  <c r="H12" i="1"/>
  <c r="J119" i="5"/>
  <c r="F119" i="3"/>
  <c r="H119" i="1"/>
  <c r="J111" i="5"/>
  <c r="F111" i="3"/>
  <c r="H111" i="1"/>
  <c r="J103" i="5"/>
  <c r="F103" i="3"/>
  <c r="G103" i="3" s="1"/>
  <c r="H103" i="1"/>
  <c r="J87" i="5"/>
  <c r="F87" i="3"/>
  <c r="H87" i="1"/>
  <c r="F79" i="3"/>
  <c r="J79" i="5"/>
  <c r="H79" i="1"/>
  <c r="J71" i="5"/>
  <c r="F71" i="3"/>
  <c r="G71" i="3" s="1"/>
  <c r="H71" i="1"/>
  <c r="J63" i="5"/>
  <c r="F63" i="3"/>
  <c r="G63" i="3" s="1"/>
  <c r="H63" i="1"/>
  <c r="J55" i="5"/>
  <c r="F55" i="3"/>
  <c r="H55" i="1"/>
  <c r="J47" i="5"/>
  <c r="F47" i="3"/>
  <c r="H47" i="1"/>
  <c r="J39" i="5"/>
  <c r="F39" i="3"/>
  <c r="G39" i="3" s="1"/>
  <c r="H39" i="1"/>
  <c r="J31" i="5"/>
  <c r="F31" i="3"/>
  <c r="G31" i="3" s="1"/>
  <c r="H31" i="1"/>
  <c r="J23" i="5"/>
  <c r="F23" i="3"/>
  <c r="H23" i="1"/>
  <c r="J15" i="5"/>
  <c r="F15" i="3"/>
  <c r="H15" i="1"/>
  <c r="J118" i="5"/>
  <c r="F118" i="3"/>
  <c r="H118" i="1"/>
  <c r="J62" i="5"/>
  <c r="F62" i="3"/>
  <c r="G62" i="3" s="1"/>
  <c r="H62" i="1"/>
  <c r="F38" i="3"/>
  <c r="J38" i="5"/>
  <c r="L38" i="5" s="1"/>
  <c r="H38" i="1"/>
  <c r="J22" i="5"/>
  <c r="F22" i="3"/>
  <c r="H22" i="1"/>
  <c r="J117" i="5"/>
  <c r="F117" i="3"/>
  <c r="H117" i="1"/>
  <c r="J101" i="5"/>
  <c r="F101" i="3"/>
  <c r="G101" i="3" s="1"/>
  <c r="H101" i="1"/>
  <c r="F77" i="3"/>
  <c r="J77" i="5"/>
  <c r="H77" i="1"/>
  <c r="F69" i="3"/>
  <c r="J69" i="5"/>
  <c r="H69" i="1"/>
  <c r="J61" i="5"/>
  <c r="F61" i="3"/>
  <c r="H61" i="1"/>
  <c r="J53" i="5"/>
  <c r="F53" i="3"/>
  <c r="H53" i="1"/>
  <c r="J45" i="5"/>
  <c r="F45" i="3"/>
  <c r="H45" i="1"/>
  <c r="J37" i="5"/>
  <c r="F37" i="3"/>
  <c r="H37" i="1"/>
  <c r="J29" i="5"/>
  <c r="F29" i="3"/>
  <c r="H29" i="1"/>
  <c r="J21" i="5"/>
  <c r="F21" i="3"/>
  <c r="H21" i="1"/>
  <c r="J11" i="5"/>
  <c r="F11" i="3"/>
  <c r="H11" i="1"/>
  <c r="J70" i="5"/>
  <c r="F70" i="3"/>
  <c r="H70" i="1"/>
  <c r="F46" i="3"/>
  <c r="J46" i="5"/>
  <c r="H46" i="1"/>
  <c r="J30" i="5"/>
  <c r="F30" i="3"/>
  <c r="G30" i="3" s="1"/>
  <c r="H30" i="1"/>
  <c r="J14" i="5"/>
  <c r="F14" i="3"/>
  <c r="H14" i="1"/>
  <c r="J10" i="5"/>
  <c r="F10" i="3"/>
  <c r="H10" i="1"/>
  <c r="J109" i="5"/>
  <c r="F109" i="3"/>
  <c r="H109" i="1"/>
  <c r="J85" i="5"/>
  <c r="F85" i="3"/>
  <c r="H85" i="1"/>
  <c r="J124" i="5"/>
  <c r="F124" i="3"/>
  <c r="H124" i="1"/>
  <c r="J116" i="5"/>
  <c r="F116" i="3"/>
  <c r="H116" i="1"/>
  <c r="F108" i="3"/>
  <c r="G108" i="3" s="1"/>
  <c r="J108" i="5"/>
  <c r="H108" i="1"/>
  <c r="J100" i="5"/>
  <c r="F100" i="3"/>
  <c r="H100" i="1"/>
  <c r="J84" i="5"/>
  <c r="F84" i="3"/>
  <c r="H84" i="1"/>
  <c r="J76" i="5"/>
  <c r="F76" i="3"/>
  <c r="H76" i="1"/>
  <c r="J68" i="5"/>
  <c r="F68" i="3"/>
  <c r="H68" i="1"/>
  <c r="J60" i="5"/>
  <c r="F60" i="3"/>
  <c r="G60" i="3" s="1"/>
  <c r="H60" i="1"/>
  <c r="J52" i="5"/>
  <c r="F52" i="3"/>
  <c r="H52" i="1"/>
  <c r="J44" i="5"/>
  <c r="F44" i="3"/>
  <c r="H44" i="1"/>
  <c r="J36" i="5"/>
  <c r="G36" i="3" s="1"/>
  <c r="H36" i="1"/>
  <c r="J28" i="5"/>
  <c r="F28" i="3"/>
  <c r="H28" i="1"/>
  <c r="J20" i="5"/>
  <c r="F20" i="3"/>
  <c r="G20" i="3" s="1"/>
  <c r="H20" i="1"/>
  <c r="G16" i="3" l="1"/>
  <c r="G37" i="3"/>
  <c r="G77" i="3"/>
  <c r="G119" i="3"/>
  <c r="G25" i="3"/>
  <c r="G118" i="3"/>
  <c r="I118" i="3" s="1"/>
  <c r="G120" i="3"/>
  <c r="I120" i="3" s="1"/>
  <c r="G33" i="3"/>
  <c r="I33" i="3" s="1"/>
  <c r="G98" i="3"/>
  <c r="G68" i="3"/>
  <c r="G80" i="3"/>
  <c r="G19" i="3"/>
  <c r="G18" i="3"/>
  <c r="G66" i="3"/>
  <c r="H66" i="3" s="1"/>
  <c r="G121" i="3"/>
  <c r="G13" i="3"/>
  <c r="I13" i="3" s="1"/>
  <c r="G49" i="3"/>
  <c r="G81" i="3"/>
  <c r="G82" i="3"/>
  <c r="G14" i="3"/>
  <c r="G29" i="3"/>
  <c r="G61" i="3"/>
  <c r="I61" i="3" s="1"/>
  <c r="G23" i="3"/>
  <c r="H23" i="3" s="1"/>
  <c r="G79" i="3"/>
  <c r="H79" i="3" s="1"/>
  <c r="G89" i="3"/>
  <c r="G83" i="3"/>
  <c r="G106" i="3"/>
  <c r="G107" i="3"/>
  <c r="I107" i="3" s="1"/>
  <c r="G44" i="3"/>
  <c r="I44" i="3" s="1"/>
  <c r="G43" i="3"/>
  <c r="G32" i="3"/>
  <c r="G64" i="3"/>
  <c r="I64" i="3" s="1"/>
  <c r="G104" i="3"/>
  <c r="G57" i="3"/>
  <c r="H57" i="3" s="1"/>
  <c r="G105" i="3"/>
  <c r="G27" i="3"/>
  <c r="I27" i="3" s="1"/>
  <c r="G34" i="3"/>
  <c r="I34" i="3" s="1"/>
  <c r="G114" i="3"/>
  <c r="I114" i="3" s="1"/>
  <c r="J68" i="1"/>
  <c r="I68" i="1"/>
  <c r="I101" i="3"/>
  <c r="H101" i="3"/>
  <c r="L41" i="5"/>
  <c r="K41" i="5"/>
  <c r="J98" i="1"/>
  <c r="I98" i="1"/>
  <c r="J18" i="1"/>
  <c r="I18" i="1"/>
  <c r="J66" i="1"/>
  <c r="I66" i="1"/>
  <c r="I8" i="3"/>
  <c r="H8" i="3"/>
  <c r="L30" i="5"/>
  <c r="K30" i="5"/>
  <c r="L101" i="5"/>
  <c r="K101" i="5"/>
  <c r="L63" i="5"/>
  <c r="K63" i="5"/>
  <c r="I71" i="3"/>
  <c r="H71" i="3"/>
  <c r="L103" i="5"/>
  <c r="K103" i="5"/>
  <c r="J121" i="1"/>
  <c r="I121" i="1"/>
  <c r="L78" i="5"/>
  <c r="K78" i="5"/>
  <c r="I16" i="3"/>
  <c r="H16" i="3"/>
  <c r="L48" i="5"/>
  <c r="K48" i="5"/>
  <c r="I80" i="3"/>
  <c r="H80" i="3"/>
  <c r="J13" i="1"/>
  <c r="I13" i="1"/>
  <c r="L113" i="5"/>
  <c r="K113" i="5"/>
  <c r="I19" i="3"/>
  <c r="H19" i="3"/>
  <c r="G17" i="3"/>
  <c r="J49" i="1"/>
  <c r="I49" i="1"/>
  <c r="J81" i="1"/>
  <c r="I81" i="1"/>
  <c r="I98" i="3"/>
  <c r="H98" i="3"/>
  <c r="L7" i="5"/>
  <c r="K7" i="5"/>
  <c r="L110" i="5"/>
  <c r="K110" i="5"/>
  <c r="I18" i="3"/>
  <c r="H18" i="3"/>
  <c r="L58" i="5"/>
  <c r="K58" i="5"/>
  <c r="I66" i="3"/>
  <c r="L74" i="5"/>
  <c r="K74" i="5"/>
  <c r="L8" i="5"/>
  <c r="K8" i="5"/>
  <c r="I43" i="3"/>
  <c r="H43" i="3"/>
  <c r="J75" i="1"/>
  <c r="I75" i="1"/>
  <c r="I20" i="3"/>
  <c r="H20" i="3"/>
  <c r="I30" i="3"/>
  <c r="H30" i="3"/>
  <c r="J71" i="1"/>
  <c r="I71" i="1"/>
  <c r="L12" i="5"/>
  <c r="K12" i="5"/>
  <c r="I113" i="3"/>
  <c r="H113" i="3"/>
  <c r="L86" i="5"/>
  <c r="K86" i="5"/>
  <c r="I110" i="3"/>
  <c r="H110" i="3"/>
  <c r="I58" i="3"/>
  <c r="H58" i="3"/>
  <c r="L122" i="5"/>
  <c r="K122" i="5"/>
  <c r="J43" i="1"/>
  <c r="I43" i="1"/>
  <c r="J76" i="1"/>
  <c r="I76" i="1"/>
  <c r="L46" i="5"/>
  <c r="K46" i="5"/>
  <c r="I39" i="3"/>
  <c r="H39" i="3"/>
  <c r="J28" i="1"/>
  <c r="I28" i="1"/>
  <c r="L68" i="5"/>
  <c r="K68" i="5"/>
  <c r="G76" i="3"/>
  <c r="J84" i="1"/>
  <c r="I84" i="1"/>
  <c r="G116" i="3"/>
  <c r="J124" i="1"/>
  <c r="I124" i="1"/>
  <c r="G10" i="3"/>
  <c r="G46" i="3"/>
  <c r="G21" i="3"/>
  <c r="J45" i="1"/>
  <c r="I45" i="1"/>
  <c r="J117" i="1"/>
  <c r="I117" i="1"/>
  <c r="L118" i="5"/>
  <c r="K118" i="5"/>
  <c r="L39" i="5"/>
  <c r="K39" i="5"/>
  <c r="L71" i="5"/>
  <c r="K71" i="5"/>
  <c r="J111" i="1"/>
  <c r="I111" i="1"/>
  <c r="I121" i="3"/>
  <c r="H121" i="3"/>
  <c r="J35" i="1"/>
  <c r="I35" i="1"/>
  <c r="L16" i="5"/>
  <c r="K16" i="5"/>
  <c r="G48" i="3"/>
  <c r="L80" i="5"/>
  <c r="K80" i="5"/>
  <c r="L120" i="5"/>
  <c r="K120" i="5"/>
  <c r="L19" i="5"/>
  <c r="K19" i="5"/>
  <c r="J25" i="1"/>
  <c r="I25" i="1"/>
  <c r="I49" i="3"/>
  <c r="H49" i="3"/>
  <c r="I81" i="3"/>
  <c r="H81" i="3"/>
  <c r="L98" i="5"/>
  <c r="K98" i="5"/>
  <c r="L18" i="5"/>
  <c r="K18" i="5"/>
  <c r="L66" i="5"/>
  <c r="K66" i="5"/>
  <c r="J82" i="1"/>
  <c r="I82" i="1"/>
  <c r="L43" i="5"/>
  <c r="K43" i="5"/>
  <c r="I75" i="3"/>
  <c r="H75" i="3"/>
  <c r="I60" i="3"/>
  <c r="H60" i="3"/>
  <c r="I37" i="3"/>
  <c r="H37" i="3"/>
  <c r="I62" i="3"/>
  <c r="H62" i="3"/>
  <c r="I63" i="3"/>
  <c r="H63" i="3"/>
  <c r="L115" i="5"/>
  <c r="K115" i="5"/>
  <c r="J16" i="1"/>
  <c r="I16" i="1"/>
  <c r="J80" i="1"/>
  <c r="I80" i="1"/>
  <c r="L73" i="5"/>
  <c r="K73" i="5"/>
  <c r="L54" i="5"/>
  <c r="K54" i="5"/>
  <c r="L50" i="5"/>
  <c r="K50" i="5"/>
  <c r="L20" i="5"/>
  <c r="K20" i="5"/>
  <c r="I68" i="3"/>
  <c r="H68" i="3"/>
  <c r="J116" i="1"/>
  <c r="I116" i="1"/>
  <c r="L37" i="5"/>
  <c r="K37" i="5"/>
  <c r="G28" i="3"/>
  <c r="L76" i="5"/>
  <c r="K76" i="5"/>
  <c r="G84" i="3"/>
  <c r="J100" i="1"/>
  <c r="I100" i="1"/>
  <c r="L116" i="5"/>
  <c r="K116" i="5"/>
  <c r="G124" i="3"/>
  <c r="J85" i="1"/>
  <c r="I85" i="1"/>
  <c r="L10" i="5"/>
  <c r="K10" i="5"/>
  <c r="J70" i="1"/>
  <c r="I70" i="1"/>
  <c r="L21" i="5"/>
  <c r="K21" i="5"/>
  <c r="G45" i="3"/>
  <c r="J53" i="1"/>
  <c r="I53" i="1"/>
  <c r="G117" i="3"/>
  <c r="J22" i="1"/>
  <c r="I22" i="1"/>
  <c r="J15" i="1"/>
  <c r="I15" i="1"/>
  <c r="J47" i="1"/>
  <c r="I47" i="1"/>
  <c r="J79" i="1"/>
  <c r="I79" i="1"/>
  <c r="G111" i="3"/>
  <c r="L121" i="5"/>
  <c r="K121" i="5"/>
  <c r="G35" i="3"/>
  <c r="J67" i="1"/>
  <c r="I67" i="1"/>
  <c r="J24" i="1"/>
  <c r="I24" i="1"/>
  <c r="J56" i="1"/>
  <c r="I56" i="1"/>
  <c r="J88" i="1"/>
  <c r="I88" i="1"/>
  <c r="L13" i="5"/>
  <c r="K13" i="5"/>
  <c r="J51" i="1"/>
  <c r="I51" i="1"/>
  <c r="L25" i="5"/>
  <c r="K25" i="5"/>
  <c r="L49" i="5"/>
  <c r="K49" i="5"/>
  <c r="L81" i="5"/>
  <c r="K81" i="5"/>
  <c r="J9" i="1"/>
  <c r="I9" i="1"/>
  <c r="J26" i="1"/>
  <c r="I26" i="1"/>
  <c r="L114" i="5"/>
  <c r="K114" i="5"/>
  <c r="L75" i="5"/>
  <c r="K75" i="5"/>
  <c r="I108" i="3"/>
  <c r="H108" i="3"/>
  <c r="L11" i="5"/>
  <c r="K11" i="5"/>
  <c r="I77" i="3"/>
  <c r="H77" i="3"/>
  <c r="J39" i="1"/>
  <c r="I39" i="1"/>
  <c r="I103" i="3"/>
  <c r="H103" i="3"/>
  <c r="I78" i="3"/>
  <c r="H78" i="3"/>
  <c r="J48" i="1"/>
  <c r="I48" i="1"/>
  <c r="J120" i="1"/>
  <c r="I120" i="1"/>
  <c r="J19" i="1"/>
  <c r="I19" i="1"/>
  <c r="L17" i="5"/>
  <c r="K17" i="5"/>
  <c r="I7" i="3"/>
  <c r="H7" i="3"/>
  <c r="I74" i="3"/>
  <c r="H74" i="3"/>
  <c r="L60" i="5"/>
  <c r="K60" i="5"/>
  <c r="J10" i="1"/>
  <c r="I10" i="1"/>
  <c r="J21" i="1"/>
  <c r="I21" i="1"/>
  <c r="L62" i="5"/>
  <c r="K62" i="5"/>
  <c r="L28" i="5"/>
  <c r="K28" i="5"/>
  <c r="L84" i="5"/>
  <c r="K84" i="5"/>
  <c r="G100" i="3"/>
  <c r="L124" i="5"/>
  <c r="K124" i="5"/>
  <c r="G85" i="3"/>
  <c r="J14" i="1"/>
  <c r="I14" i="1"/>
  <c r="G70" i="3"/>
  <c r="J29" i="1"/>
  <c r="I29" i="1"/>
  <c r="L45" i="5"/>
  <c r="K45" i="5"/>
  <c r="G53" i="3"/>
  <c r="J61" i="1"/>
  <c r="I61" i="1"/>
  <c r="L117" i="5"/>
  <c r="K117" i="5"/>
  <c r="G22" i="3"/>
  <c r="J38" i="1"/>
  <c r="I38" i="1"/>
  <c r="G15" i="3"/>
  <c r="J23" i="1"/>
  <c r="I23" i="1"/>
  <c r="G47" i="3"/>
  <c r="L79" i="5"/>
  <c r="K79" i="5"/>
  <c r="L111" i="5"/>
  <c r="K111" i="5"/>
  <c r="L35" i="5"/>
  <c r="K35" i="5"/>
  <c r="G67" i="3"/>
  <c r="G24" i="3"/>
  <c r="J32" i="1"/>
  <c r="I32" i="1"/>
  <c r="G56" i="3"/>
  <c r="J64" i="1"/>
  <c r="I64" i="1"/>
  <c r="G88" i="3"/>
  <c r="J104" i="1"/>
  <c r="I104" i="1"/>
  <c r="J89" i="1"/>
  <c r="I89" i="1"/>
  <c r="G51" i="3"/>
  <c r="J83" i="1"/>
  <c r="I83" i="1"/>
  <c r="I25" i="3"/>
  <c r="H25" i="3"/>
  <c r="J57" i="1"/>
  <c r="I57" i="1"/>
  <c r="J105" i="1"/>
  <c r="I105" i="1"/>
  <c r="G9" i="3"/>
  <c r="J27" i="1"/>
  <c r="I27" i="1"/>
  <c r="G26" i="3"/>
  <c r="J34" i="1"/>
  <c r="I34" i="1"/>
  <c r="L82" i="5"/>
  <c r="K82" i="5"/>
  <c r="J106" i="1"/>
  <c r="I106" i="1"/>
  <c r="J114" i="1"/>
  <c r="I114" i="1"/>
  <c r="J107" i="1"/>
  <c r="I107" i="1"/>
  <c r="J118" i="1"/>
  <c r="I118" i="1"/>
  <c r="L87" i="5"/>
  <c r="K87" i="5"/>
  <c r="J44" i="1"/>
  <c r="I44" i="1"/>
  <c r="J69" i="1"/>
  <c r="I69" i="1"/>
  <c r="L47" i="5"/>
  <c r="K47" i="5"/>
  <c r="J33" i="1"/>
  <c r="I33" i="1"/>
  <c r="J65" i="1"/>
  <c r="I65" i="1"/>
  <c r="I105" i="3"/>
  <c r="H105" i="3"/>
  <c r="L9" i="5"/>
  <c r="K9" i="5"/>
  <c r="H27" i="3"/>
  <c r="J59" i="1"/>
  <c r="I59" i="1"/>
  <c r="L26" i="5"/>
  <c r="K26" i="5"/>
  <c r="H34" i="3"/>
  <c r="J42" i="1"/>
  <c r="I42" i="1"/>
  <c r="J90" i="1"/>
  <c r="I90" i="1"/>
  <c r="I106" i="3"/>
  <c r="H106" i="3"/>
  <c r="H107" i="3"/>
  <c r="J102" i="1"/>
  <c r="I102" i="1"/>
  <c r="L52" i="5"/>
  <c r="K52" i="5"/>
  <c r="L109" i="5"/>
  <c r="K109" i="5"/>
  <c r="L100" i="5"/>
  <c r="K100" i="5"/>
  <c r="L85" i="5"/>
  <c r="K85" i="5"/>
  <c r="I14" i="3"/>
  <c r="H14" i="3"/>
  <c r="I29" i="3"/>
  <c r="H29" i="3"/>
  <c r="L22" i="5"/>
  <c r="K22" i="5"/>
  <c r="L15" i="5"/>
  <c r="K15" i="5"/>
  <c r="I23" i="3"/>
  <c r="J119" i="1"/>
  <c r="I119" i="1"/>
  <c r="L67" i="5"/>
  <c r="K67" i="5"/>
  <c r="I32" i="3"/>
  <c r="H32" i="3"/>
  <c r="L56" i="5"/>
  <c r="K56" i="5"/>
  <c r="J72" i="1"/>
  <c r="I72" i="1"/>
  <c r="J112" i="1"/>
  <c r="I112" i="1"/>
  <c r="J52" i="1"/>
  <c r="I52" i="1"/>
  <c r="J109" i="1"/>
  <c r="I109" i="1"/>
  <c r="L14" i="5"/>
  <c r="K14" i="5"/>
  <c r="J11" i="1"/>
  <c r="I11" i="1"/>
  <c r="L29" i="5"/>
  <c r="K29" i="5"/>
  <c r="L61" i="5"/>
  <c r="K61" i="5"/>
  <c r="L69" i="5"/>
  <c r="K69" i="5"/>
  <c r="J77" i="1"/>
  <c r="I77" i="1"/>
  <c r="G38" i="3"/>
  <c r="L23" i="5"/>
  <c r="K23" i="5"/>
  <c r="I31" i="3"/>
  <c r="H31" i="3"/>
  <c r="J55" i="1"/>
  <c r="I55" i="1"/>
  <c r="J87" i="1"/>
  <c r="I87" i="1"/>
  <c r="I119" i="3"/>
  <c r="H119" i="3"/>
  <c r="J12" i="1"/>
  <c r="I12" i="1"/>
  <c r="J115" i="1"/>
  <c r="I115" i="1"/>
  <c r="L32" i="5"/>
  <c r="K32" i="5"/>
  <c r="I40" i="3"/>
  <c r="H40" i="3"/>
  <c r="L64" i="5"/>
  <c r="K64" i="5"/>
  <c r="I72" i="3"/>
  <c r="H72" i="3"/>
  <c r="L104" i="5"/>
  <c r="K104" i="5"/>
  <c r="I112" i="3"/>
  <c r="H112" i="3"/>
  <c r="L89" i="5"/>
  <c r="K89" i="5"/>
  <c r="L83" i="5"/>
  <c r="K83" i="5"/>
  <c r="I123" i="3"/>
  <c r="H123" i="3"/>
  <c r="J86" i="1"/>
  <c r="I86" i="1"/>
  <c r="J41" i="1"/>
  <c r="I41" i="1"/>
  <c r="L57" i="5"/>
  <c r="K57" i="5"/>
  <c r="I65" i="3"/>
  <c r="H65" i="3"/>
  <c r="J73" i="1"/>
  <c r="I73" i="1"/>
  <c r="L105" i="5"/>
  <c r="K105" i="5"/>
  <c r="L27" i="5"/>
  <c r="K27" i="5"/>
  <c r="L59" i="5"/>
  <c r="K59" i="5"/>
  <c r="J54" i="1"/>
  <c r="I54" i="1"/>
  <c r="L34" i="5"/>
  <c r="K34" i="5"/>
  <c r="I42" i="3"/>
  <c r="H42" i="3"/>
  <c r="J50" i="1"/>
  <c r="I50" i="1"/>
  <c r="I90" i="3"/>
  <c r="H90" i="3"/>
  <c r="L106" i="5"/>
  <c r="K106" i="5"/>
  <c r="J122" i="1"/>
  <c r="I122" i="1"/>
  <c r="L107" i="5"/>
  <c r="K107" i="5"/>
  <c r="I102" i="3"/>
  <c r="H102" i="3"/>
  <c r="J46" i="1"/>
  <c r="I46" i="1"/>
  <c r="L55" i="5"/>
  <c r="K55" i="5"/>
  <c r="L70" i="5"/>
  <c r="K70" i="5"/>
  <c r="L53" i="5"/>
  <c r="K53" i="5"/>
  <c r="J31" i="1"/>
  <c r="I31" i="1"/>
  <c r="L24" i="5"/>
  <c r="K24" i="5"/>
  <c r="J40" i="1"/>
  <c r="I40" i="1"/>
  <c r="L88" i="5"/>
  <c r="K88" i="5"/>
  <c r="I104" i="3"/>
  <c r="H104" i="3"/>
  <c r="I89" i="3"/>
  <c r="H89" i="3"/>
  <c r="L51" i="5"/>
  <c r="K51" i="5"/>
  <c r="J123" i="1"/>
  <c r="I123" i="1"/>
  <c r="H44" i="3"/>
  <c r="J20" i="1"/>
  <c r="I20" i="1"/>
  <c r="L44" i="5"/>
  <c r="K44" i="5"/>
  <c r="G52" i="3"/>
  <c r="J60" i="1"/>
  <c r="I60" i="1"/>
  <c r="L108" i="5"/>
  <c r="K108" i="5"/>
  <c r="G109" i="3"/>
  <c r="J30" i="1"/>
  <c r="I30" i="1"/>
  <c r="G11" i="3"/>
  <c r="J37" i="1"/>
  <c r="I37" i="1"/>
  <c r="G69" i="3"/>
  <c r="L77" i="5"/>
  <c r="K77" i="5"/>
  <c r="J101" i="1"/>
  <c r="I101" i="1"/>
  <c r="J62" i="1"/>
  <c r="I62" i="1"/>
  <c r="L31" i="5"/>
  <c r="K31" i="5"/>
  <c r="G55" i="3"/>
  <c r="J63" i="1"/>
  <c r="I63" i="1"/>
  <c r="G87" i="3"/>
  <c r="J103" i="1"/>
  <c r="I103" i="1"/>
  <c r="L119" i="5"/>
  <c r="K119" i="5"/>
  <c r="G12" i="3"/>
  <c r="G115" i="3"/>
  <c r="J78" i="1"/>
  <c r="I78" i="1"/>
  <c r="L40" i="5"/>
  <c r="K40" i="5"/>
  <c r="L72" i="5"/>
  <c r="K72" i="5"/>
  <c r="L112" i="5"/>
  <c r="K112" i="5"/>
  <c r="J113" i="1"/>
  <c r="I113" i="1"/>
  <c r="L123" i="5"/>
  <c r="K123" i="5"/>
  <c r="G86" i="3"/>
  <c r="J17" i="1"/>
  <c r="I17" i="1"/>
  <c r="L33" i="5"/>
  <c r="K33" i="5"/>
  <c r="G41" i="3"/>
  <c r="L65" i="5"/>
  <c r="K65" i="5"/>
  <c r="G73" i="3"/>
  <c r="G59" i="3"/>
  <c r="J7" i="1"/>
  <c r="I7" i="1"/>
  <c r="G54" i="3"/>
  <c r="J110" i="1"/>
  <c r="I110" i="1"/>
  <c r="L42" i="5"/>
  <c r="K42" i="5"/>
  <c r="G50" i="3"/>
  <c r="J58" i="1"/>
  <c r="I58" i="1"/>
  <c r="J74" i="1"/>
  <c r="I74" i="1"/>
  <c r="L90" i="5"/>
  <c r="K90" i="5"/>
  <c r="G122" i="3"/>
  <c r="J8" i="1"/>
  <c r="I8" i="1"/>
  <c r="L102" i="5"/>
  <c r="K102" i="5"/>
  <c r="I79" i="3" l="1"/>
  <c r="H64" i="3"/>
  <c r="H61" i="3"/>
  <c r="H13" i="3"/>
  <c r="H118" i="3"/>
  <c r="H33" i="3"/>
  <c r="H114" i="3"/>
  <c r="H120" i="3"/>
  <c r="I83" i="3"/>
  <c r="H83" i="3"/>
  <c r="I82" i="3"/>
  <c r="H82" i="3"/>
  <c r="I57" i="3"/>
  <c r="I100" i="3"/>
  <c r="H100" i="3"/>
  <c r="K36" i="5"/>
  <c r="I17" i="3"/>
  <c r="H17" i="3"/>
  <c r="H99" i="3"/>
  <c r="I28" i="3"/>
  <c r="H28" i="3"/>
  <c r="I55" i="3"/>
  <c r="H55" i="3"/>
  <c r="I41" i="3"/>
  <c r="H41" i="3"/>
  <c r="I115" i="3"/>
  <c r="H115" i="3"/>
  <c r="I109" i="3"/>
  <c r="H109" i="3"/>
  <c r="I38" i="3"/>
  <c r="H38" i="3"/>
  <c r="H36" i="3" s="1"/>
  <c r="I51" i="3"/>
  <c r="H51" i="3"/>
  <c r="I56" i="3"/>
  <c r="H56" i="3"/>
  <c r="I15" i="3"/>
  <c r="H15" i="3"/>
  <c r="I53" i="3"/>
  <c r="H53" i="3"/>
  <c r="I117" i="3"/>
  <c r="H117" i="3"/>
  <c r="I76" i="3"/>
  <c r="H76" i="3"/>
  <c r="I26" i="3"/>
  <c r="H26" i="3"/>
  <c r="K99" i="5"/>
  <c r="I36" i="1"/>
  <c r="I52" i="3"/>
  <c r="H52" i="3"/>
  <c r="I10" i="3"/>
  <c r="H10" i="3"/>
  <c r="I54" i="3"/>
  <c r="H54" i="3"/>
  <c r="I87" i="3"/>
  <c r="H87" i="3"/>
  <c r="I69" i="3"/>
  <c r="H69" i="3"/>
  <c r="I67" i="3"/>
  <c r="H67" i="3"/>
  <c r="I85" i="3"/>
  <c r="H85" i="3"/>
  <c r="I21" i="3"/>
  <c r="H21" i="3"/>
  <c r="I35" i="3"/>
  <c r="H35" i="3"/>
  <c r="I124" i="3"/>
  <c r="H124" i="3"/>
  <c r="I73" i="3"/>
  <c r="H73" i="3"/>
  <c r="I11" i="3"/>
  <c r="H11" i="3"/>
  <c r="I9" i="3"/>
  <c r="H9" i="3"/>
  <c r="I88" i="3"/>
  <c r="H88" i="3"/>
  <c r="I47" i="3"/>
  <c r="H47" i="3"/>
  <c r="I111" i="3"/>
  <c r="H111" i="3"/>
  <c r="I45" i="3"/>
  <c r="H45" i="3"/>
  <c r="I84" i="3"/>
  <c r="H84" i="3"/>
  <c r="I48" i="3"/>
  <c r="H48" i="3"/>
  <c r="I46" i="3"/>
  <c r="H46" i="3"/>
  <c r="I116" i="3"/>
  <c r="H116" i="3"/>
  <c r="I50" i="3"/>
  <c r="H50" i="3"/>
  <c r="I122" i="3"/>
  <c r="H122" i="3"/>
  <c r="I59" i="3"/>
  <c r="H59" i="3"/>
  <c r="I86" i="3"/>
  <c r="H86" i="3"/>
  <c r="I12" i="3"/>
  <c r="H12" i="3"/>
  <c r="I99" i="1"/>
  <c r="I24" i="3"/>
  <c r="H24" i="3"/>
  <c r="I22" i="3"/>
  <c r="H22" i="3"/>
  <c r="I70" i="3"/>
  <c r="H7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1" authorId="0" shapeId="0" xr:uid="{00000000-0006-0000-0100-000001000000}">
      <text>
        <r>
          <rPr>
            <b/>
            <sz val="9"/>
            <color indexed="81"/>
            <rFont val="Tahoma"/>
            <family val="2"/>
          </rPr>
          <t>Author:</t>
        </r>
        <r>
          <rPr>
            <sz val="9"/>
            <color indexed="81"/>
            <rFont val="Tahoma"/>
            <family val="2"/>
          </rPr>
          <t xml:space="preserve">
Changed the heading language (added "and").</t>
        </r>
      </text>
    </comment>
    <comment ref="I108" authorId="0" shapeId="0" xr:uid="{00000000-0006-0000-0100-000002000000}">
      <text>
        <r>
          <rPr>
            <sz val="8"/>
            <color indexed="81"/>
            <rFont val="Tahoma"/>
            <family val="2"/>
          </rPr>
          <t>Set for interagency consistency.</t>
        </r>
      </text>
    </comment>
    <comment ref="C123" authorId="0" shapeId="0" xr:uid="{00000000-0006-0000-0100-000003000000}">
      <text>
        <r>
          <rPr>
            <b/>
            <sz val="9"/>
            <color indexed="81"/>
            <rFont val="Tahoma"/>
            <family val="2"/>
          </rPr>
          <t>Author:</t>
        </r>
        <r>
          <rPr>
            <sz val="9"/>
            <color indexed="81"/>
            <rFont val="Tahoma"/>
            <family val="2"/>
          </rPr>
          <t xml:space="preserve">
See "S-1 TCE &amp; VC" tab.</t>
        </r>
      </text>
    </comment>
    <comment ref="D123" authorId="0" shapeId="0" xr:uid="{00000000-0006-0000-0100-000004000000}">
      <text>
        <r>
          <rPr>
            <sz val="9"/>
            <color indexed="81"/>
            <rFont val="Tahoma"/>
            <family val="2"/>
          </rPr>
          <t xml:space="preserve">See the "S-1 TCE &amp; VC" sheet. </t>
        </r>
      </text>
    </comment>
    <comment ref="E123" authorId="0" shapeId="0" xr:uid="{00000000-0006-0000-0100-000005000000}">
      <text>
        <r>
          <rPr>
            <sz val="9"/>
            <color indexed="81"/>
            <rFont val="Tahoma"/>
            <family val="2"/>
          </rPr>
          <t>See "S-1 TCE &amp; VC" sheet, includes both liver and kidney cancer toxicity</t>
        </r>
        <r>
          <rPr>
            <b/>
            <sz val="9"/>
            <color indexed="81"/>
            <rFont val="Tahoma"/>
            <family val="2"/>
          </rPr>
          <t>.</t>
        </r>
      </text>
    </comment>
    <comment ref="D127" authorId="0" shapeId="0" xr:uid="{00000000-0006-0000-0100-000006000000}">
      <text>
        <r>
          <rPr>
            <sz val="9"/>
            <color indexed="81"/>
            <rFont val="Tahoma"/>
            <family val="2"/>
          </rPr>
          <t>See VC S-1 Tab</t>
        </r>
      </text>
    </comment>
    <comment ref="E127" authorId="0" shapeId="0" xr:uid="{00000000-0006-0000-0100-000007000000}">
      <text>
        <r>
          <rPr>
            <sz val="9"/>
            <color indexed="81"/>
            <rFont val="Tahoma"/>
            <family val="2"/>
          </rPr>
          <t>See "S-1 TCE &amp; VC" tab.</t>
        </r>
      </text>
    </comment>
    <comment ref="A128" authorId="0" shapeId="0" xr:uid="{00000000-0006-0000-0100-000008000000}">
      <text>
        <r>
          <rPr>
            <sz val="8"/>
            <color indexed="81"/>
            <rFont val="Tahoma"/>
            <family val="2"/>
          </rPr>
          <t>DIMETHYLBENZENES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8" authorId="0" shapeId="0" xr:uid="{00000000-0006-0000-0200-000001000000}">
      <text>
        <r>
          <rPr>
            <b/>
            <sz val="8"/>
            <color indexed="81"/>
            <rFont val="Tahoma"/>
            <family val="2"/>
          </rPr>
          <t>Author:</t>
        </r>
        <r>
          <rPr>
            <sz val="8"/>
            <color indexed="81"/>
            <rFont val="Tahoma"/>
            <family val="2"/>
          </rPr>
          <t xml:space="preserve">
All formulas use unrounded values, so calculations with displayed values may vary slightly from those in the spreadsheet. </t>
        </r>
      </text>
    </comment>
    <comment ref="B10" authorId="0" shapeId="0" xr:uid="{00000000-0006-0000-0200-000002000000}">
      <text>
        <r>
          <rPr>
            <sz val="8"/>
            <color indexed="81"/>
            <rFont val="Tahoma"/>
            <family val="2"/>
          </rPr>
          <t>See Workbook "MCP Toxicity.xls", sheet "BW"</t>
        </r>
      </text>
    </comment>
    <comment ref="N10" authorId="0" shapeId="0" xr:uid="{00000000-0006-0000-0200-000003000000}">
      <text>
        <r>
          <rPr>
            <sz val="9"/>
            <color indexed="81"/>
            <rFont val="Tahoma"/>
            <family val="2"/>
          </rPr>
          <t xml:space="preserve">Adherence factors from Kissel Children Playing (wet soil) Receptor Group, with the exception of the Feet, which were not measured.  This factor came from the Gardeners #1 and #2 groups.
</t>
        </r>
      </text>
    </comment>
    <comment ref="N24" authorId="0" shapeId="0" xr:uid="{00000000-0006-0000-0200-000004000000}">
      <text>
        <r>
          <rPr>
            <sz val="8"/>
            <color indexed="81"/>
            <rFont val="Tahoma"/>
            <family val="2"/>
          </rPr>
          <t>Adherence factors from Kissel Children Playing (wet soil) Receptor Group, with the exception of the Feet, which were not measured.  This factor came from the Gardeners #1 and #2 groups.</t>
        </r>
      </text>
    </comment>
    <comment ref="B42" authorId="0" shapeId="0" xr:uid="{00000000-0006-0000-0200-000005000000}">
      <text>
        <r>
          <rPr>
            <sz val="8"/>
            <color indexed="81"/>
            <rFont val="Tahoma"/>
            <family val="2"/>
          </rPr>
          <t>See Workbook "MCP Toxicity.xls", sheet "BW"</t>
        </r>
      </text>
    </comment>
    <comment ref="C42" authorId="0" shapeId="0" xr:uid="{00000000-0006-0000-0200-000006000000}">
      <text>
        <r>
          <rPr>
            <sz val="8"/>
            <color indexed="81"/>
            <rFont val="Tahoma"/>
            <family val="2"/>
          </rPr>
          <t xml:space="preserve">Includes Face, Hands, Forearms, Lower Legs and Feet for each age group.
</t>
        </r>
      </text>
    </comment>
    <comment ref="D42" authorId="0" shapeId="0" xr:uid="{00000000-0006-0000-0200-000007000000}">
      <text>
        <r>
          <rPr>
            <sz val="8"/>
            <color indexed="81"/>
            <rFont val="Tahoma"/>
            <family val="2"/>
          </rPr>
          <t>Methodology from the DEP DRAFT "Supplemental Guidance - Weighetd Skin-Soil Adherence Factors" (May 2000).</t>
        </r>
      </text>
    </comment>
    <comment ref="G51" authorId="0" shapeId="0" xr:uid="{00000000-0006-0000-0200-000008000000}">
      <text>
        <r>
          <rPr>
            <sz val="8"/>
            <color indexed="81"/>
            <rFont val="Tahoma"/>
            <family val="2"/>
          </rPr>
          <t xml:space="preserve">The Exposure Period should be the sum of the EP's for each age group comprising this receptor
</t>
        </r>
      </text>
    </comment>
    <comment ref="H51" authorId="0" shapeId="0" xr:uid="{00000000-0006-0000-0200-000009000000}">
      <text>
        <r>
          <rPr>
            <sz val="8"/>
            <color indexed="81"/>
            <rFont val="Tahoma"/>
            <family val="2"/>
          </rPr>
          <t>For Non-cancer risk calculations, the Averaging Period is set equal to the total Exposure period</t>
        </r>
      </text>
    </comment>
    <comment ref="G59" authorId="0" shapeId="0" xr:uid="{00000000-0006-0000-0200-00000A000000}">
      <text>
        <r>
          <rPr>
            <sz val="8"/>
            <color indexed="81"/>
            <rFont val="Tahoma"/>
            <family val="2"/>
          </rPr>
          <t xml:space="preserve">The Exposure Period should be the sum of the EP's for each age group comprising this receptor
</t>
        </r>
      </text>
    </comment>
    <comment ref="H59" authorId="0" shapeId="0" xr:uid="{00000000-0006-0000-0200-00000B000000}">
      <text>
        <r>
          <rPr>
            <sz val="8"/>
            <color indexed="81"/>
            <rFont val="Tahoma"/>
            <family val="2"/>
          </rPr>
          <t>For Cancer Risk calculations, the Averaging Period is set equal a lifetime, or 70 years.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00000000-0006-0000-0400-000001000000}">
      <text>
        <r>
          <rPr>
            <sz val="8"/>
            <color indexed="81"/>
            <rFont val="Tahoma"/>
            <family val="2"/>
          </rPr>
          <t xml:space="preserve">Target Hazard Index can be modified in Spreadsheet "TargetRisk", Cell D8.
</t>
        </r>
      </text>
    </comment>
    <comment ref="C4" authorId="0" shapeId="0" xr:uid="{00000000-0006-0000-0400-000002000000}">
      <text>
        <r>
          <rPr>
            <sz val="8"/>
            <color indexed="81"/>
            <rFont val="Tahoma"/>
            <family val="2"/>
          </rPr>
          <t>Target Excess Lifetime Cancer Risk can be modified in Spreadsheet "TargetRisk", Cell D12.</t>
        </r>
        <r>
          <rPr>
            <b/>
            <sz val="8"/>
            <color indexed="81"/>
            <rFont val="Tahoma"/>
            <family val="2"/>
          </rPr>
          <t xml:space="preserve">
</t>
        </r>
        <r>
          <rPr>
            <sz val="8"/>
            <color indexed="81"/>
            <rFont val="Tahoma"/>
            <family val="2"/>
          </rPr>
          <t xml:space="preserve">
</t>
        </r>
      </text>
    </comment>
    <comment ref="B38" authorId="0" shapeId="0" xr:uid="{00000000-0006-0000-0400-000003000000}">
      <text>
        <r>
          <rPr>
            <b/>
            <sz val="8"/>
            <color indexed="81"/>
            <rFont val="Tahoma"/>
            <family val="2"/>
          </rPr>
          <t>Author:</t>
        </r>
        <r>
          <rPr>
            <sz val="8"/>
            <color indexed="81"/>
            <rFont val="Tahoma"/>
            <family val="2"/>
          </rPr>
          <t xml:space="preserve">
Based on DEP ORS evaluation of acute dermal exposures to CrVI and potential for contact dermatitis.  See http://www.state.ma.us/dep/ors/files/chemical.htm</t>
        </r>
      </text>
    </comment>
    <comment ref="A128" authorId="0" shapeId="0" xr:uid="{00000000-0006-0000-0400-000004000000}">
      <text>
        <r>
          <rPr>
            <sz val="8"/>
            <color indexed="81"/>
            <rFont val="Tahoma"/>
            <family val="2"/>
          </rPr>
          <t>DIMETHYLBENZENES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0" authorId="0" shapeId="0" xr:uid="{00000000-0006-0000-0500-000001000000}">
      <text>
        <r>
          <rPr>
            <b/>
            <sz val="8"/>
            <color indexed="81"/>
            <rFont val="Tahoma"/>
            <family val="2"/>
          </rPr>
          <t>Author:</t>
        </r>
        <r>
          <rPr>
            <sz val="8"/>
            <color indexed="81"/>
            <rFont val="Tahoma"/>
            <family val="2"/>
          </rPr>
          <t xml:space="preserve">
All formulas use unrounded values, so calculations with displayed values may vary slightly from those in the spreadsheet. </t>
        </r>
      </text>
    </comment>
    <comment ref="B12" authorId="0" shapeId="0" xr:uid="{00000000-0006-0000-0500-000002000000}">
      <text>
        <r>
          <rPr>
            <sz val="8"/>
            <color indexed="81"/>
            <rFont val="Tahoma"/>
            <family val="2"/>
          </rPr>
          <t>See Workbook "MCP Toxicity.xls", sheet "BW"</t>
        </r>
      </text>
    </comment>
    <comment ref="T13" authorId="0" shapeId="0" xr:uid="{00000000-0006-0000-0500-000003000000}">
      <text>
        <r>
          <rPr>
            <sz val="9"/>
            <color indexed="81"/>
            <rFont val="Tahoma"/>
            <family val="2"/>
          </rPr>
          <t>Lower legs not included in S-2</t>
        </r>
      </text>
    </comment>
    <comment ref="L21" authorId="0" shapeId="0" xr:uid="{00000000-0006-0000-0500-000004000000}">
      <text>
        <r>
          <rPr>
            <sz val="8"/>
            <color indexed="81"/>
            <rFont val="Tahoma"/>
            <family val="2"/>
          </rPr>
          <t>Adherence Factors for the "Commercial Worker", as identified in the MA DEP DRAFT "Supplemental Guidance - Weighted Skin-Soil Adherence Factors"
Based on the Kissel "GroundsKeepers #1-5.</t>
        </r>
      </text>
    </comment>
    <comment ref="B34" authorId="0" shapeId="0" xr:uid="{00000000-0006-0000-0500-000005000000}">
      <text>
        <r>
          <rPr>
            <sz val="8"/>
            <color indexed="81"/>
            <rFont val="Tahoma"/>
            <family val="2"/>
          </rPr>
          <t>See Workbook "MCP Toxicity.xls", sheet "BW"</t>
        </r>
      </text>
    </comment>
    <comment ref="C42" authorId="0" shapeId="0" xr:uid="{00000000-0006-0000-0500-000006000000}">
      <text>
        <r>
          <rPr>
            <sz val="8"/>
            <color indexed="81"/>
            <rFont val="Tahoma"/>
            <family val="2"/>
          </rPr>
          <t xml:space="preserve">Average surface area of face, hands, forearms, lower legs and feet of adult females.
</t>
        </r>
      </text>
    </comment>
    <comment ref="H43" authorId="0" shapeId="0" xr:uid="{00000000-0006-0000-0500-000007000000}">
      <text>
        <r>
          <rPr>
            <sz val="8"/>
            <color indexed="81"/>
            <rFont val="Tahoma"/>
            <family val="2"/>
          </rPr>
          <t>For Non-cancer risk calculations, the Averaging Period is set equal to the total Exposure period.</t>
        </r>
      </text>
    </comment>
    <comment ref="C49" authorId="0" shapeId="0" xr:uid="{00000000-0006-0000-0500-000008000000}">
      <text>
        <r>
          <rPr>
            <sz val="8"/>
            <color indexed="81"/>
            <rFont val="Tahoma"/>
            <family val="2"/>
          </rPr>
          <t xml:space="preserve">Average surface area of face, hands, forearms, lower legs and feet of adult females.
</t>
        </r>
      </text>
    </comment>
    <comment ref="G51" authorId="0" shapeId="0" xr:uid="{00000000-0006-0000-0500-000009000000}">
      <text>
        <r>
          <rPr>
            <sz val="8"/>
            <color indexed="81"/>
            <rFont val="Tahoma"/>
            <family val="2"/>
          </rPr>
          <t xml:space="preserve">The Exposure Period should be the sum of the EP's for each age group comprising this receptor
</t>
        </r>
      </text>
    </comment>
    <comment ref="H51" authorId="0" shapeId="0" xr:uid="{00000000-0006-0000-0500-00000A000000}">
      <text>
        <r>
          <rPr>
            <sz val="8"/>
            <color indexed="81"/>
            <rFont val="Tahoma"/>
            <family val="2"/>
          </rPr>
          <t>For Cancer Risk calculations, the Averaging Period is set equal a lifetime, or 70 years.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00000000-0006-0000-0600-000001000000}">
      <text>
        <r>
          <rPr>
            <sz val="8"/>
            <color indexed="81"/>
            <rFont val="Tahoma"/>
            <family val="2"/>
          </rPr>
          <t xml:space="preserve">Target Hazard Index can be modified in Spreadsheet TargetRisk", Cell D8.
</t>
        </r>
      </text>
    </comment>
    <comment ref="E4" authorId="0" shapeId="0" xr:uid="{00000000-0006-0000-0600-000002000000}">
      <text>
        <r>
          <rPr>
            <sz val="8"/>
            <color indexed="81"/>
            <rFont val="Tahoma"/>
            <family val="2"/>
          </rPr>
          <t>Target Excess Lifetime Cancer Risk can be modified in Spreadsheet "TargetRisk", Cell D12.</t>
        </r>
        <r>
          <rPr>
            <sz val="9"/>
            <color indexed="81"/>
            <rFont val="Tahoma"/>
            <family val="2"/>
          </rPr>
          <t xml:space="preserve">
</t>
        </r>
      </text>
    </comment>
    <comment ref="B38" authorId="0" shapeId="0" xr:uid="{00000000-0006-0000-0600-000003000000}">
      <text>
        <r>
          <rPr>
            <b/>
            <sz val="8"/>
            <color indexed="81"/>
            <rFont val="Tahoma"/>
            <family val="2"/>
          </rPr>
          <t>Author:</t>
        </r>
        <r>
          <rPr>
            <sz val="8"/>
            <color indexed="81"/>
            <rFont val="Tahoma"/>
            <family val="2"/>
          </rPr>
          <t xml:space="preserve">
Based on DEP ORS evaluation of acute dermal exposures to CrVI and potential for contact dermatitis.  See http://www.state.ma.us/dep/ors/files/chemical.htm</t>
        </r>
      </text>
    </comment>
    <comment ref="A128" authorId="0" shapeId="0" xr:uid="{00000000-0006-0000-0600-000004000000}">
      <text>
        <r>
          <rPr>
            <sz val="8"/>
            <color indexed="81"/>
            <rFont val="Tahoma"/>
            <family val="2"/>
          </rPr>
          <t>DIMETHYLBENZENES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0" authorId="0" shapeId="0" xr:uid="{00000000-0006-0000-0700-000001000000}">
      <text>
        <r>
          <rPr>
            <b/>
            <sz val="8"/>
            <color indexed="81"/>
            <rFont val="Tahoma"/>
            <family val="2"/>
          </rPr>
          <t>Author:</t>
        </r>
        <r>
          <rPr>
            <sz val="8"/>
            <color indexed="81"/>
            <rFont val="Tahoma"/>
            <family val="2"/>
          </rPr>
          <t xml:space="preserve">
All formulas use unrounded values, so calculations with displayed values may vary slightly from those in the spreadsheet. </t>
        </r>
      </text>
    </comment>
    <comment ref="L11" authorId="0" shapeId="0" xr:uid="{00000000-0006-0000-0700-000002000000}">
      <text>
        <r>
          <rPr>
            <sz val="8"/>
            <color indexed="81"/>
            <rFont val="Tahoma"/>
            <family val="2"/>
          </rPr>
          <t>Adherence from MassDEP Technical Update "Weighted Skin-Soil Adherence Factors", Kissel. Utility Workers, unless otherwise noted. Skin Surface Area, see MCP Toxicity Skin Surface Area tab.</t>
        </r>
      </text>
    </comment>
    <comment ref="B12" authorId="0" shapeId="0" xr:uid="{00000000-0006-0000-0700-000003000000}">
      <text>
        <r>
          <rPr>
            <sz val="8"/>
            <color indexed="81"/>
            <rFont val="Tahoma"/>
            <family val="2"/>
          </rPr>
          <t>See Workbook "MCP Toxicity.xls", sheet "BW"</t>
        </r>
      </text>
    </comment>
    <comment ref="U17" authorId="0" shapeId="0" xr:uid="{00000000-0006-0000-0700-000004000000}">
      <text>
        <r>
          <rPr>
            <sz val="8"/>
            <color indexed="81"/>
            <rFont val="Tahoma"/>
            <family val="2"/>
          </rPr>
          <t>Not measured in Kissel for this Receptor Group.  The value for Gardeners #1 &amp; 2 is used.</t>
        </r>
      </text>
    </comment>
    <comment ref="W17" authorId="0" shapeId="0" xr:uid="{00000000-0006-0000-0700-000005000000}">
      <text>
        <r>
          <rPr>
            <sz val="8"/>
            <color indexed="81"/>
            <rFont val="Tahoma"/>
            <family val="2"/>
          </rPr>
          <t>Not measured in Kissel for this Receptor Group.  The value for Gardeners #1 &amp; 2 is used.</t>
        </r>
      </text>
    </comment>
    <comment ref="B33" authorId="0" shapeId="0" xr:uid="{00000000-0006-0000-0700-000006000000}">
      <text>
        <r>
          <rPr>
            <sz val="8"/>
            <color indexed="81"/>
            <rFont val="Tahoma"/>
            <family val="2"/>
          </rPr>
          <t>See Workbook "MCP Toxicity.xls", sheet "BW"</t>
        </r>
      </text>
    </comment>
    <comment ref="C41" authorId="0" shapeId="0" xr:uid="{00000000-0006-0000-0700-000007000000}">
      <text>
        <r>
          <rPr>
            <sz val="8"/>
            <color indexed="81"/>
            <rFont val="Tahoma"/>
            <family val="2"/>
          </rPr>
          <t xml:space="preserve">See specific surface area assumption to the right in this spreadsheet (cells L17-X17
) </t>
        </r>
      </text>
    </comment>
    <comment ref="C48" authorId="0" shapeId="0" xr:uid="{00000000-0006-0000-0700-000008000000}">
      <text>
        <r>
          <rPr>
            <sz val="8"/>
            <color indexed="81"/>
            <rFont val="Tahoma"/>
            <family val="2"/>
          </rPr>
          <t xml:space="preserve">See specific surface area assumption to the right in this spreadsheet (cells L17-X17) </t>
        </r>
      </text>
    </comment>
    <comment ref="D55" authorId="0" shapeId="0" xr:uid="{00000000-0006-0000-0700-000009000000}">
      <text>
        <r>
          <rPr>
            <sz val="8"/>
            <color indexed="81"/>
            <rFont val="Tahoma"/>
            <family val="2"/>
          </rPr>
          <t xml:space="preserve">20 l/min represents "light exertion", which can be considered representative for construction/excavation workers that may have periods of heavy exertion (60 l/min) and low activity (10 l/min).
</t>
        </r>
      </text>
    </comment>
    <comment ref="B76" authorId="0" shapeId="0" xr:uid="{00000000-0006-0000-0700-00000A000000}">
      <text>
        <r>
          <rPr>
            <sz val="8"/>
            <color indexed="81"/>
            <rFont val="Tahoma"/>
            <family val="2"/>
          </rPr>
          <t>See Workbook "MCP Toxicity.xls", sheet "BW".</t>
        </r>
      </text>
    </comment>
    <comment ref="E76" authorId="0" shapeId="0" xr:uid="{00000000-0006-0000-0700-00000B000000}">
      <text>
        <r>
          <rPr>
            <sz val="8"/>
            <color indexed="81"/>
            <rFont val="Tahoma"/>
            <family val="2"/>
          </rPr>
          <t xml:space="preserve">20 l/min represents "light exertion", which can be considered representative for construction/excavation workers that may have periods of heavy exertion (60 l/min) and low activity (10 l/min).
</t>
        </r>
      </text>
    </comment>
    <comment ref="D84" authorId="0" shapeId="0" xr:uid="{00000000-0006-0000-0700-00000C000000}">
      <text>
        <r>
          <rPr>
            <sz val="8"/>
            <color indexed="81"/>
            <rFont val="Tahoma"/>
            <family val="2"/>
          </rPr>
          <t xml:space="preserve">Includes particulate matter in the PM10 range combined with larger size particles, thus a fraction greater than 1.
</t>
        </r>
      </text>
    </comment>
    <comment ref="D91" authorId="0" shapeId="0" xr:uid="{00000000-0006-0000-0700-00000D000000}">
      <text>
        <r>
          <rPr>
            <sz val="8"/>
            <color indexed="81"/>
            <rFont val="Tahoma"/>
            <family val="2"/>
          </rPr>
          <t>Includes particulate matter in the PM10 range combined with larger size particles, thus a fraction greater than 1.</t>
        </r>
      </text>
    </comment>
  </commentList>
</comments>
</file>

<file path=xl/sharedStrings.xml><?xml version="1.0" encoding="utf-8"?>
<sst xmlns="http://schemas.openxmlformats.org/spreadsheetml/2006/main" count="1249" uniqueCount="396">
  <si>
    <t>ZINC</t>
  </si>
  <si>
    <t>VINYL CHLORIDE</t>
  </si>
  <si>
    <t>VANADIUM</t>
  </si>
  <si>
    <t>TRICHLOROPHENOL 2,4,6-</t>
  </si>
  <si>
    <t>TRICHLOROPHENOL, 2,4,5-</t>
  </si>
  <si>
    <t>TRICHLOROETHYLENE</t>
  </si>
  <si>
    <t>TRICHLOROETHANE, 1,1,2-</t>
  </si>
  <si>
    <t>TRICHLOROETHANE, 1,1,1-</t>
  </si>
  <si>
    <t>TRICHLOROBENZENE, 1,2,4-</t>
  </si>
  <si>
    <t>TOLUENE</t>
  </si>
  <si>
    <t>THALLIUM</t>
  </si>
  <si>
    <t>TETRACHLOROETHYLENE</t>
  </si>
  <si>
    <t>TETRACHLOROETHANE, 1,1,2,2-</t>
  </si>
  <si>
    <t>TETRACHLOROETHANE, 1,1,1,2-</t>
  </si>
  <si>
    <t>TCDD, 2,3,7,8-  (equivalents)</t>
  </si>
  <si>
    <t>STYRENE</t>
  </si>
  <si>
    <t>SILVER</t>
  </si>
  <si>
    <t>SELENIUM</t>
  </si>
  <si>
    <t>RDX</t>
  </si>
  <si>
    <t>PYRENE</t>
  </si>
  <si>
    <t>POLYCHLORINATED BIPHENYLS (PCBs)</t>
  </si>
  <si>
    <t>PHENOL</t>
  </si>
  <si>
    <t>PHENANTHRENE</t>
  </si>
  <si>
    <t>PETROLEUM HYDROCARBONS</t>
  </si>
  <si>
    <t>PENTACHLOROPHENOL</t>
  </si>
  <si>
    <t>NICKEL</t>
  </si>
  <si>
    <t>NAPHTHALENE</t>
  </si>
  <si>
    <t>METHYLNAPHTHALENE, 2-</t>
  </si>
  <si>
    <t>METHYL TERT BUTYL ETHER</t>
  </si>
  <si>
    <t>METHYL MERCURY</t>
  </si>
  <si>
    <t>METHYL ISOBUTYL KETONE</t>
  </si>
  <si>
    <t>METHYL ETHYL KETONE</t>
  </si>
  <si>
    <t>METHOXYCHLOR</t>
  </si>
  <si>
    <t>MERCURY</t>
  </si>
  <si>
    <t>LEAD</t>
  </si>
  <si>
    <t>INDENO(1,2,3-cd)PYRENE</t>
  </si>
  <si>
    <t>HMX</t>
  </si>
  <si>
    <t>HEXACHLOROETHANE</t>
  </si>
  <si>
    <t>HEXACHLOROCYCLOHEXANE, GAMMA (gamma-HCH)</t>
  </si>
  <si>
    <t>HEXACHLOROBUTADIENE</t>
  </si>
  <si>
    <t>HEXACHLOROBENZENE</t>
  </si>
  <si>
    <t>HEPTACHLOR EPOXIDE</t>
  </si>
  <si>
    <t>HEPTACHLOR</t>
  </si>
  <si>
    <t>FLUORENE</t>
  </si>
  <si>
    <t>FLUORANTHENE</t>
  </si>
  <si>
    <t>ETHYLENE DIBROMIDE</t>
  </si>
  <si>
    <t>ETHYLBENZENE</t>
  </si>
  <si>
    <t>ENDRIN</t>
  </si>
  <si>
    <t>ENDOSULFAN</t>
  </si>
  <si>
    <t>DIOXANE, 1,4-</t>
  </si>
  <si>
    <t>DINITROTOLUENE, 2,4-</t>
  </si>
  <si>
    <t>DINITROPHENOL, 2,4-</t>
  </si>
  <si>
    <t>DIMETHYLPHENOL, 2,4-</t>
  </si>
  <si>
    <t>DIMETHYL PHTHALATE</t>
  </si>
  <si>
    <t>DIETHYL PHTHALATE</t>
  </si>
  <si>
    <t>DIELDRIN</t>
  </si>
  <si>
    <t>DICHLOROPROPENE, 1,3-</t>
  </si>
  <si>
    <t>DICHLOROPROPANE, 1,2-</t>
  </si>
  <si>
    <t>DICHLOROPHENOL, 2,4-</t>
  </si>
  <si>
    <t>DICHLOROMETHANE</t>
  </si>
  <si>
    <t>DICHLOROETHYLENE, TRANS-1,2-</t>
  </si>
  <si>
    <t>DICHLOROETHYLENE, CIS-1,2-</t>
  </si>
  <si>
    <t>DICHLOROETHYLENE, 1,1-</t>
  </si>
  <si>
    <t>DICHLOROETHANE, 1,2-</t>
  </si>
  <si>
    <t>DICHLOROETHANE, 1,1-</t>
  </si>
  <si>
    <t>DICHLORODIPHENYLTRICHLOROETHANE, P,P'- (DDT)</t>
  </si>
  <si>
    <t>DICHLORODIPHENYLDICHLOROETHYLENE,P,P'- (DDE)</t>
  </si>
  <si>
    <t>DICHLORODIPHENYL DICHLOROETHANE, P,P'- (DDD)</t>
  </si>
  <si>
    <t>DICHLOROBENZIDINE, 3,3'-</t>
  </si>
  <si>
    <t>DICHLOROBENZENE, 1,4-  (p-DCB)</t>
  </si>
  <si>
    <t>DICHLOROBENZENE, 1,3-  (m-DCB)</t>
  </si>
  <si>
    <t>DICHLOROBENZENE, 1,2-  (o-DCB)</t>
  </si>
  <si>
    <t>DIBROMOCHLOROMETHANE</t>
  </si>
  <si>
    <t>DIBENZO(a,h)ANTHRACENE</t>
  </si>
  <si>
    <t>CYANIDE</t>
  </si>
  <si>
    <t>CHRYSENE</t>
  </si>
  <si>
    <t>CHROMIUM(VI)</t>
  </si>
  <si>
    <t>CHROMIUM(III)</t>
  </si>
  <si>
    <t>CHROMIUM (TOTAL)</t>
  </si>
  <si>
    <t>CHLOROPHENOL, 2-</t>
  </si>
  <si>
    <t>CHLOROFORM</t>
  </si>
  <si>
    <t>CHLOROBENZENE</t>
  </si>
  <si>
    <t>CHLOROANILINE, p-</t>
  </si>
  <si>
    <t>CHLORDANE</t>
  </si>
  <si>
    <t>CARBON TETRACHLORIDE</t>
  </si>
  <si>
    <t>CADMIUM</t>
  </si>
  <si>
    <t>BROMOMETHANE</t>
  </si>
  <si>
    <t>BROMOFORM</t>
  </si>
  <si>
    <t>BROMODICHLOROMETHANE</t>
  </si>
  <si>
    <t>BIS(2-ETHYLHEXYL)PHTHALATE</t>
  </si>
  <si>
    <t>BIS(2-CHLOROISOPROPYL)ETHER</t>
  </si>
  <si>
    <t>BIS(2-CHLOROETHYL)ETHER</t>
  </si>
  <si>
    <t>BIPHENYL, 1,1-</t>
  </si>
  <si>
    <t>BERYLLIUM</t>
  </si>
  <si>
    <t>BENZO(k)FLUORANTHENE</t>
  </si>
  <si>
    <t>BENZO(g,h,i)PERYLENE</t>
  </si>
  <si>
    <t>BENZO(b)FLUORANTHENE</t>
  </si>
  <si>
    <t>BENZO(a)PYRENE</t>
  </si>
  <si>
    <t>BENZO(a)ANTHRACENE</t>
  </si>
  <si>
    <t>BENZENE</t>
  </si>
  <si>
    <t>BARIUM</t>
  </si>
  <si>
    <t>ARSENIC</t>
  </si>
  <si>
    <t>ANTIMONY</t>
  </si>
  <si>
    <t>ANTHRACENE</t>
  </si>
  <si>
    <t>ALDRIN</t>
  </si>
  <si>
    <t>ACETONE</t>
  </si>
  <si>
    <t>ACENAPHTHYLENE</t>
  </si>
  <si>
    <t>ACENAPHTHENE</t>
  </si>
  <si>
    <t>Basis</t>
  </si>
  <si>
    <t>mg/kg</t>
  </si>
  <si>
    <t>basis</t>
  </si>
  <si>
    <t>OIL OR HAZARDOUS MATERIAL</t>
  </si>
  <si>
    <t>Direct Contact</t>
  </si>
  <si>
    <t>CANCER</t>
  </si>
  <si>
    <t>NONCANCER</t>
  </si>
  <si>
    <t>DIRECT CONTACT</t>
  </si>
  <si>
    <t>RISK-BASED LEVELS</t>
  </si>
  <si>
    <t>RESIDENTIAL RECEPTOR</t>
  </si>
  <si>
    <t>Receptor Total</t>
  </si>
  <si>
    <t>Contact Rate</t>
  </si>
  <si>
    <t>Soil Dermal</t>
  </si>
  <si>
    <t>Age 1-8</t>
  </si>
  <si>
    <t>Average Daily</t>
  </si>
  <si>
    <t>Lifetime</t>
  </si>
  <si>
    <t>Receptor:</t>
  </si>
  <si>
    <t>Factor</t>
  </si>
  <si>
    <t>Cancer Risk</t>
  </si>
  <si>
    <t>Adherence</t>
  </si>
  <si>
    <t>25&lt;31</t>
  </si>
  <si>
    <t>18&lt;25</t>
  </si>
  <si>
    <t>Resident, Age 1-8</t>
  </si>
  <si>
    <t>Noncancer Risk</t>
  </si>
  <si>
    <t>17&lt;18</t>
  </si>
  <si>
    <t>days/year</t>
  </si>
  <si>
    <t>years</t>
  </si>
  <si>
    <t>weeks/year</t>
  </si>
  <si>
    <t>days/week</t>
  </si>
  <si>
    <t>mg/cm2</t>
  </si>
  <si>
    <t>cm2/day</t>
  </si>
  <si>
    <t>kg</t>
  </si>
  <si>
    <t>16&lt;17</t>
  </si>
  <si>
    <t>Average</t>
  </si>
  <si>
    <t>C2</t>
  </si>
  <si>
    <t>C1</t>
  </si>
  <si>
    <t>AP</t>
  </si>
  <si>
    <t>EP</t>
  </si>
  <si>
    <t>EF2</t>
  </si>
  <si>
    <t>EF1</t>
  </si>
  <si>
    <t>Area Exposed</t>
  </si>
  <si>
    <t>BW</t>
  </si>
  <si>
    <t>15&lt;16</t>
  </si>
  <si>
    <t>Constant</t>
  </si>
  <si>
    <t>Period</t>
  </si>
  <si>
    <t>Frequency</t>
  </si>
  <si>
    <t>Surface</t>
  </si>
  <si>
    <t>Body Weight</t>
  </si>
  <si>
    <t>14&lt;15</t>
  </si>
  <si>
    <t>Conversion</t>
  </si>
  <si>
    <t>Averaging</t>
  </si>
  <si>
    <t>Exposure</t>
  </si>
  <si>
    <t>Soil</t>
  </si>
  <si>
    <t>Average Skin</t>
  </si>
  <si>
    <t>13&lt;14</t>
  </si>
  <si>
    <t>12&lt;13</t>
  </si>
  <si>
    <t>Soil Dermal Exposures</t>
  </si>
  <si>
    <t>11&lt;12</t>
  </si>
  <si>
    <t>10&lt;11</t>
  </si>
  <si>
    <t>9&lt;10</t>
  </si>
  <si>
    <t>8&lt;9</t>
  </si>
  <si>
    <t>1&lt;8</t>
  </si>
  <si>
    <t>Rate</t>
  </si>
  <si>
    <t>Soil Ingestion</t>
  </si>
  <si>
    <t>Resident, Age 1-31</t>
  </si>
  <si>
    <t>7&lt;8</t>
  </si>
  <si>
    <t>6&lt;7</t>
  </si>
  <si>
    <t>5&lt;6</t>
  </si>
  <si>
    <t>4&lt;5</t>
  </si>
  <si>
    <t>3&lt;4</t>
  </si>
  <si>
    <t>2&lt;3</t>
  </si>
  <si>
    <t>1&lt;2</t>
  </si>
  <si>
    <t>head)</t>
  </si>
  <si>
    <t>mg/day</t>
  </si>
  <si>
    <t>Legs</t>
  </si>
  <si>
    <t>(1/3 of</t>
  </si>
  <si>
    <t>IR</t>
  </si>
  <si>
    <t>Feet</t>
  </si>
  <si>
    <t>Lower</t>
  </si>
  <si>
    <t>Hands</t>
  </si>
  <si>
    <t>Forearms</t>
  </si>
  <si>
    <t>Face</t>
  </si>
  <si>
    <t>Head</t>
  </si>
  <si>
    <t>Age (years)</t>
  </si>
  <si>
    <t>Surface Area/Adherence Factor Calculations (S-1):</t>
  </si>
  <si>
    <t>Soil Ingestion Exposures</t>
  </si>
  <si>
    <t>factors to calculate Risk Based Levels.</t>
  </si>
  <si>
    <t>are receptor-specific and apply regardless of contaminant of concern.  These values are then used in combination with chemical-specific</t>
  </si>
  <si>
    <t>This spreadsheet calculates exposure factors for the a residential receptor, both for noncancer and cancer health endpoints.  These factors</t>
  </si>
  <si>
    <t>S-1 Soil Exposure Assumptions</t>
  </si>
  <si>
    <t>S-2</t>
  </si>
  <si>
    <t>Age 18-45</t>
  </si>
  <si>
    <t>Adult Worker</t>
  </si>
  <si>
    <t>18&lt;45</t>
  </si>
  <si>
    <t>35&lt;45</t>
  </si>
  <si>
    <t>25&lt;35</t>
  </si>
  <si>
    <t>Surface Area/Adherence Factor Calculations (S-2):</t>
  </si>
  <si>
    <t>Workers who have chronic, intense exposure to soil, like agricultural workers, should be addressed using the S-1 Soil Levels or a Method 3 Risk Characterization.</t>
  </si>
  <si>
    <t>The worker is assumed to come into contact with contaminated soil infrequently, as an incidental exposure not related to their actual employment.</t>
  </si>
  <si>
    <t>factors to calculate the S-2 Standards.</t>
  </si>
  <si>
    <t>This spreadsheet calculates exposure factors for an adult commercial/industrial receptor, both for noncancer and cancer health endpoints.  These factors</t>
  </si>
  <si>
    <t>S-2 Soil Exposure Assumptions</t>
  </si>
  <si>
    <t>S-3</t>
  </si>
  <si>
    <t>Age 18-25</t>
  </si>
  <si>
    <t>Age 22</t>
  </si>
  <si>
    <t>weeks</t>
  </si>
  <si>
    <t>Surface Area/Adherence Factor Calculations (S-3):</t>
  </si>
  <si>
    <t>factors to calculate S-3 Standards.</t>
  </si>
  <si>
    <t>These factors are receptor-specific and apply regardless of contaminant of concern.  These values are then used in combination with chemical-specific</t>
  </si>
  <si>
    <t>This spreadsheet calculates exposure factors for an adult construction/excavation worker  receptor, both for noncancer and cancer health endpoints.</t>
  </si>
  <si>
    <t>S-3 Soil Exposure Assumptions</t>
  </si>
  <si>
    <t>S-1</t>
  </si>
  <si>
    <t>Development of MCP Risk-Based Levels for Soil and Groundwater</t>
  </si>
  <si>
    <t>This workbook file is comprised of the following spreadsheets:</t>
  </si>
  <si>
    <t>Sheet Name</t>
  </si>
  <si>
    <t>Description</t>
  </si>
  <si>
    <t>Introduction</t>
  </si>
  <si>
    <t>This spreadsheet.</t>
  </si>
  <si>
    <t>Database of toxicity values and physical constants used in calculations</t>
  </si>
  <si>
    <t>Calculation of the S-1 Soil Standards, based on a residential-type</t>
  </si>
  <si>
    <t>exposure scenario.  These results go into MCP Table 5.</t>
  </si>
  <si>
    <t>S-1 Assumptions</t>
  </si>
  <si>
    <t>Exposure assumptions used to calculate the S-1 Soil Standards.</t>
  </si>
  <si>
    <t>Includes calculations of exposure, average body weight and soil adherence.</t>
  </si>
  <si>
    <t>Calculation of the S-2 Soil Standards, based on a commercial-type</t>
  </si>
  <si>
    <t>S-2 Assumptions</t>
  </si>
  <si>
    <t>Exposure assumptions used to calculate the S-2 Soil Standards.</t>
  </si>
  <si>
    <t>Calculation of the S-3 Soil Standards, based on an excavation/construction-type</t>
  </si>
  <si>
    <t>S-3 Assumptions</t>
  </si>
  <si>
    <t>Exposure assumptions used to calculate the S-3 Soil Standards.</t>
  </si>
  <si>
    <t>Questions and Comments may be addressed to:</t>
  </si>
  <si>
    <t>Massachusetts Department of Environmental Protection</t>
  </si>
  <si>
    <t>Office of Research and Standards</t>
  </si>
  <si>
    <t>C3</t>
  </si>
  <si>
    <t>mg/g</t>
  </si>
  <si>
    <t>Lowest EPH Fraction</t>
  </si>
  <si>
    <t>Lower of Cr III and VI</t>
  </si>
  <si>
    <t>Particulate Inhalation Exposures</t>
  </si>
  <si>
    <t>Conc.</t>
  </si>
  <si>
    <t>Ventilation</t>
  </si>
  <si>
    <t>l/min</t>
  </si>
  <si>
    <t>hr/day</t>
  </si>
  <si>
    <t>day/week</t>
  </si>
  <si>
    <t>Working</t>
  </si>
  <si>
    <t>kg/µg</t>
  </si>
  <si>
    <t>Daily</t>
  </si>
  <si>
    <t>l/day</t>
  </si>
  <si>
    <t>week/hr</t>
  </si>
  <si>
    <t>wks/yr</t>
  </si>
  <si>
    <t>EF3</t>
  </si>
  <si>
    <t>year/hr</t>
  </si>
  <si>
    <t>C4</t>
  </si>
  <si>
    <t>kg/mg</t>
  </si>
  <si>
    <t>Particulate Ingestion Exposures</t>
  </si>
  <si>
    <t>Inhalation-GI</t>
  </si>
  <si>
    <t>week/day</t>
  </si>
  <si>
    <t>min/hr</t>
  </si>
  <si>
    <t>year/day</t>
  </si>
  <si>
    <t>Construction/Excavation Receptor</t>
  </si>
  <si>
    <t>min/day</t>
  </si>
  <si>
    <t>Soil Inhalation</t>
  </si>
  <si>
    <t>For the S-3 exposures, the worker is assumed to come into contact with contaminated soil frequently and intensively while the work is on-going, but</t>
  </si>
  <si>
    <t>upon data present in the other workbooks.  Without the following files in the same directory, the values you</t>
  </si>
  <si>
    <t>This workbook is directly linked to one other related spreadsheet.  This means that the calculations herein rely</t>
  </si>
  <si>
    <t>Age 8-15</t>
  </si>
  <si>
    <t>Age 15-31</t>
  </si>
  <si>
    <t>8&lt;15</t>
  </si>
  <si>
    <t>SSA</t>
  </si>
  <si>
    <t>SAF</t>
  </si>
  <si>
    <t>Fraction</t>
  </si>
  <si>
    <t>Ingested</t>
  </si>
  <si>
    <t>Inhaled</t>
  </si>
  <si>
    <t>C5</t>
  </si>
  <si>
    <t>C6</t>
  </si>
  <si>
    <t>C7</t>
  </si>
  <si>
    <t>C8</t>
  </si>
  <si>
    <t>C9</t>
  </si>
  <si>
    <t>C10</t>
  </si>
  <si>
    <t>C11</t>
  </si>
  <si>
    <t>C12</t>
  </si>
  <si>
    <t>PERCHLORATE</t>
  </si>
  <si>
    <t xml:space="preserve">the duration of the exposure is assumed to be relatively short, consistent with a construction scenario. </t>
  </si>
  <si>
    <t>COMMERCIAL RECEPTOR</t>
  </si>
  <si>
    <t>XYLENES (Mixed Isomers)</t>
  </si>
  <si>
    <t>kg soil/kg bodyweight</t>
  </si>
  <si>
    <t>/day</t>
  </si>
  <si>
    <t>kg soil/kg bw/day</t>
  </si>
  <si>
    <t>Lower of CrIII and CrIV</t>
  </si>
  <si>
    <t>SOIL LEVELS</t>
  </si>
  <si>
    <t>Not Calculated</t>
  </si>
  <si>
    <t>PERFLUOROOCTANOIC ACID (PFOA)</t>
  </si>
  <si>
    <t>PERFLUOROHEPTANOIC ACID (PFHpA)</t>
  </si>
  <si>
    <t>PERFLUOROHEXANESULFONIC ACID (PFHxS)</t>
  </si>
  <si>
    <t>PERFLUORONONANOIC ACID (PFNA)</t>
  </si>
  <si>
    <t>Mutagen Risk</t>
  </si>
  <si>
    <t>Resident, Age 1&lt;2</t>
  </si>
  <si>
    <t>Age 2&lt;6</t>
  </si>
  <si>
    <t>Age 6&lt;16</t>
  </si>
  <si>
    <t>Age 16&lt;31</t>
  </si>
  <si>
    <t>2&lt;6</t>
  </si>
  <si>
    <t>6&lt;16</t>
  </si>
  <si>
    <t>16&lt;31</t>
  </si>
  <si>
    <t>Ad Fac</t>
  </si>
  <si>
    <t>ADAF 1&lt;2</t>
  </si>
  <si>
    <t>ADAF 2&lt;6</t>
  </si>
  <si>
    <t>ADAF 6&lt;16</t>
  </si>
  <si>
    <t>ADAF 16&lt;31</t>
  </si>
  <si>
    <t>15&lt;31</t>
  </si>
  <si>
    <t>Vinyl Chloride 1&lt;2</t>
  </si>
  <si>
    <t>ADSIR</t>
  </si>
  <si>
    <t xml:space="preserve">Vinyl Chloride </t>
  </si>
  <si>
    <t>Ave Daily Soil</t>
  </si>
  <si>
    <t>Dermal Contact</t>
  </si>
  <si>
    <t>Rate 1&lt;2</t>
  </si>
  <si>
    <t>Rest of Life Cancer</t>
  </si>
  <si>
    <t>Early Life Cancer 1&lt;2</t>
  </si>
  <si>
    <t>1&lt;6</t>
  </si>
  <si>
    <t>PERFLUOROOCTANESULFONIC ACID (PFOS)</t>
  </si>
  <si>
    <t>* For Vinyl Chloride AP is = EP for early age groups.</t>
  </si>
  <si>
    <t>exposure scenario for Trichloroethylene.</t>
  </si>
  <si>
    <t>PER- AND POLYFLUORALKYL SUBSTANCES (PFAS)</t>
  </si>
  <si>
    <t>PERFLUORODECANOIC ACID (PFDA)</t>
  </si>
  <si>
    <t>Trichloroethylene Liver CSF:</t>
  </si>
  <si>
    <t>Trichloroethylene Kidney CSF:</t>
  </si>
  <si>
    <t>S-1 Direct Contact Soil Concentration 
mg/kg</t>
  </si>
  <si>
    <t>S-1 TCE &amp; VC</t>
  </si>
  <si>
    <t>S-1 Direct Contact
Risk Factor
1(mg/kg)</t>
  </si>
  <si>
    <t>S-1 Direct Contact
Soil Exposure Risk Factor
1/(mg/kg)</t>
  </si>
  <si>
    <t>Liver Cancer Risk Factor 
1/(mg/kg)</t>
  </si>
  <si>
    <t>Kidney Mutagen Risk Factor 
1(mg/kg)</t>
  </si>
  <si>
    <t xml:space="preserve">Sum of Liver and Kidney Risk Factors
1(mg/kg) </t>
  </si>
  <si>
    <t>S-1 Direct Contact
Risk-Based
Soil Concentration
mg/kg</t>
  </si>
  <si>
    <t>Trichloroethylene S-1 Mutagen Risk Calculations</t>
  </si>
  <si>
    <t>Vinyl Chloride S-1 Mutagen Risk Calculations</t>
  </si>
  <si>
    <t>1/(mg/kg-day)</t>
  </si>
  <si>
    <t xml:space="preserve">*Risk Factors include the CSF and exposure, the final Risk-Based concentrations include the MCP Method 1 Risk Limits. </t>
  </si>
  <si>
    <t>See the MCP Derivation Documentation for full equations.</t>
  </si>
  <si>
    <t>NONMUTAGENIC CANCER</t>
  </si>
  <si>
    <t>MUTAGENIC CANCER</t>
  </si>
  <si>
    <t>LOWEST OF RISK-BASED AND CEILING LEVELS</t>
  </si>
  <si>
    <t>HIGHEST OF COLUMN F, BACKGROUND, AND PQL</t>
  </si>
  <si>
    <t>DIRECT CONTACT RISK-BASED SOIL CONCENTRATION LEVELS</t>
  </si>
  <si>
    <t>S-1 Methods 1 &amp; 2 Direct Contact Soil Concentration Level (Rounded)</t>
  </si>
  <si>
    <t>S-2 Methods 1 &amp; 2 Direct Contact Soil Level (Rounded)</t>
  </si>
  <si>
    <t>Lower of the S-3 and S-2 Calculated Values</t>
  </si>
  <si>
    <t>Highest of Column D, Background, and PQL</t>
  </si>
  <si>
    <t>Lowest of Risk-Based and Ceiling Levels</t>
  </si>
  <si>
    <t>S-3 Methods 1 &amp; 2 Direct Contact Soil Level (Rounded)</t>
  </si>
  <si>
    <t>(HI = 0.2)</t>
  </si>
  <si>
    <t>Particulate Inhalation</t>
  </si>
  <si>
    <t>Combined Exposure</t>
  </si>
  <si>
    <r>
      <t>(ELCR = 1 x 10</t>
    </r>
    <r>
      <rPr>
        <vertAlign val="superscript"/>
        <sz val="8"/>
        <rFont val="Arial"/>
        <family val="2"/>
      </rPr>
      <t>-6</t>
    </r>
    <r>
      <rPr>
        <sz val="8"/>
        <rFont val="Arial"/>
        <family val="2"/>
      </rPr>
      <t>)</t>
    </r>
  </si>
  <si>
    <t>(ELCR = 1 x 10-6)</t>
  </si>
  <si>
    <t>Ingestion / Dermal</t>
  </si>
  <si>
    <t>HIGHEST OF COLUMN H, BACKGROUND, AND PQL</t>
  </si>
  <si>
    <r>
      <t>cm</t>
    </r>
    <r>
      <rPr>
        <vertAlign val="superscript"/>
        <sz val="9"/>
        <rFont val="Arial"/>
        <family val="2"/>
      </rPr>
      <t>2</t>
    </r>
    <r>
      <rPr>
        <sz val="9"/>
        <rFont val="Arial"/>
        <family val="2"/>
      </rPr>
      <t>/day</t>
    </r>
  </si>
  <si>
    <r>
      <t>mg/cm</t>
    </r>
    <r>
      <rPr>
        <vertAlign val="superscript"/>
        <sz val="9"/>
        <rFont val="Arial"/>
        <family val="2"/>
      </rPr>
      <t>2</t>
    </r>
  </si>
  <si>
    <r>
      <t>cm</t>
    </r>
    <r>
      <rPr>
        <vertAlign val="superscript"/>
        <sz val="9"/>
        <rFont val="Arial"/>
        <family val="2"/>
      </rPr>
      <t>2</t>
    </r>
  </si>
  <si>
    <r>
      <t>cm</t>
    </r>
    <r>
      <rPr>
        <vertAlign val="superscript"/>
        <sz val="8"/>
        <rFont val="Arial"/>
        <family val="2"/>
      </rPr>
      <t>2</t>
    </r>
  </si>
  <si>
    <r>
      <t>mg/cm</t>
    </r>
    <r>
      <rPr>
        <vertAlign val="superscript"/>
        <sz val="8"/>
        <rFont val="Arial"/>
        <family val="2"/>
      </rPr>
      <t>2</t>
    </r>
  </si>
  <si>
    <r>
      <t>cm</t>
    </r>
    <r>
      <rPr>
        <vertAlign val="superscript"/>
        <sz val="8"/>
        <rFont val="Arial"/>
        <family val="2"/>
      </rPr>
      <t>2</t>
    </r>
    <r>
      <rPr>
        <sz val="8"/>
        <rFont val="Arial"/>
        <family val="2"/>
      </rPr>
      <t>/day</t>
    </r>
  </si>
  <si>
    <r>
      <t>PM</t>
    </r>
    <r>
      <rPr>
        <vertAlign val="subscript"/>
        <sz val="8"/>
        <rFont val="Arial"/>
        <family val="2"/>
      </rPr>
      <t>10</t>
    </r>
  </si>
  <si>
    <r>
      <t>of PM</t>
    </r>
    <r>
      <rPr>
        <vertAlign val="subscript"/>
        <sz val="8"/>
        <rFont val="Arial"/>
        <family val="2"/>
      </rPr>
      <t>10</t>
    </r>
  </si>
  <si>
    <r>
      <t>VR</t>
    </r>
    <r>
      <rPr>
        <vertAlign val="subscript"/>
        <sz val="8"/>
        <rFont val="Arial"/>
        <family val="2"/>
      </rPr>
      <t>w</t>
    </r>
  </si>
  <si>
    <r>
      <t>VR</t>
    </r>
    <r>
      <rPr>
        <vertAlign val="subscript"/>
        <sz val="8"/>
        <rFont val="Arial"/>
        <family val="2"/>
      </rPr>
      <t>d</t>
    </r>
  </si>
  <si>
    <r>
      <t>µg/m</t>
    </r>
    <r>
      <rPr>
        <vertAlign val="superscript"/>
        <sz val="8"/>
        <rFont val="Arial"/>
        <family val="2"/>
      </rPr>
      <t>3</t>
    </r>
  </si>
  <si>
    <r>
      <t>F</t>
    </r>
    <r>
      <rPr>
        <vertAlign val="subscript"/>
        <sz val="8"/>
        <rFont val="Arial"/>
        <family val="2"/>
      </rPr>
      <t>inh</t>
    </r>
  </si>
  <si>
    <r>
      <t>kg soil/m</t>
    </r>
    <r>
      <rPr>
        <vertAlign val="superscript"/>
        <sz val="8"/>
        <rFont val="Arial"/>
        <family val="2"/>
      </rPr>
      <t>3</t>
    </r>
  </si>
  <si>
    <r>
      <t>(µg*kg)/(mg*m</t>
    </r>
    <r>
      <rPr>
        <vertAlign val="superscript"/>
        <sz val="8"/>
        <rFont val="Arial"/>
        <family val="2"/>
      </rPr>
      <t>3</t>
    </r>
    <r>
      <rPr>
        <sz val="8"/>
        <rFont val="Arial"/>
        <family val="2"/>
      </rPr>
      <t>)</t>
    </r>
  </si>
  <si>
    <r>
      <t>F</t>
    </r>
    <r>
      <rPr>
        <vertAlign val="subscript"/>
        <sz val="8"/>
        <rFont val="Arial"/>
        <family val="2"/>
      </rPr>
      <t>ing</t>
    </r>
  </si>
  <si>
    <r>
      <t>m</t>
    </r>
    <r>
      <rPr>
        <vertAlign val="superscript"/>
        <sz val="8"/>
        <rFont val="Arial"/>
        <family val="2"/>
      </rPr>
      <t>3</t>
    </r>
    <r>
      <rPr>
        <sz val="8"/>
        <rFont val="Arial"/>
        <family val="2"/>
      </rPr>
      <t>/l</t>
    </r>
  </si>
  <si>
    <t>TOTAL CANCER (Mutagenic and/or Nonmutagenic)</t>
  </si>
  <si>
    <t>OIL OR HAZARDOUS MATERIAL (OHM)</t>
  </si>
  <si>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</si>
  <si>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</si>
  <si>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</si>
  <si>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</si>
  <si>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</si>
  <si>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</si>
  <si>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see in this workbook may not be up-to-date.</t>
  </si>
  <si>
    <t>MCP Toxicity_022020.xlsx</t>
  </si>
  <si>
    <t>Azin Kavian</t>
  </si>
  <si>
    <t>100 Cambridge Street</t>
  </si>
  <si>
    <t>Boston, MA 02114  USA</t>
  </si>
  <si>
    <t>Email: azin.kavian@mass.gov</t>
  </si>
  <si>
    <t>NOTE:  This workbook contains many Notes attached to particular cells.  Notes can be seen by choosing "Show All Notes" from the  menu in the "Review" panel.</t>
  </si>
  <si>
    <t>(by ADAF age bin)</t>
  </si>
  <si>
    <t>kg soil/kg bodyweight/day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</si>
</sst>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General_)"/>
    <numFmt numFmtId="165" formatCode="0_)"/>
    <numFmt numFmtId="166" formatCode="0.0E+00_)"/>
    <numFmt numFmtId="167" formatCode="0.00_)"/>
    <numFmt numFmtId="168" formatCode="0.0_)"/>
    <numFmt numFmtId="169" formatCode="0E+00_)"/>
    <numFmt numFmtId="170" formatCode="0.E+00"/>
    <numFmt numFmtId="171" formatCode="0.0"/>
    <numFmt numFmtId="172" formatCode="0.000"/>
    <numFmt numFmtId="173" formatCode="0.0E+00"/>
    <numFmt numFmtId="174" formatCode="0.00.E+00"/>
    <numFmt numFmtId="175" formatCode="0.000E+00"/>
  </numFmts>
  <fonts count="29" x14ac:knownFonts="1">
    <font>
      <sz val="10"/>
      <name val="Arial"/>
    </font>
    <font>
      <sz val="10"/>
      <name val="Arial"/>
      <family val="2"/>
    </font>
    <font>
      <sz val="11"/>
      <name val="Arial"/>
      <family val="2"/>
    </font>
    <font>
      <b/>
      <sz val="10"/>
      <color indexed="10"/>
      <name val="Arial"/>
      <family val="2"/>
    </font>
    <font>
      <sz val="8"/>
      <name val="Arial"/>
      <family val="2"/>
    </font>
    <font>
      <sz val="9"/>
      <name val="Arial"/>
      <family val="2"/>
    </font>
    <font>
      <b/>
      <sz val="9"/>
      <name val="Arial"/>
      <family val="2"/>
    </font>
    <font>
      <sz val="8"/>
      <name val="Courier"/>
      <family val="3"/>
    </font>
    <font>
      <b/>
      <sz val="10"/>
      <name val="Arial"/>
      <family val="2"/>
    </font>
    <font>
      <sz val="8"/>
      <color indexed="81"/>
      <name val="Tahoma"/>
      <family val="2"/>
    </font>
    <font>
      <b/>
      <sz val="8"/>
      <color indexed="81"/>
      <name val="Tahoma"/>
      <family val="2"/>
    </font>
    <font>
      <b/>
      <sz val="11"/>
      <name val="Arial"/>
      <family val="2"/>
    </font>
    <font>
      <b/>
      <sz val="12"/>
      <name val="Arial"/>
      <family val="2"/>
    </font>
    <font>
      <b/>
      <sz val="10"/>
      <color indexed="48"/>
      <name val="Arial"/>
      <family val="2"/>
    </font>
    <font>
      <u/>
      <sz val="10"/>
      <color indexed="12"/>
      <name val="Arial"/>
      <family val="2"/>
    </font>
    <font>
      <b/>
      <u/>
      <sz val="10"/>
      <color indexed="12"/>
      <name val="Arial"/>
      <family val="2"/>
    </font>
    <font>
      <vertAlign val="superscript"/>
      <sz val="9"/>
      <name val="Arial"/>
      <family val="2"/>
    </font>
    <font>
      <sz val="9"/>
      <color indexed="81"/>
      <name val="Tahoma"/>
      <family val="2"/>
    </font>
    <font>
      <b/>
      <sz val="9"/>
      <color indexed="81"/>
      <name val="Tahoma"/>
      <family val="2"/>
    </font>
    <font>
      <b/>
      <sz val="8"/>
      <name val="Arial"/>
      <family val="2"/>
    </font>
    <font>
      <vertAlign val="superscript"/>
      <sz val="8"/>
      <name val="Arial"/>
      <family val="2"/>
    </font>
    <font>
      <b/>
      <sz val="18"/>
      <name val="Arial"/>
      <family val="2"/>
    </font>
    <font>
      <vertAlign val="subscript"/>
      <sz val="8"/>
      <name val="Arial"/>
      <family val="2"/>
    </font>
    <font>
      <sz val="8"/>
      <color theme="0" tint="-0.34998626667073579"/>
      <name val="Arial"/>
      <family val="2"/>
    </font>
    <font>
      <b/>
      <sz val="10"/>
      <color rgb="FFC00000"/>
      <name val="Arial"/>
      <family val="2"/>
    </font>
    <font>
      <sz val="10"/>
      <color rgb="FFC00000"/>
      <name val="Arial"/>
      <family val="2"/>
    </font>
    <font>
      <sz val="9"/>
      <color rgb="FFC00000"/>
      <name val="Arial"/>
      <family val="2"/>
    </font>
    <font>
      <u/>
      <sz val="10"/>
      <name val="Arial"/>
      <family val="2"/>
    </font>
    <font>
      <b/>
      <i/>
      <sz val="8"/>
      <name val="Arial"/>
      <family val="2"/>
    </font>
  </fonts>
  <fills count="16">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indexed="8"/>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4" tint="0.79998168889431442"/>
        <bgColor indexed="64"/>
      </patternFill>
    </fill>
  </fills>
  <borders count="161">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dotted">
        <color theme="0" tint="-0.24994659260841701"/>
      </top>
      <bottom style="dotted">
        <color theme="0" tint="-0.24994659260841701"/>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style="dotted">
        <color theme="0" tint="-0.24994659260841701"/>
      </top>
      <bottom style="dotted">
        <color theme="0" tint="-0.24994659260841701"/>
      </bottom>
      <diagonal/>
    </border>
    <border>
      <left style="thick">
        <color theme="1" tint="0.34998626667073579"/>
      </left>
      <right/>
      <top style="dotted">
        <color theme="0" tint="-0.24994659260841701"/>
      </top>
      <bottom style="thick">
        <color theme="1" tint="0.34998626667073579"/>
      </bottom>
      <diagonal/>
    </border>
    <border>
      <left/>
      <right/>
      <top style="dotted">
        <color theme="0" tint="-0.24994659260841701"/>
      </top>
      <bottom style="thick">
        <color theme="1" tint="0.34998626667073579"/>
      </bottom>
      <diagonal/>
    </border>
    <border>
      <left style="thick">
        <color theme="1" tint="0.34998626667073579"/>
      </left>
      <right/>
      <top/>
      <bottom style="medium">
        <color theme="0" tint="-0.499984740745262"/>
      </bottom>
      <diagonal/>
    </border>
    <border>
      <left/>
      <right style="thick">
        <color theme="1" tint="0.34998626667073579"/>
      </right>
      <top/>
      <bottom style="medium">
        <color theme="0" tint="-0.499984740745262"/>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medium">
        <color theme="0" tint="-0.499984740745262"/>
      </bottom>
      <diagonal/>
    </border>
    <border>
      <left style="thin">
        <color theme="0" tint="-0.34998626667073579"/>
      </left>
      <right style="thin">
        <color theme="0" tint="-0.34998626667073579"/>
      </right>
      <top/>
      <bottom style="dotted">
        <color theme="0" tint="-0.24994659260841701"/>
      </bottom>
      <diagonal/>
    </border>
    <border>
      <left style="thin">
        <color theme="0" tint="-0.34998626667073579"/>
      </left>
      <right style="thin">
        <color theme="0" tint="-0.34998626667073579"/>
      </right>
      <top style="dotted">
        <color theme="0" tint="-0.24994659260841701"/>
      </top>
      <bottom style="dotted">
        <color theme="0" tint="-0.24994659260841701"/>
      </bottom>
      <diagonal/>
    </border>
    <border>
      <left style="thin">
        <color theme="0" tint="-0.34998626667073579"/>
      </left>
      <right style="thin">
        <color theme="0" tint="-0.34998626667073579"/>
      </right>
      <top style="dotted">
        <color theme="0" tint="-0.24994659260841701"/>
      </top>
      <bottom style="thick">
        <color theme="1" tint="0.34998626667073579"/>
      </bottom>
      <diagonal/>
    </border>
    <border>
      <left style="thin">
        <color theme="0" tint="-0.34998626667073579"/>
      </left>
      <right style="thick">
        <color theme="1" tint="0.34998626667073579"/>
      </right>
      <top style="dotted">
        <color theme="0" tint="-0.24994659260841701"/>
      </top>
      <bottom style="dotted">
        <color theme="0" tint="-0.24994659260841701"/>
      </bottom>
      <diagonal/>
    </border>
    <border>
      <left style="thin">
        <color theme="0" tint="-0.34998626667073579"/>
      </left>
      <right style="thick">
        <color theme="1" tint="0.34998626667073579"/>
      </right>
      <top style="dotted">
        <color theme="0" tint="-0.24994659260841701"/>
      </top>
      <bottom style="thick">
        <color theme="1" tint="0.34998626667073579"/>
      </bottom>
      <diagonal/>
    </border>
    <border>
      <left style="medium">
        <color theme="0" tint="-0.34998626667073579"/>
      </left>
      <right/>
      <top style="thick">
        <color theme="1" tint="0.34998626667073579"/>
      </top>
      <bottom/>
      <diagonal/>
    </border>
    <border>
      <left style="medium">
        <color theme="0" tint="-0.34998626667073579"/>
      </left>
      <right/>
      <top/>
      <bottom/>
      <diagonal/>
    </border>
    <border>
      <left style="medium">
        <color theme="0" tint="-0.34998626667073579"/>
      </left>
      <right style="medium">
        <color theme="0" tint="-0.34998626667073579"/>
      </right>
      <top style="thick">
        <color theme="1" tint="0.34998626667073579"/>
      </top>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dotted">
        <color theme="0" tint="-0.24994659260841701"/>
      </bottom>
      <diagonal/>
    </border>
    <border>
      <left style="medium">
        <color theme="0" tint="-0.34998626667073579"/>
      </left>
      <right style="medium">
        <color theme="0" tint="-0.34998626667073579"/>
      </right>
      <top style="dotted">
        <color theme="0" tint="-0.24994659260841701"/>
      </top>
      <bottom style="dotted">
        <color theme="0" tint="-0.24994659260841701"/>
      </bottom>
      <diagonal/>
    </border>
    <border>
      <left style="medium">
        <color theme="0" tint="-0.34998626667073579"/>
      </left>
      <right style="medium">
        <color theme="0" tint="-0.34998626667073579"/>
      </right>
      <top style="dotted">
        <color theme="0" tint="-0.24994659260841701"/>
      </top>
      <bottom style="thick">
        <color theme="1" tint="0.34998626667073579"/>
      </bottom>
      <diagonal/>
    </border>
    <border>
      <left/>
      <right style="medium">
        <color theme="0" tint="-0.34998626667073579"/>
      </right>
      <top style="thick">
        <color theme="1" tint="0.34998626667073579"/>
      </top>
      <bottom/>
      <diagonal/>
    </border>
    <border>
      <left/>
      <right style="medium">
        <color theme="0" tint="-0.34998626667073579"/>
      </right>
      <top/>
      <bottom/>
      <diagonal/>
    </border>
    <border>
      <left/>
      <right style="medium">
        <color theme="0" tint="-0.34998626667073579"/>
      </right>
      <top/>
      <bottom style="medium">
        <color theme="0" tint="-0.499984740745262"/>
      </bottom>
      <diagonal/>
    </border>
    <border>
      <left/>
      <right style="medium">
        <color theme="0" tint="-0.34998626667073579"/>
      </right>
      <top style="dotted">
        <color theme="0" tint="-0.24994659260841701"/>
      </top>
      <bottom style="dotted">
        <color theme="0" tint="-0.24994659260841701"/>
      </bottom>
      <diagonal/>
    </border>
    <border>
      <left/>
      <right style="medium">
        <color theme="0" tint="-0.34998626667073579"/>
      </right>
      <top style="dotted">
        <color theme="0" tint="-0.24994659260841701"/>
      </top>
      <bottom style="thick">
        <color theme="1" tint="0.34998626667073579"/>
      </bottom>
      <diagonal/>
    </border>
    <border>
      <left style="medium">
        <color theme="0" tint="-0.34998626667073579"/>
      </left>
      <right/>
      <top/>
      <bottom style="medium">
        <color theme="0" tint="-0.499984740745262"/>
      </bottom>
      <diagonal/>
    </border>
    <border>
      <left style="thin">
        <color theme="0" tint="-0.34998626667073579"/>
      </left>
      <right style="medium">
        <color theme="0" tint="-0.34998626667073579"/>
      </right>
      <top/>
      <bottom style="medium">
        <color theme="0" tint="-0.499984740745262"/>
      </bottom>
      <diagonal/>
    </border>
    <border>
      <left style="thin">
        <color theme="0" tint="-0.34998626667073579"/>
      </left>
      <right style="medium">
        <color theme="0" tint="-0.34998626667073579"/>
      </right>
      <top/>
      <bottom style="dotted">
        <color theme="0" tint="-0.24994659260841701"/>
      </bottom>
      <diagonal/>
    </border>
    <border>
      <left style="medium">
        <color theme="0" tint="-0.34998626667073579"/>
      </left>
      <right/>
      <top style="dotted">
        <color theme="0" tint="-0.24994659260841701"/>
      </top>
      <bottom style="dotted">
        <color theme="0" tint="-0.24994659260841701"/>
      </bottom>
      <diagonal/>
    </border>
    <border>
      <left style="thin">
        <color theme="0" tint="-0.34998626667073579"/>
      </left>
      <right style="medium">
        <color theme="0" tint="-0.34998626667073579"/>
      </right>
      <top style="dotted">
        <color theme="0" tint="-0.24994659260841701"/>
      </top>
      <bottom style="dotted">
        <color theme="0" tint="-0.24994659260841701"/>
      </bottom>
      <diagonal/>
    </border>
    <border>
      <left style="medium">
        <color theme="0" tint="-0.34998626667073579"/>
      </left>
      <right/>
      <top style="dotted">
        <color theme="0" tint="-0.24994659260841701"/>
      </top>
      <bottom style="thick">
        <color theme="1" tint="0.34998626667073579"/>
      </bottom>
      <diagonal/>
    </border>
    <border>
      <left style="thin">
        <color theme="0" tint="-0.34998626667073579"/>
      </left>
      <right style="medium">
        <color theme="0" tint="-0.34998626667073579"/>
      </right>
      <top style="dotted">
        <color theme="0" tint="-0.24994659260841701"/>
      </top>
      <bottom style="thick">
        <color theme="1" tint="0.34998626667073579"/>
      </bottom>
      <diagonal/>
    </border>
    <border>
      <left style="medium">
        <color theme="0" tint="-0.34998626667073579"/>
      </left>
      <right style="thin">
        <color theme="0" tint="-0.34998626667073579"/>
      </right>
      <top/>
      <bottom/>
      <diagonal/>
    </border>
    <border>
      <left style="thin">
        <color theme="0" tint="-0.34998626667073579"/>
      </left>
      <right style="medium">
        <color theme="0" tint="-0.34998626667073579"/>
      </right>
      <top/>
      <bottom/>
      <diagonal/>
    </border>
    <border>
      <left style="medium">
        <color theme="0" tint="-0.34998626667073579"/>
      </left>
      <right style="thin">
        <color theme="0" tint="-0.34998626667073579"/>
      </right>
      <top/>
      <bottom style="medium">
        <color theme="0" tint="-0.499984740745262"/>
      </bottom>
      <diagonal/>
    </border>
    <border>
      <left style="medium">
        <color theme="0" tint="-0.34998626667073579"/>
      </left>
      <right style="thin">
        <color theme="0" tint="-0.34998626667073579"/>
      </right>
      <top/>
      <bottom style="dotted">
        <color theme="0" tint="-0.24994659260841701"/>
      </bottom>
      <diagonal/>
    </border>
    <border>
      <left style="medium">
        <color theme="0" tint="-0.34998626667073579"/>
      </left>
      <right style="thin">
        <color theme="0" tint="-0.34998626667073579"/>
      </right>
      <top style="dotted">
        <color theme="0" tint="-0.24994659260841701"/>
      </top>
      <bottom style="dotted">
        <color theme="0" tint="-0.24994659260841701"/>
      </bottom>
      <diagonal/>
    </border>
    <border>
      <left style="medium">
        <color theme="0" tint="-0.34998626667073579"/>
      </left>
      <right style="thin">
        <color theme="0" tint="-0.34998626667073579"/>
      </right>
      <top style="dotted">
        <color theme="0" tint="-0.24994659260841701"/>
      </top>
      <bottom style="thick">
        <color theme="1" tint="0.34998626667073579"/>
      </bottom>
      <diagonal/>
    </border>
    <border>
      <left style="medium">
        <color theme="0" tint="-0.34998626667073579"/>
      </left>
      <right/>
      <top style="thin">
        <color theme="0" tint="-0.34998626667073579"/>
      </top>
      <bottom/>
      <diagonal/>
    </border>
    <border>
      <left/>
      <right style="medium">
        <color theme="0" tint="-0.34998626667073579"/>
      </right>
      <top style="thin">
        <color theme="0" tint="-0.34998626667073579"/>
      </top>
      <bottom/>
      <diagonal/>
    </border>
    <border>
      <left/>
      <right/>
      <top style="thin">
        <color theme="0" tint="-0.34998626667073579"/>
      </top>
      <bottom/>
      <diagonal/>
    </border>
    <border>
      <left style="medium">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theme="0" tint="-0.34998626667073579"/>
      </right>
      <top style="thin">
        <color theme="0" tint="-0.34998626667073579"/>
      </top>
      <bottom/>
      <diagonal/>
    </border>
    <border>
      <left style="thick">
        <color theme="1" tint="0.34998626667073579"/>
      </left>
      <right/>
      <top style="medium">
        <color theme="0" tint="-0.499984740745262"/>
      </top>
      <bottom style="dotted">
        <color theme="0" tint="-0.24994659260841701"/>
      </bottom>
      <diagonal/>
    </border>
    <border>
      <left style="medium">
        <color theme="0" tint="-0.34998626667073579"/>
      </left>
      <right style="thin">
        <color theme="0" tint="-0.34998626667073579"/>
      </right>
      <top style="medium">
        <color theme="0" tint="-0.499984740745262"/>
      </top>
      <bottom style="dotted">
        <color theme="0" tint="-0.24994659260841701"/>
      </bottom>
      <diagonal/>
    </border>
    <border>
      <left style="thin">
        <color theme="0" tint="-0.34998626667073579"/>
      </left>
      <right style="thin">
        <color theme="0" tint="-0.34998626667073579"/>
      </right>
      <top style="medium">
        <color theme="0" tint="-0.499984740745262"/>
      </top>
      <bottom style="dotted">
        <color theme="0" tint="-0.24994659260841701"/>
      </bottom>
      <diagonal/>
    </border>
    <border>
      <left style="thin">
        <color theme="0" tint="-0.34998626667073579"/>
      </left>
      <right style="medium">
        <color theme="0" tint="-0.34998626667073579"/>
      </right>
      <top style="medium">
        <color theme="0" tint="-0.499984740745262"/>
      </top>
      <bottom style="dotted">
        <color theme="0" tint="-0.24994659260841701"/>
      </bottom>
      <diagonal/>
    </border>
    <border>
      <left style="medium">
        <color theme="0" tint="-0.34998626667073579"/>
      </left>
      <right/>
      <top style="medium">
        <color theme="0" tint="-0.499984740745262"/>
      </top>
      <bottom style="dotted">
        <color theme="0" tint="-0.24994659260841701"/>
      </bottom>
      <diagonal/>
    </border>
    <border>
      <left/>
      <right style="medium">
        <color theme="0" tint="-0.34998626667073579"/>
      </right>
      <top style="medium">
        <color theme="0" tint="-0.499984740745262"/>
      </top>
      <bottom style="dotted">
        <color theme="0" tint="-0.24994659260841701"/>
      </bottom>
      <diagonal/>
    </border>
    <border>
      <left/>
      <right/>
      <top style="medium">
        <color theme="0" tint="-0.499984740745262"/>
      </top>
      <bottom style="dotted">
        <color theme="0" tint="-0.24994659260841701"/>
      </bottom>
      <diagonal/>
    </border>
    <border>
      <left style="thin">
        <color theme="0" tint="-0.34998626667073579"/>
      </left>
      <right style="thick">
        <color theme="1" tint="0.34998626667073579"/>
      </right>
      <top style="medium">
        <color theme="0" tint="-0.499984740745262"/>
      </top>
      <bottom style="dotted">
        <color theme="0" tint="-0.24994659260841701"/>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right style="medium">
        <color theme="1" tint="0.34998626667073579"/>
      </right>
      <top/>
      <bottom style="medium">
        <color theme="1" tint="0.34998626667073579"/>
      </bottom>
      <diagonal/>
    </border>
    <border>
      <left style="medium">
        <color theme="0" tint="-0.34998626667073579"/>
      </left>
      <right/>
      <top style="medium">
        <color theme="1" tint="0.34998626667073579"/>
      </top>
      <bottom/>
      <diagonal/>
    </border>
    <border>
      <left style="medium">
        <color theme="0" tint="-0.34998626667073579"/>
      </left>
      <right/>
      <top/>
      <bottom style="medium">
        <color theme="1" tint="0.34998626667073579"/>
      </bottom>
      <diagonal/>
    </border>
    <border>
      <left style="medium">
        <color theme="0" tint="-0.34998626667073579"/>
      </left>
      <right style="medium">
        <color theme="0" tint="-0.34998626667073579"/>
      </right>
      <top style="medium">
        <color theme="1" tint="0.34998626667073579"/>
      </top>
      <bottom/>
      <diagonal/>
    </border>
    <border>
      <left/>
      <right style="medium">
        <color theme="0" tint="-0.34998626667073579"/>
      </right>
      <top style="medium">
        <color theme="1" tint="0.34998626667073579"/>
      </top>
      <bottom/>
      <diagonal/>
    </border>
    <border>
      <left/>
      <right style="medium">
        <color theme="0" tint="-0.34998626667073579"/>
      </right>
      <top/>
      <bottom style="medium">
        <color theme="1" tint="0.34998626667073579"/>
      </bottom>
      <diagonal/>
    </border>
    <border>
      <left style="medium">
        <color theme="0" tint="-0.34998626667073579"/>
      </left>
      <right/>
      <top style="medium">
        <color theme="1" tint="0.34998626667073579"/>
      </top>
      <bottom style="hair">
        <color theme="0" tint="-0.24994659260841701"/>
      </bottom>
      <diagonal/>
    </border>
    <border>
      <left style="medium">
        <color theme="0" tint="-0.34998626667073579"/>
      </left>
      <right style="thin">
        <color theme="0" tint="-0.34998626667073579"/>
      </right>
      <top style="medium">
        <color theme="1" tint="0.34998626667073579"/>
      </top>
      <bottom style="hair">
        <color theme="0" tint="-0.24994659260841701"/>
      </bottom>
      <diagonal/>
    </border>
    <border>
      <left style="medium">
        <color theme="0" tint="-0.34998626667073579"/>
      </left>
      <right/>
      <top style="hair">
        <color theme="0" tint="-0.24994659260841701"/>
      </top>
      <bottom style="hair">
        <color theme="0" tint="-0.24994659260841701"/>
      </bottom>
      <diagonal/>
    </border>
    <border>
      <left style="medium">
        <color theme="0" tint="-0.34998626667073579"/>
      </left>
      <right style="thin">
        <color theme="0" tint="-0.34998626667073579"/>
      </right>
      <top style="hair">
        <color theme="0" tint="-0.24994659260841701"/>
      </top>
      <bottom style="hair">
        <color theme="0" tint="-0.24994659260841701"/>
      </bottom>
      <diagonal/>
    </border>
    <border>
      <left style="medium">
        <color theme="0" tint="-0.34998626667073579"/>
      </left>
      <right/>
      <top style="hair">
        <color theme="0" tint="-0.24994659260841701"/>
      </top>
      <bottom style="medium">
        <color theme="1" tint="0.34998626667073579"/>
      </bottom>
      <diagonal/>
    </border>
    <border>
      <left style="medium">
        <color theme="0" tint="-0.34998626667073579"/>
      </left>
      <right style="thin">
        <color theme="0" tint="-0.34998626667073579"/>
      </right>
      <top style="hair">
        <color theme="0" tint="-0.24994659260841701"/>
      </top>
      <bottom style="medium">
        <color theme="1" tint="0.34998626667073579"/>
      </bottom>
      <diagonal/>
    </border>
    <border>
      <left style="medium">
        <color theme="0" tint="-0.34998626667073579"/>
      </left>
      <right style="medium">
        <color theme="0" tint="-0.34998626667073579"/>
      </right>
      <top/>
      <bottom style="medium">
        <color theme="1" tint="0.34998626667073579"/>
      </bottom>
      <diagonal/>
    </border>
    <border>
      <left style="medium">
        <color theme="0" tint="-0.34998626667073579"/>
      </left>
      <right style="medium">
        <color theme="0" tint="-0.34998626667073579"/>
      </right>
      <top style="medium">
        <color theme="1" tint="0.34998626667073579"/>
      </top>
      <bottom style="hair">
        <color theme="0" tint="-0.24994659260841701"/>
      </bottom>
      <diagonal/>
    </border>
    <border>
      <left style="medium">
        <color theme="0" tint="-0.34998626667073579"/>
      </left>
      <right style="medium">
        <color theme="0" tint="-0.34998626667073579"/>
      </right>
      <top style="hair">
        <color theme="0" tint="-0.24994659260841701"/>
      </top>
      <bottom style="hair">
        <color theme="0" tint="-0.24994659260841701"/>
      </bottom>
      <diagonal/>
    </border>
    <border>
      <left style="medium">
        <color theme="0" tint="-0.34998626667073579"/>
      </left>
      <right style="medium">
        <color theme="0" tint="-0.34998626667073579"/>
      </right>
      <top style="hair">
        <color theme="0" tint="-0.24994659260841701"/>
      </top>
      <bottom style="medium">
        <color theme="1" tint="0.34998626667073579"/>
      </bottom>
      <diagonal/>
    </border>
    <border>
      <left style="thick">
        <color theme="1" tint="0.34998626667073579"/>
      </left>
      <right style="medium">
        <color theme="0" tint="-0.34998626667073579"/>
      </right>
      <top style="thick">
        <color theme="1" tint="0.34998626667073579"/>
      </top>
      <bottom/>
      <diagonal/>
    </border>
    <border>
      <left style="thick">
        <color theme="1" tint="0.34998626667073579"/>
      </left>
      <right style="medium">
        <color theme="0" tint="-0.34998626667073579"/>
      </right>
      <top/>
      <bottom/>
      <diagonal/>
    </border>
    <border>
      <left style="thick">
        <color theme="1" tint="0.34998626667073579"/>
      </left>
      <right style="medium">
        <color theme="0" tint="-0.34998626667073579"/>
      </right>
      <top style="dotted">
        <color theme="0" tint="-0.24994659260841701"/>
      </top>
      <bottom style="dotted">
        <color theme="0" tint="-0.24994659260841701"/>
      </bottom>
      <diagonal/>
    </border>
    <border>
      <left style="thick">
        <color theme="1" tint="0.34998626667073579"/>
      </left>
      <right style="medium">
        <color theme="0" tint="-0.34998626667073579"/>
      </right>
      <top style="dotted">
        <color theme="0" tint="-0.24994659260841701"/>
      </top>
      <bottom style="thick">
        <color theme="1" tint="0.34998626667073579"/>
      </bottom>
      <diagonal/>
    </border>
    <border>
      <left style="thick">
        <color theme="1" tint="0.34998626667073579"/>
      </left>
      <right style="medium">
        <color theme="0" tint="-0.34998626667073579"/>
      </right>
      <top/>
      <bottom style="dotted">
        <color theme="0" tint="-0.24994659260841701"/>
      </bottom>
      <diagonal/>
    </border>
    <border>
      <left style="thick">
        <color theme="1" tint="0.34998626667073579"/>
      </left>
      <right style="medium">
        <color theme="0" tint="-0.34998626667073579"/>
      </right>
      <top/>
      <bottom style="medium">
        <color theme="0" tint="-0.34998626667073579"/>
      </bottom>
      <diagonal/>
    </border>
    <border>
      <left/>
      <right/>
      <top/>
      <bottom style="medium">
        <color theme="0" tint="-0.34998626667073579"/>
      </bottom>
      <diagonal/>
    </border>
    <border>
      <left/>
      <right style="thick">
        <color theme="1" tint="0.34998626667073579"/>
      </right>
      <top/>
      <bottom style="medium">
        <color theme="0" tint="-0.34998626667073579"/>
      </bottom>
      <diagonal/>
    </border>
    <border>
      <left style="medium">
        <color theme="0" tint="-0.34998626667073579"/>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medium">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dotted">
        <color theme="0" tint="-0.24994659260841701"/>
      </bottom>
      <diagonal/>
    </border>
    <border>
      <left style="thin">
        <color theme="0" tint="-0.34998626667073579"/>
      </left>
      <right style="thick">
        <color theme="1" tint="0.34998626667073579"/>
      </right>
      <top style="medium">
        <color theme="0" tint="-0.34998626667073579"/>
      </top>
      <bottom style="dotted">
        <color theme="0" tint="-0.24994659260841701"/>
      </bottom>
      <diagonal/>
    </border>
    <border>
      <left style="thin">
        <color theme="0" tint="-0.34998626667073579"/>
      </left>
      <right style="medium">
        <color theme="0" tint="-0.34998626667073579"/>
      </right>
      <top style="medium">
        <color theme="0" tint="-0.34998626667073579"/>
      </top>
      <bottom style="dotted">
        <color theme="0" tint="-0.24994659260841701"/>
      </bottom>
      <diagonal/>
    </border>
    <border>
      <left style="thin">
        <color theme="0" tint="-0.34998626667073579"/>
      </left>
      <right style="medium">
        <color theme="0" tint="-0.34998626667073579"/>
      </right>
      <top/>
      <bottom style="medium">
        <color theme="1" tint="0.34998626667073579"/>
      </bottom>
      <diagonal/>
    </border>
    <border>
      <left style="thin">
        <color theme="0" tint="-0.34998626667073579"/>
      </left>
      <right style="medium">
        <color theme="0" tint="-0.34998626667073579"/>
      </right>
      <top style="medium">
        <color theme="1" tint="0.34998626667073579"/>
      </top>
      <bottom style="hair">
        <color theme="0" tint="-0.24994659260841701"/>
      </bottom>
      <diagonal/>
    </border>
    <border>
      <left style="thin">
        <color theme="0" tint="-0.34998626667073579"/>
      </left>
      <right style="medium">
        <color theme="0" tint="-0.34998626667073579"/>
      </right>
      <top style="hair">
        <color theme="0" tint="-0.24994659260841701"/>
      </top>
      <bottom style="hair">
        <color theme="0" tint="-0.24994659260841701"/>
      </bottom>
      <diagonal/>
    </border>
    <border>
      <left style="thin">
        <color theme="0" tint="-0.34998626667073579"/>
      </left>
      <right style="medium">
        <color theme="0" tint="-0.34998626667073579"/>
      </right>
      <top style="hair">
        <color theme="0" tint="-0.24994659260841701"/>
      </top>
      <bottom style="medium">
        <color theme="1" tint="0.34998626667073579"/>
      </bottom>
      <diagonal/>
    </border>
    <border>
      <left style="thin">
        <color theme="0" tint="-0.34998626667073579"/>
      </left>
      <right style="medium">
        <color theme="1" tint="0.34998626667073579"/>
      </right>
      <top style="medium">
        <color theme="1" tint="0.34998626667073579"/>
      </top>
      <bottom style="hair">
        <color theme="0" tint="-0.24994659260841701"/>
      </bottom>
      <diagonal/>
    </border>
    <border>
      <left style="thin">
        <color theme="0" tint="-0.34998626667073579"/>
      </left>
      <right style="medium">
        <color theme="1" tint="0.34998626667073579"/>
      </right>
      <top style="hair">
        <color theme="0" tint="-0.24994659260841701"/>
      </top>
      <bottom style="hair">
        <color theme="0" tint="-0.24994659260841701"/>
      </bottom>
      <diagonal/>
    </border>
    <border>
      <left style="thin">
        <color theme="0" tint="-0.34998626667073579"/>
      </left>
      <right style="medium">
        <color theme="1" tint="0.34998626667073579"/>
      </right>
      <top style="hair">
        <color theme="0" tint="-0.24994659260841701"/>
      </top>
      <bottom style="medium">
        <color theme="1" tint="0.34998626667073579"/>
      </bottom>
      <diagonal/>
    </border>
    <border>
      <left style="thin">
        <color theme="0" tint="-0.34998626667073579"/>
      </left>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medium">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style="medium">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medium">
        <color theme="0" tint="-0.499984740745262"/>
      </left>
      <right/>
      <top style="medium">
        <color theme="0" tint="-0.499984740745262"/>
      </top>
      <bottom/>
      <diagonal/>
    </border>
    <border>
      <left style="medium">
        <color theme="0" tint="-0.499984740745262"/>
      </left>
      <right/>
      <top/>
      <bottom style="medium">
        <color indexed="64"/>
      </bottom>
      <diagonal/>
    </border>
    <border>
      <left/>
      <right style="medium">
        <color theme="0" tint="-0.499984740745262"/>
      </right>
      <top/>
      <bottom style="medium">
        <color indexed="64"/>
      </bottom>
      <diagonal/>
    </border>
    <border>
      <left style="medium">
        <color theme="0" tint="-0.499984740745262"/>
      </left>
      <right/>
      <top style="medium">
        <color indexed="64"/>
      </top>
      <bottom style="medium">
        <color theme="0" tint="-0.499984740745262"/>
      </bottom>
      <diagonal/>
    </border>
    <border>
      <left/>
      <right style="medium">
        <color theme="0" tint="-0.499984740745262"/>
      </right>
      <top style="medium">
        <color indexed="64"/>
      </top>
      <bottom style="medium">
        <color theme="0" tint="-0.499984740745262"/>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indexed="64"/>
      </bottom>
      <diagonal/>
    </border>
    <border>
      <left/>
      <right/>
      <top style="medium">
        <color indexed="64"/>
      </top>
      <bottom style="medium">
        <color theme="0" tint="-0.499984740745262"/>
      </bottom>
      <diagonal/>
    </border>
    <border>
      <left style="medium">
        <color theme="0" tint="-0.499984740745262"/>
      </left>
      <right/>
      <top style="thin">
        <color indexed="64"/>
      </top>
      <bottom style="hair">
        <color indexed="64"/>
      </bottom>
      <diagonal/>
    </border>
    <border>
      <left style="thin">
        <color auto="1"/>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theme="1" tint="0.34998626667073579"/>
      </left>
      <right/>
      <top style="medium">
        <color theme="1" tint="0.34998626667073579"/>
      </top>
      <bottom/>
      <diagonal/>
    </border>
    <border>
      <left style="medium">
        <color theme="1" tint="0.34998626667073579"/>
      </left>
      <right/>
      <top/>
      <bottom/>
      <diagonal/>
    </border>
    <border>
      <left style="medium">
        <color theme="1" tint="0.34998626667073579"/>
      </left>
      <right/>
      <top/>
      <bottom style="medium">
        <color theme="1" tint="0.34998626667073579"/>
      </bottom>
      <diagonal/>
    </border>
    <border>
      <left style="medium">
        <color theme="1" tint="0.34998626667073579"/>
      </left>
      <right/>
      <top style="medium">
        <color theme="1" tint="0.34998626667073579"/>
      </top>
      <bottom style="hair">
        <color theme="0" tint="-0.24994659260841701"/>
      </bottom>
      <diagonal/>
    </border>
    <border>
      <left style="medium">
        <color theme="1" tint="0.34998626667073579"/>
      </left>
      <right/>
      <top style="hair">
        <color theme="0" tint="-0.24994659260841701"/>
      </top>
      <bottom style="hair">
        <color theme="0" tint="-0.24994659260841701"/>
      </bottom>
      <diagonal/>
    </border>
    <border>
      <left style="medium">
        <color theme="1" tint="0.34998626667073579"/>
      </left>
      <right/>
      <top style="hair">
        <color theme="0" tint="-0.24994659260841701"/>
      </top>
      <bottom style="medium">
        <color theme="1" tint="0.34998626667073579"/>
      </bottom>
      <diagonal/>
    </border>
  </borders>
  <cellStyleXfs count="2">
    <xf numFmtId="0" fontId="0" fillId="0" borderId="0"/>
    <xf numFmtId="0" fontId="14" fillId="0" borderId="0" applyNumberFormat="0" applyFill="0" applyBorder="0" applyAlignment="0" applyProtection="0">
      <alignment vertical="top"/>
      <protection locked="0"/>
    </xf>
  </cellStyleXfs>
  <cellXfs count="547">
    <xf numFmtId="0" fontId="0" fillId="0" borderId="0" xfId="0"/>
    <xf numFmtId="0" fontId="1" fillId="0" borderId="0" xfId="0" applyFont="1"/>
    <xf numFmtId="0" fontId="1" fillId="0" borderId="0" xfId="0" applyFont="1" applyAlignment="1">
      <alignment horizontal="center"/>
    </xf>
    <xf numFmtId="0" fontId="4" fillId="0" borderId="0" xfId="0" applyFont="1"/>
    <xf numFmtId="167" fontId="1" fillId="0" borderId="0" xfId="0" applyNumberFormat="1" applyFont="1" applyAlignment="1">
      <alignment horizontal="center"/>
    </xf>
    <xf numFmtId="167" fontId="1" fillId="0" borderId="0" xfId="0" applyNumberFormat="1" applyFont="1"/>
    <xf numFmtId="1" fontId="1" fillId="0" borderId="0" xfId="0" applyNumberFormat="1" applyFont="1" applyAlignment="1">
      <alignment horizontal="center"/>
    </xf>
    <xf numFmtId="0" fontId="1" fillId="0" borderId="0" xfId="0" applyFont="1" applyAlignment="1">
      <alignment horizontal="left"/>
    </xf>
    <xf numFmtId="0" fontId="1" fillId="5" borderId="1" xfId="0" applyFont="1" applyFill="1" applyBorder="1"/>
    <xf numFmtId="0" fontId="1" fillId="5" borderId="0" xfId="0" applyFont="1" applyFill="1"/>
    <xf numFmtId="0" fontId="1" fillId="6" borderId="11" xfId="0" applyFont="1" applyFill="1" applyBorder="1"/>
    <xf numFmtId="0" fontId="1" fillId="6" borderId="0" xfId="0" applyFont="1" applyFill="1"/>
    <xf numFmtId="0" fontId="1" fillId="6" borderId="12" xfId="0" applyFont="1" applyFill="1" applyBorder="1"/>
    <xf numFmtId="0" fontId="8" fillId="0" borderId="0" xfId="0" applyFont="1"/>
    <xf numFmtId="0" fontId="8" fillId="0" borderId="0" xfId="0" applyFont="1" applyAlignment="1">
      <alignment horizontal="center"/>
    </xf>
    <xf numFmtId="0" fontId="1" fillId="0" borderId="13" xfId="0" applyFont="1" applyBorder="1"/>
    <xf numFmtId="0" fontId="1" fillId="0" borderId="4" xfId="0" applyFont="1" applyBorder="1"/>
    <xf numFmtId="0" fontId="8" fillId="0" borderId="0" xfId="0" applyFont="1" applyAlignment="1">
      <alignment horizontal="centerContinuous"/>
    </xf>
    <xf numFmtId="0" fontId="1" fillId="0" borderId="0" xfId="0" applyFont="1" applyAlignment="1">
      <alignment horizontal="centerContinuous"/>
    </xf>
    <xf numFmtId="0" fontId="1" fillId="6" borderId="5" xfId="0" applyFont="1" applyFill="1" applyBorder="1"/>
    <xf numFmtId="0" fontId="1" fillId="6" borderId="4" xfId="0" applyFont="1" applyFill="1" applyBorder="1"/>
    <xf numFmtId="0" fontId="1" fillId="6" borderId="13" xfId="0" applyFont="1" applyFill="1" applyBorder="1"/>
    <xf numFmtId="0" fontId="1" fillId="6" borderId="3" xfId="0" applyFont="1" applyFill="1" applyBorder="1"/>
    <xf numFmtId="0" fontId="1" fillId="6" borderId="2" xfId="0" applyFont="1" applyFill="1" applyBorder="1"/>
    <xf numFmtId="0" fontId="1" fillId="6" borderId="1" xfId="0" applyFont="1" applyFill="1" applyBorder="1"/>
    <xf numFmtId="0" fontId="8" fillId="0" borderId="4" xfId="0" applyFont="1" applyBorder="1"/>
    <xf numFmtId="0" fontId="1" fillId="7" borderId="0" xfId="0" applyFont="1" applyFill="1"/>
    <xf numFmtId="0" fontId="1" fillId="7" borderId="1" xfId="0" applyFont="1" applyFill="1" applyBorder="1"/>
    <xf numFmtId="0" fontId="8" fillId="5" borderId="1" xfId="0" applyFont="1" applyFill="1" applyBorder="1"/>
    <xf numFmtId="0" fontId="8" fillId="0" borderId="0" xfId="0" applyFont="1" applyAlignment="1">
      <alignment vertical="center"/>
    </xf>
    <xf numFmtId="2" fontId="1" fillId="0" borderId="0" xfId="0" applyNumberFormat="1" applyFont="1"/>
    <xf numFmtId="0" fontId="0" fillId="8" borderId="0" xfId="0" applyFill="1"/>
    <xf numFmtId="49" fontId="1" fillId="5" borderId="0" xfId="0" applyNumberFormat="1" applyFont="1" applyFill="1"/>
    <xf numFmtId="0" fontId="1" fillId="5" borderId="4" xfId="0" applyFont="1" applyFill="1" applyBorder="1"/>
    <xf numFmtId="0" fontId="8" fillId="5" borderId="0" xfId="0" applyFont="1" applyFill="1"/>
    <xf numFmtId="0" fontId="5" fillId="5" borderId="0" xfId="0" applyFont="1" applyFill="1"/>
    <xf numFmtId="0" fontId="1" fillId="5" borderId="29" xfId="0" applyFont="1" applyFill="1" applyBorder="1"/>
    <xf numFmtId="0" fontId="15" fillId="5" borderId="0" xfId="1" applyFont="1" applyFill="1" applyBorder="1" applyAlignment="1" applyProtection="1"/>
    <xf numFmtId="0" fontId="1" fillId="5" borderId="31" xfId="0" applyFont="1" applyFill="1" applyBorder="1"/>
    <xf numFmtId="0" fontId="1" fillId="5" borderId="32" xfId="0" applyFont="1" applyFill="1" applyBorder="1"/>
    <xf numFmtId="0" fontId="1" fillId="5" borderId="28" xfId="0" applyFont="1" applyFill="1" applyBorder="1"/>
    <xf numFmtId="0" fontId="13" fillId="5" borderId="28" xfId="0" applyFont="1" applyFill="1" applyBorder="1"/>
    <xf numFmtId="0" fontId="3" fillId="5" borderId="28" xfId="0" applyFont="1" applyFill="1" applyBorder="1"/>
    <xf numFmtId="0" fontId="1" fillId="5" borderId="30" xfId="0" applyFont="1" applyFill="1" applyBorder="1"/>
    <xf numFmtId="0" fontId="5" fillId="0" borderId="0" xfId="0" applyFont="1" applyAlignment="1">
      <alignment horizontal="center"/>
    </xf>
    <xf numFmtId="0" fontId="1" fillId="0" borderId="34" xfId="0" applyFont="1" applyBorder="1" applyAlignment="1">
      <alignment vertical="center" wrapText="1"/>
    </xf>
    <xf numFmtId="0" fontId="1" fillId="0" borderId="0" xfId="0" applyFont="1" applyAlignment="1">
      <alignment vertical="center" wrapText="1"/>
    </xf>
    <xf numFmtId="0" fontId="2" fillId="0" borderId="37" xfId="0" applyFont="1" applyBorder="1" applyAlignment="1">
      <alignment vertical="center" wrapText="1"/>
    </xf>
    <xf numFmtId="0" fontId="2" fillId="0" borderId="0" xfId="0" applyFont="1" applyAlignment="1">
      <alignment vertical="center"/>
    </xf>
    <xf numFmtId="0" fontId="1" fillId="0" borderId="0" xfId="0" applyFont="1" applyAlignment="1">
      <alignment vertical="center"/>
    </xf>
    <xf numFmtId="0" fontId="4" fillId="0" borderId="39" xfId="0" applyFont="1" applyBorder="1" applyAlignment="1">
      <alignment horizontal="left" vertical="center" wrapText="1"/>
    </xf>
    <xf numFmtId="165" fontId="1" fillId="0" borderId="0" xfId="0" applyNumberFormat="1" applyFont="1" applyAlignment="1">
      <alignment vertical="center"/>
    </xf>
    <xf numFmtId="167" fontId="1" fillId="0" borderId="0" xfId="0" applyNumberFormat="1" applyFont="1" applyAlignment="1">
      <alignment vertical="center"/>
    </xf>
    <xf numFmtId="168" fontId="1" fillId="0" borderId="0" xfId="0" applyNumberFormat="1" applyFont="1" applyAlignment="1">
      <alignment vertical="center"/>
    </xf>
    <xf numFmtId="11" fontId="2" fillId="0" borderId="0" xfId="0" applyNumberFormat="1" applyFont="1" applyAlignment="1">
      <alignment vertical="center"/>
    </xf>
    <xf numFmtId="165" fontId="2" fillId="0" borderId="0" xfId="0" applyNumberFormat="1" applyFont="1" applyAlignment="1">
      <alignment vertical="center"/>
    </xf>
    <xf numFmtId="169" fontId="1" fillId="0" borderId="0" xfId="0" applyNumberFormat="1" applyFont="1" applyAlignment="1">
      <alignment vertical="center"/>
    </xf>
    <xf numFmtId="0" fontId="4" fillId="0" borderId="40" xfId="0" applyFont="1" applyBorder="1" applyAlignment="1">
      <alignment horizontal="left" vertical="center" wrapText="1"/>
    </xf>
    <xf numFmtId="0" fontId="12" fillId="0" borderId="37" xfId="0" applyFont="1" applyBorder="1" applyAlignment="1">
      <alignment horizontal="center" vertical="center" wrapText="1"/>
    </xf>
    <xf numFmtId="0" fontId="6" fillId="2" borderId="38" xfId="0" applyFont="1" applyFill="1" applyBorder="1" applyAlignment="1">
      <alignment horizontal="center" vertical="center" wrapText="1"/>
    </xf>
    <xf numFmtId="0" fontId="1" fillId="0" borderId="0" xfId="0" applyFont="1" applyAlignment="1">
      <alignment horizontal="center" vertical="center" wrapText="1"/>
    </xf>
    <xf numFmtId="0" fontId="5" fillId="0" borderId="54"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52" xfId="0" applyFont="1" applyBorder="1" applyAlignment="1">
      <alignment horizontal="center" vertical="center" wrapText="1"/>
    </xf>
    <xf numFmtId="0" fontId="4" fillId="9" borderId="39" xfId="0" applyFont="1" applyFill="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vertical="center"/>
    </xf>
    <xf numFmtId="164" fontId="2" fillId="0" borderId="0" xfId="0" applyNumberFormat="1" applyFont="1" applyAlignment="1">
      <alignment vertical="center"/>
    </xf>
    <xf numFmtId="164" fontId="1" fillId="0" borderId="0" xfId="0" applyNumberFormat="1" applyFont="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164" fontId="8" fillId="0" borderId="0" xfId="0" applyNumberFormat="1" applyFont="1" applyAlignment="1">
      <alignment horizontal="center" vertical="center"/>
    </xf>
    <xf numFmtId="0" fontId="6" fillId="2" borderId="52" xfId="0" applyFont="1" applyFill="1" applyBorder="1" applyAlignment="1">
      <alignment vertical="center" wrapText="1"/>
    </xf>
    <xf numFmtId="0" fontId="5" fillId="0" borderId="59" xfId="0" applyFont="1" applyBorder="1" applyAlignment="1">
      <alignment vertical="center" wrapText="1"/>
    </xf>
    <xf numFmtId="0" fontId="2" fillId="0" borderId="0" xfId="0" applyFont="1" applyAlignment="1">
      <alignment vertical="center" wrapText="1"/>
    </xf>
    <xf numFmtId="0" fontId="5" fillId="0" borderId="63" xfId="0" applyFont="1" applyBorder="1" applyAlignment="1">
      <alignment horizontal="center" wrapText="1"/>
    </xf>
    <xf numFmtId="0" fontId="5" fillId="0" borderId="60" xfId="0" applyFont="1" applyBorder="1" applyAlignment="1">
      <alignment horizontal="center" wrapText="1"/>
    </xf>
    <xf numFmtId="0" fontId="6" fillId="2" borderId="63" xfId="0" applyFont="1" applyFill="1" applyBorder="1" applyAlignment="1">
      <alignment horizontal="center" wrapText="1"/>
    </xf>
    <xf numFmtId="0" fontId="6" fillId="2" borderId="43" xfId="0" applyFont="1" applyFill="1" applyBorder="1" applyAlignment="1">
      <alignment horizontal="center" wrapText="1"/>
    </xf>
    <xf numFmtId="0" fontId="1" fillId="0" borderId="0" xfId="0" applyFont="1" applyAlignment="1">
      <alignment horizontal="left" vertical="center" wrapText="1"/>
    </xf>
    <xf numFmtId="0" fontId="1" fillId="14" borderId="44" xfId="0" applyFont="1" applyFill="1" applyBorder="1" applyAlignment="1">
      <alignment horizontal="center" vertical="center" wrapText="1"/>
    </xf>
    <xf numFmtId="0" fontId="1" fillId="14" borderId="71" xfId="0" applyFont="1" applyFill="1" applyBorder="1" applyAlignment="1">
      <alignment horizontal="center" vertical="center" wrapText="1"/>
    </xf>
    <xf numFmtId="0" fontId="5" fillId="14" borderId="45" xfId="0" applyFont="1" applyFill="1" applyBorder="1" applyAlignment="1">
      <alignment horizontal="center" wrapText="1"/>
    </xf>
    <xf numFmtId="0" fontId="5" fillId="14" borderId="64" xfId="0" applyFont="1" applyFill="1" applyBorder="1" applyAlignment="1">
      <alignment horizontal="center" wrapText="1"/>
    </xf>
    <xf numFmtId="0" fontId="4" fillId="14" borderId="44" xfId="0" applyFont="1" applyFill="1" applyBorder="1" applyAlignment="1">
      <alignment horizontal="center" vertical="center" wrapText="1"/>
    </xf>
    <xf numFmtId="0" fontId="4" fillId="14" borderId="71" xfId="0" applyFont="1" applyFill="1" applyBorder="1" applyAlignment="1">
      <alignment horizontal="center" vertical="center" wrapText="1"/>
    </xf>
    <xf numFmtId="0" fontId="19" fillId="14" borderId="80" xfId="0" applyFont="1" applyFill="1" applyBorder="1" applyAlignment="1">
      <alignment horizontal="center" vertical="center" wrapText="1"/>
    </xf>
    <xf numFmtId="0" fontId="19" fillId="14" borderId="81" xfId="0" applyFont="1" applyFill="1" applyBorder="1" applyAlignment="1">
      <alignment horizontal="center" vertical="center" wrapText="1"/>
    </xf>
    <xf numFmtId="0" fontId="4" fillId="0" borderId="82" xfId="0" applyFont="1" applyBorder="1" applyAlignment="1">
      <alignment horizontal="left" vertical="center" wrapText="1"/>
    </xf>
    <xf numFmtId="0" fontId="21" fillId="0" borderId="37" xfId="0" applyFont="1" applyBorder="1" applyAlignment="1">
      <alignment horizontal="center" vertical="center" wrapText="1"/>
    </xf>
    <xf numFmtId="0" fontId="4" fillId="0" borderId="0" xfId="0" applyFont="1" applyAlignment="1">
      <alignment horizontal="center"/>
    </xf>
    <xf numFmtId="0" fontId="5" fillId="0" borderId="0" xfId="0" applyFont="1"/>
    <xf numFmtId="0" fontId="5" fillId="0" borderId="0" xfId="0" applyFont="1" applyAlignment="1">
      <alignment horizontal="center" wrapText="1"/>
    </xf>
    <xf numFmtId="0" fontId="7" fillId="0" borderId="0" xfId="0" applyFont="1" applyAlignment="1">
      <alignment horizontal="centerContinuous" vertical="center"/>
    </xf>
    <xf numFmtId="0" fontId="7" fillId="0" borderId="0" xfId="0" applyFont="1" applyAlignment="1">
      <alignment vertical="center"/>
    </xf>
    <xf numFmtId="0" fontId="4" fillId="0" borderId="52" xfId="0" applyFont="1" applyBorder="1" applyAlignment="1">
      <alignment horizontal="center" vertical="center"/>
    </xf>
    <xf numFmtId="0" fontId="7" fillId="0" borderId="0" xfId="0" applyFont="1" applyAlignment="1">
      <alignment horizontal="center" vertical="center"/>
    </xf>
    <xf numFmtId="0" fontId="4" fillId="0" borderId="59" xfId="0" applyFont="1" applyBorder="1" applyAlignment="1">
      <alignment horizontal="center" vertical="center"/>
    </xf>
    <xf numFmtId="170" fontId="7" fillId="0" borderId="0" xfId="0" applyNumberFormat="1" applyFont="1" applyAlignment="1">
      <alignment horizontal="center" vertical="center"/>
    </xf>
    <xf numFmtId="0" fontId="5" fillId="0" borderId="94" xfId="0" applyFont="1" applyBorder="1" applyAlignment="1">
      <alignment horizontal="center" vertical="center"/>
    </xf>
    <xf numFmtId="0" fontId="5" fillId="0" borderId="97" xfId="0" applyFont="1" applyBorder="1" applyAlignment="1">
      <alignment horizontal="center" vertical="center"/>
    </xf>
    <xf numFmtId="0" fontId="5" fillId="0" borderId="0" xfId="0" applyFont="1" applyAlignment="1">
      <alignment vertical="center"/>
    </xf>
    <xf numFmtId="0" fontId="6" fillId="2" borderId="91" xfId="0" applyFont="1" applyFill="1" applyBorder="1" applyAlignment="1">
      <alignment horizontal="center" vertical="center"/>
    </xf>
    <xf numFmtId="0" fontId="6" fillId="2" borderId="92" xfId="0" applyFont="1" applyFill="1" applyBorder="1" applyAlignment="1">
      <alignment horizontal="center" vertical="center"/>
    </xf>
    <xf numFmtId="0" fontId="19" fillId="2" borderId="52" xfId="0" applyFont="1" applyFill="1" applyBorder="1" applyAlignment="1">
      <alignment horizontal="center" vertical="center"/>
    </xf>
    <xf numFmtId="0" fontId="6" fillId="2" borderId="94" xfId="0" applyFont="1" applyFill="1" applyBorder="1" applyAlignment="1">
      <alignment horizontal="center" vertical="center"/>
    </xf>
    <xf numFmtId="166" fontId="4" fillId="0" borderId="98" xfId="0" applyNumberFormat="1" applyFont="1" applyBorder="1" applyAlignment="1">
      <alignment horizontal="center" vertical="center"/>
    </xf>
    <xf numFmtId="173" fontId="19" fillId="2" borderId="99" xfId="0" applyNumberFormat="1" applyFont="1" applyFill="1" applyBorder="1" applyAlignment="1">
      <alignment horizontal="center" vertical="center"/>
    </xf>
    <xf numFmtId="166" fontId="4" fillId="0" borderId="100" xfId="0" applyNumberFormat="1" applyFont="1" applyBorder="1" applyAlignment="1">
      <alignment horizontal="center" vertical="center"/>
    </xf>
    <xf numFmtId="173" fontId="19" fillId="2" borderId="101" xfId="0" applyNumberFormat="1" applyFont="1" applyFill="1" applyBorder="1" applyAlignment="1">
      <alignment horizontal="center" vertical="center"/>
    </xf>
    <xf numFmtId="166" fontId="4" fillId="0" borderId="102" xfId="0" applyNumberFormat="1" applyFont="1" applyBorder="1" applyAlignment="1">
      <alignment horizontal="center" vertical="center"/>
    </xf>
    <xf numFmtId="173" fontId="19" fillId="2" borderId="103" xfId="0" applyNumberFormat="1" applyFont="1" applyFill="1" applyBorder="1" applyAlignment="1">
      <alignment horizontal="center" vertical="center"/>
    </xf>
    <xf numFmtId="0" fontId="4" fillId="0" borderId="54" xfId="0" applyFont="1" applyBorder="1" applyAlignment="1">
      <alignment horizontal="center" vertical="center"/>
    </xf>
    <xf numFmtId="0" fontId="5" fillId="0" borderId="104" xfId="0" applyFont="1" applyBorder="1" applyAlignment="1">
      <alignment horizontal="center" vertical="center"/>
    </xf>
    <xf numFmtId="166" fontId="4" fillId="0" borderId="105" xfId="0" applyNumberFormat="1" applyFont="1" applyBorder="1" applyAlignment="1">
      <alignment horizontal="center" vertical="center"/>
    </xf>
    <xf numFmtId="166" fontId="4" fillId="0" borderId="106" xfId="0" applyNumberFormat="1" applyFont="1" applyBorder="1" applyAlignment="1">
      <alignment horizontal="center" vertical="center"/>
    </xf>
    <xf numFmtId="166" fontId="4" fillId="0" borderId="107" xfId="0" applyNumberFormat="1" applyFont="1" applyBorder="1" applyAlignment="1">
      <alignment horizontal="center" vertical="center"/>
    </xf>
    <xf numFmtId="0" fontId="6" fillId="2" borderId="0" xfId="0" applyFont="1" applyFill="1" applyAlignment="1">
      <alignment horizontal="center" vertical="center" wrapText="1"/>
    </xf>
    <xf numFmtId="0" fontId="1" fillId="0" borderId="108" xfId="0" applyFont="1" applyBorder="1" applyAlignment="1">
      <alignment vertical="center" wrapText="1"/>
    </xf>
    <xf numFmtId="0" fontId="1" fillId="0" borderId="109" xfId="0" applyFont="1" applyBorder="1" applyAlignment="1">
      <alignment vertical="center" wrapText="1"/>
    </xf>
    <xf numFmtId="0" fontId="6" fillId="2" borderId="114" xfId="0" applyFont="1" applyFill="1" applyBorder="1" applyAlignment="1">
      <alignment horizontal="center" vertical="center" wrapText="1"/>
    </xf>
    <xf numFmtId="0" fontId="6" fillId="2" borderId="115" xfId="0" applyFont="1" applyFill="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4" fillId="14" borderId="71" xfId="0" applyFont="1" applyFill="1" applyBorder="1" applyAlignment="1">
      <alignment horizontal="center" vertical="center"/>
    </xf>
    <xf numFmtId="170" fontId="4" fillId="14" borderId="71" xfId="0" applyNumberFormat="1" applyFont="1" applyFill="1" applyBorder="1" applyAlignment="1">
      <alignment horizontal="center" vertical="center"/>
    </xf>
    <xf numFmtId="0" fontId="5" fillId="14" borderId="125" xfId="0" applyFont="1" applyFill="1" applyBorder="1" applyAlignment="1">
      <alignment horizontal="center" vertical="center"/>
    </xf>
    <xf numFmtId="166" fontId="4" fillId="0" borderId="126" xfId="0" applyNumberFormat="1" applyFont="1" applyBorder="1" applyAlignment="1">
      <alignment horizontal="center" vertical="center"/>
    </xf>
    <xf numFmtId="166" fontId="4" fillId="0" borderId="127" xfId="0" applyNumberFormat="1" applyFont="1" applyBorder="1" applyAlignment="1">
      <alignment horizontal="center" vertical="center"/>
    </xf>
    <xf numFmtId="166" fontId="4" fillId="0" borderId="128" xfId="0" applyNumberFormat="1" applyFont="1" applyBorder="1" applyAlignment="1">
      <alignment horizontal="center" vertical="center"/>
    </xf>
    <xf numFmtId="0" fontId="19" fillId="2" borderId="129" xfId="0" applyFont="1" applyFill="1" applyBorder="1" applyAlignment="1">
      <alignment horizontal="center" vertical="center"/>
    </xf>
    <xf numFmtId="0" fontId="19" fillId="2" borderId="130" xfId="0" applyFont="1" applyFill="1" applyBorder="1" applyAlignment="1">
      <alignment horizontal="center" vertical="center"/>
    </xf>
    <xf numFmtId="0" fontId="19" fillId="2" borderId="131" xfId="0" applyFont="1" applyFill="1" applyBorder="1" applyAlignment="1">
      <alignment horizontal="center" vertical="center"/>
    </xf>
    <xf numFmtId="0" fontId="4" fillId="0" borderId="110" xfId="0" applyFont="1" applyBorder="1" applyAlignment="1">
      <alignment horizontal="left" vertical="center" wrapText="1"/>
    </xf>
    <xf numFmtId="0" fontId="4" fillId="9" borderId="110" xfId="0" applyFont="1" applyFill="1" applyBorder="1" applyAlignment="1">
      <alignment horizontal="left" vertical="center" wrapText="1"/>
    </xf>
    <xf numFmtId="0" fontId="4" fillId="0" borderId="112" xfId="0" applyFont="1" applyBorder="1" applyAlignment="1">
      <alignment horizontal="left" vertical="center" wrapText="1"/>
    </xf>
    <xf numFmtId="0" fontId="4" fillId="0" borderId="111" xfId="0" applyFont="1" applyBorder="1" applyAlignment="1">
      <alignment horizontal="left" vertical="center" wrapText="1"/>
    </xf>
    <xf numFmtId="0" fontId="21" fillId="0" borderId="109" xfId="0" applyFont="1" applyBorder="1" applyAlignment="1">
      <alignment horizontal="center" vertical="center" wrapText="1"/>
    </xf>
    <xf numFmtId="0" fontId="12" fillId="0" borderId="109" xfId="0" applyFont="1" applyBorder="1" applyAlignment="1">
      <alignment horizontal="center" vertical="center" wrapText="1"/>
    </xf>
    <xf numFmtId="0" fontId="5" fillId="14" borderId="44" xfId="0" applyFont="1" applyFill="1" applyBorder="1" applyAlignment="1">
      <alignment horizontal="center" vertical="center" wrapText="1"/>
    </xf>
    <xf numFmtId="0" fontId="5" fillId="14" borderId="71" xfId="0" applyFont="1" applyFill="1" applyBorder="1" applyAlignment="1">
      <alignment horizontal="center" vertical="center" wrapText="1"/>
    </xf>
    <xf numFmtId="0" fontId="5" fillId="14" borderId="120" xfId="0" applyFont="1" applyFill="1" applyBorder="1" applyAlignment="1">
      <alignment horizontal="center" vertical="center" wrapText="1"/>
    </xf>
    <xf numFmtId="0" fontId="5" fillId="14" borderId="121" xfId="0" applyFont="1" applyFill="1" applyBorder="1" applyAlignment="1">
      <alignment horizontal="center" vertical="center" wrapText="1"/>
    </xf>
    <xf numFmtId="0" fontId="5" fillId="15" borderId="70" xfId="0" applyFont="1" applyFill="1" applyBorder="1" applyAlignment="1">
      <alignment horizontal="center" vertical="center" wrapText="1"/>
    </xf>
    <xf numFmtId="0" fontId="5" fillId="15" borderId="44" xfId="0" applyFont="1" applyFill="1" applyBorder="1" applyAlignment="1">
      <alignment horizontal="center" vertical="center" wrapText="1"/>
    </xf>
    <xf numFmtId="0" fontId="5" fillId="15" borderId="119" xfId="0" applyFont="1" applyFill="1" applyBorder="1" applyAlignment="1">
      <alignment horizontal="center" vertical="center" wrapText="1"/>
    </xf>
    <xf numFmtId="0" fontId="5" fillId="15" borderId="120" xfId="0" applyFont="1" applyFill="1" applyBorder="1" applyAlignment="1">
      <alignment horizontal="center" vertical="center" wrapText="1"/>
    </xf>
    <xf numFmtId="0" fontId="19" fillId="15" borderId="79" xfId="0" applyFont="1" applyFill="1" applyBorder="1" applyAlignment="1">
      <alignment horizontal="center" vertical="center" wrapText="1"/>
    </xf>
    <xf numFmtId="0" fontId="4" fillId="15" borderId="70" xfId="0" applyFont="1" applyFill="1" applyBorder="1" applyAlignment="1">
      <alignment horizontal="center" vertical="center" wrapText="1"/>
    </xf>
    <xf numFmtId="0" fontId="1" fillId="15" borderId="70" xfId="0" applyFont="1" applyFill="1" applyBorder="1" applyAlignment="1">
      <alignment horizontal="center" vertical="center" wrapText="1"/>
    </xf>
    <xf numFmtId="0" fontId="5" fillId="15" borderId="72" xfId="0" applyFont="1" applyFill="1" applyBorder="1" applyAlignment="1">
      <alignment horizontal="center" wrapText="1"/>
    </xf>
    <xf numFmtId="166" fontId="4" fillId="0" borderId="73" xfId="0" applyNumberFormat="1" applyFont="1" applyBorder="1" applyAlignment="1">
      <alignment horizontal="center" vertical="center" wrapText="1"/>
    </xf>
    <xf numFmtId="166" fontId="4" fillId="0" borderId="46" xfId="0" applyNumberFormat="1" applyFont="1" applyBorder="1" applyAlignment="1">
      <alignment horizontal="center" vertical="center" wrapText="1"/>
    </xf>
    <xf numFmtId="166" fontId="4" fillId="0" borderId="65" xfId="0" applyNumberFormat="1" applyFont="1" applyBorder="1" applyAlignment="1">
      <alignment horizontal="center" vertical="center" wrapText="1"/>
    </xf>
    <xf numFmtId="166" fontId="4" fillId="0" borderId="122" xfId="0" applyNumberFormat="1" applyFont="1" applyBorder="1" applyAlignment="1">
      <alignment horizontal="center" vertical="center" wrapText="1"/>
    </xf>
    <xf numFmtId="166" fontId="4" fillId="0" borderId="124" xfId="0" applyNumberFormat="1" applyFont="1" applyBorder="1" applyAlignment="1">
      <alignment horizontal="center" vertical="center" wrapText="1"/>
    </xf>
    <xf numFmtId="173" fontId="4" fillId="0" borderId="55" xfId="0" applyNumberFormat="1" applyFont="1" applyBorder="1" applyAlignment="1">
      <alignment horizontal="center" vertical="center" wrapText="1"/>
    </xf>
    <xf numFmtId="173" fontId="19" fillId="2" borderId="122" xfId="0" applyNumberFormat="1" applyFont="1" applyFill="1" applyBorder="1" applyAlignment="1">
      <alignment horizontal="center" vertical="center" wrapText="1"/>
    </xf>
    <xf numFmtId="0" fontId="19" fillId="2" borderId="123" xfId="0" applyFont="1" applyFill="1" applyBorder="1" applyAlignment="1">
      <alignment horizontal="center" vertical="center" wrapText="1"/>
    </xf>
    <xf numFmtId="166" fontId="4" fillId="0" borderId="74" xfId="0" applyNumberFormat="1" applyFont="1" applyBorder="1" applyAlignment="1">
      <alignment horizontal="center" vertical="center" wrapText="1"/>
    </xf>
    <xf numFmtId="166" fontId="4" fillId="0" borderId="47" xfId="0" applyNumberFormat="1" applyFont="1" applyBorder="1" applyAlignment="1">
      <alignment horizontal="center" vertical="center" wrapText="1"/>
    </xf>
    <xf numFmtId="166" fontId="4" fillId="0" borderId="67" xfId="0" applyNumberFormat="1" applyFont="1" applyBorder="1" applyAlignment="1">
      <alignment horizontal="center" vertical="center" wrapText="1"/>
    </xf>
    <xf numFmtId="173" fontId="4" fillId="0" borderId="56" xfId="0" applyNumberFormat="1" applyFont="1" applyBorder="1" applyAlignment="1">
      <alignment horizontal="center" vertical="center" wrapText="1"/>
    </xf>
    <xf numFmtId="173" fontId="19" fillId="2" borderId="74" xfId="0" applyNumberFormat="1" applyFont="1" applyFill="1" applyBorder="1" applyAlignment="1">
      <alignment horizontal="center" vertical="center" wrapText="1"/>
    </xf>
    <xf numFmtId="0" fontId="19" fillId="2" borderId="49" xfId="0" applyFont="1" applyFill="1" applyBorder="1" applyAlignment="1">
      <alignment horizontal="center" vertical="center" wrapText="1"/>
    </xf>
    <xf numFmtId="166" fontId="4" fillId="0" borderId="75" xfId="0" applyNumberFormat="1" applyFont="1" applyBorder="1" applyAlignment="1">
      <alignment horizontal="center" vertical="center" wrapText="1"/>
    </xf>
    <xf numFmtId="166" fontId="4" fillId="0" borderId="48" xfId="0" applyNumberFormat="1" applyFont="1" applyBorder="1" applyAlignment="1">
      <alignment horizontal="center" vertical="center" wrapText="1"/>
    </xf>
    <xf numFmtId="166" fontId="4" fillId="0" borderId="69" xfId="0" applyNumberFormat="1" applyFont="1" applyBorder="1" applyAlignment="1">
      <alignment horizontal="center" vertical="center" wrapText="1"/>
    </xf>
    <xf numFmtId="173" fontId="4" fillId="0" borderId="57" xfId="0" applyNumberFormat="1" applyFont="1" applyBorder="1" applyAlignment="1">
      <alignment horizontal="center" vertical="center" wrapText="1"/>
    </xf>
    <xf numFmtId="173" fontId="19" fillId="2" borderId="75" xfId="0" applyNumberFormat="1" applyFont="1" applyFill="1" applyBorder="1" applyAlignment="1">
      <alignment horizontal="center" vertical="center" wrapText="1"/>
    </xf>
    <xf numFmtId="0" fontId="19" fillId="2" borderId="50" xfId="0" applyFont="1" applyFill="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center" vertical="center" wrapText="1"/>
    </xf>
    <xf numFmtId="0" fontId="2" fillId="0" borderId="0" xfId="0" quotePrefix="1" applyFont="1" applyAlignment="1">
      <alignment horizontal="center" vertical="center" wrapText="1"/>
    </xf>
    <xf numFmtId="0" fontId="8" fillId="0" borderId="0" xfId="0" applyFont="1" applyAlignment="1">
      <alignment horizontal="center" vertical="center" wrapText="1"/>
    </xf>
    <xf numFmtId="164" fontId="8" fillId="0" borderId="0" xfId="0" applyNumberFormat="1" applyFont="1" applyAlignment="1">
      <alignment horizontal="center" vertical="center" wrapText="1"/>
    </xf>
    <xf numFmtId="0" fontId="5" fillId="0" borderId="0" xfId="0" applyFont="1" applyAlignment="1">
      <alignment horizontal="left"/>
    </xf>
    <xf numFmtId="0" fontId="6" fillId="0" borderId="0" xfId="0" applyFont="1"/>
    <xf numFmtId="0" fontId="5" fillId="0" borderId="0" xfId="0" applyFont="1" applyAlignment="1">
      <alignment horizontal="centerContinuous"/>
    </xf>
    <xf numFmtId="0" fontId="4" fillId="0" borderId="0" xfId="0" applyFont="1" applyAlignment="1">
      <alignment horizontal="centerContinuous"/>
    </xf>
    <xf numFmtId="0" fontId="19" fillId="0" borderId="0" xfId="0" applyFont="1" applyAlignment="1">
      <alignment horizontal="centerContinuous"/>
    </xf>
    <xf numFmtId="0" fontId="19" fillId="0" borderId="0" xfId="0" applyFont="1"/>
    <xf numFmtId="0" fontId="4" fillId="3" borderId="17" xfId="0" applyFont="1" applyFill="1" applyBorder="1"/>
    <xf numFmtId="11" fontId="4" fillId="3" borderId="20" xfId="0" applyNumberFormat="1" applyFont="1" applyFill="1" applyBorder="1"/>
    <xf numFmtId="0" fontId="4" fillId="0" borderId="0" xfId="0" applyFont="1" applyAlignment="1">
      <alignment horizontal="right"/>
    </xf>
    <xf numFmtId="0" fontId="4" fillId="4" borderId="15" xfId="0" applyFont="1" applyFill="1" applyBorder="1" applyAlignment="1">
      <alignment horizontal="center"/>
    </xf>
    <xf numFmtId="0" fontId="4" fillId="4" borderId="17" xfId="0" applyFont="1" applyFill="1" applyBorder="1"/>
    <xf numFmtId="0" fontId="4" fillId="4" borderId="10" xfId="0" applyFont="1" applyFill="1" applyBorder="1"/>
    <xf numFmtId="0" fontId="4" fillId="4" borderId="10" xfId="0" applyFont="1" applyFill="1" applyBorder="1" applyAlignment="1">
      <alignment horizontal="center"/>
    </xf>
    <xf numFmtId="0" fontId="4" fillId="4" borderId="10" xfId="0" applyFont="1" applyFill="1" applyBorder="1" applyAlignment="1" applyProtection="1">
      <alignment horizontal="center"/>
      <protection locked="0"/>
    </xf>
    <xf numFmtId="0" fontId="4" fillId="4" borderId="20" xfId="0" applyFont="1" applyFill="1" applyBorder="1" applyAlignment="1" applyProtection="1">
      <alignment horizontal="center"/>
      <protection locked="0"/>
    </xf>
    <xf numFmtId="0" fontId="6" fillId="0" borderId="0" xfId="0" applyFont="1" applyAlignment="1">
      <alignment horizontal="centerContinuous"/>
    </xf>
    <xf numFmtId="0" fontId="5" fillId="3" borderId="17" xfId="0" applyFont="1" applyFill="1" applyBorder="1"/>
    <xf numFmtId="11" fontId="5" fillId="3" borderId="20" xfId="0" applyNumberFormat="1" applyFont="1" applyFill="1" applyBorder="1"/>
    <xf numFmtId="0" fontId="5" fillId="0" borderId="0" xfId="0" applyFont="1" applyAlignment="1">
      <alignment horizontal="right"/>
    </xf>
    <xf numFmtId="0" fontId="5" fillId="4" borderId="15" xfId="0" applyFont="1" applyFill="1" applyBorder="1" applyAlignment="1">
      <alignment horizontal="center"/>
    </xf>
    <xf numFmtId="0" fontId="5" fillId="4" borderId="17" xfId="0" applyFont="1" applyFill="1" applyBorder="1"/>
    <xf numFmtId="0" fontId="5" fillId="4" borderId="10" xfId="0" applyFont="1" applyFill="1" applyBorder="1"/>
    <xf numFmtId="0" fontId="5" fillId="4" borderId="10" xfId="0" applyFont="1" applyFill="1" applyBorder="1" applyAlignment="1">
      <alignment horizontal="center"/>
    </xf>
    <xf numFmtId="0" fontId="5" fillId="4" borderId="10" xfId="0" applyFont="1" applyFill="1" applyBorder="1" applyAlignment="1" applyProtection="1">
      <alignment horizontal="center"/>
      <protection locked="0"/>
    </xf>
    <xf numFmtId="0" fontId="5" fillId="4" borderId="20" xfId="0" applyFont="1" applyFill="1" applyBorder="1" applyAlignment="1" applyProtection="1">
      <alignment horizontal="center"/>
      <protection locked="0"/>
    </xf>
    <xf numFmtId="0" fontId="5" fillId="4" borderId="0" xfId="0" applyFont="1" applyFill="1"/>
    <xf numFmtId="0" fontId="5" fillId="4" borderId="0" xfId="0" applyFont="1" applyFill="1" applyAlignment="1">
      <alignment horizontal="center"/>
    </xf>
    <xf numFmtId="0" fontId="5" fillId="4" borderId="19" xfId="0" applyFont="1" applyFill="1" applyBorder="1"/>
    <xf numFmtId="0" fontId="5" fillId="4" borderId="18" xfId="0" applyFont="1" applyFill="1" applyBorder="1" applyAlignment="1">
      <alignment horizontal="center"/>
    </xf>
    <xf numFmtId="0" fontId="5" fillId="4" borderId="18" xfId="0" applyFont="1" applyFill="1" applyBorder="1"/>
    <xf numFmtId="0" fontId="5" fillId="4" borderId="17" xfId="0" applyFont="1" applyFill="1" applyBorder="1" applyAlignment="1">
      <alignment horizontal="center"/>
    </xf>
    <xf numFmtId="0" fontId="6" fillId="4" borderId="9" xfId="0" applyFont="1" applyFill="1" applyBorder="1"/>
    <xf numFmtId="0" fontId="5" fillId="4" borderId="9" xfId="0" applyFont="1" applyFill="1" applyBorder="1"/>
    <xf numFmtId="0" fontId="5" fillId="4" borderId="9" xfId="0" applyFont="1" applyFill="1" applyBorder="1" applyAlignment="1">
      <alignment horizontal="center"/>
    </xf>
    <xf numFmtId="0" fontId="5" fillId="4" borderId="9" xfId="0" applyFont="1" applyFill="1" applyBorder="1" applyAlignment="1">
      <alignment horizontal="right"/>
    </xf>
    <xf numFmtId="171" fontId="6" fillId="4" borderId="0" xfId="0" applyNumberFormat="1" applyFont="1" applyFill="1" applyAlignment="1">
      <alignment horizontal="center"/>
    </xf>
    <xf numFmtId="0" fontId="5" fillId="4" borderId="0" xfId="0" applyFont="1" applyFill="1" applyAlignment="1" applyProtection="1">
      <alignment horizontal="center"/>
      <protection locked="0"/>
    </xf>
    <xf numFmtId="0" fontId="5" fillId="4" borderId="8" xfId="0" applyFont="1" applyFill="1" applyBorder="1" applyAlignment="1">
      <alignment horizontal="center"/>
    </xf>
    <xf numFmtId="0" fontId="5" fillId="4" borderId="15" xfId="0" applyFont="1" applyFill="1" applyBorder="1" applyAlignment="1" applyProtection="1">
      <alignment horizontal="center"/>
      <protection locked="0"/>
    </xf>
    <xf numFmtId="0" fontId="5" fillId="4" borderId="15" xfId="0" applyFont="1" applyFill="1" applyBorder="1"/>
    <xf numFmtId="1" fontId="5" fillId="4" borderId="0" xfId="0" applyNumberFormat="1" applyFont="1" applyFill="1" applyAlignment="1" applyProtection="1">
      <alignment horizontal="center"/>
      <protection locked="0"/>
    </xf>
    <xf numFmtId="172" fontId="5" fillId="4" borderId="0" xfId="0" applyNumberFormat="1" applyFont="1" applyFill="1" applyAlignment="1" applyProtection="1">
      <alignment horizontal="center"/>
      <protection locked="0"/>
    </xf>
    <xf numFmtId="1" fontId="5" fillId="4" borderId="15" xfId="0" applyNumberFormat="1" applyFont="1" applyFill="1" applyBorder="1" applyAlignment="1" applyProtection="1">
      <alignment horizontal="center"/>
      <protection locked="0"/>
    </xf>
    <xf numFmtId="2" fontId="5" fillId="4" borderId="15" xfId="0" applyNumberFormat="1" applyFont="1" applyFill="1" applyBorder="1" applyAlignment="1" applyProtection="1">
      <alignment horizontal="center"/>
      <protection locked="0"/>
    </xf>
    <xf numFmtId="1" fontId="5" fillId="4" borderId="0" xfId="0" applyNumberFormat="1" applyFont="1" applyFill="1" applyAlignment="1">
      <alignment horizontal="center"/>
    </xf>
    <xf numFmtId="2" fontId="5" fillId="4" borderId="0" xfId="0" applyNumberFormat="1" applyFont="1" applyFill="1" applyAlignment="1">
      <alignment horizontal="center"/>
    </xf>
    <xf numFmtId="0" fontId="6" fillId="0" borderId="0" xfId="0" applyFont="1" applyAlignment="1">
      <alignment horizontal="center"/>
    </xf>
    <xf numFmtId="0" fontId="5" fillId="0" borderId="15" xfId="0" applyFont="1" applyBorder="1" applyAlignment="1">
      <alignment horizontal="center"/>
    </xf>
    <xf numFmtId="0" fontId="5" fillId="0" borderId="15" xfId="0" applyFont="1" applyBorder="1"/>
    <xf numFmtId="171" fontId="5" fillId="5" borderId="0" xfId="0" applyNumberFormat="1" applyFont="1" applyFill="1" applyAlignment="1">
      <alignment horizontal="center"/>
    </xf>
    <xf numFmtId="0" fontId="5" fillId="5" borderId="0" xfId="0" applyFont="1" applyFill="1" applyAlignment="1">
      <alignment horizontal="center"/>
    </xf>
    <xf numFmtId="171" fontId="5" fillId="5" borderId="15" xfId="0" applyNumberFormat="1" applyFont="1" applyFill="1" applyBorder="1" applyAlignment="1">
      <alignment horizontal="center"/>
    </xf>
    <xf numFmtId="0" fontId="5" fillId="5" borderId="15" xfId="0" applyFont="1" applyFill="1" applyBorder="1" applyAlignment="1">
      <alignment horizontal="center"/>
    </xf>
    <xf numFmtId="0" fontId="5" fillId="5" borderId="15" xfId="0" applyFont="1" applyFill="1" applyBorder="1"/>
    <xf numFmtId="0" fontId="5" fillId="5" borderId="13" xfId="0" applyFont="1" applyFill="1" applyBorder="1" applyAlignment="1">
      <alignment horizontal="center"/>
    </xf>
    <xf numFmtId="0" fontId="5" fillId="5" borderId="12" xfId="0" applyFont="1" applyFill="1" applyBorder="1" applyAlignment="1">
      <alignment horizontal="center"/>
    </xf>
    <xf numFmtId="172" fontId="5" fillId="5" borderId="11" xfId="0" applyNumberFormat="1" applyFont="1" applyFill="1" applyBorder="1"/>
    <xf numFmtId="0" fontId="5" fillId="0" borderId="0" xfId="0" quotePrefix="1" applyFont="1"/>
    <xf numFmtId="0" fontId="5" fillId="4" borderId="0" xfId="0" applyFont="1" applyFill="1" applyAlignment="1">
      <alignment horizontal="centerContinuous"/>
    </xf>
    <xf numFmtId="0" fontId="5" fillId="4" borderId="8" xfId="0" applyFont="1" applyFill="1" applyBorder="1"/>
    <xf numFmtId="0" fontId="5" fillId="4" borderId="20" xfId="0" applyFont="1" applyFill="1" applyBorder="1" applyAlignment="1">
      <alignment horizontal="center"/>
    </xf>
    <xf numFmtId="0" fontId="6" fillId="0" borderId="19" xfId="0" applyFont="1" applyBorder="1"/>
    <xf numFmtId="0" fontId="5" fillId="0" borderId="18" xfId="0" applyFont="1" applyBorder="1"/>
    <xf numFmtId="0" fontId="5" fillId="0" borderId="17" xfId="0" applyFont="1" applyBorder="1"/>
    <xf numFmtId="0" fontId="5" fillId="0" borderId="9" xfId="0" applyFont="1" applyBorder="1"/>
    <xf numFmtId="0" fontId="5" fillId="0" borderId="10" xfId="0" applyFont="1" applyBorder="1" applyAlignment="1">
      <alignment horizontal="center"/>
    </xf>
    <xf numFmtId="0" fontId="5" fillId="0" borderId="10" xfId="0" applyFont="1" applyBorder="1"/>
    <xf numFmtId="0" fontId="5" fillId="0" borderId="8" xfId="0" applyFont="1" applyBorder="1"/>
    <xf numFmtId="0" fontId="5" fillId="0" borderId="20" xfId="0" applyFont="1" applyBorder="1"/>
    <xf numFmtId="0" fontId="5" fillId="5" borderId="9" xfId="0" quotePrefix="1" applyFont="1" applyFill="1" applyBorder="1"/>
    <xf numFmtId="0" fontId="5" fillId="5" borderId="10" xfId="0" applyFont="1" applyFill="1" applyBorder="1"/>
    <xf numFmtId="0" fontId="5" fillId="5" borderId="9" xfId="0" applyFont="1" applyFill="1" applyBorder="1"/>
    <xf numFmtId="0" fontId="5" fillId="5" borderId="8" xfId="0" applyFont="1" applyFill="1" applyBorder="1"/>
    <xf numFmtId="0" fontId="5" fillId="5" borderId="20" xfId="0" applyFont="1" applyFill="1" applyBorder="1"/>
    <xf numFmtId="171" fontId="6" fillId="5" borderId="15" xfId="0" applyNumberFormat="1" applyFont="1" applyFill="1" applyBorder="1" applyAlignment="1">
      <alignment horizontal="center"/>
    </xf>
    <xf numFmtId="0" fontId="5" fillId="5" borderId="20" xfId="0" applyFont="1" applyFill="1" applyBorder="1" applyAlignment="1">
      <alignment horizontal="center"/>
    </xf>
    <xf numFmtId="0" fontId="4" fillId="0" borderId="0" xfId="0" applyFont="1" applyAlignment="1">
      <alignment horizontal="left"/>
    </xf>
    <xf numFmtId="0" fontId="19" fillId="0" borderId="0" xfId="0" applyFont="1" applyAlignment="1">
      <alignment horizontal="center"/>
    </xf>
    <xf numFmtId="0" fontId="4" fillId="4" borderId="19" xfId="0" applyFont="1" applyFill="1" applyBorder="1"/>
    <xf numFmtId="0" fontId="4" fillId="4" borderId="18" xfId="0" applyFont="1" applyFill="1" applyBorder="1"/>
    <xf numFmtId="0" fontId="19" fillId="0" borderId="5" xfId="0" applyFont="1" applyBorder="1"/>
    <xf numFmtId="0" fontId="4" fillId="0" borderId="4" xfId="0" applyFont="1" applyBorder="1"/>
    <xf numFmtId="0" fontId="4" fillId="0" borderId="13" xfId="0" applyFont="1" applyBorder="1"/>
    <xf numFmtId="0" fontId="4" fillId="4" borderId="9" xfId="0" applyFont="1" applyFill="1" applyBorder="1"/>
    <xf numFmtId="0" fontId="4" fillId="4" borderId="0" xfId="0" applyFont="1" applyFill="1" applyAlignment="1">
      <alignment horizontal="center"/>
    </xf>
    <xf numFmtId="0" fontId="4" fillId="4" borderId="0" xfId="0" applyFont="1" applyFill="1" applyAlignment="1">
      <alignment horizontal="centerContinuous"/>
    </xf>
    <xf numFmtId="0" fontId="4" fillId="4" borderId="0" xfId="0" applyFont="1" applyFill="1"/>
    <xf numFmtId="0" fontId="4" fillId="0" borderId="3" xfId="0" applyFont="1" applyBorder="1"/>
    <xf numFmtId="0" fontId="4" fillId="0" borderId="12" xfId="0" applyFont="1" applyBorder="1" applyAlignment="1">
      <alignment horizontal="center"/>
    </xf>
    <xf numFmtId="1" fontId="4" fillId="0" borderId="0" xfId="0" applyNumberFormat="1" applyFont="1" applyAlignment="1">
      <alignment horizontal="center"/>
    </xf>
    <xf numFmtId="0" fontId="19" fillId="4" borderId="9" xfId="0" applyFont="1" applyFill="1" applyBorder="1"/>
    <xf numFmtId="0" fontId="4" fillId="0" borderId="3" xfId="0" applyFont="1" applyBorder="1" applyAlignment="1">
      <alignment horizontal="center"/>
    </xf>
    <xf numFmtId="0" fontId="4" fillId="5" borderId="13" xfId="0" applyFont="1" applyFill="1" applyBorder="1" applyAlignment="1">
      <alignment horizontal="center"/>
    </xf>
    <xf numFmtId="0" fontId="4" fillId="4" borderId="18" xfId="0" applyFont="1" applyFill="1" applyBorder="1" applyAlignment="1">
      <alignment horizontal="center"/>
    </xf>
    <xf numFmtId="0" fontId="4" fillId="4" borderId="17" xfId="0" applyFont="1" applyFill="1" applyBorder="1" applyAlignment="1">
      <alignment horizontal="center"/>
    </xf>
    <xf numFmtId="0" fontId="4" fillId="0" borderId="16"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5" borderId="12" xfId="0" applyFont="1" applyFill="1" applyBorder="1" applyAlignment="1">
      <alignment horizontal="center"/>
    </xf>
    <xf numFmtId="167" fontId="4" fillId="0" borderId="0" xfId="0" applyNumberFormat="1" applyFont="1"/>
    <xf numFmtId="167" fontId="4" fillId="0" borderId="0" xfId="0" applyNumberFormat="1" applyFont="1" applyAlignment="1">
      <alignment horizontal="center"/>
    </xf>
    <xf numFmtId="0" fontId="4" fillId="5" borderId="2" xfId="0" quotePrefix="1" applyFont="1" applyFill="1" applyBorder="1" applyAlignment="1">
      <alignment horizontal="center"/>
    </xf>
    <xf numFmtId="171" fontId="4" fillId="5" borderId="1" xfId="0" applyNumberFormat="1" applyFont="1" applyFill="1" applyBorder="1" applyAlignment="1">
      <alignment horizontal="center"/>
    </xf>
    <xf numFmtId="0" fontId="4" fillId="5" borderId="1" xfId="0" applyFont="1" applyFill="1" applyBorder="1" applyAlignment="1">
      <alignment horizontal="center"/>
    </xf>
    <xf numFmtId="0" fontId="4" fillId="5" borderId="11" xfId="0" applyFont="1" applyFill="1" applyBorder="1" applyAlignment="1">
      <alignment horizontal="center"/>
    </xf>
    <xf numFmtId="2" fontId="4" fillId="5" borderId="11" xfId="0" applyNumberFormat="1" applyFont="1" applyFill="1" applyBorder="1" applyAlignment="1">
      <alignment horizontal="center"/>
    </xf>
    <xf numFmtId="0" fontId="4" fillId="4" borderId="9" xfId="0" applyFont="1" applyFill="1" applyBorder="1" applyAlignment="1">
      <alignment horizontal="center"/>
    </xf>
    <xf numFmtId="0" fontId="4" fillId="4" borderId="9" xfId="0" applyFont="1" applyFill="1" applyBorder="1" applyAlignment="1">
      <alignment horizontal="right"/>
    </xf>
    <xf numFmtId="171" fontId="19" fillId="4" borderId="0" xfId="0" applyNumberFormat="1" applyFont="1" applyFill="1" applyAlignment="1" applyProtection="1">
      <alignment horizontal="center"/>
      <protection locked="0"/>
    </xf>
    <xf numFmtId="0" fontId="4" fillId="4" borderId="0" xfId="0" applyFont="1" applyFill="1" applyAlignment="1" applyProtection="1">
      <alignment horizontal="center"/>
      <protection locked="0"/>
    </xf>
    <xf numFmtId="0" fontId="4" fillId="4" borderId="8" xfId="0" applyFont="1" applyFill="1" applyBorder="1" applyAlignment="1">
      <alignment horizontal="center"/>
    </xf>
    <xf numFmtId="0" fontId="4" fillId="4" borderId="15" xfId="0" applyFont="1" applyFill="1" applyBorder="1" applyAlignment="1" applyProtection="1">
      <alignment horizontal="center"/>
      <protection locked="0"/>
    </xf>
    <xf numFmtId="0" fontId="4" fillId="4" borderId="0" xfId="0" applyFont="1" applyFill="1" applyAlignment="1" applyProtection="1">
      <alignment horizontal="right"/>
      <protection locked="0"/>
    </xf>
    <xf numFmtId="171" fontId="19" fillId="4" borderId="0" xfId="0" applyNumberFormat="1" applyFont="1" applyFill="1" applyAlignment="1">
      <alignment horizontal="center"/>
    </xf>
    <xf numFmtId="2" fontId="4" fillId="4" borderId="0" xfId="0" applyNumberFormat="1" applyFont="1" applyFill="1" applyAlignment="1">
      <alignment horizontal="center"/>
    </xf>
    <xf numFmtId="2" fontId="4" fillId="4" borderId="15" xfId="0" applyNumberFormat="1" applyFont="1" applyFill="1" applyBorder="1" applyAlignment="1" applyProtection="1">
      <alignment horizontal="center"/>
      <protection locked="0"/>
    </xf>
    <xf numFmtId="0" fontId="4" fillId="0" borderId="0" xfId="0" quotePrefix="1" applyFont="1"/>
    <xf numFmtId="170" fontId="4" fillId="4" borderId="15" xfId="0" applyNumberFormat="1" applyFont="1" applyFill="1" applyBorder="1" applyAlignment="1">
      <alignment horizontal="center"/>
    </xf>
    <xf numFmtId="170" fontId="4" fillId="4" borderId="15" xfId="0" applyNumberFormat="1" applyFont="1" applyFill="1" applyBorder="1" applyAlignment="1" applyProtection="1">
      <alignment horizontal="center"/>
      <protection locked="0"/>
    </xf>
    <xf numFmtId="170" fontId="4" fillId="3" borderId="20" xfId="0" applyNumberFormat="1" applyFont="1" applyFill="1" applyBorder="1"/>
    <xf numFmtId="0" fontId="4" fillId="4" borderId="20" xfId="0" applyFont="1" applyFill="1" applyBorder="1" applyAlignment="1">
      <alignment horizontal="center"/>
    </xf>
    <xf numFmtId="11" fontId="4" fillId="4" borderId="15" xfId="0" applyNumberFormat="1" applyFont="1" applyFill="1" applyBorder="1" applyAlignment="1">
      <alignment horizontal="center"/>
    </xf>
    <xf numFmtId="174" fontId="4" fillId="4" borderId="15" xfId="0" applyNumberFormat="1" applyFont="1" applyFill="1" applyBorder="1" applyAlignment="1" applyProtection="1">
      <alignment horizontal="center"/>
      <protection locked="0"/>
    </xf>
    <xf numFmtId="174" fontId="4" fillId="4" borderId="20" xfId="0" applyNumberFormat="1" applyFont="1" applyFill="1" applyBorder="1" applyAlignment="1">
      <alignment horizontal="center"/>
    </xf>
    <xf numFmtId="166" fontId="4" fillId="0" borderId="83" xfId="0" applyNumberFormat="1" applyFont="1" applyBorder="1" applyAlignment="1">
      <alignment horizontal="center" vertical="center" wrapText="1"/>
    </xf>
    <xf numFmtId="166" fontId="4" fillId="0" borderId="84" xfId="0" applyNumberFormat="1" applyFont="1" applyBorder="1" applyAlignment="1">
      <alignment horizontal="center" vertical="center" wrapText="1"/>
    </xf>
    <xf numFmtId="166" fontId="4" fillId="0" borderId="85" xfId="0" applyNumberFormat="1" applyFont="1" applyBorder="1" applyAlignment="1">
      <alignment horizontal="center" vertical="center" wrapText="1"/>
    </xf>
    <xf numFmtId="166" fontId="4" fillId="0" borderId="86" xfId="0" applyNumberFormat="1" applyFont="1" applyBorder="1" applyAlignment="1">
      <alignment horizontal="center" vertical="center" wrapText="1"/>
    </xf>
    <xf numFmtId="166" fontId="4" fillId="0" borderId="87" xfId="0" applyNumberFormat="1" applyFont="1" applyBorder="1" applyAlignment="1">
      <alignment horizontal="center" vertical="center" wrapText="1"/>
    </xf>
    <xf numFmtId="173" fontId="19" fillId="2" borderId="88" xfId="0" applyNumberFormat="1" applyFont="1" applyFill="1" applyBorder="1" applyAlignment="1">
      <alignment horizontal="center" vertical="center" wrapText="1"/>
    </xf>
    <xf numFmtId="0" fontId="19" fillId="2" borderId="89" xfId="0" applyFont="1" applyFill="1" applyBorder="1" applyAlignment="1">
      <alignment horizontal="center" vertical="center" wrapText="1"/>
    </xf>
    <xf numFmtId="166" fontId="4" fillId="0" borderId="66" xfId="0" applyNumberFormat="1" applyFont="1" applyBorder="1" applyAlignment="1">
      <alignment horizontal="center" vertical="center" wrapText="1"/>
    </xf>
    <xf numFmtId="166" fontId="4" fillId="0" borderId="61" xfId="0" applyNumberFormat="1" applyFont="1" applyBorder="1" applyAlignment="1">
      <alignment horizontal="center" vertical="center" wrapText="1"/>
    </xf>
    <xf numFmtId="173" fontId="19" fillId="2" borderId="33" xfId="0" applyNumberFormat="1" applyFont="1" applyFill="1" applyBorder="1" applyAlignment="1">
      <alignment horizontal="center" vertical="center" wrapText="1"/>
    </xf>
    <xf numFmtId="166" fontId="4" fillId="0" borderId="68" xfId="0" applyNumberFormat="1" applyFont="1" applyBorder="1" applyAlignment="1">
      <alignment horizontal="center" vertical="center" wrapText="1"/>
    </xf>
    <xf numFmtId="166" fontId="4" fillId="0" borderId="62" xfId="0" applyNumberFormat="1" applyFont="1" applyBorder="1" applyAlignment="1">
      <alignment horizontal="center" vertical="center" wrapText="1"/>
    </xf>
    <xf numFmtId="173" fontId="19" fillId="2" borderId="41" xfId="0" applyNumberFormat="1" applyFont="1" applyFill="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164" fontId="8" fillId="0" borderId="0" xfId="0" applyNumberFormat="1" applyFont="1" applyAlignment="1">
      <alignment vertical="center" wrapText="1"/>
    </xf>
    <xf numFmtId="0" fontId="8" fillId="11" borderId="139" xfId="0" applyFont="1" applyFill="1" applyBorder="1" applyAlignment="1">
      <alignment vertical="center"/>
    </xf>
    <xf numFmtId="0" fontId="1" fillId="8" borderId="146" xfId="0" applyFont="1" applyFill="1" applyBorder="1"/>
    <xf numFmtId="0" fontId="0" fillId="8" borderId="147" xfId="0" applyFill="1" applyBorder="1"/>
    <xf numFmtId="0" fontId="0" fillId="8" borderId="146" xfId="0" applyFill="1" applyBorder="1"/>
    <xf numFmtId="0" fontId="8" fillId="11" borderId="144" xfId="0" applyFont="1" applyFill="1" applyBorder="1" applyAlignment="1">
      <alignment vertical="center"/>
    </xf>
    <xf numFmtId="0" fontId="8" fillId="11" borderId="145" xfId="0" applyFont="1" applyFill="1" applyBorder="1" applyAlignment="1">
      <alignment vertical="center"/>
    </xf>
    <xf numFmtId="0" fontId="6" fillId="11" borderId="142" xfId="0" applyFont="1" applyFill="1" applyBorder="1" applyAlignment="1">
      <alignment horizontal="left"/>
    </xf>
    <xf numFmtId="0" fontId="6" fillId="8" borderId="142" xfId="0" applyFont="1" applyFill="1" applyBorder="1" applyAlignment="1">
      <alignment horizontal="left"/>
    </xf>
    <xf numFmtId="0" fontId="6" fillId="11" borderId="140" xfId="0" applyFont="1" applyFill="1" applyBorder="1" applyAlignment="1">
      <alignment horizontal="left"/>
    </xf>
    <xf numFmtId="0" fontId="6" fillId="8" borderId="140" xfId="0" applyFont="1" applyFill="1" applyBorder="1" applyAlignment="1">
      <alignment horizontal="left"/>
    </xf>
    <xf numFmtId="0" fontId="1" fillId="8" borderId="15" xfId="0" applyFont="1" applyFill="1" applyBorder="1" applyAlignment="1">
      <alignment horizontal="center"/>
    </xf>
    <xf numFmtId="0" fontId="5" fillId="10" borderId="150" xfId="0" applyFont="1" applyFill="1" applyBorder="1"/>
    <xf numFmtId="0" fontId="5" fillId="10" borderId="148" xfId="0" applyFont="1" applyFill="1" applyBorder="1"/>
    <xf numFmtId="0" fontId="6" fillId="11" borderId="146" xfId="0" applyFont="1" applyFill="1" applyBorder="1" applyAlignment="1">
      <alignment vertical="center"/>
    </xf>
    <xf numFmtId="0" fontId="6" fillId="11" borderId="0" xfId="0" applyFont="1" applyFill="1" applyAlignment="1">
      <alignment horizontal="center" wrapText="1"/>
    </xf>
    <xf numFmtId="0" fontId="6" fillId="12" borderId="147" xfId="0" applyFont="1" applyFill="1" applyBorder="1" applyAlignment="1">
      <alignment horizontal="center" wrapText="1"/>
    </xf>
    <xf numFmtId="0" fontId="6" fillId="11" borderId="1" xfId="0" applyFont="1" applyFill="1" applyBorder="1" applyAlignment="1">
      <alignment horizontal="center" wrapText="1"/>
    </xf>
    <xf numFmtId="0" fontId="6" fillId="12" borderId="141" xfId="0" applyFont="1" applyFill="1" applyBorder="1" applyAlignment="1">
      <alignment horizontal="center" wrapText="1"/>
    </xf>
    <xf numFmtId="173" fontId="5" fillId="11" borderId="149" xfId="0" applyNumberFormat="1" applyFont="1" applyFill="1" applyBorder="1" applyAlignment="1">
      <alignment horizontal="center"/>
    </xf>
    <xf numFmtId="173" fontId="6" fillId="12" borderId="143" xfId="0" applyNumberFormat="1" applyFont="1" applyFill="1" applyBorder="1" applyAlignment="1">
      <alignment horizontal="center"/>
    </xf>
    <xf numFmtId="49" fontId="6" fillId="8" borderId="1" xfId="0" applyNumberFormat="1" applyFont="1" applyFill="1" applyBorder="1" applyAlignment="1">
      <alignment horizontal="center" wrapText="1"/>
    </xf>
    <xf numFmtId="0" fontId="6" fillId="8" borderId="1" xfId="0" applyFont="1" applyFill="1" applyBorder="1" applyAlignment="1">
      <alignment horizontal="center" wrapText="1"/>
    </xf>
    <xf numFmtId="0" fontId="6" fillId="13" borderId="141" xfId="0" applyFont="1" applyFill="1" applyBorder="1" applyAlignment="1">
      <alignment horizontal="center" wrapText="1"/>
    </xf>
    <xf numFmtId="175" fontId="5" fillId="8" borderId="149" xfId="0" applyNumberFormat="1" applyFont="1" applyFill="1" applyBorder="1" applyAlignment="1">
      <alignment horizontal="center"/>
    </xf>
    <xf numFmtId="11" fontId="5" fillId="8" borderId="149" xfId="0" applyNumberFormat="1" applyFont="1" applyFill="1" applyBorder="1" applyAlignment="1">
      <alignment horizontal="center"/>
    </xf>
    <xf numFmtId="173" fontId="5" fillId="8" borderId="149" xfId="0" applyNumberFormat="1" applyFont="1" applyFill="1" applyBorder="1" applyAlignment="1">
      <alignment horizontal="center"/>
    </xf>
    <xf numFmtId="173" fontId="5" fillId="13" borderId="143" xfId="0" applyNumberFormat="1" applyFont="1" applyFill="1" applyBorder="1" applyAlignment="1">
      <alignment horizontal="center"/>
    </xf>
    <xf numFmtId="166" fontId="5" fillId="10" borderId="151" xfId="0" applyNumberFormat="1" applyFont="1" applyFill="1" applyBorder="1" applyAlignment="1">
      <alignment horizontal="center"/>
    </xf>
    <xf numFmtId="166" fontId="5" fillId="10" borderId="152" xfId="0" applyNumberFormat="1" applyFont="1" applyFill="1" applyBorder="1" applyAlignment="1">
      <alignment horizontal="center"/>
    </xf>
    <xf numFmtId="166" fontId="5" fillId="10" borderId="153" xfId="0" applyNumberFormat="1" applyFont="1" applyFill="1" applyBorder="1" applyAlignment="1">
      <alignment horizontal="center"/>
    </xf>
    <xf numFmtId="166" fontId="5" fillId="10" borderId="154" xfId="0" applyNumberFormat="1" applyFont="1" applyFill="1" applyBorder="1" applyAlignment="1">
      <alignment horizontal="center"/>
    </xf>
    <xf numFmtId="166" fontId="23" fillId="0" borderId="47" xfId="0" applyNumberFormat="1" applyFont="1" applyBorder="1" applyAlignment="1">
      <alignment horizontal="center" vertical="center" wrapText="1"/>
    </xf>
    <xf numFmtId="0" fontId="6" fillId="0" borderId="42" xfId="0" applyFont="1" applyBorder="1" applyAlignment="1">
      <alignment horizontal="left" wrapText="1"/>
    </xf>
    <xf numFmtId="0" fontId="19" fillId="0" borderId="113" xfId="0" applyFont="1" applyBorder="1" applyAlignment="1">
      <alignment horizontal="left" vertical="center" wrapText="1"/>
    </xf>
    <xf numFmtId="0" fontId="4" fillId="0" borderId="39" xfId="0" quotePrefix="1" applyFont="1" applyBorder="1" applyAlignment="1">
      <alignment horizontal="left" vertical="center" wrapText="1"/>
    </xf>
    <xf numFmtId="0" fontId="4" fillId="0" borderId="110" xfId="0" quotePrefix="1" applyFont="1" applyBorder="1" applyAlignment="1">
      <alignment horizontal="left" vertical="center" wrapText="1"/>
    </xf>
    <xf numFmtId="0" fontId="1" fillId="5" borderId="25" xfId="0" applyFont="1" applyFill="1" applyBorder="1"/>
    <xf numFmtId="0" fontId="1" fillId="5" borderId="26" xfId="0" applyFont="1" applyFill="1" applyBorder="1"/>
    <xf numFmtId="0" fontId="12" fillId="5" borderId="26" xfId="0" applyFont="1" applyFill="1" applyBorder="1"/>
    <xf numFmtId="0" fontId="1" fillId="5" borderId="27" xfId="0" applyFont="1" applyFill="1" applyBorder="1"/>
    <xf numFmtId="0" fontId="1" fillId="0" borderId="155" xfId="0" applyFont="1" applyBorder="1" applyAlignment="1">
      <alignment vertical="center" wrapText="1"/>
    </xf>
    <xf numFmtId="0" fontId="21" fillId="0" borderId="156" xfId="0" applyFont="1" applyBorder="1" applyAlignment="1">
      <alignment horizontal="center" vertical="center" wrapText="1"/>
    </xf>
    <xf numFmtId="0" fontId="12" fillId="0" borderId="156" xfId="0" applyFont="1" applyBorder="1" applyAlignment="1">
      <alignment horizontal="center" vertical="center" wrapText="1"/>
    </xf>
    <xf numFmtId="0" fontId="1" fillId="0" borderId="156" xfId="0" applyFont="1" applyBorder="1" applyAlignment="1">
      <alignment vertical="center" wrapText="1"/>
    </xf>
    <xf numFmtId="0" fontId="6" fillId="0" borderId="157" xfId="0" applyFont="1" applyBorder="1" applyAlignment="1">
      <alignment horizontal="left" vertical="center" wrapText="1"/>
    </xf>
    <xf numFmtId="0" fontId="4" fillId="0" borderId="158" xfId="0" applyFont="1" applyBorder="1" applyAlignment="1">
      <alignment horizontal="left" vertical="center" wrapText="1"/>
    </xf>
    <xf numFmtId="0" fontId="4" fillId="0" borderId="159" xfId="0" applyFont="1" applyBorder="1" applyAlignment="1">
      <alignment horizontal="left" vertical="center" wrapText="1"/>
    </xf>
    <xf numFmtId="0" fontId="4" fillId="9" borderId="159" xfId="0" applyFont="1" applyFill="1" applyBorder="1" applyAlignment="1">
      <alignment horizontal="left" vertical="center" wrapText="1"/>
    </xf>
    <xf numFmtId="0" fontId="4" fillId="0" borderId="159" xfId="0" quotePrefix="1" applyFont="1" applyBorder="1" applyAlignment="1">
      <alignment horizontal="left" vertical="center" wrapText="1"/>
    </xf>
    <xf numFmtId="0" fontId="4" fillId="0" borderId="160" xfId="0" applyFont="1" applyBorder="1" applyAlignment="1">
      <alignment horizontal="left" vertical="center" wrapText="1"/>
    </xf>
    <xf numFmtId="0" fontId="4" fillId="15" borderId="52" xfId="0" applyFont="1" applyFill="1" applyBorder="1" applyAlignment="1">
      <alignment horizontal="center" vertical="center"/>
    </xf>
    <xf numFmtId="0" fontId="5" fillId="15" borderId="94" xfId="0" applyFont="1" applyFill="1" applyBorder="1" applyAlignment="1">
      <alignment horizontal="center" vertical="center"/>
    </xf>
    <xf numFmtId="0" fontId="2" fillId="0" borderId="52" xfId="0" applyFont="1" applyBorder="1" applyAlignment="1">
      <alignment horizontal="center" vertical="center"/>
    </xf>
    <xf numFmtId="0" fontId="2" fillId="0" borderId="52" xfId="0" quotePrefix="1" applyFont="1" applyBorder="1" applyAlignment="1">
      <alignment horizontal="center" vertical="center"/>
    </xf>
    <xf numFmtId="0" fontId="1" fillId="0" borderId="52" xfId="0" applyFont="1" applyBorder="1" applyAlignment="1">
      <alignment horizontal="center" vertical="center"/>
    </xf>
    <xf numFmtId="49" fontId="25" fillId="5" borderId="0" xfId="0" applyNumberFormat="1" applyFont="1" applyFill="1"/>
    <xf numFmtId="0" fontId="24" fillId="5" borderId="0" xfId="0" applyFont="1" applyFill="1"/>
    <xf numFmtId="0" fontId="26" fillId="5" borderId="0" xfId="0" applyFont="1" applyFill="1"/>
    <xf numFmtId="0" fontId="27" fillId="5" borderId="0" xfId="0" applyFont="1" applyFill="1"/>
    <xf numFmtId="0" fontId="27" fillId="5" borderId="0" xfId="0" quotePrefix="1" applyFont="1" applyFill="1"/>
    <xf numFmtId="49" fontId="27" fillId="5" borderId="0" xfId="0" applyNumberFormat="1" applyFont="1" applyFill="1"/>
    <xf numFmtId="49" fontId="27" fillId="5" borderId="0" xfId="0" quotePrefix="1" applyNumberFormat="1" applyFont="1" applyFill="1"/>
    <xf numFmtId="0" fontId="14" fillId="5" borderId="0" xfId="1" applyFill="1" applyBorder="1" applyAlignment="1" applyProtection="1"/>
    <xf numFmtId="0" fontId="28" fillId="6" borderId="0" xfId="0" applyFont="1" applyFill="1" applyAlignment="1">
      <alignment horizontal="right"/>
    </xf>
    <xf numFmtId="0" fontId="12" fillId="6" borderId="0" xfId="0" applyFont="1" applyFill="1"/>
    <xf numFmtId="0" fontId="19" fillId="4" borderId="0" xfId="0" applyFont="1" applyFill="1" applyAlignment="1" applyProtection="1">
      <alignment horizontal="center"/>
      <protection locked="0"/>
    </xf>
    <xf numFmtId="0" fontId="1" fillId="0" borderId="0" xfId="0" applyFont="1" applyAlignment="1">
      <alignment wrapText="1"/>
    </xf>
    <xf numFmtId="167" fontId="1" fillId="0" borderId="0" xfId="0" applyNumberFormat="1" applyFont="1" applyAlignment="1">
      <alignment wrapText="1"/>
    </xf>
    <xf numFmtId="167" fontId="1" fillId="0" borderId="0" xfId="0" applyNumberFormat="1" applyFont="1" applyAlignment="1">
      <alignment horizontal="center" wrapText="1"/>
    </xf>
    <xf numFmtId="0" fontId="1" fillId="0" borderId="0" xfId="0" applyFont="1" applyAlignment="1">
      <alignment horizontal="center" wrapText="1"/>
    </xf>
    <xf numFmtId="0" fontId="4" fillId="0" borderId="0" xfId="0" applyFont="1" applyAlignment="1">
      <alignment horizontal="center" vertical="center"/>
    </xf>
    <xf numFmtId="0" fontId="4" fillId="4" borderId="15" xfId="0" applyFont="1" applyFill="1" applyBorder="1" applyAlignment="1">
      <alignment horizontal="center" wrapText="1"/>
    </xf>
    <xf numFmtId="0" fontId="4" fillId="4" borderId="15" xfId="0" applyFont="1" applyFill="1" applyBorder="1" applyAlignment="1">
      <alignment wrapText="1"/>
    </xf>
    <xf numFmtId="0" fontId="4" fillId="4" borderId="0" xfId="0" applyFont="1" applyFill="1" applyAlignment="1">
      <alignment horizontal="center" wrapText="1"/>
    </xf>
    <xf numFmtId="0" fontId="4" fillId="0" borderId="0" xfId="0" applyFont="1" applyAlignment="1">
      <alignment wrapText="1"/>
    </xf>
    <xf numFmtId="0" fontId="4" fillId="3" borderId="7" xfId="0" applyFont="1" applyFill="1" applyBorder="1"/>
    <xf numFmtId="11" fontId="4" fillId="3" borderId="6" xfId="0" applyNumberFormat="1" applyFont="1" applyFill="1" applyBorder="1"/>
    <xf numFmtId="11" fontId="4" fillId="0" borderId="0" xfId="0" applyNumberFormat="1" applyFont="1"/>
    <xf numFmtId="11" fontId="4" fillId="3" borderId="7" xfId="0" applyNumberFormat="1" applyFont="1" applyFill="1" applyBorder="1"/>
    <xf numFmtId="11" fontId="4" fillId="3" borderId="22" xfId="0" applyNumberFormat="1" applyFont="1" applyFill="1" applyBorder="1"/>
    <xf numFmtId="11" fontId="4" fillId="3" borderId="21" xfId="0" applyNumberFormat="1" applyFont="1" applyFill="1" applyBorder="1"/>
    <xf numFmtId="0" fontId="4" fillId="0" borderId="8" xfId="0" applyFont="1" applyBorder="1" applyAlignment="1">
      <alignment horizontal="center"/>
    </xf>
    <xf numFmtId="0" fontId="19" fillId="2" borderId="24" xfId="0" applyFont="1" applyFill="1" applyBorder="1" applyAlignment="1">
      <alignment horizontal="center"/>
    </xf>
    <xf numFmtId="0" fontId="19" fillId="2" borderId="12" xfId="0" applyFont="1" applyFill="1" applyBorder="1" applyAlignment="1">
      <alignment horizontal="center"/>
    </xf>
    <xf numFmtId="0" fontId="4" fillId="2" borderId="3" xfId="0" quotePrefix="1" applyFont="1" applyFill="1" applyBorder="1"/>
    <xf numFmtId="0" fontId="4" fillId="2" borderId="0" xfId="0" quotePrefix="1" applyFont="1" applyFill="1"/>
    <xf numFmtId="171" fontId="4" fillId="2" borderId="0" xfId="0" applyNumberFormat="1" applyFont="1" applyFill="1" applyAlignment="1">
      <alignment horizontal="center"/>
    </xf>
    <xf numFmtId="0" fontId="4" fillId="2" borderId="0" xfId="0" applyFont="1" applyFill="1" applyAlignment="1">
      <alignment horizontal="center"/>
    </xf>
    <xf numFmtId="172" fontId="4" fillId="2" borderId="0" xfId="0" applyNumberFormat="1" applyFont="1" applyFill="1" applyAlignment="1">
      <alignment horizontal="center"/>
    </xf>
    <xf numFmtId="172" fontId="4" fillId="2" borderId="23" xfId="0" applyNumberFormat="1" applyFont="1" applyFill="1" applyBorder="1" applyAlignment="1">
      <alignment horizontal="center"/>
    </xf>
    <xf numFmtId="172" fontId="19" fillId="2" borderId="14" xfId="0" applyNumberFormat="1" applyFont="1" applyFill="1" applyBorder="1" applyAlignment="1">
      <alignment horizontal="center"/>
    </xf>
    <xf numFmtId="0" fontId="4" fillId="2" borderId="12" xfId="0" applyFont="1" applyFill="1" applyBorder="1"/>
    <xf numFmtId="0" fontId="4" fillId="2" borderId="16" xfId="0" quotePrefix="1" applyFont="1" applyFill="1" applyBorder="1"/>
    <xf numFmtId="0" fontId="4" fillId="2" borderId="15" xfId="0" quotePrefix="1" applyFont="1" applyFill="1" applyBorder="1"/>
    <xf numFmtId="171" fontId="4" fillId="2" borderId="15" xfId="0" applyNumberFormat="1" applyFont="1" applyFill="1" applyBorder="1" applyAlignment="1">
      <alignment horizontal="center"/>
    </xf>
    <xf numFmtId="0" fontId="4" fillId="2" borderId="15" xfId="0" applyFont="1" applyFill="1" applyBorder="1" applyAlignment="1">
      <alignment horizontal="center"/>
    </xf>
    <xf numFmtId="0" fontId="4" fillId="2" borderId="14" xfId="0" applyFont="1" applyFill="1" applyBorder="1"/>
    <xf numFmtId="0" fontId="4" fillId="2" borderId="3" xfId="0" quotePrefix="1" applyFont="1" applyFill="1" applyBorder="1" applyAlignment="1">
      <alignment horizontal="center"/>
    </xf>
    <xf numFmtId="0" fontId="4" fillId="2" borderId="0" xfId="0" quotePrefix="1" applyFont="1" applyFill="1" applyAlignment="1">
      <alignment horizontal="right"/>
    </xf>
    <xf numFmtId="1" fontId="19" fillId="2" borderId="0" xfId="0" applyNumberFormat="1" applyFont="1" applyFill="1" applyAlignment="1">
      <alignment horizontal="center"/>
    </xf>
    <xf numFmtId="172" fontId="4" fillId="2" borderId="12" xfId="0" applyNumberFormat="1" applyFont="1" applyFill="1" applyBorder="1" applyAlignment="1">
      <alignment horizontal="center"/>
    </xf>
    <xf numFmtId="0" fontId="4" fillId="2" borderId="16" xfId="0" applyFont="1" applyFill="1" applyBorder="1" applyAlignment="1">
      <alignment horizontal="center"/>
    </xf>
    <xf numFmtId="0" fontId="4" fillId="2" borderId="15" xfId="0" applyFont="1" applyFill="1" applyBorder="1"/>
    <xf numFmtId="1" fontId="19" fillId="2" borderId="15" xfId="0" applyNumberFormat="1" applyFont="1" applyFill="1" applyBorder="1" applyAlignment="1">
      <alignment horizontal="center"/>
    </xf>
    <xf numFmtId="172" fontId="4" fillId="2" borderId="15" xfId="0" applyNumberFormat="1" applyFont="1" applyFill="1" applyBorder="1" applyAlignment="1">
      <alignment horizontal="center"/>
    </xf>
    <xf numFmtId="172" fontId="4" fillId="2" borderId="14" xfId="0" applyNumberFormat="1" applyFont="1" applyFill="1" applyBorder="1" applyAlignment="1">
      <alignment horizontal="center"/>
    </xf>
    <xf numFmtId="0" fontId="4" fillId="6" borderId="3" xfId="0" applyFont="1" applyFill="1" applyBorder="1" applyAlignment="1">
      <alignment horizontal="center"/>
    </xf>
    <xf numFmtId="0" fontId="4" fillId="6" borderId="0" xfId="0" applyFont="1" applyFill="1" applyAlignment="1">
      <alignment horizontal="center"/>
    </xf>
    <xf numFmtId="171" fontId="4" fillId="6" borderId="0" xfId="0" applyNumberFormat="1" applyFont="1" applyFill="1"/>
    <xf numFmtId="172" fontId="4" fillId="6" borderId="0" xfId="0" applyNumberFormat="1" applyFont="1" applyFill="1"/>
    <xf numFmtId="2" fontId="4" fillId="6" borderId="12" xfId="0" applyNumberFormat="1" applyFont="1" applyFill="1" applyBorder="1"/>
    <xf numFmtId="0" fontId="4" fillId="6" borderId="3" xfId="0" quotePrefix="1" applyFont="1" applyFill="1" applyBorder="1"/>
    <xf numFmtId="0" fontId="4" fillId="6" borderId="0" xfId="0" quotePrefix="1" applyFont="1" applyFill="1"/>
    <xf numFmtId="171" fontId="4" fillId="6" borderId="0" xfId="0" applyNumberFormat="1" applyFont="1" applyFill="1" applyAlignment="1">
      <alignment horizontal="center"/>
    </xf>
    <xf numFmtId="0" fontId="4" fillId="6" borderId="0" xfId="0" applyFont="1" applyFill="1"/>
    <xf numFmtId="0" fontId="4" fillId="6" borderId="12" xfId="0" applyFont="1" applyFill="1" applyBorder="1"/>
    <xf numFmtId="0" fontId="19" fillId="6" borderId="13" xfId="0" applyFont="1" applyFill="1" applyBorder="1" applyAlignment="1">
      <alignment horizontal="center"/>
    </xf>
    <xf numFmtId="0" fontId="19" fillId="6" borderId="12" xfId="0" applyFont="1" applyFill="1" applyBorder="1" applyAlignment="1">
      <alignment horizontal="center"/>
    </xf>
    <xf numFmtId="172" fontId="19" fillId="6" borderId="11" xfId="0" applyNumberFormat="1" applyFont="1" applyFill="1" applyBorder="1" applyAlignment="1">
      <alignment horizontal="center"/>
    </xf>
    <xf numFmtId="0" fontId="4" fillId="6" borderId="16" xfId="0" quotePrefix="1" applyFont="1" applyFill="1" applyBorder="1"/>
    <xf numFmtId="0" fontId="4" fillId="6" borderId="15" xfId="0" quotePrefix="1" applyFont="1" applyFill="1" applyBorder="1"/>
    <xf numFmtId="171" fontId="4" fillId="6" borderId="15" xfId="0" applyNumberFormat="1" applyFont="1" applyFill="1" applyBorder="1" applyAlignment="1">
      <alignment horizontal="center"/>
    </xf>
    <xf numFmtId="0" fontId="4" fillId="6" borderId="15" xfId="0" applyFont="1" applyFill="1" applyBorder="1"/>
    <xf numFmtId="171" fontId="4" fillId="6" borderId="15" xfId="0" applyNumberFormat="1" applyFont="1" applyFill="1" applyBorder="1"/>
    <xf numFmtId="0" fontId="4" fillId="6" borderId="14" xfId="0" applyFont="1" applyFill="1" applyBorder="1"/>
    <xf numFmtId="0" fontId="19" fillId="6" borderId="24" xfId="0" applyFont="1" applyFill="1" applyBorder="1" applyAlignment="1">
      <alignment horizontal="center"/>
    </xf>
    <xf numFmtId="1" fontId="19" fillId="6" borderId="0" xfId="0" applyNumberFormat="1" applyFont="1" applyFill="1" applyAlignment="1">
      <alignment horizontal="center"/>
    </xf>
    <xf numFmtId="172" fontId="4" fillId="6" borderId="0" xfId="0" applyNumberFormat="1" applyFont="1" applyFill="1" applyAlignment="1">
      <alignment horizontal="center"/>
    </xf>
    <xf numFmtId="172" fontId="4" fillId="6" borderId="12" xfId="0" applyNumberFormat="1" applyFont="1" applyFill="1" applyBorder="1" applyAlignment="1">
      <alignment horizontal="center"/>
    </xf>
    <xf numFmtId="0" fontId="4" fillId="6" borderId="16" xfId="0" applyFont="1" applyFill="1" applyBorder="1"/>
    <xf numFmtId="1" fontId="19" fillId="6" borderId="15" xfId="0" applyNumberFormat="1" applyFont="1" applyFill="1" applyBorder="1" applyAlignment="1">
      <alignment horizontal="center"/>
    </xf>
    <xf numFmtId="172" fontId="4" fillId="6" borderId="15" xfId="0" applyNumberFormat="1" applyFont="1" applyFill="1" applyBorder="1" applyAlignment="1">
      <alignment horizontal="center"/>
    </xf>
    <xf numFmtId="0" fontId="4" fillId="6" borderId="15" xfId="0" applyFont="1" applyFill="1" applyBorder="1" applyAlignment="1">
      <alignment horizontal="center"/>
    </xf>
    <xf numFmtId="172" fontId="4" fillId="6" borderId="14" xfId="0" applyNumberFormat="1" applyFont="1" applyFill="1" applyBorder="1" applyAlignment="1">
      <alignment horizontal="center"/>
    </xf>
    <xf numFmtId="0" fontId="4" fillId="5" borderId="3" xfId="0" quotePrefix="1" applyFont="1" applyFill="1" applyBorder="1"/>
    <xf numFmtId="0" fontId="4" fillId="5" borderId="0" xfId="0" quotePrefix="1" applyFont="1" applyFill="1"/>
    <xf numFmtId="0" fontId="4" fillId="5" borderId="0" xfId="0" applyFont="1" applyFill="1"/>
    <xf numFmtId="0" fontId="4" fillId="5" borderId="12" xfId="0" applyFont="1" applyFill="1" applyBorder="1"/>
    <xf numFmtId="171" fontId="4" fillId="5" borderId="0" xfId="0" applyNumberFormat="1" applyFont="1" applyFill="1" applyAlignment="1">
      <alignment horizontal="center"/>
    </xf>
    <xf numFmtId="0" fontId="4" fillId="5" borderId="0" xfId="0" applyFont="1" applyFill="1" applyAlignment="1">
      <alignment horizontal="center"/>
    </xf>
    <xf numFmtId="0" fontId="19" fillId="5" borderId="24" xfId="0" applyFont="1" applyFill="1" applyBorder="1" applyAlignment="1">
      <alignment horizontal="center"/>
    </xf>
    <xf numFmtId="0" fontId="19" fillId="5" borderId="12" xfId="0" applyFont="1" applyFill="1" applyBorder="1" applyAlignment="1">
      <alignment horizontal="center"/>
    </xf>
    <xf numFmtId="172" fontId="19" fillId="5" borderId="11" xfId="0" applyNumberFormat="1" applyFont="1" applyFill="1" applyBorder="1" applyAlignment="1">
      <alignment horizontal="center"/>
    </xf>
    <xf numFmtId="0" fontId="4" fillId="5" borderId="16" xfId="0" quotePrefix="1" applyFont="1" applyFill="1" applyBorder="1"/>
    <xf numFmtId="0" fontId="4" fillId="5" borderId="15" xfId="0" quotePrefix="1" applyFont="1" applyFill="1" applyBorder="1"/>
    <xf numFmtId="171" fontId="4" fillId="5" borderId="15" xfId="0" applyNumberFormat="1" applyFont="1" applyFill="1" applyBorder="1" applyAlignment="1">
      <alignment horizontal="center"/>
    </xf>
    <xf numFmtId="0" fontId="4" fillId="5" borderId="15" xfId="0" applyFont="1" applyFill="1" applyBorder="1" applyAlignment="1">
      <alignment horizontal="center"/>
    </xf>
    <xf numFmtId="0" fontId="4" fillId="5" borderId="14" xfId="0" applyFont="1" applyFill="1" applyBorder="1" applyAlignment="1">
      <alignment horizontal="center"/>
    </xf>
    <xf numFmtId="1" fontId="19" fillId="5" borderId="0" xfId="0" applyNumberFormat="1" applyFont="1" applyFill="1" applyAlignment="1">
      <alignment horizontal="center"/>
    </xf>
    <xf numFmtId="172" fontId="4" fillId="5" borderId="0" xfId="0" applyNumberFormat="1" applyFont="1" applyFill="1" applyAlignment="1">
      <alignment horizontal="center"/>
    </xf>
    <xf numFmtId="172" fontId="4" fillId="5" borderId="12" xfId="0" applyNumberFormat="1" applyFont="1" applyFill="1" applyBorder="1" applyAlignment="1">
      <alignment horizontal="center"/>
    </xf>
    <xf numFmtId="0" fontId="4" fillId="5" borderId="2" xfId="0" applyFont="1" applyFill="1" applyBorder="1" applyAlignment="1">
      <alignment horizontal="left"/>
    </xf>
    <xf numFmtId="0" fontId="4" fillId="5" borderId="1" xfId="0" applyFont="1" applyFill="1" applyBorder="1"/>
    <xf numFmtId="1" fontId="19" fillId="5" borderId="1" xfId="0" applyNumberFormat="1" applyFont="1" applyFill="1" applyBorder="1" applyAlignment="1">
      <alignment horizontal="center"/>
    </xf>
    <xf numFmtId="172" fontId="4" fillId="5" borderId="1" xfId="0" applyNumberFormat="1" applyFont="1" applyFill="1" applyBorder="1" applyAlignment="1">
      <alignment horizontal="center"/>
    </xf>
    <xf numFmtId="172" fontId="4" fillId="5" borderId="11" xfId="0" applyNumberFormat="1" applyFont="1" applyFill="1" applyBorder="1" applyAlignment="1">
      <alignment horizontal="center"/>
    </xf>
    <xf numFmtId="167" fontId="4" fillId="0" borderId="0" xfId="0" applyNumberFormat="1" applyFont="1" applyAlignment="1">
      <alignment wrapText="1"/>
    </xf>
    <xf numFmtId="167" fontId="4" fillId="0" borderId="0" xfId="0" applyNumberFormat="1" applyFont="1" applyAlignment="1">
      <alignment horizontal="center" wrapText="1"/>
    </xf>
    <xf numFmtId="1" fontId="4" fillId="0" borderId="0" xfId="0" applyNumberFormat="1" applyFont="1" applyAlignment="1">
      <alignment horizontal="center" wrapText="1"/>
    </xf>
    <xf numFmtId="11" fontId="19" fillId="0" borderId="0" xfId="0" applyNumberFormat="1" applyFont="1"/>
    <xf numFmtId="0" fontId="19" fillId="4" borderId="0" xfId="0" applyFont="1" applyFill="1" applyAlignment="1">
      <alignment horizontal="center"/>
    </xf>
    <xf numFmtId="0" fontId="19" fillId="4" borderId="19" xfId="0" applyFont="1" applyFill="1" applyBorder="1"/>
    <xf numFmtId="171" fontId="4" fillId="4" borderId="0" xfId="0" applyNumberFormat="1" applyFont="1" applyFill="1"/>
    <xf numFmtId="171" fontId="4" fillId="4" borderId="0" xfId="0" applyNumberFormat="1" applyFont="1" applyFill="1" applyAlignment="1">
      <alignment horizontal="center"/>
    </xf>
    <xf numFmtId="171" fontId="4" fillId="4" borderId="15" xfId="0" applyNumberFormat="1" applyFont="1" applyFill="1" applyBorder="1" applyAlignment="1" applyProtection="1">
      <alignment horizontal="center"/>
      <protection locked="0"/>
    </xf>
    <xf numFmtId="171" fontId="4" fillId="4" borderId="0" xfId="0" applyNumberFormat="1" applyFont="1" applyFill="1" applyAlignment="1" applyProtection="1">
      <alignment horizontal="center"/>
      <protection locked="0"/>
    </xf>
    <xf numFmtId="0" fontId="4" fillId="4" borderId="17" xfId="0" applyFont="1" applyFill="1" applyBorder="1" applyAlignment="1" applyProtection="1">
      <alignment horizontal="center"/>
      <protection locked="0"/>
    </xf>
    <xf numFmtId="0" fontId="4" fillId="4" borderId="0" xfId="0" applyFont="1" applyFill="1" applyAlignment="1">
      <alignment horizontal="right"/>
    </xf>
    <xf numFmtId="49" fontId="4" fillId="4" borderId="0" xfId="0" applyNumberFormat="1" applyFont="1" applyFill="1"/>
    <xf numFmtId="0" fontId="19" fillId="4" borderId="0" xfId="0" applyFont="1" applyFill="1"/>
    <xf numFmtId="1" fontId="19" fillId="4" borderId="0" xfId="0" applyNumberFormat="1" applyFont="1" applyFill="1" applyAlignment="1" applyProtection="1">
      <alignment horizontal="center"/>
      <protection locked="0"/>
    </xf>
    <xf numFmtId="2" fontId="4" fillId="4" borderId="0" xfId="0" applyNumberFormat="1" applyFont="1" applyFill="1" applyAlignment="1" applyProtection="1">
      <alignment horizontal="center"/>
      <protection locked="0"/>
    </xf>
    <xf numFmtId="1" fontId="4" fillId="4" borderId="15" xfId="0" applyNumberFormat="1" applyFont="1" applyFill="1" applyBorder="1" applyAlignment="1" applyProtection="1">
      <alignment horizontal="center"/>
      <protection locked="0"/>
    </xf>
    <xf numFmtId="1" fontId="4" fillId="4" borderId="0" xfId="0" applyNumberFormat="1" applyFont="1" applyFill="1" applyAlignment="1">
      <alignment horizontal="center"/>
    </xf>
    <xf numFmtId="0" fontId="24" fillId="5" borderId="0" xfId="0" applyFont="1" applyFill="1" applyAlignment="1">
      <alignment horizontal="left" vertical="center" wrapText="1"/>
    </xf>
    <xf numFmtId="0" fontId="12" fillId="5" borderId="28" xfId="0" applyFont="1" applyFill="1" applyBorder="1" applyAlignment="1">
      <alignment horizontal="center"/>
    </xf>
    <xf numFmtId="0" fontId="12" fillId="5" borderId="0" xfId="0" applyFont="1" applyFill="1" applyAlignment="1">
      <alignment horizontal="center"/>
    </xf>
    <xf numFmtId="0" fontId="12" fillId="5" borderId="29" xfId="0" applyFont="1" applyFill="1" applyBorder="1" applyAlignment="1">
      <alignment horizontal="center"/>
    </xf>
    <xf numFmtId="0" fontId="6" fillId="2" borderId="52"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59"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6" fillId="0" borderId="51"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9" xfId="0" applyFont="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38" xfId="0" applyFont="1" applyFill="1" applyBorder="1" applyAlignment="1">
      <alignment horizontal="center" vertical="center" wrapText="1"/>
    </xf>
    <xf numFmtId="0" fontId="6" fillId="0" borderId="0" xfId="0" applyFont="1" applyAlignment="1">
      <alignment horizontal="left"/>
    </xf>
    <xf numFmtId="0" fontId="8" fillId="8" borderId="139" xfId="0" applyFont="1" applyFill="1" applyBorder="1" applyAlignment="1">
      <alignment horizontal="left" vertical="center"/>
    </xf>
    <xf numFmtId="0" fontId="8" fillId="8" borderId="144" xfId="0" applyFont="1" applyFill="1" applyBorder="1" applyAlignment="1">
      <alignment horizontal="left" vertical="center"/>
    </xf>
    <xf numFmtId="0" fontId="8" fillId="8" borderId="145" xfId="0" applyFont="1" applyFill="1" applyBorder="1" applyAlignment="1">
      <alignment horizontal="left" vertical="center"/>
    </xf>
    <xf numFmtId="0" fontId="6" fillId="2" borderId="137" xfId="0" applyFont="1" applyFill="1" applyBorder="1" applyAlignment="1">
      <alignment horizontal="center" vertical="center"/>
    </xf>
    <xf numFmtId="0" fontId="6" fillId="2" borderId="135" xfId="0" applyFont="1" applyFill="1" applyBorder="1" applyAlignment="1">
      <alignment horizontal="center" vertical="center"/>
    </xf>
    <xf numFmtId="0" fontId="6" fillId="2" borderId="93" xfId="0" applyFont="1" applyFill="1" applyBorder="1" applyAlignment="1">
      <alignment horizontal="center" vertical="center"/>
    </xf>
    <xf numFmtId="0" fontId="6" fillId="2" borderId="96" xfId="0" applyFont="1" applyFill="1" applyBorder="1" applyAlignment="1">
      <alignment horizontal="center" vertical="center"/>
    </xf>
    <xf numFmtId="0" fontId="8" fillId="2" borderId="93" xfId="0" applyFont="1" applyFill="1" applyBorder="1" applyAlignment="1">
      <alignment horizontal="center" vertical="center" wrapText="1"/>
    </xf>
    <xf numFmtId="0" fontId="8" fillId="2" borderId="90"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8" fillId="2" borderId="91" xfId="0" applyFont="1" applyFill="1" applyBorder="1" applyAlignment="1">
      <alignment horizontal="center" vertical="center" wrapText="1"/>
    </xf>
    <xf numFmtId="0" fontId="6" fillId="0" borderId="95"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93" xfId="0" applyFont="1" applyBorder="1" applyAlignment="1">
      <alignment horizontal="center" vertical="center" wrapText="1"/>
    </xf>
    <xf numFmtId="0" fontId="6" fillId="0" borderId="96" xfId="0" applyFont="1" applyBorder="1" applyAlignment="1">
      <alignment horizontal="center" vertical="center" wrapText="1"/>
    </xf>
    <xf numFmtId="0" fontId="6" fillId="2" borderId="137" xfId="0" applyFont="1" applyFill="1" applyBorder="1" applyAlignment="1">
      <alignment horizontal="center" vertical="center" wrapText="1"/>
    </xf>
    <xf numFmtId="0" fontId="6" fillId="2" borderId="134" xfId="0" applyFont="1" applyFill="1" applyBorder="1" applyAlignment="1">
      <alignment horizontal="center" vertical="center" wrapText="1"/>
    </xf>
    <xf numFmtId="0" fontId="6" fillId="2" borderId="1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5" fillId="14" borderId="133" xfId="0" applyFont="1" applyFill="1" applyBorder="1" applyAlignment="1">
      <alignment horizontal="center" vertical="center" wrapText="1"/>
    </xf>
    <xf numFmtId="0" fontId="5" fillId="14" borderId="134" xfId="0" applyFont="1" applyFill="1" applyBorder="1" applyAlignment="1">
      <alignment horizontal="center" vertical="center" wrapText="1"/>
    </xf>
    <xf numFmtId="0" fontId="5" fillId="14" borderId="135" xfId="0" applyFont="1" applyFill="1" applyBorder="1" applyAlignment="1">
      <alignment horizontal="center" vertical="center" wrapText="1"/>
    </xf>
    <xf numFmtId="0" fontId="5" fillId="14" borderId="132" xfId="0" applyFont="1" applyFill="1" applyBorder="1" applyAlignment="1">
      <alignment horizontal="center" vertical="center" wrapText="1"/>
    </xf>
    <xf numFmtId="0" fontId="5" fillId="14" borderId="78" xfId="0" applyFont="1" applyFill="1" applyBorder="1" applyAlignment="1">
      <alignment horizontal="center" vertical="center" wrapText="1"/>
    </xf>
    <xf numFmtId="0" fontId="5" fillId="14" borderId="77" xfId="0" applyFont="1" applyFill="1" applyBorder="1" applyAlignment="1">
      <alignment horizontal="center" vertical="center" wrapText="1"/>
    </xf>
    <xf numFmtId="0" fontId="5" fillId="15" borderId="137" xfId="0" applyFont="1" applyFill="1" applyBorder="1" applyAlignment="1">
      <alignment horizontal="center" vertical="center" wrapText="1"/>
    </xf>
    <xf numFmtId="0" fontId="5" fillId="15" borderId="134" xfId="0" applyFont="1" applyFill="1" applyBorder="1" applyAlignment="1">
      <alignment horizontal="center" vertical="center" wrapText="1"/>
    </xf>
    <xf numFmtId="0" fontId="5" fillId="15" borderId="138" xfId="0" applyFont="1" applyFill="1" applyBorder="1" applyAlignment="1">
      <alignment horizontal="center" vertical="center" wrapText="1"/>
    </xf>
    <xf numFmtId="0" fontId="5" fillId="15" borderId="76" xfId="0" applyFont="1" applyFill="1" applyBorder="1" applyAlignment="1">
      <alignment horizontal="center" vertical="center" wrapText="1"/>
    </xf>
    <xf numFmtId="0" fontId="5" fillId="15" borderId="78" xfId="0" applyFont="1" applyFill="1" applyBorder="1" applyAlignment="1">
      <alignment horizontal="center" vertical="center" wrapText="1"/>
    </xf>
    <xf numFmtId="0" fontId="5" fillId="15" borderId="136" xfId="0" applyFont="1" applyFill="1" applyBorder="1" applyAlignment="1">
      <alignment horizontal="center" vertical="center" wrapText="1"/>
    </xf>
    <xf numFmtId="0" fontId="6" fillId="0" borderId="53" xfId="0" applyFont="1" applyBorder="1" applyAlignment="1">
      <alignment horizontal="center" vertical="center" wrapText="1"/>
    </xf>
    <xf numFmtId="0" fontId="4" fillId="4" borderId="0" xfId="0" applyFont="1" applyFill="1" applyAlignment="1">
      <alignment horizontal="center"/>
    </xf>
    <xf numFmtId="0" fontId="4" fillId="4" borderId="15" xfId="0" applyFont="1" applyFill="1" applyBorder="1" applyAlignment="1">
      <alignment horizontal="center"/>
    </xf>
    <xf numFmtId="0" fontId="4" fillId="4" borderId="0" xfId="0" applyFont="1" applyFill="1" applyAlignment="1" applyProtection="1">
      <alignment horizontal="center"/>
      <protection locked="0"/>
    </xf>
    <xf numFmtId="0" fontId="19" fillId="0" borderId="0" xfId="0" applyFont="1" applyAlignment="1">
      <alignment horizontal="left"/>
    </xf>
  </cellXfs>
  <cellStyles count="2">
    <cellStyle name="Hyperlink" xfId="1" builtinId="8"/>
    <cellStyle name="Normal" xfId="0" builtinId="0"/>
  </cellStyles>
  <dxfs count="0"/>
  <tableStyles count="1" defaultTableStyle="TableStyleMedium9" defaultPivotStyle="PivotStyleLight16">
    <tableStyle name="Invisible" pivot="0" table="0" count="0" xr9:uid="{1A67A701-9D50-40AB-9752-883D2ECC13E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16</xdr:col>
      <xdr:colOff>447675</xdr:colOff>
      <xdr:row>18</xdr:row>
      <xdr:rowOff>9525</xdr:rowOff>
    </xdr:from>
    <xdr:to>
      <xdr:col>16</xdr:col>
      <xdr:colOff>400050</xdr:colOff>
      <xdr:row>18</xdr:row>
      <xdr:rowOff>9525</xdr:rowOff>
    </xdr:to>
    <xdr:sp macro="" textlink="">
      <xdr:nvSpPr>
        <xdr:cNvPr id="4108" name="Line 12">
          <a:extLst>
            <a:ext uri="{FF2B5EF4-FFF2-40B4-BE49-F238E27FC236}">
              <a16:creationId xmlns:a16="http://schemas.microsoft.com/office/drawing/2014/main" id="{00000000-0008-0000-0500-00000C100000}"/>
            </a:ext>
          </a:extLst>
        </xdr:cNvPr>
        <xdr:cNvSpPr>
          <a:spLocks noChangeShapeType="1"/>
        </xdr:cNvSpPr>
      </xdr:nvSpPr>
      <xdr:spPr bwMode="auto">
        <a:xfrm>
          <a:off x="13363575" y="2943225"/>
          <a:ext cx="0" cy="0"/>
        </a:xfrm>
        <a:prstGeom prst="line">
          <a:avLst/>
        </a:prstGeom>
        <a:noFill/>
        <a:ln w="9525">
          <a:solidFill>
            <a:srgbClr val="000000"/>
          </a:solidFill>
          <a:round/>
          <a:headEnd/>
          <a:tailEnd/>
        </a:ln>
      </xdr:spPr>
    </xdr:sp>
    <xdr:clientData/>
  </xdr:twoCellAnchor>
  <xdr:twoCellAnchor>
    <xdr:from>
      <xdr:col>22</xdr:col>
      <xdr:colOff>485775</xdr:colOff>
      <xdr:row>49</xdr:row>
      <xdr:rowOff>0</xdr:rowOff>
    </xdr:from>
    <xdr:to>
      <xdr:col>22</xdr:col>
      <xdr:colOff>419100</xdr:colOff>
      <xdr:row>49</xdr:row>
      <xdr:rowOff>0</xdr:rowOff>
    </xdr:to>
    <xdr:sp macro="" textlink="">
      <xdr:nvSpPr>
        <xdr:cNvPr id="4111" name="Line 15">
          <a:extLst>
            <a:ext uri="{FF2B5EF4-FFF2-40B4-BE49-F238E27FC236}">
              <a16:creationId xmlns:a16="http://schemas.microsoft.com/office/drawing/2014/main" id="{00000000-0008-0000-0500-00000F100000}"/>
            </a:ext>
          </a:extLst>
        </xdr:cNvPr>
        <xdr:cNvSpPr>
          <a:spLocks noChangeShapeType="1"/>
        </xdr:cNvSpPr>
      </xdr:nvSpPr>
      <xdr:spPr bwMode="auto">
        <a:xfrm>
          <a:off x="18078450" y="7962900"/>
          <a:ext cx="0" cy="0"/>
        </a:xfrm>
        <a:prstGeom prst="line">
          <a:avLst/>
        </a:prstGeom>
        <a:noFill/>
        <a:ln w="9525">
          <a:solidFill>
            <a:srgbClr val="000000"/>
          </a:solidFill>
          <a:round/>
          <a:headEnd/>
          <a:tailEnd/>
        </a:ln>
      </xdr:spPr>
    </xdr:sp>
    <xdr:clientData/>
  </xdr:twoCellAnchor>
  <xdr:twoCellAnchor>
    <xdr:from>
      <xdr:col>48</xdr:col>
      <xdr:colOff>466725</xdr:colOff>
      <xdr:row>49</xdr:row>
      <xdr:rowOff>0</xdr:rowOff>
    </xdr:from>
    <xdr:to>
      <xdr:col>48</xdr:col>
      <xdr:colOff>876300</xdr:colOff>
      <xdr:row>49</xdr:row>
      <xdr:rowOff>0</xdr:rowOff>
    </xdr:to>
    <xdr:sp macro="" textlink="">
      <xdr:nvSpPr>
        <xdr:cNvPr id="4112" name="Line 16">
          <a:extLst>
            <a:ext uri="{FF2B5EF4-FFF2-40B4-BE49-F238E27FC236}">
              <a16:creationId xmlns:a16="http://schemas.microsoft.com/office/drawing/2014/main" id="{00000000-0008-0000-0500-000010100000}"/>
            </a:ext>
          </a:extLst>
        </xdr:cNvPr>
        <xdr:cNvSpPr>
          <a:spLocks noChangeShapeType="1"/>
        </xdr:cNvSpPr>
      </xdr:nvSpPr>
      <xdr:spPr bwMode="auto">
        <a:xfrm>
          <a:off x="36433125" y="7962900"/>
          <a:ext cx="409575" cy="0"/>
        </a:xfrm>
        <a:prstGeom prst="line">
          <a:avLst/>
        </a:prstGeom>
        <a:noFill/>
        <a:ln w="9525">
          <a:solidFill>
            <a:srgbClr val="000000"/>
          </a:solidFill>
          <a:round/>
          <a:headEnd/>
          <a:tailEnd/>
        </a:ln>
      </xdr:spPr>
    </xdr:sp>
    <xdr:clientData/>
  </xdr:twoCellAnchor>
  <xdr:twoCellAnchor>
    <xdr:from>
      <xdr:col>50</xdr:col>
      <xdr:colOff>485775</xdr:colOff>
      <xdr:row>49</xdr:row>
      <xdr:rowOff>0</xdr:rowOff>
    </xdr:from>
    <xdr:to>
      <xdr:col>50</xdr:col>
      <xdr:colOff>895350</xdr:colOff>
      <xdr:row>49</xdr:row>
      <xdr:rowOff>0</xdr:rowOff>
    </xdr:to>
    <xdr:sp macro="" textlink="">
      <xdr:nvSpPr>
        <xdr:cNvPr id="4113" name="Line 17">
          <a:extLst>
            <a:ext uri="{FF2B5EF4-FFF2-40B4-BE49-F238E27FC236}">
              <a16:creationId xmlns:a16="http://schemas.microsoft.com/office/drawing/2014/main" id="{00000000-0008-0000-0500-000011100000}"/>
            </a:ext>
          </a:extLst>
        </xdr:cNvPr>
        <xdr:cNvSpPr>
          <a:spLocks noChangeShapeType="1"/>
        </xdr:cNvSpPr>
      </xdr:nvSpPr>
      <xdr:spPr bwMode="auto">
        <a:xfrm>
          <a:off x="38957250" y="7962900"/>
          <a:ext cx="4095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466725</xdr:colOff>
      <xdr:row>48</xdr:row>
      <xdr:rowOff>0</xdr:rowOff>
    </xdr:from>
    <xdr:to>
      <xdr:col>19</xdr:col>
      <xdr:colOff>447675</xdr:colOff>
      <xdr:row>48</xdr:row>
      <xdr:rowOff>0</xdr:rowOff>
    </xdr:to>
    <xdr:sp macro="" textlink="">
      <xdr:nvSpPr>
        <xdr:cNvPr id="6154" name="Line 10">
          <a:extLst>
            <a:ext uri="{FF2B5EF4-FFF2-40B4-BE49-F238E27FC236}">
              <a16:creationId xmlns:a16="http://schemas.microsoft.com/office/drawing/2014/main" id="{00000000-0008-0000-0700-00000A180000}"/>
            </a:ext>
          </a:extLst>
        </xdr:cNvPr>
        <xdr:cNvSpPr>
          <a:spLocks noChangeShapeType="1"/>
        </xdr:cNvSpPr>
      </xdr:nvSpPr>
      <xdr:spPr bwMode="auto">
        <a:xfrm>
          <a:off x="15944850" y="8267700"/>
          <a:ext cx="0" cy="0"/>
        </a:xfrm>
        <a:prstGeom prst="line">
          <a:avLst/>
        </a:prstGeom>
        <a:noFill/>
        <a:ln w="9525">
          <a:solidFill>
            <a:srgbClr val="000000"/>
          </a:solidFill>
          <a:round/>
          <a:headEnd/>
          <a:tailEnd/>
        </a:ln>
      </xdr:spPr>
    </xdr:sp>
    <xdr:clientData/>
  </xdr:twoCellAnchor>
  <xdr:twoCellAnchor>
    <xdr:from>
      <xdr:col>21</xdr:col>
      <xdr:colOff>485775</xdr:colOff>
      <xdr:row>48</xdr:row>
      <xdr:rowOff>0</xdr:rowOff>
    </xdr:from>
    <xdr:to>
      <xdr:col>21</xdr:col>
      <xdr:colOff>371475</xdr:colOff>
      <xdr:row>48</xdr:row>
      <xdr:rowOff>0</xdr:rowOff>
    </xdr:to>
    <xdr:sp macro="" textlink="">
      <xdr:nvSpPr>
        <xdr:cNvPr id="6155" name="Line 11">
          <a:extLst>
            <a:ext uri="{FF2B5EF4-FFF2-40B4-BE49-F238E27FC236}">
              <a16:creationId xmlns:a16="http://schemas.microsoft.com/office/drawing/2014/main" id="{00000000-0008-0000-0700-00000B180000}"/>
            </a:ext>
          </a:extLst>
        </xdr:cNvPr>
        <xdr:cNvSpPr>
          <a:spLocks noChangeShapeType="1"/>
        </xdr:cNvSpPr>
      </xdr:nvSpPr>
      <xdr:spPr bwMode="auto">
        <a:xfrm>
          <a:off x="17097375" y="8267700"/>
          <a:ext cx="0" cy="0"/>
        </a:xfrm>
        <a:prstGeom prst="line">
          <a:avLst/>
        </a:prstGeom>
        <a:noFill/>
        <a:ln w="9525">
          <a:solidFill>
            <a:srgbClr val="000000"/>
          </a:solidFill>
          <a:round/>
          <a:headEnd/>
          <a:tailEnd/>
        </a:ln>
      </xdr:spPr>
    </xdr:sp>
    <xdr:clientData/>
  </xdr:twoCellAnchor>
  <xdr:twoCellAnchor>
    <xdr:from>
      <xdr:col>49</xdr:col>
      <xdr:colOff>485775</xdr:colOff>
      <xdr:row>48</xdr:row>
      <xdr:rowOff>0</xdr:rowOff>
    </xdr:from>
    <xdr:to>
      <xdr:col>49</xdr:col>
      <xdr:colOff>895350</xdr:colOff>
      <xdr:row>48</xdr:row>
      <xdr:rowOff>0</xdr:rowOff>
    </xdr:to>
    <xdr:sp macro="" textlink="">
      <xdr:nvSpPr>
        <xdr:cNvPr id="6157" name="Line 13">
          <a:extLst>
            <a:ext uri="{FF2B5EF4-FFF2-40B4-BE49-F238E27FC236}">
              <a16:creationId xmlns:a16="http://schemas.microsoft.com/office/drawing/2014/main" id="{00000000-0008-0000-0700-00000D180000}"/>
            </a:ext>
          </a:extLst>
        </xdr:cNvPr>
        <xdr:cNvSpPr>
          <a:spLocks noChangeShapeType="1"/>
        </xdr:cNvSpPr>
      </xdr:nvSpPr>
      <xdr:spPr bwMode="auto">
        <a:xfrm>
          <a:off x="38471475" y="8267700"/>
          <a:ext cx="40957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s>
    <definedNames>
      <definedName name="TOX" refersTo="='Toxicity'!$A$1:$CC$125"/>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Toxicity</v>
          </cell>
          <cell r="E10" t="str">
            <v>Database of toxicity values and physical constants used in calculations</v>
          </cell>
        </row>
        <row r="12">
          <cell r="D12" t="str">
            <v>References</v>
          </cell>
          <cell r="E12" t="str">
            <v>List of references</v>
          </cell>
        </row>
        <row r="14">
          <cell r="D14" t="str">
            <v>Target Risk</v>
          </cell>
          <cell r="E14" t="str">
            <v>The Target Risk Levels used in all calculations.</v>
          </cell>
        </row>
        <row r="16">
          <cell r="D16" t="str">
            <v>PQLs</v>
          </cell>
          <cell r="E16" t="str">
            <v>A listing of Practical Quantitation Limits (PQLs) for various methods (incomplete)</v>
          </cell>
        </row>
        <row r="18">
          <cell r="D18" t="str">
            <v>BW</v>
          </cell>
          <cell r="E18" t="str">
            <v>Calculations of average body weights for various age groups.</v>
          </cell>
        </row>
        <row r="20">
          <cell r="D20" t="str">
            <v>Skin Surface Area</v>
          </cell>
          <cell r="E20" t="str">
            <v>Calculations of average skin surface areas for various age groups.</v>
          </cell>
        </row>
        <row r="22">
          <cell r="D22" t="str">
            <v>This workbook is one of a set that, taken together, calculates the MCP Numerical Standards.  The complete set of workbooks should be located in the same directory, as there are many internal references to the other workbooks.</v>
          </cell>
        </row>
        <row r="24">
          <cell r="D24" t="str">
            <v>Workbook Name</v>
          </cell>
          <cell r="E24" t="str">
            <v>Description</v>
          </cell>
        </row>
        <row r="26">
          <cell r="D26" t="str">
            <v>MCP Toxicity.xlsx</v>
          </cell>
          <cell r="E26" t="str">
            <v>This workbook</v>
          </cell>
        </row>
        <row r="28">
          <cell r="D28" t="str">
            <v>MCP GW2 alpha.xlsx</v>
          </cell>
          <cell r="E28" t="str">
            <v>Calculates the attenuation factor for the GW-2 standards.  This workbook is</v>
          </cell>
        </row>
        <row r="29">
          <cell r="E29" t="str">
            <v>based on the USEPA's Johnson &amp; Ettinger Vapor Infiltration spreadsheets.</v>
          </cell>
        </row>
        <row r="31">
          <cell r="D31" t="str">
            <v>MCP GW.xlsx</v>
          </cell>
          <cell r="E31" t="str">
            <v>Develops the MCP Groundwater Standards:  GW-1, GW-2 and GW-3.</v>
          </cell>
        </row>
        <row r="33">
          <cell r="D33" t="str">
            <v>MCP Soil.xlsx</v>
          </cell>
          <cell r="E33" t="str">
            <v>Develops the MCP Direct Contact Soil Standards (Method 2 Soil Standards)</v>
          </cell>
        </row>
        <row r="35">
          <cell r="D35" t="str">
            <v>MCP Leach.xlsx</v>
          </cell>
          <cell r="E35" t="str">
            <v>Develops the soil leaching-based component of the MCP Method 1 Soil Standards.</v>
          </cell>
        </row>
        <row r="37">
          <cell r="D37" t="str">
            <v>MCP Standards.xlsx</v>
          </cell>
          <cell r="E37" t="str">
            <v>Lists all the MCP Soil and Groundwater Standards, Method 3 Ceiling Limits (M3CL) and RCs.</v>
          </cell>
        </row>
        <row r="40">
          <cell r="D40" t="str">
            <v>NOTE:  This workbook contains many Notes attached to particular cells.  Notes can be seen by choosing "Show All Notes" from the  menu in the "Review" panel.</v>
          </cell>
        </row>
        <row r="42">
          <cell r="D42" t="str">
            <v>Questions and Comments may be addressed to:</v>
          </cell>
        </row>
        <row r="44">
          <cell r="D44" t="str">
            <v>Azin Kavian</v>
          </cell>
        </row>
        <row r="45">
          <cell r="D45" t="str">
            <v>Massachusetts Department of Environmental Protection</v>
          </cell>
        </row>
        <row r="46">
          <cell r="D46" t="str">
            <v>Office of Research and Standards</v>
          </cell>
        </row>
        <row r="47">
          <cell r="D47" t="str">
            <v>100 Cambridge Street
Boston, MA 02114  USA</v>
          </cell>
        </row>
        <row r="48">
          <cell r="D48" t="str">
            <v>Boston, MA 02114  USA</v>
          </cell>
        </row>
        <row r="49">
          <cell r="D49" t="str">
            <v>Email: azin.kavian@mass.gov</v>
          </cell>
        </row>
        <row r="51">
          <cell r="E51" t="str">
            <v>Method-1 Spreadsheets Version March 2024</v>
          </cell>
        </row>
      </sheetData>
      <sheetData sheetId="1">
        <row r="1">
          <cell r="BN1" t="str">
            <v>Empty 2008</v>
          </cell>
          <cell r="BW1" t="str">
            <v>Ceiling Values</v>
          </cell>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Q3">
            <v>0.3</v>
          </cell>
          <cell r="R3" t="str">
            <v>9d</v>
          </cell>
          <cell r="S3">
            <v>0.1</v>
          </cell>
          <cell r="T3" t="str">
            <v>9d</v>
          </cell>
          <cell r="U3">
            <v>0.3</v>
          </cell>
          <cell r="V3" t="str">
            <v>9d</v>
          </cell>
          <cell r="W3">
            <v>0.1</v>
          </cell>
          <cell r="X3" t="str">
            <v>9d</v>
          </cell>
          <cell r="Y3" t="str">
            <v>NC</v>
          </cell>
          <cell r="AA3" t="str">
            <v>NC</v>
          </cell>
          <cell r="AC3">
            <v>1</v>
          </cell>
          <cell r="AD3">
            <v>9</v>
          </cell>
          <cell r="AE3">
            <v>1</v>
          </cell>
          <cell r="AF3">
            <v>9</v>
          </cell>
          <cell r="AI3">
            <v>2</v>
          </cell>
          <cell r="AK3">
            <v>0.92</v>
          </cell>
          <cell r="AL3">
            <v>0.92</v>
          </cell>
          <cell r="AM3">
            <v>0.5</v>
          </cell>
          <cell r="AN3">
            <v>0</v>
          </cell>
          <cell r="AO3">
            <v>0</v>
          </cell>
          <cell r="AR3">
            <v>20</v>
          </cell>
          <cell r="AS3">
            <v>13</v>
          </cell>
          <cell r="AU3">
            <v>0</v>
          </cell>
          <cell r="AW3">
            <v>0</v>
          </cell>
          <cell r="AX3">
            <v>0.66</v>
          </cell>
          <cell r="AY3">
            <v>10</v>
          </cell>
          <cell r="AZ3">
            <v>3900</v>
          </cell>
          <cell r="BA3">
            <v>22</v>
          </cell>
          <cell r="BB3">
            <v>1.84E-4</v>
          </cell>
          <cell r="BC3">
            <v>22</v>
          </cell>
          <cell r="BD3">
            <v>7.5298739564576859E-3</v>
          </cell>
          <cell r="BE3">
            <v>154</v>
          </cell>
          <cell r="BF3">
            <v>13</v>
          </cell>
          <cell r="BH3">
            <v>3.92</v>
          </cell>
          <cell r="BI3">
            <v>17</v>
          </cell>
          <cell r="BJ3">
            <v>4900</v>
          </cell>
          <cell r="BK3" t="str">
            <v>17a</v>
          </cell>
          <cell r="BL3">
            <v>93.4</v>
          </cell>
          <cell r="BM3">
            <v>17</v>
          </cell>
          <cell r="BO3">
            <v>8.4100775406923345E-2</v>
          </cell>
          <cell r="BS3">
            <v>1000</v>
          </cell>
          <cell r="BT3" t="str">
            <v>Ceiling (High)</v>
          </cell>
          <cell r="BV3">
            <v>3000</v>
          </cell>
          <cell r="BW3" t="str">
            <v>Ceiling (High)</v>
          </cell>
          <cell r="BY3">
            <v>5000</v>
          </cell>
          <cell r="BZ3" t="str">
            <v>Ceiling (High)</v>
          </cell>
          <cell r="CA3">
            <v>50000</v>
          </cell>
          <cell r="CB3" t="str">
            <v>0.005%</v>
          </cell>
        </row>
        <row r="4">
          <cell r="A4" t="str">
            <v>ACENAPHTHYLENE</v>
          </cell>
          <cell r="B4" t="str">
            <v>208-96-8</v>
          </cell>
          <cell r="C4">
            <v>42922</v>
          </cell>
          <cell r="D4">
            <v>0.03</v>
          </cell>
          <cell r="E4" t="str">
            <v>5d</v>
          </cell>
          <cell r="F4">
            <v>0.3</v>
          </cell>
          <cell r="G4" t="str">
            <v>5d</v>
          </cell>
          <cell r="H4">
            <v>0.05</v>
          </cell>
          <cell r="I4" t="str">
            <v>5d</v>
          </cell>
          <cell r="J4">
            <v>0.5</v>
          </cell>
          <cell r="K4" t="str">
            <v>5d</v>
          </cell>
          <cell r="M4" t="str">
            <v>D</v>
          </cell>
          <cell r="N4">
            <v>1</v>
          </cell>
          <cell r="Q4">
            <v>0.3</v>
          </cell>
          <cell r="R4" t="str">
            <v>9d</v>
          </cell>
          <cell r="S4">
            <v>0.1</v>
          </cell>
          <cell r="T4" t="str">
            <v>9d</v>
          </cell>
          <cell r="U4">
            <v>0.3</v>
          </cell>
          <cell r="V4" t="str">
            <v>9e</v>
          </cell>
          <cell r="W4">
            <v>0.1</v>
          </cell>
          <cell r="X4" t="str">
            <v>9d</v>
          </cell>
          <cell r="Y4" t="str">
            <v>NC</v>
          </cell>
          <cell r="AA4" t="str">
            <v>NC</v>
          </cell>
          <cell r="AC4">
            <v>1</v>
          </cell>
          <cell r="AD4">
            <v>9</v>
          </cell>
          <cell r="AE4">
            <v>1</v>
          </cell>
          <cell r="AF4">
            <v>9</v>
          </cell>
          <cell r="AI4">
            <v>1</v>
          </cell>
          <cell r="AK4">
            <v>0.92</v>
          </cell>
          <cell r="AL4">
            <v>0.92</v>
          </cell>
          <cell r="AM4">
            <v>0.5</v>
          </cell>
          <cell r="AO4">
            <v>0</v>
          </cell>
          <cell r="AU4">
            <v>0</v>
          </cell>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O4">
            <v>8.669618757582169E-2</v>
          </cell>
          <cell r="BS4">
            <v>1000</v>
          </cell>
          <cell r="BT4" t="str">
            <v>Ceiling (High)</v>
          </cell>
          <cell r="BV4">
            <v>3000</v>
          </cell>
          <cell r="BW4" t="str">
            <v>Ceiling (High)</v>
          </cell>
          <cell r="BY4">
            <v>5000</v>
          </cell>
          <cell r="BZ4" t="str">
            <v>Ceiling (High)</v>
          </cell>
          <cell r="CA4">
            <v>50000</v>
          </cell>
          <cell r="CB4" t="str">
            <v>0.005%</v>
          </cell>
        </row>
        <row r="5">
          <cell r="A5" t="str">
            <v>ACETONE</v>
          </cell>
          <cell r="B5" t="str">
            <v>67-64-1</v>
          </cell>
          <cell r="C5">
            <v>42922</v>
          </cell>
          <cell r="D5">
            <v>0.9</v>
          </cell>
          <cell r="E5">
            <v>1</v>
          </cell>
          <cell r="F5">
            <v>2.7</v>
          </cell>
          <cell r="G5" t="str">
            <v>1i</v>
          </cell>
          <cell r="H5">
            <v>0.8</v>
          </cell>
          <cell r="I5">
            <v>3</v>
          </cell>
          <cell r="J5">
            <v>0.8</v>
          </cell>
          <cell r="K5" t="str">
            <v>7c</v>
          </cell>
          <cell r="M5" t="str">
            <v>D</v>
          </cell>
          <cell r="N5">
            <v>1</v>
          </cell>
          <cell r="Q5">
            <v>1</v>
          </cell>
          <cell r="R5" t="str">
            <v>9e</v>
          </cell>
          <cell r="S5">
            <v>0.03</v>
          </cell>
          <cell r="T5" t="str">
            <v>9e</v>
          </cell>
          <cell r="U5">
            <v>1</v>
          </cell>
          <cell r="V5" t="str">
            <v>9e</v>
          </cell>
          <cell r="W5">
            <v>0.03</v>
          </cell>
          <cell r="X5" t="str">
            <v>9e</v>
          </cell>
          <cell r="Y5" t="str">
            <v>NC</v>
          </cell>
          <cell r="AA5" t="str">
            <v>NC</v>
          </cell>
          <cell r="AC5">
            <v>1</v>
          </cell>
          <cell r="AD5">
            <v>9</v>
          </cell>
          <cell r="AE5">
            <v>1</v>
          </cell>
          <cell r="AF5">
            <v>9</v>
          </cell>
          <cell r="AK5">
            <v>1</v>
          </cell>
          <cell r="AL5" t="str">
            <v>NC</v>
          </cell>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O5">
            <v>5.2095474732855506E-4</v>
          </cell>
          <cell r="BS5">
            <v>500</v>
          </cell>
          <cell r="BT5" t="str">
            <v>Ceiling (Medium)</v>
          </cell>
          <cell r="BV5">
            <v>1000</v>
          </cell>
          <cell r="BW5" t="str">
            <v>Ceiling (Medium)</v>
          </cell>
          <cell r="BY5">
            <v>3000</v>
          </cell>
          <cell r="BZ5" t="str">
            <v>Ceiling (Medium)</v>
          </cell>
          <cell r="CA5">
            <v>50000</v>
          </cell>
          <cell r="CB5" t="str">
            <v>0.005%</v>
          </cell>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K6">
            <v>0.8</v>
          </cell>
          <cell r="AL6">
            <v>0.8</v>
          </cell>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O6">
            <v>0.27925438412373388</v>
          </cell>
          <cell r="BS6">
            <v>1000</v>
          </cell>
          <cell r="BT6" t="str">
            <v>Ceiling (High)</v>
          </cell>
          <cell r="BV6">
            <v>3000</v>
          </cell>
          <cell r="BW6" t="str">
            <v>Ceiling (High)</v>
          </cell>
          <cell r="BY6">
            <v>5000</v>
          </cell>
          <cell r="BZ6" t="str">
            <v>Ceiling (High)</v>
          </cell>
          <cell r="CA6">
            <v>50000</v>
          </cell>
          <cell r="CB6" t="str">
            <v>0.005%</v>
          </cell>
        </row>
        <row r="7">
          <cell r="A7" t="str">
            <v>ANTHRACENE</v>
          </cell>
          <cell r="B7" t="str">
            <v>120-12-7</v>
          </cell>
          <cell r="C7">
            <v>42922</v>
          </cell>
          <cell r="D7">
            <v>0.3</v>
          </cell>
          <cell r="E7">
            <v>1</v>
          </cell>
          <cell r="F7">
            <v>1</v>
          </cell>
          <cell r="G7">
            <v>6</v>
          </cell>
          <cell r="H7">
            <v>0.05</v>
          </cell>
          <cell r="I7" t="str">
            <v>5d</v>
          </cell>
          <cell r="J7">
            <v>0.5</v>
          </cell>
          <cell r="K7" t="str">
            <v>5d</v>
          </cell>
          <cell r="M7" t="str">
            <v>D</v>
          </cell>
          <cell r="N7">
            <v>1</v>
          </cell>
          <cell r="Q7">
            <v>0.3</v>
          </cell>
          <cell r="R7" t="str">
            <v>9d</v>
          </cell>
          <cell r="S7">
            <v>0.1</v>
          </cell>
          <cell r="T7" t="str">
            <v>9d</v>
          </cell>
          <cell r="U7">
            <v>0.3</v>
          </cell>
          <cell r="V7" t="str">
            <v>9d</v>
          </cell>
          <cell r="W7">
            <v>0.1</v>
          </cell>
          <cell r="X7" t="str">
            <v>9d</v>
          </cell>
          <cell r="Y7" t="str">
            <v>NC</v>
          </cell>
          <cell r="AA7" t="str">
            <v>NC</v>
          </cell>
          <cell r="AC7">
            <v>1</v>
          </cell>
          <cell r="AD7">
            <v>9</v>
          </cell>
          <cell r="AE7">
            <v>1</v>
          </cell>
          <cell r="AF7">
            <v>9</v>
          </cell>
          <cell r="AI7">
            <v>4</v>
          </cell>
          <cell r="AK7">
            <v>0.92</v>
          </cell>
          <cell r="AL7" t="str">
            <v>NC</v>
          </cell>
          <cell r="AM7">
            <v>1</v>
          </cell>
          <cell r="AO7">
            <v>0</v>
          </cell>
          <cell r="AU7">
            <v>0</v>
          </cell>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O7">
            <v>0.13810201014445478</v>
          </cell>
          <cell r="BS7">
            <v>1000</v>
          </cell>
          <cell r="BT7" t="str">
            <v>Ceiling (High)</v>
          </cell>
          <cell r="BV7">
            <v>3000</v>
          </cell>
          <cell r="BW7" t="str">
            <v>Ceiling (High)</v>
          </cell>
          <cell r="BY7">
            <v>5000</v>
          </cell>
          <cell r="BZ7" t="str">
            <v>Ceiling (High)</v>
          </cell>
          <cell r="CA7">
            <v>50000</v>
          </cell>
          <cell r="CB7" t="str">
            <v>0.005%</v>
          </cell>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Q8">
            <v>1</v>
          </cell>
          <cell r="R8" t="str">
            <v>9e</v>
          </cell>
          <cell r="S8">
            <v>0.1</v>
          </cell>
          <cell r="T8" t="str">
            <v>9e</v>
          </cell>
          <cell r="U8">
            <v>1</v>
          </cell>
          <cell r="V8" t="str">
            <v>9e</v>
          </cell>
          <cell r="W8">
            <v>0.1</v>
          </cell>
          <cell r="X8" t="str">
            <v>9e</v>
          </cell>
          <cell r="Y8" t="str">
            <v>NC</v>
          </cell>
          <cell r="AA8" t="str">
            <v>NC</v>
          </cell>
          <cell r="AC8">
            <v>1</v>
          </cell>
          <cell r="AD8">
            <v>9</v>
          </cell>
          <cell r="AE8">
            <v>1</v>
          </cell>
          <cell r="AF8">
            <v>9</v>
          </cell>
          <cell r="AI8">
            <v>7</v>
          </cell>
          <cell r="AK8">
            <v>0.1</v>
          </cell>
          <cell r="AL8" t="str">
            <v>NC</v>
          </cell>
          <cell r="AM8">
            <v>1</v>
          </cell>
          <cell r="AO8">
            <v>0</v>
          </cell>
          <cell r="AU8">
            <v>0</v>
          </cell>
          <cell r="AW8">
            <v>0</v>
          </cell>
          <cell r="AX8">
            <v>6.4</v>
          </cell>
          <cell r="AY8">
            <v>32</v>
          </cell>
          <cell r="AZ8">
            <v>0</v>
          </cell>
          <cell r="BD8">
            <v>0</v>
          </cell>
          <cell r="BE8">
            <v>122</v>
          </cell>
          <cell r="BF8">
            <v>13</v>
          </cell>
          <cell r="BH8">
            <v>0.73</v>
          </cell>
          <cell r="BJ8">
            <v>0</v>
          </cell>
          <cell r="BO8">
            <v>1E-3</v>
          </cell>
          <cell r="BS8">
            <v>1000</v>
          </cell>
          <cell r="BT8" t="str">
            <v>Ceiling (High)</v>
          </cell>
          <cell r="BV8">
            <v>3000</v>
          </cell>
          <cell r="BW8" t="str">
            <v>Ceiling (High)</v>
          </cell>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K9">
            <v>0.98</v>
          </cell>
          <cell r="AL9">
            <v>0.98</v>
          </cell>
          <cell r="AM9">
            <v>20</v>
          </cell>
          <cell r="AN9">
            <v>5.5</v>
          </cell>
          <cell r="AO9">
            <v>0</v>
          </cell>
          <cell r="AU9">
            <v>0</v>
          </cell>
          <cell r="AW9">
            <v>0</v>
          </cell>
          <cell r="AX9">
            <v>10.6</v>
          </cell>
          <cell r="AY9">
            <v>50</v>
          </cell>
          <cell r="AZ9">
            <v>0</v>
          </cell>
          <cell r="BD9">
            <v>0</v>
          </cell>
          <cell r="BE9">
            <v>75</v>
          </cell>
          <cell r="BF9">
            <v>13</v>
          </cell>
          <cell r="BH9">
            <v>0.68</v>
          </cell>
          <cell r="BJ9">
            <v>0</v>
          </cell>
          <cell r="BO9">
            <v>1E-3</v>
          </cell>
          <cell r="BP9">
            <v>0.05</v>
          </cell>
          <cell r="BS9">
            <v>1000</v>
          </cell>
          <cell r="BT9" t="str">
            <v>Ceiling (High)</v>
          </cell>
          <cell r="BV9">
            <v>3000</v>
          </cell>
          <cell r="BW9" t="str">
            <v>Ceiling (High)</v>
          </cell>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Q10">
            <v>1</v>
          </cell>
          <cell r="R10" t="str">
            <v>9e</v>
          </cell>
          <cell r="S10">
            <v>0.1</v>
          </cell>
          <cell r="T10" t="str">
            <v>9e</v>
          </cell>
          <cell r="U10">
            <v>1</v>
          </cell>
          <cell r="V10" t="str">
            <v>9e</v>
          </cell>
          <cell r="W10">
            <v>0.1</v>
          </cell>
          <cell r="X10" t="str">
            <v>9e</v>
          </cell>
          <cell r="Y10" t="str">
            <v>NC</v>
          </cell>
          <cell r="AA10" t="str">
            <v>NC</v>
          </cell>
          <cell r="AC10">
            <v>1</v>
          </cell>
          <cell r="AD10">
            <v>9</v>
          </cell>
          <cell r="AE10">
            <v>1</v>
          </cell>
          <cell r="AF10">
            <v>9</v>
          </cell>
          <cell r="AI10">
            <v>50</v>
          </cell>
          <cell r="AK10">
            <v>0.91</v>
          </cell>
          <cell r="AL10" t="str">
            <v>NC</v>
          </cell>
          <cell r="AM10">
            <v>50</v>
          </cell>
          <cell r="AO10">
            <v>0</v>
          </cell>
          <cell r="AU10">
            <v>0</v>
          </cell>
          <cell r="AW10">
            <v>0</v>
          </cell>
          <cell r="AX10">
            <v>0</v>
          </cell>
          <cell r="AY10">
            <v>2</v>
          </cell>
          <cell r="AZ10">
            <v>0</v>
          </cell>
          <cell r="BD10">
            <v>0</v>
          </cell>
          <cell r="BE10">
            <v>137</v>
          </cell>
          <cell r="BF10">
            <v>11</v>
          </cell>
          <cell r="BH10">
            <v>0.23</v>
          </cell>
          <cell r="BO10">
            <v>1E-3</v>
          </cell>
          <cell r="BS10">
            <v>1000</v>
          </cell>
          <cell r="BT10" t="str">
            <v>Ceiling (High)</v>
          </cell>
          <cell r="BV10">
            <v>3000</v>
          </cell>
          <cell r="BW10" t="str">
            <v>Ceiling (High)</v>
          </cell>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K11">
            <v>1</v>
          </cell>
          <cell r="AL11">
            <v>1</v>
          </cell>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O11">
            <v>1.4757065332758943E-2</v>
          </cell>
          <cell r="BS11">
            <v>500</v>
          </cell>
          <cell r="BT11" t="str">
            <v>Ceiling (Medium)</v>
          </cell>
          <cell r="BV11">
            <v>1000</v>
          </cell>
          <cell r="BW11" t="str">
            <v>Ceiling (Medium)</v>
          </cell>
          <cell r="BY11">
            <v>3000</v>
          </cell>
          <cell r="BZ11" t="str">
            <v>Ceiling (Medium)</v>
          </cell>
          <cell r="CA11">
            <v>50000</v>
          </cell>
          <cell r="CB11" t="str">
            <v>0.005%</v>
          </cell>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O12">
            <v>0</v>
          </cell>
          <cell r="AU12">
            <v>0</v>
          </cell>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O12">
            <v>0.53064001919477521</v>
          </cell>
          <cell r="BS12">
            <v>1000</v>
          </cell>
          <cell r="BT12" t="str">
            <v>Ceiling (High)</v>
          </cell>
          <cell r="BV12">
            <v>3000</v>
          </cell>
          <cell r="BW12" t="str">
            <v>Ceiling (High)</v>
          </cell>
          <cell r="BY12">
            <v>5000</v>
          </cell>
          <cell r="BZ12" t="str">
            <v>Ceiling (High)</v>
          </cell>
          <cell r="CA12">
            <v>50000</v>
          </cell>
          <cell r="CB12" t="str">
            <v>0.005%</v>
          </cell>
        </row>
        <row r="13">
          <cell r="A13" t="str">
            <v>BENZO(a)PYRENE</v>
          </cell>
          <cell r="B13" t="str">
            <v>50-32-8</v>
          </cell>
          <cell r="C13">
            <v>42914</v>
          </cell>
          <cell r="D13">
            <v>2.9999999999999997E-4</v>
          </cell>
          <cell r="E13">
            <v>1</v>
          </cell>
          <cell r="F13">
            <v>2.9999999999999997E-4</v>
          </cell>
          <cell r="H13">
            <v>1.9999999999999999E-6</v>
          </cell>
          <cell r="I13">
            <v>1</v>
          </cell>
          <cell r="J13">
            <v>1.9999999999999999E-6</v>
          </cell>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O13">
            <v>0</v>
          </cell>
          <cell r="AU13">
            <v>0</v>
          </cell>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O13">
            <v>0.68328203136919874</v>
          </cell>
          <cell r="BS13">
            <v>1000</v>
          </cell>
          <cell r="BT13" t="str">
            <v>Ceiling (High)</v>
          </cell>
          <cell r="BV13">
            <v>3000</v>
          </cell>
          <cell r="BW13" t="str">
            <v>Ceiling (High)</v>
          </cell>
          <cell r="BY13">
            <v>5000</v>
          </cell>
          <cell r="BZ13" t="str">
            <v>Ceiling (High)</v>
          </cell>
          <cell r="CA13">
            <v>50000</v>
          </cell>
          <cell r="CB13" t="str">
            <v>0.005%</v>
          </cell>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O14">
            <v>0</v>
          </cell>
          <cell r="AU14">
            <v>0</v>
          </cell>
          <cell r="AW14">
            <v>0</v>
          </cell>
          <cell r="AX14">
            <v>0.66</v>
          </cell>
          <cell r="AY14">
            <v>1</v>
          </cell>
          <cell r="AZ14">
            <v>1.5</v>
          </cell>
          <cell r="BA14">
            <v>22</v>
          </cell>
          <cell r="BB14">
            <v>6.5700000000000002E-7</v>
          </cell>
          <cell r="BC14">
            <v>22</v>
          </cell>
          <cell r="BD14">
            <v>2.6886560811916847E-5</v>
          </cell>
          <cell r="BE14">
            <v>252</v>
          </cell>
          <cell r="BF14">
            <v>13</v>
          </cell>
          <cell r="BH14">
            <v>5.78</v>
          </cell>
          <cell r="BI14">
            <v>16</v>
          </cell>
          <cell r="BJ14">
            <v>1230000</v>
          </cell>
          <cell r="BK14" t="str">
            <v>17b</v>
          </cell>
          <cell r="BL14">
            <v>168</v>
          </cell>
          <cell r="BM14">
            <v>17</v>
          </cell>
          <cell r="BO14">
            <v>0.40142091820432163</v>
          </cell>
          <cell r="BS14">
            <v>1000</v>
          </cell>
          <cell r="BT14" t="str">
            <v>Ceiling (High)</v>
          </cell>
          <cell r="BV14">
            <v>3000</v>
          </cell>
          <cell r="BW14" t="str">
            <v>Ceiling (High)</v>
          </cell>
          <cell r="BY14">
            <v>5000</v>
          </cell>
          <cell r="BZ14" t="str">
            <v>Ceiling (High)</v>
          </cell>
          <cell r="CA14">
            <v>50000</v>
          </cell>
          <cell r="CB14" t="str">
            <v>0.005%</v>
          </cell>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Q15">
            <v>0.3</v>
          </cell>
          <cell r="R15" t="str">
            <v>9d</v>
          </cell>
          <cell r="S15">
            <v>0.1</v>
          </cell>
          <cell r="T15" t="str">
            <v>9d</v>
          </cell>
          <cell r="U15">
            <v>0.3</v>
          </cell>
          <cell r="V15" t="str">
            <v>9d</v>
          </cell>
          <cell r="W15">
            <v>0.1</v>
          </cell>
          <cell r="X15" t="str">
            <v>9d</v>
          </cell>
          <cell r="Y15" t="str">
            <v>NC</v>
          </cell>
          <cell r="AA15" t="str">
            <v>NC</v>
          </cell>
          <cell r="AC15">
            <v>1</v>
          </cell>
          <cell r="AD15">
            <v>9</v>
          </cell>
          <cell r="AE15">
            <v>1</v>
          </cell>
          <cell r="AF15">
            <v>9</v>
          </cell>
          <cell r="AI15">
            <v>3</v>
          </cell>
          <cell r="AK15">
            <v>0.92</v>
          </cell>
          <cell r="AL15" t="str">
            <v>NC</v>
          </cell>
          <cell r="AM15">
            <v>1</v>
          </cell>
          <cell r="AO15">
            <v>0</v>
          </cell>
          <cell r="AU15">
            <v>0</v>
          </cell>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O15">
            <v>1.0720128717525927</v>
          </cell>
          <cell r="BS15">
            <v>1000</v>
          </cell>
          <cell r="BT15" t="str">
            <v>Ceiling (High)</v>
          </cell>
          <cell r="BV15">
            <v>3000</v>
          </cell>
          <cell r="BW15" t="str">
            <v>Ceiling (High)</v>
          </cell>
          <cell r="BY15">
            <v>5000</v>
          </cell>
          <cell r="BZ15" t="str">
            <v>Ceiling (High)</v>
          </cell>
          <cell r="CA15">
            <v>50000</v>
          </cell>
          <cell r="CB15" t="str">
            <v>0.005%</v>
          </cell>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O16">
            <v>0</v>
          </cell>
          <cell r="AU16">
            <v>0</v>
          </cell>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O16">
            <v>0.66282670860827375</v>
          </cell>
          <cell r="BS16">
            <v>1000</v>
          </cell>
          <cell r="BT16" t="str">
            <v>Ceiling (High)</v>
          </cell>
          <cell r="BV16">
            <v>3000</v>
          </cell>
          <cell r="BW16" t="str">
            <v>Ceiling (High)</v>
          </cell>
          <cell r="BY16">
            <v>5000</v>
          </cell>
          <cell r="BZ16" t="str">
            <v>Ceiling (High)</v>
          </cell>
          <cell r="CA16">
            <v>50000</v>
          </cell>
          <cell r="CB16" t="str">
            <v>0.005%</v>
          </cell>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O17">
            <v>2.3999999999999998E-3</v>
          </cell>
          <cell r="P17">
            <v>1</v>
          </cell>
          <cell r="Q17">
            <v>1</v>
          </cell>
          <cell r="R17" t="str">
            <v>9e</v>
          </cell>
          <cell r="S17">
            <v>0.1</v>
          </cell>
          <cell r="T17" t="str">
            <v>9e</v>
          </cell>
          <cell r="U17">
            <v>1</v>
          </cell>
          <cell r="V17" t="str">
            <v>9e</v>
          </cell>
          <cell r="W17">
            <v>0.1</v>
          </cell>
          <cell r="X17" t="str">
            <v>9e</v>
          </cell>
          <cell r="Y17" t="str">
            <v>NC</v>
          </cell>
          <cell r="AC17">
            <v>1</v>
          </cell>
          <cell r="AD17">
            <v>9</v>
          </cell>
          <cell r="AE17">
            <v>1</v>
          </cell>
          <cell r="AF17">
            <v>9</v>
          </cell>
          <cell r="AG17">
            <v>1</v>
          </cell>
          <cell r="AH17">
            <v>9</v>
          </cell>
          <cell r="AI17">
            <v>0.9</v>
          </cell>
          <cell r="AK17">
            <v>0.01</v>
          </cell>
          <cell r="AL17">
            <v>0.01</v>
          </cell>
          <cell r="AM17">
            <v>0.4</v>
          </cell>
          <cell r="AO17">
            <v>0</v>
          </cell>
          <cell r="AU17">
            <v>0</v>
          </cell>
          <cell r="AW17">
            <v>0</v>
          </cell>
          <cell r="AX17">
            <v>0.06</v>
          </cell>
          <cell r="AY17">
            <v>0.3</v>
          </cell>
          <cell r="AZ17">
            <v>0</v>
          </cell>
          <cell r="BD17">
            <v>0</v>
          </cell>
          <cell r="BE17">
            <v>9</v>
          </cell>
          <cell r="BF17">
            <v>13</v>
          </cell>
          <cell r="BH17">
            <v>-0.56999999999999995</v>
          </cell>
          <cell r="BJ17">
            <v>0</v>
          </cell>
          <cell r="BO17">
            <v>1E-3</v>
          </cell>
          <cell r="BS17">
            <v>1000</v>
          </cell>
          <cell r="BT17" t="str">
            <v>Ceiling (High)</v>
          </cell>
          <cell r="BV17">
            <v>3000</v>
          </cell>
          <cell r="BW17" t="str">
            <v>Ceiling (High)</v>
          </cell>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K18">
            <v>1</v>
          </cell>
          <cell r="AL18">
            <v>0.9</v>
          </cell>
          <cell r="AO18">
            <v>0</v>
          </cell>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H18">
            <v>3.98</v>
          </cell>
          <cell r="BI18">
            <v>20</v>
          </cell>
          <cell r="BJ18">
            <v>2820</v>
          </cell>
          <cell r="BK18">
            <v>21</v>
          </cell>
          <cell r="BO18">
            <v>9.2129772766855619E-2</v>
          </cell>
          <cell r="BS18">
            <v>1000</v>
          </cell>
          <cell r="BT18" t="str">
            <v>Ceiling (High)</v>
          </cell>
          <cell r="BV18">
            <v>3000</v>
          </cell>
          <cell r="BW18" t="str">
            <v>Ceiling (High)</v>
          </cell>
          <cell r="BY18">
            <v>5000</v>
          </cell>
          <cell r="BZ18" t="str">
            <v>Ceiling (High)</v>
          </cell>
          <cell r="CA18">
            <v>50000</v>
          </cell>
          <cell r="CB18" t="str">
            <v>0.005%</v>
          </cell>
        </row>
        <row r="19">
          <cell r="A19" t="str">
            <v>BIS(2-CHLOROETHYL)ETHER</v>
          </cell>
          <cell r="B19" t="str">
            <v>111-44-4</v>
          </cell>
          <cell r="C19">
            <v>42922</v>
          </cell>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G19">
            <v>1</v>
          </cell>
          <cell r="AH19">
            <v>9</v>
          </cell>
          <cell r="AK19">
            <v>0.98</v>
          </cell>
          <cell r="AL19">
            <v>0.98</v>
          </cell>
          <cell r="AO19">
            <v>0</v>
          </cell>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O19">
            <v>1.7807378917032942E-3</v>
          </cell>
          <cell r="BS19">
            <v>500</v>
          </cell>
          <cell r="BT19" t="str">
            <v>Ceiling (Medium)</v>
          </cell>
          <cell r="BV19">
            <v>1000</v>
          </cell>
          <cell r="BW19" t="str">
            <v>Ceiling (Medium)</v>
          </cell>
          <cell r="BY19">
            <v>3000</v>
          </cell>
          <cell r="BZ19" t="str">
            <v>Ceiling (Medium)</v>
          </cell>
          <cell r="CA19">
            <v>50000</v>
          </cell>
          <cell r="CB19" t="str">
            <v>0.005%</v>
          </cell>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K20">
            <v>0.98</v>
          </cell>
          <cell r="AL20">
            <v>0.98</v>
          </cell>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O20">
            <v>4.250108331760467E-3</v>
          </cell>
          <cell r="BS20">
            <v>500</v>
          </cell>
          <cell r="BT20" t="str">
            <v>Ceiling (Medium)</v>
          </cell>
          <cell r="BV20">
            <v>1000</v>
          </cell>
          <cell r="BW20" t="str">
            <v>Ceiling (Medium)</v>
          </cell>
          <cell r="BY20">
            <v>3000</v>
          </cell>
          <cell r="BZ20" t="str">
            <v>Ceiling (Medium)</v>
          </cell>
          <cell r="CA20">
            <v>50000</v>
          </cell>
          <cell r="CB20" t="str">
            <v>0.005%</v>
          </cell>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K21">
            <v>1</v>
          </cell>
          <cell r="AL21">
            <v>1</v>
          </cell>
          <cell r="AO21">
            <v>0</v>
          </cell>
          <cell r="AU21">
            <v>0</v>
          </cell>
          <cell r="AW21">
            <v>0</v>
          </cell>
          <cell r="AX21">
            <v>0.66</v>
          </cell>
          <cell r="AY21">
            <v>4</v>
          </cell>
          <cell r="AZ21">
            <v>270</v>
          </cell>
          <cell r="BA21">
            <v>22</v>
          </cell>
          <cell r="BB21">
            <v>2.7000000000000001E-7</v>
          </cell>
          <cell r="BC21">
            <v>22</v>
          </cell>
          <cell r="BD21">
            <v>1.104927156654117E-5</v>
          </cell>
          <cell r="BE21">
            <v>391</v>
          </cell>
          <cell r="BF21">
            <v>13</v>
          </cell>
          <cell r="BH21">
            <v>7.6</v>
          </cell>
          <cell r="BI21">
            <v>16</v>
          </cell>
          <cell r="BJ21">
            <v>111000</v>
          </cell>
          <cell r="BK21" t="str">
            <v>17a</v>
          </cell>
          <cell r="BL21">
            <v>-55</v>
          </cell>
          <cell r="BM21">
            <v>17</v>
          </cell>
          <cell r="BO21">
            <v>1.0626738654024654</v>
          </cell>
          <cell r="BS21">
            <v>1000</v>
          </cell>
          <cell r="BT21" t="str">
            <v>Ceiling (High)</v>
          </cell>
          <cell r="BV21">
            <v>3000</v>
          </cell>
          <cell r="BW21" t="str">
            <v>Ceiling (High)</v>
          </cell>
          <cell r="BY21">
            <v>5000</v>
          </cell>
          <cell r="BZ21" t="str">
            <v>Ceiling (High)</v>
          </cell>
          <cell r="CA21">
            <v>50000</v>
          </cell>
          <cell r="CB21" t="str">
            <v>0.005%</v>
          </cell>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K22">
            <v>0.98</v>
          </cell>
          <cell r="AL22">
            <v>0.98</v>
          </cell>
          <cell r="AO22">
            <v>0</v>
          </cell>
          <cell r="AU22">
            <v>0</v>
          </cell>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O22">
            <v>3.9957655661880549E-3</v>
          </cell>
          <cell r="BS22">
            <v>100</v>
          </cell>
          <cell r="BT22" t="str">
            <v>Ceiling (Low)</v>
          </cell>
          <cell r="BV22">
            <v>500</v>
          </cell>
          <cell r="BW22" t="str">
            <v>Ceiling (Low)</v>
          </cell>
          <cell r="BY22">
            <v>500</v>
          </cell>
          <cell r="BZ22" t="str">
            <v>High Volatility</v>
          </cell>
          <cell r="CA22">
            <v>50000</v>
          </cell>
          <cell r="CB22" t="str">
            <v>0.005%</v>
          </cell>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K23">
            <v>0.9</v>
          </cell>
          <cell r="AL23">
            <v>0.9</v>
          </cell>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O23">
            <v>2.3291636302139665E-3</v>
          </cell>
          <cell r="BS23">
            <v>500</v>
          </cell>
          <cell r="BT23" t="str">
            <v>Ceiling (Medium)</v>
          </cell>
          <cell r="BV23">
            <v>1000</v>
          </cell>
          <cell r="BW23" t="str">
            <v>Ceiling (Medium)</v>
          </cell>
          <cell r="BY23">
            <v>3000</v>
          </cell>
          <cell r="BZ23" t="str">
            <v>Ceiling (Medium)</v>
          </cell>
          <cell r="CA23">
            <v>50000</v>
          </cell>
          <cell r="CB23" t="str">
            <v>0.005%</v>
          </cell>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M24" t="str">
            <v>D</v>
          </cell>
          <cell r="N24">
            <v>1</v>
          </cell>
          <cell r="Q24">
            <v>1</v>
          </cell>
          <cell r="R24" t="str">
            <v>9e</v>
          </cell>
          <cell r="S24">
            <v>0.03</v>
          </cell>
          <cell r="T24" t="str">
            <v>9e</v>
          </cell>
          <cell r="U24">
            <v>1</v>
          </cell>
          <cell r="V24" t="str">
            <v>9e</v>
          </cell>
          <cell r="W24">
            <v>0.03</v>
          </cell>
          <cell r="X24" t="str">
            <v>9e</v>
          </cell>
          <cell r="Y24" t="str">
            <v>NC</v>
          </cell>
          <cell r="AA24" t="str">
            <v>NC</v>
          </cell>
          <cell r="AC24">
            <v>1</v>
          </cell>
          <cell r="AD24">
            <v>9</v>
          </cell>
          <cell r="AE24">
            <v>1</v>
          </cell>
          <cell r="AF24">
            <v>9</v>
          </cell>
          <cell r="AK24">
            <v>0.97</v>
          </cell>
          <cell r="AL24" t="str">
            <v>NC</v>
          </cell>
          <cell r="AO24">
            <v>0.6</v>
          </cell>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J24">
            <v>5.8884365535558905</v>
          </cell>
          <cell r="BK24">
            <v>13</v>
          </cell>
          <cell r="BS24">
            <v>500</v>
          </cell>
          <cell r="BT24" t="str">
            <v>Ceiling (Medium)</v>
          </cell>
          <cell r="BV24">
            <v>1000</v>
          </cell>
          <cell r="BW24" t="str">
            <v>Ceiling (Medium)</v>
          </cell>
          <cell r="BY24">
            <v>3000</v>
          </cell>
          <cell r="BZ24" t="str">
            <v>Ceiling (Medium)</v>
          </cell>
          <cell r="CA24">
            <v>50000</v>
          </cell>
          <cell r="CB24" t="str">
            <v>0.005%</v>
          </cell>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AA25" t="str">
            <v>NC</v>
          </cell>
          <cell r="AC25">
            <v>1</v>
          </cell>
          <cell r="AD25">
            <v>9</v>
          </cell>
          <cell r="AE25">
            <v>1</v>
          </cell>
          <cell r="AF25">
            <v>9</v>
          </cell>
          <cell r="AI25">
            <v>3</v>
          </cell>
          <cell r="AK25">
            <v>7.0000000000000007E-2</v>
          </cell>
          <cell r="AL25" t="str">
            <v>NC</v>
          </cell>
          <cell r="AM25">
            <v>2</v>
          </cell>
          <cell r="AN25">
            <v>4.2</v>
          </cell>
          <cell r="AO25">
            <v>0</v>
          </cell>
          <cell r="AU25">
            <v>0</v>
          </cell>
          <cell r="AW25">
            <v>0</v>
          </cell>
          <cell r="AX25">
            <v>0.8</v>
          </cell>
          <cell r="AY25">
            <v>4</v>
          </cell>
          <cell r="AZ25">
            <v>0</v>
          </cell>
          <cell r="BD25">
            <v>0</v>
          </cell>
          <cell r="BE25">
            <v>112</v>
          </cell>
          <cell r="BF25">
            <v>13</v>
          </cell>
          <cell r="BH25">
            <v>-7.0000000000000007E-2</v>
          </cell>
          <cell r="BJ25">
            <v>0</v>
          </cell>
          <cell r="BO25">
            <v>1E-3</v>
          </cell>
          <cell r="BP25">
            <v>1.9</v>
          </cell>
          <cell r="BS25">
            <v>1000</v>
          </cell>
          <cell r="BT25" t="str">
            <v>Ceiling (High)</v>
          </cell>
          <cell r="BV25">
            <v>3000</v>
          </cell>
          <cell r="BW25" t="str">
            <v>Ceiling (High)</v>
          </cell>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K26">
            <v>1</v>
          </cell>
          <cell r="AL26">
            <v>1</v>
          </cell>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O26">
            <v>1.6047227144931665E-2</v>
          </cell>
          <cell r="BS26">
            <v>500</v>
          </cell>
          <cell r="BT26" t="str">
            <v>Ceiling (Medium)</v>
          </cell>
          <cell r="BV26">
            <v>1000</v>
          </cell>
          <cell r="BW26" t="str">
            <v>Ceiling (Medium)</v>
          </cell>
          <cell r="BY26">
            <v>3000</v>
          </cell>
          <cell r="BZ26" t="str">
            <v>Ceiling (Medium)</v>
          </cell>
          <cell r="CA26">
            <v>50000</v>
          </cell>
          <cell r="CB26" t="str">
            <v>0.005%</v>
          </cell>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K27">
            <v>0.8</v>
          </cell>
          <cell r="AL27">
            <v>0.8</v>
          </cell>
          <cell r="AO27">
            <v>0</v>
          </cell>
          <cell r="AR27">
            <v>205</v>
          </cell>
          <cell r="AS27">
            <v>24</v>
          </cell>
          <cell r="AT27">
            <v>8.4</v>
          </cell>
          <cell r="AU27">
            <v>5.0095309568480291E-4</v>
          </cell>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O27">
            <v>0.10854254493068262</v>
          </cell>
          <cell r="BP27">
            <v>11.104166666666666</v>
          </cell>
          <cell r="BS27">
            <v>1000</v>
          </cell>
          <cell r="BT27" t="str">
            <v>Ceiling (High)</v>
          </cell>
          <cell r="BV27">
            <v>3000</v>
          </cell>
          <cell r="BW27" t="str">
            <v>Ceiling (High)</v>
          </cell>
          <cell r="BY27">
            <v>5000</v>
          </cell>
          <cell r="BZ27" t="str">
            <v>Ceiling (High)</v>
          </cell>
          <cell r="CA27">
            <v>50000</v>
          </cell>
          <cell r="CB27" t="str">
            <v>0.005%</v>
          </cell>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N28">
            <v>6</v>
          </cell>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K28">
            <v>1</v>
          </cell>
          <cell r="AL28">
            <v>1</v>
          </cell>
          <cell r="AO28">
            <v>0</v>
          </cell>
          <cell r="AU28">
            <v>0</v>
          </cell>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O28">
            <v>4.909078761526034E-3</v>
          </cell>
          <cell r="BS28">
            <v>1000</v>
          </cell>
          <cell r="BT28" t="str">
            <v>Ceiling (High)</v>
          </cell>
          <cell r="BV28">
            <v>3000</v>
          </cell>
          <cell r="BW28" t="str">
            <v>Ceiling (High)</v>
          </cell>
          <cell r="BY28">
            <v>5000</v>
          </cell>
          <cell r="BZ28" t="str">
            <v>Ceiling (High)</v>
          </cell>
          <cell r="CA28">
            <v>50000</v>
          </cell>
          <cell r="CB28" t="str">
            <v>0.005%</v>
          </cell>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M29" t="str">
            <v>D</v>
          </cell>
          <cell r="N29">
            <v>1</v>
          </cell>
          <cell r="Q29">
            <v>1</v>
          </cell>
          <cell r="R29" t="str">
            <v>9e</v>
          </cell>
          <cell r="S29">
            <v>0.03</v>
          </cell>
          <cell r="T29" t="str">
            <v>9e</v>
          </cell>
          <cell r="U29">
            <v>1</v>
          </cell>
          <cell r="V29" t="str">
            <v>9e</v>
          </cell>
          <cell r="W29">
            <v>0.03</v>
          </cell>
          <cell r="X29" t="str">
            <v>9e</v>
          </cell>
          <cell r="Y29" t="str">
            <v>NC</v>
          </cell>
          <cell r="AA29" t="str">
            <v>NC</v>
          </cell>
          <cell r="AC29">
            <v>1</v>
          </cell>
          <cell r="AD29">
            <v>9</v>
          </cell>
          <cell r="AE29">
            <v>1</v>
          </cell>
          <cell r="AF29">
            <v>9</v>
          </cell>
          <cell r="AK29">
            <v>1</v>
          </cell>
          <cell r="AL29" t="str">
            <v>NC</v>
          </cell>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O29">
            <v>2.7643943712203363E-2</v>
          </cell>
          <cell r="BS29">
            <v>500</v>
          </cell>
          <cell r="BT29" t="str">
            <v>Ceiling (Medium)</v>
          </cell>
          <cell r="BV29">
            <v>1000</v>
          </cell>
          <cell r="BW29" t="str">
            <v>Ceiling (Medium)</v>
          </cell>
          <cell r="BY29">
            <v>3000</v>
          </cell>
          <cell r="BZ29" t="str">
            <v>Ceiling (Medium)</v>
          </cell>
          <cell r="CA29">
            <v>50000</v>
          </cell>
          <cell r="CB29" t="str">
            <v>0.005%</v>
          </cell>
        </row>
        <row r="30">
          <cell r="A30" t="str">
            <v>CHLOROFORM</v>
          </cell>
          <cell r="B30" t="str">
            <v>67-66-3</v>
          </cell>
          <cell r="C30">
            <v>42923</v>
          </cell>
          <cell r="D30">
            <v>0.01</v>
          </cell>
          <cell r="E30">
            <v>1</v>
          </cell>
          <cell r="F30">
            <v>0.01</v>
          </cell>
          <cell r="G30">
            <v>2</v>
          </cell>
          <cell r="H30">
            <v>0.66</v>
          </cell>
          <cell r="I30">
            <v>3</v>
          </cell>
          <cell r="J30">
            <v>0.66</v>
          </cell>
          <cell r="K30" t="str">
            <v>7c</v>
          </cell>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AA30" t="str">
            <v>NC</v>
          </cell>
          <cell r="AC30">
            <v>1</v>
          </cell>
          <cell r="AD30">
            <v>9</v>
          </cell>
          <cell r="AE30">
            <v>1</v>
          </cell>
          <cell r="AF30">
            <v>9</v>
          </cell>
          <cell r="AK30">
            <v>1</v>
          </cell>
          <cell r="AL30">
            <v>1</v>
          </cell>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O30">
            <v>6.8202453790326776E-3</v>
          </cell>
          <cell r="BS30">
            <v>500</v>
          </cell>
          <cell r="BT30" t="str">
            <v>Ceiling (Medium)</v>
          </cell>
          <cell r="BV30">
            <v>1000</v>
          </cell>
          <cell r="BW30" t="str">
            <v>Ceiling (Medium)</v>
          </cell>
          <cell r="BY30">
            <v>3000</v>
          </cell>
          <cell r="BZ30" t="str">
            <v>Ceiling (Medium)</v>
          </cell>
          <cell r="CA30">
            <v>50000</v>
          </cell>
          <cell r="CB30" t="str">
            <v>0.005%</v>
          </cell>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Q31">
            <v>1</v>
          </cell>
          <cell r="R31" t="str">
            <v>9e</v>
          </cell>
          <cell r="S31">
            <v>0.3</v>
          </cell>
          <cell r="T31" t="str">
            <v>9b</v>
          </cell>
          <cell r="U31">
            <v>1</v>
          </cell>
          <cell r="V31" t="str">
            <v>9e</v>
          </cell>
          <cell r="W31">
            <v>0.3</v>
          </cell>
          <cell r="X31" t="str">
            <v>9e</v>
          </cell>
          <cell r="Y31" t="str">
            <v>NC</v>
          </cell>
          <cell r="AA31" t="str">
            <v>NC</v>
          </cell>
          <cell r="AC31">
            <v>1</v>
          </cell>
          <cell r="AD31">
            <v>9</v>
          </cell>
          <cell r="AE31">
            <v>1</v>
          </cell>
          <cell r="AF31">
            <v>9</v>
          </cell>
          <cell r="AK31">
            <v>1</v>
          </cell>
          <cell r="AL31" t="str">
            <v>NC</v>
          </cell>
          <cell r="AO31">
            <v>0</v>
          </cell>
          <cell r="AR31">
            <v>0.18</v>
          </cell>
          <cell r="AS31">
            <v>24</v>
          </cell>
          <cell r="AT31">
            <v>19</v>
          </cell>
          <cell r="AU31">
            <v>3.6013516199562708E-3</v>
          </cell>
          <cell r="AW31">
            <v>0</v>
          </cell>
          <cell r="AX31">
            <v>0.66</v>
          </cell>
          <cell r="AY31">
            <v>10</v>
          </cell>
          <cell r="AZ31">
            <v>11300000</v>
          </cell>
          <cell r="BA31">
            <v>22</v>
          </cell>
          <cell r="BB31">
            <v>1.1199999999999999E-5</v>
          </cell>
          <cell r="BC31">
            <v>22</v>
          </cell>
          <cell r="BD31">
            <v>4.5834015387133734E-4</v>
          </cell>
          <cell r="BE31">
            <v>129</v>
          </cell>
          <cell r="BF31">
            <v>12</v>
          </cell>
          <cell r="BH31">
            <v>2.15</v>
          </cell>
          <cell r="BI31">
            <v>16</v>
          </cell>
          <cell r="BJ31">
            <v>286</v>
          </cell>
          <cell r="BK31" t="str">
            <v>17b</v>
          </cell>
          <cell r="BL31">
            <v>-9.8000000000000007</v>
          </cell>
          <cell r="BM31">
            <v>17</v>
          </cell>
          <cell r="BO31">
            <v>7.8813388509341598E-3</v>
          </cell>
          <cell r="BS31">
            <v>1000</v>
          </cell>
          <cell r="BT31" t="str">
            <v>Ceiling (High)</v>
          </cell>
          <cell r="BV31">
            <v>3000</v>
          </cell>
          <cell r="BW31" t="str">
            <v>Ceiling (High)</v>
          </cell>
          <cell r="BY31">
            <v>5000</v>
          </cell>
          <cell r="BZ31" t="str">
            <v>Ceiling (High)</v>
          </cell>
          <cell r="CA31">
            <v>50000</v>
          </cell>
          <cell r="CB31" t="str">
            <v>0.005%</v>
          </cell>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O32">
            <v>1.2E-2</v>
          </cell>
          <cell r="P32">
            <v>1</v>
          </cell>
          <cell r="Q32">
            <v>1</v>
          </cell>
          <cell r="R32" t="str">
            <v>9e</v>
          </cell>
          <cell r="S32">
            <v>0.1</v>
          </cell>
          <cell r="T32" t="str">
            <v>9e</v>
          </cell>
          <cell r="U32">
            <v>1</v>
          </cell>
          <cell r="V32" t="str">
            <v>9e</v>
          </cell>
          <cell r="W32">
            <v>0.1</v>
          </cell>
          <cell r="X32" t="str">
            <v>9e</v>
          </cell>
          <cell r="Y32" t="str">
            <v>NC</v>
          </cell>
          <cell r="AA32" t="str">
            <v>NC</v>
          </cell>
          <cell r="AC32">
            <v>1</v>
          </cell>
          <cell r="AD32">
            <v>9</v>
          </cell>
          <cell r="AE32">
            <v>1</v>
          </cell>
          <cell r="AF32">
            <v>9</v>
          </cell>
          <cell r="AI32">
            <v>40</v>
          </cell>
          <cell r="AK32">
            <v>0.11</v>
          </cell>
          <cell r="AL32" t="str">
            <v>NC</v>
          </cell>
          <cell r="AM32">
            <v>30</v>
          </cell>
          <cell r="AN32">
            <v>4.9000000000000004</v>
          </cell>
          <cell r="AO32">
            <v>0</v>
          </cell>
          <cell r="AW32">
            <v>0</v>
          </cell>
          <cell r="AX32">
            <v>0</v>
          </cell>
          <cell r="AY32">
            <v>0.5</v>
          </cell>
          <cell r="AZ32">
            <v>0</v>
          </cell>
          <cell r="BD32">
            <v>0</v>
          </cell>
          <cell r="BE32">
            <v>52</v>
          </cell>
          <cell r="BH32">
            <v>0.23</v>
          </cell>
          <cell r="BJ32">
            <v>0</v>
          </cell>
          <cell r="BO32">
            <v>2E-3</v>
          </cell>
          <cell r="BS32">
            <v>1000</v>
          </cell>
          <cell r="BT32" t="str">
            <v>Ceiling (High)</v>
          </cell>
          <cell r="BV32">
            <v>3000</v>
          </cell>
          <cell r="BW32" t="str">
            <v>Ceiling (High)</v>
          </cell>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Q33">
            <v>1</v>
          </cell>
          <cell r="R33" t="str">
            <v>9e</v>
          </cell>
          <cell r="S33">
            <v>0.1</v>
          </cell>
          <cell r="T33" t="str">
            <v>9e</v>
          </cell>
          <cell r="U33">
            <v>1</v>
          </cell>
          <cell r="V33" t="str">
            <v>9e</v>
          </cell>
          <cell r="W33">
            <v>0.1</v>
          </cell>
          <cell r="X33" t="str">
            <v>9e</v>
          </cell>
          <cell r="Y33" t="str">
            <v>NC</v>
          </cell>
          <cell r="AA33" t="str">
            <v>NC</v>
          </cell>
          <cell r="AC33">
            <v>1</v>
          </cell>
          <cell r="AD33">
            <v>9</v>
          </cell>
          <cell r="AE33">
            <v>1</v>
          </cell>
          <cell r="AF33">
            <v>9</v>
          </cell>
          <cell r="AI33">
            <v>40</v>
          </cell>
          <cell r="AK33">
            <v>0.25</v>
          </cell>
          <cell r="AL33" t="str">
            <v>NC</v>
          </cell>
          <cell r="AM33">
            <v>30</v>
          </cell>
          <cell r="AN33">
            <v>4.9000000000000004</v>
          </cell>
          <cell r="AO33">
            <v>0</v>
          </cell>
          <cell r="AU33">
            <v>0</v>
          </cell>
          <cell r="AW33">
            <v>0</v>
          </cell>
          <cell r="AX33">
            <v>1.4</v>
          </cell>
          <cell r="AY33">
            <v>7</v>
          </cell>
          <cell r="AZ33">
            <v>0</v>
          </cell>
          <cell r="BD33">
            <v>0</v>
          </cell>
          <cell r="BE33">
            <v>52</v>
          </cell>
          <cell r="BF33">
            <v>13</v>
          </cell>
          <cell r="BJ33">
            <v>0</v>
          </cell>
          <cell r="BO33">
            <v>1E-3</v>
          </cell>
          <cell r="BP33">
            <v>9.5000000000000001E-2</v>
          </cell>
          <cell r="BS33">
            <v>1000</v>
          </cell>
          <cell r="BT33" t="str">
            <v>Ceiling (High)</v>
          </cell>
          <cell r="BV33">
            <v>3000</v>
          </cell>
          <cell r="BW33" t="str">
            <v>Ceiling (High)</v>
          </cell>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O34">
            <v>1.2E-2</v>
          </cell>
          <cell r="P34">
            <v>1</v>
          </cell>
          <cell r="Q34">
            <v>1</v>
          </cell>
          <cell r="R34" t="str">
            <v>9e</v>
          </cell>
          <cell r="S34">
            <v>0.1</v>
          </cell>
          <cell r="T34" t="str">
            <v>9e</v>
          </cell>
          <cell r="U34">
            <v>1</v>
          </cell>
          <cell r="V34" t="str">
            <v>9d</v>
          </cell>
          <cell r="W34">
            <v>0.1</v>
          </cell>
          <cell r="X34" t="str">
            <v>9e</v>
          </cell>
          <cell r="Y34" t="str">
            <v>NC</v>
          </cell>
          <cell r="AA34" t="str">
            <v>NC</v>
          </cell>
          <cell r="AC34">
            <v>1</v>
          </cell>
          <cell r="AD34">
            <v>9</v>
          </cell>
          <cell r="AE34">
            <v>1</v>
          </cell>
          <cell r="AF34">
            <v>9</v>
          </cell>
          <cell r="AG34">
            <v>1</v>
          </cell>
          <cell r="AH34">
            <v>9</v>
          </cell>
          <cell r="AI34">
            <v>40</v>
          </cell>
          <cell r="AK34">
            <v>0.11</v>
          </cell>
          <cell r="AL34">
            <v>0.11</v>
          </cell>
          <cell r="AM34">
            <v>30</v>
          </cell>
          <cell r="AN34">
            <v>4.9000000000000004</v>
          </cell>
          <cell r="AO34">
            <v>0</v>
          </cell>
          <cell r="AU34">
            <v>0</v>
          </cell>
          <cell r="AW34">
            <v>0</v>
          </cell>
          <cell r="AX34">
            <v>0</v>
          </cell>
          <cell r="AY34">
            <v>0.5</v>
          </cell>
          <cell r="AZ34">
            <v>0</v>
          </cell>
          <cell r="BD34">
            <v>0</v>
          </cell>
          <cell r="BE34">
            <v>52</v>
          </cell>
          <cell r="BF34">
            <v>13</v>
          </cell>
          <cell r="BJ34">
            <v>0</v>
          </cell>
          <cell r="BO34">
            <v>2E-3</v>
          </cell>
          <cell r="BP34">
            <v>9.5000000000000001E-2</v>
          </cell>
          <cell r="BS34">
            <v>1000</v>
          </cell>
          <cell r="BT34" t="str">
            <v>Ceiling (High)</v>
          </cell>
          <cell r="BV34">
            <v>3000</v>
          </cell>
          <cell r="BW34" t="str">
            <v>Ceiling (High)</v>
          </cell>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O35">
            <v>0</v>
          </cell>
          <cell r="AU35">
            <v>0</v>
          </cell>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O35">
            <v>0.57253230939417599</v>
          </cell>
          <cell r="BS35">
            <v>1000</v>
          </cell>
          <cell r="BT35" t="str">
            <v>Ceiling (High)</v>
          </cell>
          <cell r="BV35">
            <v>3000</v>
          </cell>
          <cell r="BW35" t="str">
            <v>Ceiling (High)</v>
          </cell>
          <cell r="BY35">
            <v>5000</v>
          </cell>
          <cell r="BZ35" t="str">
            <v>Ceiling (High)</v>
          </cell>
          <cell r="CA35">
            <v>50000</v>
          </cell>
          <cell r="CB35" t="str">
            <v>0.005%</v>
          </cell>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M36" t="str">
            <v>D</v>
          </cell>
          <cell r="N36">
            <v>1</v>
          </cell>
          <cell r="Q36">
            <v>1</v>
          </cell>
          <cell r="R36" t="str">
            <v>9e</v>
          </cell>
          <cell r="S36">
            <v>0.1</v>
          </cell>
          <cell r="T36" t="str">
            <v>9e</v>
          </cell>
          <cell r="U36">
            <v>1</v>
          </cell>
          <cell r="V36" t="str">
            <v>9e</v>
          </cell>
          <cell r="W36">
            <v>0.1</v>
          </cell>
          <cell r="X36" t="str">
            <v>9e</v>
          </cell>
          <cell r="Y36" t="str">
            <v>NC</v>
          </cell>
          <cell r="AA36" t="str">
            <v>NC</v>
          </cell>
          <cell r="AC36">
            <v>1</v>
          </cell>
          <cell r="AD36">
            <v>9</v>
          </cell>
          <cell r="AE36">
            <v>1</v>
          </cell>
          <cell r="AF36">
            <v>9</v>
          </cell>
          <cell r="AK36">
            <v>1</v>
          </cell>
          <cell r="AL36" t="str">
            <v>NC</v>
          </cell>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J36">
            <v>0</v>
          </cell>
          <cell r="BO36">
            <v>1E-3</v>
          </cell>
          <cell r="BS36">
            <v>100</v>
          </cell>
          <cell r="BT36" t="str">
            <v>Ceiling (Low)</v>
          </cell>
          <cell r="BV36">
            <v>500</v>
          </cell>
          <cell r="BW36" t="str">
            <v>Ceiling (Low)</v>
          </cell>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O37">
            <v>0</v>
          </cell>
          <cell r="AU37">
            <v>0</v>
          </cell>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O37">
            <v>1.253718400680121</v>
          </cell>
          <cell r="BS37">
            <v>1000</v>
          </cell>
          <cell r="BT37" t="str">
            <v>Ceiling (High)</v>
          </cell>
          <cell r="BV37">
            <v>3000</v>
          </cell>
          <cell r="BW37" t="str">
            <v>Ceiling (High)</v>
          </cell>
          <cell r="BY37">
            <v>5000</v>
          </cell>
          <cell r="BZ37" t="str">
            <v>Ceiling (High)</v>
          </cell>
          <cell r="CA37">
            <v>50000</v>
          </cell>
          <cell r="CB37" t="str">
            <v>0.005%</v>
          </cell>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K38">
            <v>0.98</v>
          </cell>
          <cell r="AL38">
            <v>0.98</v>
          </cell>
          <cell r="AO38">
            <v>0</v>
          </cell>
          <cell r="AU38">
            <v>0</v>
          </cell>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O38">
            <v>2.8893489815590818E-3</v>
          </cell>
          <cell r="BS38">
            <v>100</v>
          </cell>
          <cell r="BT38" t="str">
            <v>Ceiling (Low)</v>
          </cell>
          <cell r="BV38">
            <v>500</v>
          </cell>
          <cell r="BW38" t="str">
            <v>Ceiling (Low)</v>
          </cell>
          <cell r="BY38">
            <v>500</v>
          </cell>
          <cell r="BZ38" t="str">
            <v>High Volatility</v>
          </cell>
          <cell r="CA38">
            <v>50000</v>
          </cell>
          <cell r="CB38" t="str">
            <v>0.005%</v>
          </cell>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M39" t="str">
            <v>D</v>
          </cell>
          <cell r="N39">
            <v>1</v>
          </cell>
          <cell r="Q39">
            <v>1</v>
          </cell>
          <cell r="R39" t="str">
            <v>9e</v>
          </cell>
          <cell r="S39">
            <v>0.03</v>
          </cell>
          <cell r="T39" t="str">
            <v>9e</v>
          </cell>
          <cell r="U39">
            <v>1</v>
          </cell>
          <cell r="V39" t="str">
            <v>9e</v>
          </cell>
          <cell r="W39">
            <v>0.03</v>
          </cell>
          <cell r="X39" t="str">
            <v>9e</v>
          </cell>
          <cell r="Y39" t="str">
            <v>NC</v>
          </cell>
          <cell r="AA39" t="str">
            <v>NC</v>
          </cell>
          <cell r="AC39">
            <v>1</v>
          </cell>
          <cell r="AD39">
            <v>9</v>
          </cell>
          <cell r="AE39">
            <v>1</v>
          </cell>
          <cell r="AF39">
            <v>9</v>
          </cell>
          <cell r="AK39">
            <v>1</v>
          </cell>
          <cell r="AL39" t="str">
            <v>NC</v>
          </cell>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O39">
            <v>4.3711931792622442E-2</v>
          </cell>
          <cell r="BS39">
            <v>1000</v>
          </cell>
          <cell r="BT39" t="str">
            <v>Ceiling (High)</v>
          </cell>
          <cell r="BV39">
            <v>3000</v>
          </cell>
          <cell r="BW39" t="str">
            <v>Ceiling (High)</v>
          </cell>
          <cell r="BY39">
            <v>5000</v>
          </cell>
          <cell r="BZ39" t="str">
            <v>Ceiling (High)</v>
          </cell>
          <cell r="CA39">
            <v>50000</v>
          </cell>
          <cell r="CB39" t="str">
            <v>0.005%</v>
          </cell>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M40" t="str">
            <v>D</v>
          </cell>
          <cell r="N40">
            <v>1</v>
          </cell>
          <cell r="Q40">
            <v>1</v>
          </cell>
          <cell r="R40" t="str">
            <v>9e</v>
          </cell>
          <cell r="S40">
            <v>0.03</v>
          </cell>
          <cell r="T40" t="str">
            <v>9e</v>
          </cell>
          <cell r="U40">
            <v>1</v>
          </cell>
          <cell r="V40" t="str">
            <v>9e</v>
          </cell>
          <cell r="W40">
            <v>0.03</v>
          </cell>
          <cell r="X40" t="str">
            <v>9e</v>
          </cell>
          <cell r="Y40" t="str">
            <v>NC</v>
          </cell>
          <cell r="AA40" t="str">
            <v>NC</v>
          </cell>
          <cell r="AC40">
            <v>1</v>
          </cell>
          <cell r="AD40">
            <v>9</v>
          </cell>
          <cell r="AE40">
            <v>1</v>
          </cell>
          <cell r="AF40">
            <v>9</v>
          </cell>
          <cell r="AK40">
            <v>1</v>
          </cell>
          <cell r="AL40" t="str">
            <v>NC</v>
          </cell>
          <cell r="AO40">
            <v>0.6</v>
          </cell>
          <cell r="AP40">
            <v>5</v>
          </cell>
          <cell r="AQ40">
            <v>0.93200000000000005</v>
          </cell>
          <cell r="AU40">
            <v>0</v>
          </cell>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O40">
            <v>5.0886197595607759E-2</v>
          </cell>
          <cell r="BS40">
            <v>100</v>
          </cell>
          <cell r="BT40" t="str">
            <v>Ceiling (Low)</v>
          </cell>
          <cell r="BV40">
            <v>500</v>
          </cell>
          <cell r="BW40" t="str">
            <v>Ceiling (Low)</v>
          </cell>
          <cell r="BY40">
            <v>500</v>
          </cell>
          <cell r="BZ40" t="str">
            <v>High Volatility</v>
          </cell>
          <cell r="CA40">
            <v>50000</v>
          </cell>
          <cell r="CB40" t="str">
            <v>0.005%</v>
          </cell>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K41">
            <v>1</v>
          </cell>
          <cell r="AL41">
            <v>1</v>
          </cell>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O41">
            <v>4.4381298030813886E-2</v>
          </cell>
          <cell r="BS41">
            <v>500</v>
          </cell>
          <cell r="BT41" t="str">
            <v>Ceiling (Medium)</v>
          </cell>
          <cell r="BV41">
            <v>1000</v>
          </cell>
          <cell r="BW41" t="str">
            <v>Ceiling (Medium)</v>
          </cell>
          <cell r="BY41">
            <v>3000</v>
          </cell>
          <cell r="BZ41" t="str">
            <v>Ceiling (Medium)</v>
          </cell>
          <cell r="CA41">
            <v>50000</v>
          </cell>
          <cell r="CB41" t="str">
            <v>0.005%</v>
          </cell>
        </row>
        <row r="42">
          <cell r="A42" t="str">
            <v>DICHLOROBENZIDINE, 3,3'-</v>
          </cell>
          <cell r="B42" t="str">
            <v>91-94-1</v>
          </cell>
          <cell r="C42">
            <v>42922</v>
          </cell>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E42">
            <v>1</v>
          </cell>
          <cell r="AF42">
            <v>9</v>
          </cell>
          <cell r="AG42">
            <v>1</v>
          </cell>
          <cell r="AH42">
            <v>9</v>
          </cell>
          <cell r="AK42">
            <v>0.9</v>
          </cell>
          <cell r="AL42">
            <v>0.9</v>
          </cell>
          <cell r="AO42">
            <v>0</v>
          </cell>
          <cell r="AU42">
            <v>0</v>
          </cell>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O42">
            <v>1.2583457886902842E-2</v>
          </cell>
          <cell r="BS42">
            <v>1000</v>
          </cell>
          <cell r="BT42" t="str">
            <v>Ceiling (High)</v>
          </cell>
          <cell r="BV42">
            <v>3000</v>
          </cell>
          <cell r="BW42" t="str">
            <v>Ceiling (High)</v>
          </cell>
          <cell r="BY42">
            <v>5000</v>
          </cell>
          <cell r="BZ42" t="str">
            <v>Ceiling (High)</v>
          </cell>
          <cell r="CA42">
            <v>50000</v>
          </cell>
          <cell r="CB42" t="str">
            <v>0.005%</v>
          </cell>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K43">
            <v>0.9</v>
          </cell>
          <cell r="AL43">
            <v>0.6</v>
          </cell>
          <cell r="AO43">
            <v>0</v>
          </cell>
          <cell r="AU43">
            <v>0</v>
          </cell>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O43">
            <v>0.24054703049880952</v>
          </cell>
          <cell r="BS43">
            <v>1000</v>
          </cell>
          <cell r="BT43" t="str">
            <v>Ceiling (High)</v>
          </cell>
          <cell r="BV43">
            <v>3000</v>
          </cell>
          <cell r="BW43" t="str">
            <v>Ceiling (High)</v>
          </cell>
          <cell r="BY43">
            <v>5000</v>
          </cell>
          <cell r="BZ43" t="str">
            <v>Ceiling (High)</v>
          </cell>
          <cell r="CA43">
            <v>50000</v>
          </cell>
          <cell r="CB43" t="str">
            <v>0.005%</v>
          </cell>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K44">
            <v>0.9</v>
          </cell>
          <cell r="AL44">
            <v>0.6</v>
          </cell>
          <cell r="AO44">
            <v>0</v>
          </cell>
          <cell r="AU44">
            <v>0</v>
          </cell>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O44">
            <v>0.51975658465836161</v>
          </cell>
          <cell r="BS44">
            <v>1000</v>
          </cell>
          <cell r="BT44" t="str">
            <v>Ceiling (High)</v>
          </cell>
          <cell r="BV44">
            <v>3000</v>
          </cell>
          <cell r="BW44" t="str">
            <v>Ceiling (High)</v>
          </cell>
          <cell r="BY44">
            <v>5000</v>
          </cell>
          <cell r="BZ44" t="str">
            <v>Ceiling (High)</v>
          </cell>
          <cell r="CA44">
            <v>50000</v>
          </cell>
          <cell r="CB44" t="str">
            <v>0.005%</v>
          </cell>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K45">
            <v>0.9</v>
          </cell>
          <cell r="AL45">
            <v>0.6</v>
          </cell>
          <cell r="AO45">
            <v>0</v>
          </cell>
          <cell r="AR45">
            <v>350</v>
          </cell>
          <cell r="AS45">
            <v>13</v>
          </cell>
          <cell r="AU45">
            <v>0</v>
          </cell>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O45">
            <v>0.6000673538641168</v>
          </cell>
          <cell r="BS45">
            <v>1000</v>
          </cell>
          <cell r="BT45" t="str">
            <v>Ceiling (High)</v>
          </cell>
          <cell r="BV45">
            <v>3000</v>
          </cell>
          <cell r="BW45" t="str">
            <v>Ceiling (High)</v>
          </cell>
          <cell r="BY45">
            <v>5000</v>
          </cell>
          <cell r="BZ45" t="str">
            <v>Ceiling (High)</v>
          </cell>
          <cell r="CA45">
            <v>50000</v>
          </cell>
          <cell r="CB45" t="str">
            <v>0.005%</v>
          </cell>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M46" t="str">
            <v>C</v>
          </cell>
          <cell r="N46">
            <v>1</v>
          </cell>
          <cell r="Q46">
            <v>1</v>
          </cell>
          <cell r="R46" t="str">
            <v>9e</v>
          </cell>
          <cell r="S46">
            <v>0.03</v>
          </cell>
          <cell r="T46" t="str">
            <v>9e</v>
          </cell>
          <cell r="U46">
            <v>1</v>
          </cell>
          <cell r="V46" t="str">
            <v>9e</v>
          </cell>
          <cell r="W46">
            <v>0.03</v>
          </cell>
          <cell r="X46" t="str">
            <v>9e</v>
          </cell>
          <cell r="Y46" t="str">
            <v>NC</v>
          </cell>
          <cell r="AA46" t="str">
            <v>NC</v>
          </cell>
          <cell r="AC46">
            <v>1</v>
          </cell>
          <cell r="AD46">
            <v>9</v>
          </cell>
          <cell r="AE46">
            <v>1</v>
          </cell>
          <cell r="AF46">
            <v>9</v>
          </cell>
          <cell r="AK46">
            <v>0.75</v>
          </cell>
          <cell r="AL46" t="str">
            <v>NC</v>
          </cell>
          <cell r="AO46">
            <v>0</v>
          </cell>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O46">
            <v>6.7142885292595178E-3</v>
          </cell>
          <cell r="BS46">
            <v>500</v>
          </cell>
          <cell r="BT46" t="str">
            <v>Ceiling (Medium)</v>
          </cell>
          <cell r="BV46">
            <v>1000</v>
          </cell>
          <cell r="BW46" t="str">
            <v>Ceiling (Medium)</v>
          </cell>
          <cell r="BY46">
            <v>3000</v>
          </cell>
          <cell r="BZ46" t="str">
            <v>Ceiling (Medium)</v>
          </cell>
          <cell r="CA46">
            <v>50000</v>
          </cell>
          <cell r="CB46" t="str">
            <v>0.005%</v>
          </cell>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K47">
            <v>1</v>
          </cell>
          <cell r="AL47">
            <v>1</v>
          </cell>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O47">
            <v>2.0211567669607537E-3</v>
          </cell>
          <cell r="BS47">
            <v>100</v>
          </cell>
          <cell r="BT47" t="str">
            <v>Ceiling (Low)</v>
          </cell>
          <cell r="BV47">
            <v>500</v>
          </cell>
          <cell r="BW47" t="str">
            <v>Ceiling (Low)</v>
          </cell>
          <cell r="BY47">
            <v>1000</v>
          </cell>
          <cell r="BZ47" t="str">
            <v>Ceiling (Low)</v>
          </cell>
          <cell r="CA47">
            <v>50000</v>
          </cell>
          <cell r="CB47" t="str">
            <v>0.005%</v>
          </cell>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M48" t="str">
            <v>C</v>
          </cell>
          <cell r="N48">
            <v>1</v>
          </cell>
          <cell r="P48">
            <v>1</v>
          </cell>
          <cell r="Q48">
            <v>1</v>
          </cell>
          <cell r="R48" t="str">
            <v>9e</v>
          </cell>
          <cell r="S48">
            <v>0.03</v>
          </cell>
          <cell r="T48" t="str">
            <v>9e</v>
          </cell>
          <cell r="U48">
            <v>1</v>
          </cell>
          <cell r="V48" t="str">
            <v>9e</v>
          </cell>
          <cell r="W48">
            <v>0.03</v>
          </cell>
          <cell r="X48" t="str">
            <v>9e</v>
          </cell>
          <cell r="Y48" t="str">
            <v>NC</v>
          </cell>
          <cell r="AA48" t="str">
            <v>NC</v>
          </cell>
          <cell r="AC48">
            <v>1</v>
          </cell>
          <cell r="AD48">
            <v>9</v>
          </cell>
          <cell r="AE48">
            <v>1</v>
          </cell>
          <cell r="AF48">
            <v>9</v>
          </cell>
          <cell r="AK48">
            <v>1</v>
          </cell>
          <cell r="AL48">
            <v>0.98</v>
          </cell>
          <cell r="AO48">
            <v>0</v>
          </cell>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O48">
            <v>4.3013026338213599E-3</v>
          </cell>
          <cell r="BS48">
            <v>500</v>
          </cell>
          <cell r="BT48" t="str">
            <v>Ceiling (Medium)</v>
          </cell>
          <cell r="BV48">
            <v>1000</v>
          </cell>
          <cell r="BW48" t="str">
            <v>Ceiling (Medium)</v>
          </cell>
          <cell r="BY48">
            <v>3000</v>
          </cell>
          <cell r="BZ48" t="str">
            <v>Ceiling (Medium)</v>
          </cell>
          <cell r="CA48">
            <v>50000</v>
          </cell>
          <cell r="CB48" t="str">
            <v>0.005%</v>
          </cell>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M49" t="str">
            <v>D</v>
          </cell>
          <cell r="N49">
            <v>1</v>
          </cell>
          <cell r="Q49">
            <v>1</v>
          </cell>
          <cell r="R49" t="str">
            <v>9e</v>
          </cell>
          <cell r="S49">
            <v>0.03</v>
          </cell>
          <cell r="T49" t="str">
            <v>9e</v>
          </cell>
          <cell r="U49">
            <v>1</v>
          </cell>
          <cell r="V49" t="str">
            <v>9e</v>
          </cell>
          <cell r="W49">
            <v>0.03</v>
          </cell>
          <cell r="X49" t="str">
            <v>9e</v>
          </cell>
          <cell r="Y49" t="str">
            <v>NC</v>
          </cell>
          <cell r="AA49" t="str">
            <v>NC</v>
          </cell>
          <cell r="AC49">
            <v>1</v>
          </cell>
          <cell r="AD49">
            <v>9</v>
          </cell>
          <cell r="AE49">
            <v>1</v>
          </cell>
          <cell r="AF49">
            <v>9</v>
          </cell>
          <cell r="AK49">
            <v>0.84</v>
          </cell>
          <cell r="AL49" t="str">
            <v>NC</v>
          </cell>
          <cell r="AO49">
            <v>0</v>
          </cell>
          <cell r="AU49">
            <v>0</v>
          </cell>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O49">
            <v>6.5826384164090132E-3</v>
          </cell>
          <cell r="BS49">
            <v>100</v>
          </cell>
          <cell r="BT49" t="str">
            <v>Ceiling (Low)</v>
          </cell>
          <cell r="BV49">
            <v>500</v>
          </cell>
          <cell r="BW49" t="str">
            <v>Ceiling (Low)</v>
          </cell>
          <cell r="BY49">
            <v>500</v>
          </cell>
          <cell r="BZ49" t="str">
            <v>High Volatility</v>
          </cell>
          <cell r="CA49">
            <v>50000</v>
          </cell>
          <cell r="CB49" t="str">
            <v>0.005%</v>
          </cell>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Q50">
            <v>1</v>
          </cell>
          <cell r="R50" t="str">
            <v>9e</v>
          </cell>
          <cell r="S50">
            <v>0.03</v>
          </cell>
          <cell r="T50" t="str">
            <v>9e</v>
          </cell>
          <cell r="U50">
            <v>1</v>
          </cell>
          <cell r="V50" t="str">
            <v>9e</v>
          </cell>
          <cell r="W50">
            <v>0.03</v>
          </cell>
          <cell r="X50" t="str">
            <v>9e</v>
          </cell>
          <cell r="Y50" t="str">
            <v>NC</v>
          </cell>
          <cell r="AA50" t="str">
            <v>NC</v>
          </cell>
          <cell r="AC50">
            <v>1</v>
          </cell>
          <cell r="AD50">
            <v>9</v>
          </cell>
          <cell r="AE50">
            <v>1</v>
          </cell>
          <cell r="AF50">
            <v>9</v>
          </cell>
          <cell r="AK50">
            <v>0.84</v>
          </cell>
          <cell r="AL50" t="str">
            <v>NC</v>
          </cell>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O50">
            <v>1.0869260563262276E-2</v>
          </cell>
          <cell r="BS50">
            <v>500</v>
          </cell>
          <cell r="BT50" t="str">
            <v>Ceiling (Medium)</v>
          </cell>
          <cell r="BV50">
            <v>1000</v>
          </cell>
          <cell r="BW50" t="str">
            <v>Ceiling (Medium)</v>
          </cell>
          <cell r="BY50">
            <v>3000</v>
          </cell>
          <cell r="BZ50" t="str">
            <v>Ceiling (Medium)</v>
          </cell>
          <cell r="CA50">
            <v>50000</v>
          </cell>
          <cell r="CB50" t="str">
            <v>0.005%</v>
          </cell>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J51" t="str">
            <v>M</v>
          </cell>
          <cell r="AK51">
            <v>1</v>
          </cell>
          <cell r="AL51">
            <v>1</v>
          </cell>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O51">
            <v>3.5399734108343484E-3</v>
          </cell>
          <cell r="BS51">
            <v>500</v>
          </cell>
          <cell r="BT51" t="str">
            <v>Ceiling (Medium)</v>
          </cell>
          <cell r="BV51">
            <v>1000</v>
          </cell>
          <cell r="BW51" t="str">
            <v>Ceiling (Medium)</v>
          </cell>
          <cell r="BY51">
            <v>3000</v>
          </cell>
          <cell r="BZ51" t="str">
            <v>Ceiling (Medium)</v>
          </cell>
          <cell r="CA51">
            <v>50000</v>
          </cell>
          <cell r="CB51" t="str">
            <v>0.005%</v>
          </cell>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Q52">
            <v>1</v>
          </cell>
          <cell r="R52" t="str">
            <v>9e</v>
          </cell>
          <cell r="S52">
            <v>0.3</v>
          </cell>
          <cell r="T52" t="str">
            <v>9b</v>
          </cell>
          <cell r="U52">
            <v>1</v>
          </cell>
          <cell r="V52" t="str">
            <v>9e</v>
          </cell>
          <cell r="W52">
            <v>0.3</v>
          </cell>
          <cell r="X52" t="str">
            <v>9b</v>
          </cell>
          <cell r="Y52" t="str">
            <v>NC</v>
          </cell>
          <cell r="AA52" t="str">
            <v>NC</v>
          </cell>
          <cell r="AC52">
            <v>1</v>
          </cell>
          <cell r="AD52">
            <v>9</v>
          </cell>
          <cell r="AE52">
            <v>1</v>
          </cell>
          <cell r="AF52">
            <v>9</v>
          </cell>
          <cell r="AK52">
            <v>1</v>
          </cell>
          <cell r="AL52" t="str">
            <v>NC</v>
          </cell>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O52">
            <v>2.026749152098967E-2</v>
          </cell>
          <cell r="BS52">
            <v>500</v>
          </cell>
          <cell r="BT52" t="str">
            <v>Ceiling (Medium)</v>
          </cell>
          <cell r="BV52">
            <v>1000</v>
          </cell>
          <cell r="BW52" t="str">
            <v>Ceiling (Medium)</v>
          </cell>
          <cell r="BY52">
            <v>3000</v>
          </cell>
          <cell r="BZ52" t="str">
            <v>Ceiling (Medium)</v>
          </cell>
          <cell r="CA52">
            <v>50000</v>
          </cell>
          <cell r="CB52" t="str">
            <v>0.005%</v>
          </cell>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K53">
            <v>1</v>
          </cell>
          <cell r="AL53">
            <v>1</v>
          </cell>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O53">
            <v>7.481695005111544E-3</v>
          </cell>
          <cell r="BS53">
            <v>100</v>
          </cell>
          <cell r="BT53" t="str">
            <v>Ceiling (Low)</v>
          </cell>
          <cell r="BV53">
            <v>500</v>
          </cell>
          <cell r="BW53" t="str">
            <v>Ceiling (Low)</v>
          </cell>
          <cell r="BY53">
            <v>1000</v>
          </cell>
          <cell r="BZ53" t="str">
            <v>Ceiling (Low)</v>
          </cell>
          <cell r="CA53">
            <v>50000</v>
          </cell>
          <cell r="CB53" t="str">
            <v>0.005%</v>
          </cell>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K54">
            <v>1</v>
          </cell>
          <cell r="AL54">
            <v>1</v>
          </cell>
          <cell r="AO54">
            <v>0</v>
          </cell>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O54">
            <v>8.4100775406923331E-3</v>
          </cell>
          <cell r="BS54">
            <v>500</v>
          </cell>
          <cell r="BT54" t="str">
            <v>Ceiling (Medium)</v>
          </cell>
          <cell r="BV54">
            <v>1000</v>
          </cell>
          <cell r="BW54" t="str">
            <v>Ceiling (Medium)</v>
          </cell>
          <cell r="BY54">
            <v>3000</v>
          </cell>
          <cell r="BZ54" t="str">
            <v>Ceiling (Medium)</v>
          </cell>
          <cell r="CA54">
            <v>50000</v>
          </cell>
          <cell r="CB54" t="str">
            <v>0.005%</v>
          </cell>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K55">
            <v>0.8</v>
          </cell>
          <cell r="AL55">
            <v>0.8</v>
          </cell>
          <cell r="AO55">
            <v>0</v>
          </cell>
          <cell r="AR55">
            <v>41</v>
          </cell>
          <cell r="AS55">
            <v>13</v>
          </cell>
          <cell r="AU55">
            <v>0</v>
          </cell>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O55">
            <v>4.2697259404803421E-2</v>
          </cell>
          <cell r="BS55">
            <v>1000</v>
          </cell>
          <cell r="BT55" t="str">
            <v>Ceiling (High)</v>
          </cell>
          <cell r="BV55">
            <v>3000</v>
          </cell>
          <cell r="BW55" t="str">
            <v>Ceiling (High)</v>
          </cell>
          <cell r="BY55">
            <v>5000</v>
          </cell>
          <cell r="BZ55" t="str">
            <v>Ceiling (High)</v>
          </cell>
          <cell r="CA55">
            <v>50000</v>
          </cell>
          <cell r="CB55" t="str">
            <v>0.005%</v>
          </cell>
        </row>
        <row r="56">
          <cell r="A56" t="str">
            <v>DIETHYL PHTHALATE</v>
          </cell>
          <cell r="B56" t="str">
            <v>84-66-2</v>
          </cell>
          <cell r="C56">
            <v>42923</v>
          </cell>
          <cell r="D56">
            <v>0.8</v>
          </cell>
          <cell r="E56">
            <v>1</v>
          </cell>
          <cell r="F56">
            <v>8</v>
          </cell>
          <cell r="G56">
            <v>2</v>
          </cell>
          <cell r="H56">
            <v>2.8</v>
          </cell>
          <cell r="I56" t="str">
            <v>7b</v>
          </cell>
          <cell r="J56">
            <v>28</v>
          </cell>
          <cell r="K56" t="str">
            <v>7b</v>
          </cell>
          <cell r="M56" t="str">
            <v>D</v>
          </cell>
          <cell r="N56">
            <v>1</v>
          </cell>
          <cell r="Q56">
            <v>1</v>
          </cell>
          <cell r="R56" t="str">
            <v>9e</v>
          </cell>
          <cell r="S56">
            <v>0.1</v>
          </cell>
          <cell r="T56" t="str">
            <v>9e</v>
          </cell>
          <cell r="U56">
            <v>1</v>
          </cell>
          <cell r="V56" t="str">
            <v>9e</v>
          </cell>
          <cell r="W56">
            <v>0.1</v>
          </cell>
          <cell r="X56" t="str">
            <v>9e</v>
          </cell>
          <cell r="Y56" t="str">
            <v>NC</v>
          </cell>
          <cell r="AA56" t="str">
            <v>NC</v>
          </cell>
          <cell r="AC56">
            <v>1</v>
          </cell>
          <cell r="AD56">
            <v>9</v>
          </cell>
          <cell r="AE56">
            <v>1</v>
          </cell>
          <cell r="AF56">
            <v>9</v>
          </cell>
          <cell r="AK56">
            <v>1</v>
          </cell>
          <cell r="AL56" t="str">
            <v>NC</v>
          </cell>
          <cell r="AO56">
            <v>0</v>
          </cell>
          <cell r="AU56">
            <v>0</v>
          </cell>
          <cell r="AW56">
            <v>0</v>
          </cell>
          <cell r="AX56">
            <v>0.66</v>
          </cell>
          <cell r="AY56">
            <v>4</v>
          </cell>
          <cell r="AZ56">
            <v>1080000</v>
          </cell>
          <cell r="BA56">
            <v>22</v>
          </cell>
          <cell r="BB56">
            <v>6.0999999999999998E-7</v>
          </cell>
          <cell r="BC56">
            <v>22</v>
          </cell>
          <cell r="BD56">
            <v>2.4963169094778196E-5</v>
          </cell>
          <cell r="BE56">
            <v>222</v>
          </cell>
          <cell r="BF56">
            <v>11</v>
          </cell>
          <cell r="BH56">
            <v>2.42</v>
          </cell>
          <cell r="BI56">
            <v>16</v>
          </cell>
          <cell r="BJ56">
            <v>82.2</v>
          </cell>
          <cell r="BK56" t="str">
            <v>17a</v>
          </cell>
          <cell r="BL56">
            <v>-40.5</v>
          </cell>
          <cell r="BM56">
            <v>17</v>
          </cell>
          <cell r="BO56">
            <v>3.5809643710263614E-3</v>
          </cell>
          <cell r="BS56">
            <v>1000</v>
          </cell>
          <cell r="BT56" t="str">
            <v>Ceiling (High)</v>
          </cell>
          <cell r="BV56">
            <v>3000</v>
          </cell>
          <cell r="BW56" t="str">
            <v>Ceiling (High)</v>
          </cell>
          <cell r="BY56">
            <v>5000</v>
          </cell>
          <cell r="BZ56" t="str">
            <v>Ceiling (High)</v>
          </cell>
          <cell r="CA56">
            <v>50000</v>
          </cell>
          <cell r="CB56" t="str">
            <v>0.005%</v>
          </cell>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M57" t="str">
            <v>D</v>
          </cell>
          <cell r="N57">
            <v>1</v>
          </cell>
          <cell r="Q57">
            <v>1</v>
          </cell>
          <cell r="R57" t="str">
            <v>9e</v>
          </cell>
          <cell r="S57">
            <v>0.1</v>
          </cell>
          <cell r="T57" t="str">
            <v>9e</v>
          </cell>
          <cell r="U57">
            <v>1</v>
          </cell>
          <cell r="V57" t="str">
            <v>9e</v>
          </cell>
          <cell r="W57">
            <v>0.1</v>
          </cell>
          <cell r="X57" t="str">
            <v>9e</v>
          </cell>
          <cell r="Y57" t="str">
            <v>NC</v>
          </cell>
          <cell r="AA57" t="str">
            <v>NC</v>
          </cell>
          <cell r="AC57">
            <v>1</v>
          </cell>
          <cell r="AD57">
            <v>9</v>
          </cell>
          <cell r="AE57">
            <v>1</v>
          </cell>
          <cell r="AF57">
            <v>9</v>
          </cell>
          <cell r="AK57">
            <v>1</v>
          </cell>
          <cell r="AL57" t="str">
            <v>NC</v>
          </cell>
          <cell r="AO57">
            <v>0</v>
          </cell>
          <cell r="AU57">
            <v>0</v>
          </cell>
          <cell r="AW57">
            <v>0</v>
          </cell>
          <cell r="AX57">
            <v>0.66</v>
          </cell>
          <cell r="AY57">
            <v>1.5</v>
          </cell>
          <cell r="AZ57">
            <v>4000000</v>
          </cell>
          <cell r="BA57">
            <v>22</v>
          </cell>
          <cell r="BB57">
            <v>1.97E-7</v>
          </cell>
          <cell r="BC57">
            <v>22</v>
          </cell>
          <cell r="BD57">
            <v>8.0618759207726302E-6</v>
          </cell>
          <cell r="BE57">
            <v>194</v>
          </cell>
          <cell r="BF57">
            <v>15</v>
          </cell>
          <cell r="BH57">
            <v>1.6</v>
          </cell>
          <cell r="BI57">
            <v>16</v>
          </cell>
          <cell r="BJ57">
            <v>3.0902964418001324</v>
          </cell>
          <cell r="BK57" t="str">
            <v>calc</v>
          </cell>
          <cell r="BO57">
            <v>1.477746706171992E-3</v>
          </cell>
          <cell r="BS57">
            <v>1000</v>
          </cell>
          <cell r="BT57" t="str">
            <v>Ceiling (High)</v>
          </cell>
          <cell r="BV57">
            <v>3000</v>
          </cell>
          <cell r="BW57" t="str">
            <v>Ceiling (High)</v>
          </cell>
          <cell r="BY57">
            <v>5000</v>
          </cell>
          <cell r="BZ57" t="str">
            <v>Ceiling (High)</v>
          </cell>
          <cell r="CA57">
            <v>50000</v>
          </cell>
          <cell r="CB57" t="str">
            <v>0.005%</v>
          </cell>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Q58">
            <v>1</v>
          </cell>
          <cell r="R58" t="str">
            <v>9e</v>
          </cell>
          <cell r="S58">
            <v>0.3</v>
          </cell>
          <cell r="T58" t="str">
            <v>9b</v>
          </cell>
          <cell r="U58">
            <v>1</v>
          </cell>
          <cell r="V58" t="str">
            <v>9e</v>
          </cell>
          <cell r="W58">
            <v>0.3</v>
          </cell>
          <cell r="X58" t="str">
            <v>9b</v>
          </cell>
          <cell r="Y58" t="str">
            <v>NC</v>
          </cell>
          <cell r="AA58" t="str">
            <v>NC</v>
          </cell>
          <cell r="AC58">
            <v>1</v>
          </cell>
          <cell r="AD58">
            <v>9</v>
          </cell>
          <cell r="AE58">
            <v>1</v>
          </cell>
          <cell r="AF58">
            <v>9</v>
          </cell>
          <cell r="AK58">
            <v>1</v>
          </cell>
          <cell r="AL58" t="str">
            <v>NC</v>
          </cell>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H58">
            <v>2.2999999999999998</v>
          </cell>
          <cell r="BI58">
            <v>16</v>
          </cell>
          <cell r="BJ58">
            <v>209</v>
          </cell>
          <cell r="BK58" t="str">
            <v>17b</v>
          </cell>
          <cell r="BL58">
            <v>24.5</v>
          </cell>
          <cell r="BM58">
            <v>17</v>
          </cell>
          <cell r="BO58">
            <v>1.0834278621501391E-2</v>
          </cell>
          <cell r="BS58">
            <v>1000</v>
          </cell>
          <cell r="BT58" t="str">
            <v>Ceiling (High)</v>
          </cell>
          <cell r="BV58">
            <v>3000</v>
          </cell>
          <cell r="BW58" t="str">
            <v>Ceiling (High)</v>
          </cell>
          <cell r="BY58">
            <v>5000</v>
          </cell>
          <cell r="BZ58" t="str">
            <v>Ceiling (High)</v>
          </cell>
          <cell r="CA58">
            <v>50000</v>
          </cell>
          <cell r="CB58" t="str">
            <v>0.005%</v>
          </cell>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Q59">
            <v>1</v>
          </cell>
          <cell r="R59" t="str">
            <v>9e</v>
          </cell>
          <cell r="S59">
            <v>0.3</v>
          </cell>
          <cell r="T59" t="str">
            <v>9b</v>
          </cell>
          <cell r="U59">
            <v>1</v>
          </cell>
          <cell r="V59" t="str">
            <v>9e</v>
          </cell>
          <cell r="W59">
            <v>0.3</v>
          </cell>
          <cell r="X59" t="str">
            <v>9b</v>
          </cell>
          <cell r="Y59" t="str">
            <v>NC</v>
          </cell>
          <cell r="AA59" t="str">
            <v>NC</v>
          </cell>
          <cell r="AC59">
            <v>1</v>
          </cell>
          <cell r="AD59">
            <v>9</v>
          </cell>
          <cell r="AE59">
            <v>1</v>
          </cell>
          <cell r="AF59">
            <v>9</v>
          </cell>
          <cell r="AK59">
            <v>1</v>
          </cell>
          <cell r="AL59" t="str">
            <v>NC</v>
          </cell>
          <cell r="AO59">
            <v>0</v>
          </cell>
          <cell r="AU59">
            <v>0</v>
          </cell>
          <cell r="AW59">
            <v>0</v>
          </cell>
          <cell r="AX59">
            <v>3.3</v>
          </cell>
          <cell r="AY59">
            <v>210</v>
          </cell>
          <cell r="AZ59">
            <v>2790000</v>
          </cell>
          <cell r="BA59">
            <v>22</v>
          </cell>
          <cell r="BB59">
            <v>8.6000000000000002E-8</v>
          </cell>
          <cell r="BC59">
            <v>22</v>
          </cell>
          <cell r="BD59">
            <v>3.5193976100834837E-6</v>
          </cell>
          <cell r="BE59">
            <v>184</v>
          </cell>
          <cell r="BF59">
            <v>11</v>
          </cell>
          <cell r="BH59">
            <v>1.67</v>
          </cell>
          <cell r="BI59">
            <v>17</v>
          </cell>
          <cell r="BJ59">
            <v>0.01</v>
          </cell>
          <cell r="BK59" t="str">
            <v>17b</v>
          </cell>
          <cell r="BL59">
            <v>115</v>
          </cell>
          <cell r="BM59">
            <v>17</v>
          </cell>
          <cell r="BO59">
            <v>1.8698208577366485E-3</v>
          </cell>
          <cell r="BS59">
            <v>1000</v>
          </cell>
          <cell r="BT59" t="str">
            <v>Ceiling (High)</v>
          </cell>
          <cell r="BV59">
            <v>3000</v>
          </cell>
          <cell r="BW59" t="str">
            <v>Ceiling (High)</v>
          </cell>
          <cell r="BY59">
            <v>5000</v>
          </cell>
          <cell r="BZ59" t="str">
            <v>Ceiling (High)</v>
          </cell>
          <cell r="CA59">
            <v>50000</v>
          </cell>
          <cell r="CB59" t="str">
            <v>0.005%</v>
          </cell>
        </row>
        <row r="60">
          <cell r="A60" t="str">
            <v>DINITROTOLUENE, 2,4-</v>
          </cell>
          <cell r="B60" t="str">
            <v>121-14-2</v>
          </cell>
          <cell r="C60">
            <v>42922</v>
          </cell>
          <cell r="D60">
            <v>0.02</v>
          </cell>
          <cell r="E60">
            <v>1</v>
          </cell>
          <cell r="F60">
            <v>2E-3</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K60">
            <v>0.9</v>
          </cell>
          <cell r="AL60">
            <v>0.9</v>
          </cell>
          <cell r="AO60">
            <v>0</v>
          </cell>
          <cell r="AU60">
            <v>0</v>
          </cell>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O60">
            <v>3.0732649292042956E-3</v>
          </cell>
          <cell r="BS60">
            <v>1000</v>
          </cell>
          <cell r="BT60" t="str">
            <v>Ceiling (High)</v>
          </cell>
          <cell r="BV60">
            <v>3000</v>
          </cell>
          <cell r="BW60" t="str">
            <v>Ceiling (High)</v>
          </cell>
          <cell r="BY60">
            <v>5000</v>
          </cell>
          <cell r="BZ60" t="str">
            <v>Ceiling (High)</v>
          </cell>
          <cell r="CA60">
            <v>50000</v>
          </cell>
          <cell r="CB60" t="str">
            <v>0.005%</v>
          </cell>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K61">
            <v>1</v>
          </cell>
          <cell r="AL61">
            <v>1</v>
          </cell>
          <cell r="AO61">
            <v>0.33</v>
          </cell>
          <cell r="AQ61">
            <v>9.1999999999999998E-2</v>
          </cell>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O61">
            <v>3.3806483620598174E-4</v>
          </cell>
          <cell r="BS61">
            <v>100</v>
          </cell>
          <cell r="BT61" t="str">
            <v>Ceiling (Low)</v>
          </cell>
          <cell r="BV61">
            <v>500</v>
          </cell>
          <cell r="BW61" t="str">
            <v>Ceiling (Low)</v>
          </cell>
          <cell r="BY61">
            <v>500</v>
          </cell>
          <cell r="BZ61" t="str">
            <v>High Volatility</v>
          </cell>
          <cell r="CA61">
            <v>50000</v>
          </cell>
          <cell r="CB61" t="str">
            <v>0.005%</v>
          </cell>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Q62">
            <v>1</v>
          </cell>
          <cell r="R62" t="str">
            <v>9e</v>
          </cell>
          <cell r="S62">
            <v>0.1</v>
          </cell>
          <cell r="T62" t="str">
            <v>9e</v>
          </cell>
          <cell r="U62">
            <v>1</v>
          </cell>
          <cell r="V62" t="str">
            <v>9e</v>
          </cell>
          <cell r="W62">
            <v>0.1</v>
          </cell>
          <cell r="X62" t="str">
            <v>9e</v>
          </cell>
          <cell r="Y62" t="str">
            <v>NC</v>
          </cell>
          <cell r="AA62" t="str">
            <v>NC</v>
          </cell>
          <cell r="AC62">
            <v>1</v>
          </cell>
          <cell r="AD62">
            <v>9</v>
          </cell>
          <cell r="AE62">
            <v>1</v>
          </cell>
          <cell r="AF62">
            <v>9</v>
          </cell>
          <cell r="AK62">
            <v>1</v>
          </cell>
          <cell r="AL62" t="str">
            <v>NC</v>
          </cell>
          <cell r="AO62">
            <v>0</v>
          </cell>
          <cell r="AU62">
            <v>0</v>
          </cell>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O62">
            <v>2.8093121663317761E-3</v>
          </cell>
          <cell r="BS62">
            <v>1000</v>
          </cell>
          <cell r="BT62" t="str">
            <v>Ceiling (High)</v>
          </cell>
          <cell r="BV62">
            <v>3000</v>
          </cell>
          <cell r="BW62" t="str">
            <v>Ceiling (High)</v>
          </cell>
          <cell r="BY62">
            <v>5000</v>
          </cell>
          <cell r="BZ62" t="str">
            <v>Ceiling (High)</v>
          </cell>
          <cell r="CA62">
            <v>50000</v>
          </cell>
          <cell r="CB62" t="str">
            <v>0.005%</v>
          </cell>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M63" t="str">
            <v>D</v>
          </cell>
          <cell r="N63">
            <v>1</v>
          </cell>
          <cell r="Q63">
            <v>1</v>
          </cell>
          <cell r="R63" t="str">
            <v>9e</v>
          </cell>
          <cell r="S63">
            <v>0.1</v>
          </cell>
          <cell r="T63" t="str">
            <v>9e</v>
          </cell>
          <cell r="U63">
            <v>1</v>
          </cell>
          <cell r="V63" t="str">
            <v>9e</v>
          </cell>
          <cell r="W63">
            <v>0.1</v>
          </cell>
          <cell r="X63" t="str">
            <v>9e</v>
          </cell>
          <cell r="Y63" t="str">
            <v>NC</v>
          </cell>
          <cell r="AA63" t="str">
            <v>NC</v>
          </cell>
          <cell r="AC63">
            <v>1</v>
          </cell>
          <cell r="AD63">
            <v>9</v>
          </cell>
          <cell r="AE63">
            <v>1</v>
          </cell>
          <cell r="AF63">
            <v>9</v>
          </cell>
          <cell r="AK63">
            <v>0.8</v>
          </cell>
          <cell r="AL63" t="str">
            <v>NC</v>
          </cell>
          <cell r="AO63">
            <v>0</v>
          </cell>
          <cell r="AR63">
            <v>41</v>
          </cell>
          <cell r="AS63">
            <v>13</v>
          </cell>
          <cell r="AU63">
            <v>0</v>
          </cell>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O63">
            <v>3.1506488329723976E-2</v>
          </cell>
          <cell r="BS63">
            <v>1000</v>
          </cell>
          <cell r="BT63" t="str">
            <v>Ceiling (High)</v>
          </cell>
          <cell r="BV63">
            <v>3000</v>
          </cell>
          <cell r="BW63" t="str">
            <v>Ceiling (High)</v>
          </cell>
          <cell r="BY63">
            <v>5000</v>
          </cell>
          <cell r="BZ63" t="str">
            <v>Ceiling (High)</v>
          </cell>
          <cell r="CA63">
            <v>50000</v>
          </cell>
          <cell r="CB63" t="str">
            <v>0.005%</v>
          </cell>
        </row>
        <row r="64">
          <cell r="A64" t="str">
            <v>ETHYLBENZENE</v>
          </cell>
          <cell r="B64" t="str">
            <v>100-41-4</v>
          </cell>
          <cell r="C64">
            <v>42923</v>
          </cell>
          <cell r="D64">
            <v>0.05</v>
          </cell>
          <cell r="E64" t="str">
            <v>6a</v>
          </cell>
          <cell r="F64">
            <v>0.05</v>
          </cell>
          <cell r="G64">
            <v>6</v>
          </cell>
          <cell r="H64">
            <v>1</v>
          </cell>
          <cell r="I64">
            <v>1</v>
          </cell>
          <cell r="J64">
            <v>9</v>
          </cell>
          <cell r="K64">
            <v>6</v>
          </cell>
          <cell r="Q64">
            <v>1</v>
          </cell>
          <cell r="R64" t="str">
            <v>9e</v>
          </cell>
          <cell r="S64">
            <v>0.03</v>
          </cell>
          <cell r="T64" t="str">
            <v>9e</v>
          </cell>
          <cell r="U64">
            <v>1</v>
          </cell>
          <cell r="V64" t="str">
            <v>9e</v>
          </cell>
          <cell r="W64">
            <v>0.03</v>
          </cell>
          <cell r="X64" t="str">
            <v>9e</v>
          </cell>
          <cell r="Y64" t="str">
            <v>NC</v>
          </cell>
          <cell r="AA64">
            <v>0.03</v>
          </cell>
          <cell r="AC64">
            <v>1</v>
          </cell>
          <cell r="AD64">
            <v>9</v>
          </cell>
          <cell r="AE64">
            <v>1</v>
          </cell>
          <cell r="AF64">
            <v>9</v>
          </cell>
          <cell r="AG64">
            <v>1</v>
          </cell>
          <cell r="AH64">
            <v>9</v>
          </cell>
          <cell r="AK64">
            <v>1</v>
          </cell>
          <cell r="AL64">
            <v>1</v>
          </cell>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O64">
            <v>4.8461851224018325E-2</v>
          </cell>
          <cell r="BS64">
            <v>500</v>
          </cell>
          <cell r="BT64" t="str">
            <v>Ceiling (Medium)</v>
          </cell>
          <cell r="BV64">
            <v>1000</v>
          </cell>
          <cell r="BW64" t="str">
            <v>Ceiling (Medium)</v>
          </cell>
          <cell r="BY64">
            <v>3000</v>
          </cell>
          <cell r="BZ64" t="str">
            <v>Ceiling (Medium)</v>
          </cell>
          <cell r="CA64">
            <v>50000</v>
          </cell>
          <cell r="CB64" t="str">
            <v>0.005%</v>
          </cell>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K65">
            <v>1</v>
          </cell>
          <cell r="AL65">
            <v>1</v>
          </cell>
          <cell r="AO65">
            <v>0</v>
          </cell>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O65">
            <v>2.7593068558175102E-3</v>
          </cell>
          <cell r="BS65">
            <v>500</v>
          </cell>
          <cell r="BT65" t="str">
            <v>Ceiling (Medium)</v>
          </cell>
          <cell r="BV65">
            <v>1000</v>
          </cell>
          <cell r="BW65" t="str">
            <v>Ceiling (Medium)</v>
          </cell>
          <cell r="BY65">
            <v>3000</v>
          </cell>
          <cell r="BZ65" t="str">
            <v>Ceiling (Medium)</v>
          </cell>
          <cell r="CA65">
            <v>50000</v>
          </cell>
          <cell r="CB65" t="str">
            <v>0.005%</v>
          </cell>
        </row>
        <row r="66">
          <cell r="A66" t="str">
            <v>FLUORANTHENE</v>
          </cell>
          <cell r="B66" t="str">
            <v>206-44-0</v>
          </cell>
          <cell r="C66">
            <v>42922</v>
          </cell>
          <cell r="D66">
            <v>0.04</v>
          </cell>
          <cell r="E66">
            <v>1</v>
          </cell>
          <cell r="F66">
            <v>0.1</v>
          </cell>
          <cell r="G66">
            <v>6</v>
          </cell>
          <cell r="H66">
            <v>0.05</v>
          </cell>
          <cell r="I66" t="str">
            <v>5d</v>
          </cell>
          <cell r="J66">
            <v>0.5</v>
          </cell>
          <cell r="K66" t="str">
            <v>5d</v>
          </cell>
          <cell r="M66" t="str">
            <v>D</v>
          </cell>
          <cell r="N66">
            <v>1</v>
          </cell>
          <cell r="Q66">
            <v>0.3</v>
          </cell>
          <cell r="R66" t="str">
            <v>9d</v>
          </cell>
          <cell r="S66">
            <v>0.1</v>
          </cell>
          <cell r="T66" t="str">
            <v>9d</v>
          </cell>
          <cell r="U66">
            <v>0.3</v>
          </cell>
          <cell r="V66" t="str">
            <v>9d</v>
          </cell>
          <cell r="W66">
            <v>0.1</v>
          </cell>
          <cell r="X66" t="str">
            <v>9d</v>
          </cell>
          <cell r="Y66" t="str">
            <v>NC</v>
          </cell>
          <cell r="AA66" t="str">
            <v>NC</v>
          </cell>
          <cell r="AC66">
            <v>1</v>
          </cell>
          <cell r="AD66">
            <v>9</v>
          </cell>
          <cell r="AE66">
            <v>1</v>
          </cell>
          <cell r="AF66">
            <v>9</v>
          </cell>
          <cell r="AI66">
            <v>10</v>
          </cell>
          <cell r="AK66">
            <v>0.92</v>
          </cell>
          <cell r="AL66" t="str">
            <v>NC</v>
          </cell>
          <cell r="AM66">
            <v>4</v>
          </cell>
          <cell r="AO66">
            <v>0</v>
          </cell>
          <cell r="AU66">
            <v>0</v>
          </cell>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O66">
            <v>0.2981261008172249</v>
          </cell>
          <cell r="BS66">
            <v>1000</v>
          </cell>
          <cell r="BT66" t="str">
            <v>Ceiling (High)</v>
          </cell>
          <cell r="BV66">
            <v>3000</v>
          </cell>
          <cell r="BW66" t="str">
            <v>Ceiling (High)</v>
          </cell>
          <cell r="BY66">
            <v>5000</v>
          </cell>
          <cell r="BZ66" t="str">
            <v>Ceiling (High)</v>
          </cell>
          <cell r="CA66">
            <v>50000</v>
          </cell>
          <cell r="CB66" t="str">
            <v>0.005%</v>
          </cell>
        </row>
        <row r="67">
          <cell r="A67" t="str">
            <v>FLUORENE</v>
          </cell>
          <cell r="B67" t="str">
            <v>86-73-7</v>
          </cell>
          <cell r="C67">
            <v>42923</v>
          </cell>
          <cell r="D67">
            <v>0.04</v>
          </cell>
          <cell r="E67">
            <v>1</v>
          </cell>
          <cell r="F67">
            <v>0.4</v>
          </cell>
          <cell r="G67">
            <v>2</v>
          </cell>
          <cell r="H67">
            <v>0.05</v>
          </cell>
          <cell r="I67" t="str">
            <v>5d</v>
          </cell>
          <cell r="J67">
            <v>0.5</v>
          </cell>
          <cell r="K67" t="str">
            <v>5d</v>
          </cell>
          <cell r="Q67">
            <v>0.3</v>
          </cell>
          <cell r="R67" t="str">
            <v>9d</v>
          </cell>
          <cell r="S67">
            <v>0.1</v>
          </cell>
          <cell r="T67" t="str">
            <v>9d</v>
          </cell>
          <cell r="U67">
            <v>0.3</v>
          </cell>
          <cell r="V67" t="str">
            <v>9e</v>
          </cell>
          <cell r="W67">
            <v>0.1</v>
          </cell>
          <cell r="X67" t="str">
            <v>9d</v>
          </cell>
          <cell r="Y67" t="str">
            <v>NC</v>
          </cell>
          <cell r="AA67" t="str">
            <v>NC</v>
          </cell>
          <cell r="AC67">
            <v>1</v>
          </cell>
          <cell r="AD67">
            <v>9</v>
          </cell>
          <cell r="AE67">
            <v>1</v>
          </cell>
          <cell r="AF67">
            <v>9</v>
          </cell>
          <cell r="AI67">
            <v>2</v>
          </cell>
          <cell r="AK67">
            <v>0.92</v>
          </cell>
          <cell r="AL67" t="str">
            <v>NC</v>
          </cell>
          <cell r="AM67">
            <v>1</v>
          </cell>
          <cell r="AO67">
            <v>0</v>
          </cell>
          <cell r="AU67">
            <v>0</v>
          </cell>
          <cell r="AW67">
            <v>0</v>
          </cell>
          <cell r="AX67">
            <v>0.66</v>
          </cell>
          <cell r="AY67">
            <v>1</v>
          </cell>
          <cell r="AZ67">
            <v>1890</v>
          </cell>
          <cell r="BA67">
            <v>22</v>
          </cell>
          <cell r="BB67">
            <v>9.6199999999999994E-5</v>
          </cell>
          <cell r="BC67">
            <v>22</v>
          </cell>
          <cell r="BD67">
            <v>3.9368145359305945E-3</v>
          </cell>
          <cell r="BE67">
            <v>166</v>
          </cell>
          <cell r="BF67">
            <v>13</v>
          </cell>
          <cell r="BH67">
            <v>4.18</v>
          </cell>
          <cell r="BI67">
            <v>17</v>
          </cell>
          <cell r="BJ67">
            <v>7710</v>
          </cell>
          <cell r="BK67" t="str">
            <v>17a</v>
          </cell>
          <cell r="BL67">
            <v>114.8</v>
          </cell>
          <cell r="BM67">
            <v>17</v>
          </cell>
          <cell r="BO67">
            <v>0.10695473105661606</v>
          </cell>
          <cell r="BS67">
            <v>1000</v>
          </cell>
          <cell r="BT67" t="str">
            <v>Ceiling (High)</v>
          </cell>
          <cell r="BV67">
            <v>3000</v>
          </cell>
          <cell r="BW67" t="str">
            <v>Ceiling (High)</v>
          </cell>
          <cell r="BY67">
            <v>5000</v>
          </cell>
          <cell r="BZ67" t="str">
            <v>Ceiling (High)</v>
          </cell>
          <cell r="CA67">
            <v>50000</v>
          </cell>
          <cell r="CB67" t="str">
            <v>0.005%</v>
          </cell>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K68">
            <v>0.66</v>
          </cell>
          <cell r="AL68">
            <v>0.66</v>
          </cell>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O68">
            <v>0.13539418114050744</v>
          </cell>
          <cell r="BS68">
            <v>1000</v>
          </cell>
          <cell r="BT68" t="str">
            <v>Ceiling (High)</v>
          </cell>
          <cell r="BV68">
            <v>3000</v>
          </cell>
          <cell r="BW68" t="str">
            <v>Ceiling (High)</v>
          </cell>
          <cell r="BY68">
            <v>5000</v>
          </cell>
          <cell r="BZ68" t="str">
            <v>Ceiling (High)</v>
          </cell>
          <cell r="CA68">
            <v>50000</v>
          </cell>
          <cell r="CB68" t="str">
            <v>0.005%</v>
          </cell>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K69">
            <v>0.66</v>
          </cell>
          <cell r="AL69">
            <v>0.66</v>
          </cell>
          <cell r="AO69">
            <v>0</v>
          </cell>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O69">
            <v>2.0342297432117306E-2</v>
          </cell>
          <cell r="BS69">
            <v>1000</v>
          </cell>
          <cell r="BT69" t="str">
            <v>Ceiling (High)</v>
          </cell>
          <cell r="BV69">
            <v>3000</v>
          </cell>
          <cell r="BW69" t="str">
            <v>Ceiling (High)</v>
          </cell>
          <cell r="BY69">
            <v>5000</v>
          </cell>
          <cell r="BZ69" t="str">
            <v>Ceiling (High)</v>
          </cell>
          <cell r="CA69">
            <v>50000</v>
          </cell>
          <cell r="CB69" t="str">
            <v>0.005%</v>
          </cell>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K70">
            <v>0.8</v>
          </cell>
          <cell r="AL70">
            <v>0.8</v>
          </cell>
          <cell r="AO70">
            <v>0</v>
          </cell>
          <cell r="AR70">
            <v>3000</v>
          </cell>
          <cell r="AS70">
            <v>24</v>
          </cell>
          <cell r="AU70">
            <v>0</v>
          </cell>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O70">
            <v>0.24310841956013071</v>
          </cell>
          <cell r="BS70">
            <v>1000</v>
          </cell>
          <cell r="BT70" t="str">
            <v>Ceiling (High)</v>
          </cell>
          <cell r="BV70">
            <v>3000</v>
          </cell>
          <cell r="BW70" t="str">
            <v>Ceiling (High)</v>
          </cell>
          <cell r="BY70">
            <v>5000</v>
          </cell>
          <cell r="BZ70" t="str">
            <v>Ceiling (High)</v>
          </cell>
          <cell r="CA70">
            <v>50000</v>
          </cell>
          <cell r="CB70" t="str">
            <v>0.005%</v>
          </cell>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K71">
            <v>1</v>
          </cell>
          <cell r="AL71">
            <v>1</v>
          </cell>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O71">
            <v>7.8198784038949712E-2</v>
          </cell>
          <cell r="BS71">
            <v>500</v>
          </cell>
          <cell r="BT71" t="str">
            <v>Ceiling (Medium)</v>
          </cell>
          <cell r="BV71">
            <v>1000</v>
          </cell>
          <cell r="BW71" t="str">
            <v>Ceiling (Medium)</v>
          </cell>
          <cell r="BY71">
            <v>3000</v>
          </cell>
          <cell r="BZ71" t="str">
            <v>Ceiling (Medium)</v>
          </cell>
          <cell r="CA71">
            <v>50000</v>
          </cell>
          <cell r="CB71" t="str">
            <v>0.005%</v>
          </cell>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K72">
            <v>1</v>
          </cell>
          <cell r="AL72">
            <v>1</v>
          </cell>
          <cell r="AO72">
            <v>0</v>
          </cell>
          <cell r="AR72">
            <v>12000</v>
          </cell>
          <cell r="AS72">
            <v>13</v>
          </cell>
          <cell r="AU72">
            <v>0</v>
          </cell>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O72">
            <v>1.0607181496353157E-2</v>
          </cell>
          <cell r="BS72">
            <v>1000</v>
          </cell>
          <cell r="BT72" t="str">
            <v>Ceiling (High)</v>
          </cell>
          <cell r="BV72">
            <v>3000</v>
          </cell>
          <cell r="BW72" t="str">
            <v>Ceiling (High)</v>
          </cell>
          <cell r="BY72">
            <v>5000</v>
          </cell>
          <cell r="BZ72" t="str">
            <v>Ceiling (High)</v>
          </cell>
          <cell r="CA72">
            <v>50000</v>
          </cell>
          <cell r="CB72" t="str">
            <v>0.005%</v>
          </cell>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K73">
            <v>1</v>
          </cell>
          <cell r="AL73">
            <v>1</v>
          </cell>
          <cell r="AO73">
            <v>0</v>
          </cell>
          <cell r="AR73">
            <v>10</v>
          </cell>
          <cell r="AS73">
            <v>24</v>
          </cell>
          <cell r="AU73">
            <v>0</v>
          </cell>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O73">
            <v>4.0290253508329509E-2</v>
          </cell>
          <cell r="BS73">
            <v>1000</v>
          </cell>
          <cell r="BT73" t="str">
            <v>Ceiling (High)</v>
          </cell>
          <cell r="BV73">
            <v>3000</v>
          </cell>
          <cell r="BW73" t="str">
            <v>Ceiling (High)</v>
          </cell>
          <cell r="BY73">
            <v>5000</v>
          </cell>
          <cell r="BZ73" t="str">
            <v>Ceiling (High)</v>
          </cell>
          <cell r="CA73">
            <v>50000</v>
          </cell>
          <cell r="CB73" t="str">
            <v>0.005%</v>
          </cell>
        </row>
        <row r="74">
          <cell r="A74" t="str">
            <v>HMX</v>
          </cell>
          <cell r="B74" t="str">
            <v>2691-41-0</v>
          </cell>
          <cell r="C74">
            <v>42922</v>
          </cell>
          <cell r="D74">
            <v>0.05</v>
          </cell>
          <cell r="E74">
            <v>1</v>
          </cell>
          <cell r="F74">
            <v>0.05</v>
          </cell>
          <cell r="G74" t="str">
            <v>1d</v>
          </cell>
          <cell r="H74">
            <v>0.18</v>
          </cell>
          <cell r="I74" t="str">
            <v>7b</v>
          </cell>
          <cell r="J74">
            <v>0.18</v>
          </cell>
          <cell r="K74" t="str">
            <v>7c</v>
          </cell>
          <cell r="M74" t="str">
            <v>D</v>
          </cell>
          <cell r="N74">
            <v>1</v>
          </cell>
          <cell r="Q74">
            <v>1</v>
          </cell>
          <cell r="R74">
            <v>9</v>
          </cell>
          <cell r="S74">
            <v>0.03</v>
          </cell>
          <cell r="T74">
            <v>9</v>
          </cell>
          <cell r="U74">
            <v>1</v>
          </cell>
          <cell r="V74">
            <v>9</v>
          </cell>
          <cell r="W74">
            <v>0.03</v>
          </cell>
          <cell r="X74">
            <v>9</v>
          </cell>
          <cell r="Y74" t="str">
            <v>NC</v>
          </cell>
          <cell r="AA74" t="str">
            <v>NC</v>
          </cell>
          <cell r="AC74">
            <v>1</v>
          </cell>
          <cell r="AD74">
            <v>9</v>
          </cell>
          <cell r="AE74">
            <v>1</v>
          </cell>
          <cell r="AF74">
            <v>9</v>
          </cell>
          <cell r="AK74">
            <v>0.3</v>
          </cell>
          <cell r="AL74" t="str">
            <v>NC</v>
          </cell>
          <cell r="AO74">
            <v>0</v>
          </cell>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O74">
            <v>4.4348608726596469E-5</v>
          </cell>
          <cell r="BS74">
            <v>1000</v>
          </cell>
          <cell r="BT74" t="str">
            <v>Ceiling (High)</v>
          </cell>
          <cell r="BV74">
            <v>3000</v>
          </cell>
          <cell r="BW74" t="str">
            <v>Ceiling (High)</v>
          </cell>
          <cell r="BY74">
            <v>5000</v>
          </cell>
          <cell r="BZ74" t="str">
            <v>Ceiling (High)</v>
          </cell>
          <cell r="CA74">
            <v>50000</v>
          </cell>
          <cell r="CB74" t="str">
            <v>0.005%</v>
          </cell>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O75">
            <v>0</v>
          </cell>
          <cell r="AU75">
            <v>0</v>
          </cell>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O75">
            <v>1.1923396878859682</v>
          </cell>
          <cell r="BS75">
            <v>1000</v>
          </cell>
          <cell r="BT75" t="str">
            <v>Ceiling (High)</v>
          </cell>
          <cell r="BV75">
            <v>3000</v>
          </cell>
          <cell r="BW75" t="str">
            <v>Ceiling (High)</v>
          </cell>
          <cell r="BY75">
            <v>5000</v>
          </cell>
          <cell r="BZ75" t="str">
            <v>Ceiling (High)</v>
          </cell>
          <cell r="CA75">
            <v>50000</v>
          </cell>
          <cell r="CB75" t="str">
            <v>0.005%</v>
          </cell>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M76" t="str">
            <v>B2</v>
          </cell>
          <cell r="N76">
            <v>1</v>
          </cell>
          <cell r="Q76">
            <v>0.5</v>
          </cell>
          <cell r="R76" t="str">
            <v>9h</v>
          </cell>
          <cell r="S76">
            <v>6.0000000000000001E-3</v>
          </cell>
          <cell r="T76">
            <v>9</v>
          </cell>
          <cell r="U76">
            <v>0.5</v>
          </cell>
          <cell r="V76" t="str">
            <v>9h</v>
          </cell>
          <cell r="W76">
            <v>6.0000000000000001E-3</v>
          </cell>
          <cell r="X76">
            <v>9</v>
          </cell>
          <cell r="Y76" t="str">
            <v>NC</v>
          </cell>
          <cell r="AA76" t="str">
            <v>NC</v>
          </cell>
          <cell r="AC76">
            <v>1</v>
          </cell>
          <cell r="AD76">
            <v>9</v>
          </cell>
          <cell r="AE76">
            <v>1</v>
          </cell>
          <cell r="AF76">
            <v>9</v>
          </cell>
          <cell r="AI76">
            <v>600</v>
          </cell>
          <cell r="AK76">
            <v>0.5</v>
          </cell>
          <cell r="AL76" t="str">
            <v>NC</v>
          </cell>
          <cell r="AM76">
            <v>200</v>
          </cell>
          <cell r="AN76">
            <v>8.8000000000000007</v>
          </cell>
          <cell r="AO76">
            <v>0</v>
          </cell>
          <cell r="AU76">
            <v>0</v>
          </cell>
          <cell r="AW76">
            <v>0</v>
          </cell>
          <cell r="AX76">
            <v>8.4</v>
          </cell>
          <cell r="AY76">
            <v>1</v>
          </cell>
          <cell r="AZ76">
            <v>0</v>
          </cell>
          <cell r="BD76">
            <v>0</v>
          </cell>
          <cell r="BE76">
            <v>207</v>
          </cell>
          <cell r="BF76">
            <v>11</v>
          </cell>
          <cell r="BH76">
            <v>0.73</v>
          </cell>
          <cell r="BJ76">
            <v>0</v>
          </cell>
          <cell r="BO76">
            <v>1E-4</v>
          </cell>
          <cell r="BP76">
            <v>0.15</v>
          </cell>
          <cell r="BS76">
            <v>1000</v>
          </cell>
          <cell r="BT76" t="str">
            <v>Ceiling (High)</v>
          </cell>
          <cell r="BV76">
            <v>3000</v>
          </cell>
          <cell r="BW76" t="str">
            <v>Ceiling (High)</v>
          </cell>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M77" t="str">
            <v>D</v>
          </cell>
          <cell r="N77">
            <v>1</v>
          </cell>
          <cell r="Q77">
            <v>0.5</v>
          </cell>
          <cell r="R77" t="str">
            <v>9e</v>
          </cell>
          <cell r="S77">
            <v>0.1</v>
          </cell>
          <cell r="T77" t="str">
            <v>9e</v>
          </cell>
          <cell r="U77">
            <v>0.5</v>
          </cell>
          <cell r="V77" t="str">
            <v>9e</v>
          </cell>
          <cell r="W77">
            <v>0.1</v>
          </cell>
          <cell r="X77" t="str">
            <v>9e</v>
          </cell>
          <cell r="Y77" t="str">
            <v>NC</v>
          </cell>
          <cell r="AA77" t="str">
            <v>NC</v>
          </cell>
          <cell r="AC77">
            <v>1</v>
          </cell>
          <cell r="AD77">
            <v>9</v>
          </cell>
          <cell r="AE77">
            <v>1</v>
          </cell>
          <cell r="AF77">
            <v>9</v>
          </cell>
          <cell r="AI77">
            <v>1</v>
          </cell>
          <cell r="AK77">
            <v>0.95</v>
          </cell>
          <cell r="AL77" t="str">
            <v>NC</v>
          </cell>
          <cell r="AM77">
            <v>0.3</v>
          </cell>
          <cell r="AN77">
            <v>0.95</v>
          </cell>
          <cell r="AO77">
            <v>0</v>
          </cell>
          <cell r="AU77">
            <v>0</v>
          </cell>
          <cell r="AW77">
            <v>0</v>
          </cell>
          <cell r="AX77">
            <v>0.1</v>
          </cell>
          <cell r="AY77">
            <v>0.2</v>
          </cell>
          <cell r="AZ77">
            <v>60</v>
          </cell>
          <cell r="BA77">
            <v>22</v>
          </cell>
          <cell r="BD77">
            <v>0</v>
          </cell>
          <cell r="BE77">
            <v>201</v>
          </cell>
          <cell r="BF77">
            <v>13</v>
          </cell>
          <cell r="BG77">
            <v>1.1999999999999999E-3</v>
          </cell>
          <cell r="BH77">
            <v>0.62</v>
          </cell>
          <cell r="BJ77">
            <v>0</v>
          </cell>
          <cell r="BO77">
            <v>1E-3</v>
          </cell>
          <cell r="BS77">
            <v>1000</v>
          </cell>
          <cell r="BT77" t="str">
            <v>Ceiling (High)</v>
          </cell>
          <cell r="BV77">
            <v>3000</v>
          </cell>
          <cell r="BW77" t="str">
            <v>Ceiling (High)</v>
          </cell>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M78" t="str">
            <v>D</v>
          </cell>
          <cell r="N78">
            <v>1</v>
          </cell>
          <cell r="Q78">
            <v>1</v>
          </cell>
          <cell r="R78" t="str">
            <v>9e</v>
          </cell>
          <cell r="S78">
            <v>0.1</v>
          </cell>
          <cell r="T78" t="str">
            <v>9e</v>
          </cell>
          <cell r="U78">
            <v>1</v>
          </cell>
          <cell r="V78" t="str">
            <v>9e</v>
          </cell>
          <cell r="W78">
            <v>0.1</v>
          </cell>
          <cell r="X78" t="str">
            <v>9e</v>
          </cell>
          <cell r="Y78" t="str">
            <v>NC</v>
          </cell>
          <cell r="AA78" t="str">
            <v>NC</v>
          </cell>
          <cell r="AC78">
            <v>1</v>
          </cell>
          <cell r="AD78">
            <v>9</v>
          </cell>
          <cell r="AE78">
            <v>1</v>
          </cell>
          <cell r="AF78">
            <v>9</v>
          </cell>
          <cell r="AK78">
            <v>1</v>
          </cell>
          <cell r="AL78" t="str">
            <v>NC</v>
          </cell>
          <cell r="AO78">
            <v>0</v>
          </cell>
          <cell r="AR78">
            <v>4700</v>
          </cell>
          <cell r="AS78">
            <v>13</v>
          </cell>
          <cell r="AU78">
            <v>0</v>
          </cell>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O78">
            <v>4.1228734072288685E-2</v>
          </cell>
          <cell r="BS78">
            <v>1000</v>
          </cell>
          <cell r="BT78" t="str">
            <v>Ceiling (High)</v>
          </cell>
          <cell r="BV78">
            <v>3000</v>
          </cell>
          <cell r="BW78" t="str">
            <v>Ceiling (High)</v>
          </cell>
          <cell r="BY78">
            <v>5000</v>
          </cell>
          <cell r="BZ78" t="str">
            <v>Ceiling (High)</v>
          </cell>
          <cell r="CA78">
            <v>50000</v>
          </cell>
          <cell r="CB78" t="str">
            <v>0.005%</v>
          </cell>
        </row>
        <row r="79">
          <cell r="A79" t="str">
            <v>METHYL ETHYL KETONE</v>
          </cell>
          <cell r="B79" t="str">
            <v>78-93-3</v>
          </cell>
          <cell r="C79">
            <v>42922</v>
          </cell>
          <cell r="D79">
            <v>0.6</v>
          </cell>
          <cell r="E79">
            <v>1</v>
          </cell>
          <cell r="F79">
            <v>0.6</v>
          </cell>
          <cell r="G79" t="str">
            <v>1d</v>
          </cell>
          <cell r="H79">
            <v>5</v>
          </cell>
          <cell r="I79">
            <v>1</v>
          </cell>
          <cell r="J79">
            <v>5</v>
          </cell>
          <cell r="K79" t="str">
            <v>1j</v>
          </cell>
          <cell r="M79" t="str">
            <v>D</v>
          </cell>
          <cell r="N79">
            <v>1</v>
          </cell>
          <cell r="Q79">
            <v>1</v>
          </cell>
          <cell r="R79" t="str">
            <v>9e</v>
          </cell>
          <cell r="S79">
            <v>0.03</v>
          </cell>
          <cell r="T79" t="str">
            <v>9e</v>
          </cell>
          <cell r="U79">
            <v>1</v>
          </cell>
          <cell r="V79" t="str">
            <v>9e</v>
          </cell>
          <cell r="W79">
            <v>0.03</v>
          </cell>
          <cell r="X79" t="str">
            <v>9e</v>
          </cell>
          <cell r="Y79" t="str">
            <v>NC</v>
          </cell>
          <cell r="AA79" t="str">
            <v>NC</v>
          </cell>
          <cell r="AC79">
            <v>1</v>
          </cell>
          <cell r="AD79">
            <v>9</v>
          </cell>
          <cell r="AE79">
            <v>1</v>
          </cell>
          <cell r="AF79">
            <v>9</v>
          </cell>
          <cell r="AK79">
            <v>1</v>
          </cell>
          <cell r="AL79" t="str">
            <v>NC</v>
          </cell>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O79">
            <v>9.7319529359227738E-4</v>
          </cell>
          <cell r="BS79">
            <v>500</v>
          </cell>
          <cell r="BT79" t="str">
            <v>Ceiling (Medium)</v>
          </cell>
          <cell r="BV79">
            <v>1000</v>
          </cell>
          <cell r="BW79" t="str">
            <v>Ceiling (Medium)</v>
          </cell>
          <cell r="BY79">
            <v>3000</v>
          </cell>
          <cell r="BZ79" t="str">
            <v>Ceiling (Medium)</v>
          </cell>
          <cell r="CA79">
            <v>50000</v>
          </cell>
          <cell r="CB79" t="str">
            <v>0.005%</v>
          </cell>
        </row>
        <row r="80">
          <cell r="A80" t="str">
            <v>METHYL ISOBUTYL KETONE</v>
          </cell>
          <cell r="B80" t="str">
            <v>108-10-1</v>
          </cell>
          <cell r="C80">
            <v>42923</v>
          </cell>
          <cell r="D80">
            <v>0.08</v>
          </cell>
          <cell r="E80">
            <v>2</v>
          </cell>
          <cell r="F80">
            <v>0.8</v>
          </cell>
          <cell r="G80">
            <v>2</v>
          </cell>
          <cell r="H80">
            <v>3</v>
          </cell>
          <cell r="I80">
            <v>1</v>
          </cell>
          <cell r="J80">
            <v>3</v>
          </cell>
          <cell r="K80" t="str">
            <v>7c</v>
          </cell>
          <cell r="Q80">
            <v>1</v>
          </cell>
          <cell r="R80" t="str">
            <v>9e</v>
          </cell>
          <cell r="S80">
            <v>0.03</v>
          </cell>
          <cell r="T80" t="str">
            <v>9e</v>
          </cell>
          <cell r="U80">
            <v>1</v>
          </cell>
          <cell r="V80" t="str">
            <v>9e</v>
          </cell>
          <cell r="W80">
            <v>0.03</v>
          </cell>
          <cell r="X80" t="str">
            <v>9e</v>
          </cell>
          <cell r="Y80" t="str">
            <v>NC</v>
          </cell>
          <cell r="AA80" t="str">
            <v>NC</v>
          </cell>
          <cell r="AC80">
            <v>1</v>
          </cell>
          <cell r="AD80">
            <v>9</v>
          </cell>
          <cell r="AE80">
            <v>1</v>
          </cell>
          <cell r="AF80">
            <v>9</v>
          </cell>
          <cell r="AK80">
            <v>1</v>
          </cell>
          <cell r="AL80" t="str">
            <v>NC</v>
          </cell>
          <cell r="AO80">
            <v>2.2000000000000002</v>
          </cell>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O80">
            <v>3.1959501748147611E-3</v>
          </cell>
          <cell r="BS80">
            <v>500</v>
          </cell>
          <cell r="BT80" t="str">
            <v>Ceiling (Medium)</v>
          </cell>
          <cell r="BV80">
            <v>1000</v>
          </cell>
          <cell r="BW80" t="str">
            <v>Ceiling (Medium)</v>
          </cell>
          <cell r="BY80">
            <v>3000</v>
          </cell>
          <cell r="BZ80" t="str">
            <v>Ceiling (Medium)</v>
          </cell>
          <cell r="CA80">
            <v>50000</v>
          </cell>
          <cell r="CB80" t="str">
            <v>0.005%</v>
          </cell>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M81" t="str">
            <v>C</v>
          </cell>
          <cell r="N81">
            <v>1</v>
          </cell>
          <cell r="Q81">
            <v>1</v>
          </cell>
          <cell r="R81" t="str">
            <v>9e</v>
          </cell>
          <cell r="S81">
            <v>0.1</v>
          </cell>
          <cell r="T81" t="str">
            <v>9e</v>
          </cell>
          <cell r="U81">
            <v>1</v>
          </cell>
          <cell r="V81" t="str">
            <v>9e</v>
          </cell>
          <cell r="W81">
            <v>0.1</v>
          </cell>
          <cell r="X81" t="str">
            <v>9e</v>
          </cell>
          <cell r="Y81" t="str">
            <v>NC</v>
          </cell>
          <cell r="AA81" t="str">
            <v>NC</v>
          </cell>
          <cell r="AC81">
            <v>1</v>
          </cell>
          <cell r="AD81">
            <v>9</v>
          </cell>
          <cell r="AE81">
            <v>1</v>
          </cell>
          <cell r="AF81">
            <v>9</v>
          </cell>
          <cell r="AK81">
            <v>0.95</v>
          </cell>
          <cell r="AL81" t="str">
            <v>NC</v>
          </cell>
          <cell r="AO81">
            <v>0</v>
          </cell>
          <cell r="AU81">
            <v>0</v>
          </cell>
          <cell r="AW81">
            <v>0</v>
          </cell>
          <cell r="AX81">
            <v>0</v>
          </cell>
          <cell r="AY81">
            <v>0</v>
          </cell>
          <cell r="AZ81">
            <v>0</v>
          </cell>
          <cell r="BD81">
            <v>0</v>
          </cell>
          <cell r="BE81">
            <v>231</v>
          </cell>
          <cell r="BF81">
            <v>15</v>
          </cell>
          <cell r="BJ81">
            <v>0</v>
          </cell>
          <cell r="BO81">
            <v>1E-3</v>
          </cell>
          <cell r="BS81">
            <v>1000</v>
          </cell>
          <cell r="BT81" t="str">
            <v>Ceiling (High)</v>
          </cell>
          <cell r="BV81">
            <v>3000</v>
          </cell>
          <cell r="BW81" t="str">
            <v>Ceiling (High)</v>
          </cell>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M82" t="str">
            <v>C</v>
          </cell>
          <cell r="Q82">
            <v>1</v>
          </cell>
          <cell r="R82" t="str">
            <v>9e</v>
          </cell>
          <cell r="S82">
            <v>0.03</v>
          </cell>
          <cell r="T82" t="str">
            <v>9e</v>
          </cell>
          <cell r="U82">
            <v>1</v>
          </cell>
          <cell r="V82" t="str">
            <v>9e</v>
          </cell>
          <cell r="W82">
            <v>0.03</v>
          </cell>
          <cell r="X82" t="str">
            <v>9e</v>
          </cell>
          <cell r="Y82" t="str">
            <v>NC</v>
          </cell>
          <cell r="AA82" t="str">
            <v>NC</v>
          </cell>
          <cell r="AC82">
            <v>1</v>
          </cell>
          <cell r="AD82">
            <v>9</v>
          </cell>
          <cell r="AE82">
            <v>1</v>
          </cell>
          <cell r="AF82">
            <v>9</v>
          </cell>
          <cell r="AK82">
            <v>1</v>
          </cell>
          <cell r="AL82" t="str">
            <v>NC</v>
          </cell>
          <cell r="AO82">
            <v>39</v>
          </cell>
          <cell r="AU82">
            <v>0</v>
          </cell>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O82">
            <v>2.1261798598625221E-3</v>
          </cell>
          <cell r="BS82">
            <v>100</v>
          </cell>
          <cell r="BT82" t="str">
            <v>Ceiling (Low)</v>
          </cell>
          <cell r="BV82">
            <v>500</v>
          </cell>
          <cell r="BW82" t="str">
            <v>Ceiling (Low)</v>
          </cell>
          <cell r="BY82">
            <v>500</v>
          </cell>
          <cell r="BZ82" t="str">
            <v>High Volatility</v>
          </cell>
          <cell r="CA82">
            <v>50000</v>
          </cell>
          <cell r="CB82" t="str">
            <v>0.005%</v>
          </cell>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Q83">
            <v>0.3</v>
          </cell>
          <cell r="R83" t="str">
            <v>9d</v>
          </cell>
          <cell r="S83">
            <v>0.1</v>
          </cell>
          <cell r="T83" t="str">
            <v>9d</v>
          </cell>
          <cell r="U83">
            <v>0.3</v>
          </cell>
          <cell r="V83" t="str">
            <v>9d</v>
          </cell>
          <cell r="W83">
            <v>0.1</v>
          </cell>
          <cell r="X83" t="str">
            <v>9d</v>
          </cell>
          <cell r="Y83" t="str">
            <v>NC</v>
          </cell>
          <cell r="AA83" t="str">
            <v>NC</v>
          </cell>
          <cell r="AC83">
            <v>1</v>
          </cell>
          <cell r="AD83">
            <v>9</v>
          </cell>
          <cell r="AE83">
            <v>1</v>
          </cell>
          <cell r="AF83">
            <v>9</v>
          </cell>
          <cell r="AI83">
            <v>1</v>
          </cell>
          <cell r="AK83">
            <v>0.92</v>
          </cell>
          <cell r="AL83" t="str">
            <v>NC</v>
          </cell>
          <cell r="AM83">
            <v>0.5</v>
          </cell>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O83">
            <v>8.9618980686161434E-2</v>
          </cell>
          <cell r="BS83">
            <v>500</v>
          </cell>
          <cell r="BT83" t="str">
            <v>Ceiling (Medium)</v>
          </cell>
          <cell r="BV83">
            <v>1000</v>
          </cell>
          <cell r="BW83" t="str">
            <v>Ceiling (Medium)</v>
          </cell>
          <cell r="BY83">
            <v>3000</v>
          </cell>
          <cell r="BZ83" t="str">
            <v>Ceiling (Medium)</v>
          </cell>
          <cell r="CA83">
            <v>50000</v>
          </cell>
          <cell r="CB83" t="str">
            <v>0.005%</v>
          </cell>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Q84">
            <v>0.3</v>
          </cell>
          <cell r="R84" t="str">
            <v>9d</v>
          </cell>
          <cell r="S84">
            <v>0.1</v>
          </cell>
          <cell r="T84" t="str">
            <v>9d</v>
          </cell>
          <cell r="U84">
            <v>0.3</v>
          </cell>
          <cell r="V84" t="str">
            <v>9d</v>
          </cell>
          <cell r="W84">
            <v>0.1</v>
          </cell>
          <cell r="X84" t="str">
            <v>9d</v>
          </cell>
          <cell r="Y84" t="str">
            <v>NC</v>
          </cell>
          <cell r="AA84" t="str">
            <v>NC</v>
          </cell>
          <cell r="AC84">
            <v>1</v>
          </cell>
          <cell r="AD84">
            <v>9</v>
          </cell>
          <cell r="AE84">
            <v>1</v>
          </cell>
          <cell r="AF84">
            <v>9</v>
          </cell>
          <cell r="AI84">
            <v>1</v>
          </cell>
          <cell r="AK84">
            <v>0.92</v>
          </cell>
          <cell r="AL84" t="str">
            <v>NC</v>
          </cell>
          <cell r="AM84">
            <v>0.5</v>
          </cell>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O84">
            <v>4.5835291743818875E-2</v>
          </cell>
          <cell r="BS84">
            <v>500</v>
          </cell>
          <cell r="BT84" t="str">
            <v>Ceiling (Medium)</v>
          </cell>
          <cell r="BV84">
            <v>1000</v>
          </cell>
          <cell r="BW84" t="str">
            <v>Ceiling (Medium)</v>
          </cell>
          <cell r="BY84">
            <v>3000</v>
          </cell>
          <cell r="BZ84" t="str">
            <v>Ceiling (Medium)</v>
          </cell>
          <cell r="CA84">
            <v>50000</v>
          </cell>
          <cell r="CB84" t="str">
            <v>0.005%</v>
          </cell>
        </row>
        <row r="85">
          <cell r="A85" t="str">
            <v>NICKEL</v>
          </cell>
          <cell r="B85" t="str">
            <v>7440-02-0</v>
          </cell>
          <cell r="C85">
            <v>42923</v>
          </cell>
          <cell r="D85">
            <v>0.02</v>
          </cell>
          <cell r="E85">
            <v>1</v>
          </cell>
          <cell r="F85">
            <v>0.02</v>
          </cell>
          <cell r="G85">
            <v>2</v>
          </cell>
          <cell r="H85">
            <v>1E-3</v>
          </cell>
          <cell r="I85">
            <v>3</v>
          </cell>
          <cell r="J85">
            <v>1E-3</v>
          </cell>
          <cell r="K85" t="str">
            <v>7c</v>
          </cell>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AA85" t="str">
            <v>NC</v>
          </cell>
          <cell r="AC85">
            <v>1</v>
          </cell>
          <cell r="AD85">
            <v>9</v>
          </cell>
          <cell r="AE85">
            <v>1</v>
          </cell>
          <cell r="AF85">
            <v>9</v>
          </cell>
          <cell r="AI85">
            <v>30</v>
          </cell>
          <cell r="AK85">
            <v>0.1</v>
          </cell>
          <cell r="AL85" t="str">
            <v>NC</v>
          </cell>
          <cell r="AM85">
            <v>20</v>
          </cell>
          <cell r="AO85">
            <v>0</v>
          </cell>
          <cell r="AU85">
            <v>0</v>
          </cell>
          <cell r="AW85">
            <v>0</v>
          </cell>
          <cell r="AX85">
            <v>3</v>
          </cell>
          <cell r="AY85">
            <v>15</v>
          </cell>
          <cell r="AZ85">
            <v>0</v>
          </cell>
          <cell r="BD85">
            <v>0</v>
          </cell>
          <cell r="BE85">
            <v>59</v>
          </cell>
          <cell r="BF85">
            <v>13</v>
          </cell>
          <cell r="BH85">
            <v>-0.56999999999999995</v>
          </cell>
          <cell r="BJ85">
            <v>0</v>
          </cell>
          <cell r="BO85">
            <v>2.0000000000000001E-4</v>
          </cell>
          <cell r="BP85">
            <v>0.38</v>
          </cell>
          <cell r="BS85">
            <v>1000</v>
          </cell>
          <cell r="BT85" t="str">
            <v>Ceiling (High)</v>
          </cell>
          <cell r="BV85">
            <v>3000</v>
          </cell>
          <cell r="BW85" t="str">
            <v>Ceiling (High)</v>
          </cell>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K86">
            <v>0.9</v>
          </cell>
          <cell r="AL86">
            <v>0.9</v>
          </cell>
          <cell r="AO86">
            <v>0</v>
          </cell>
          <cell r="AR86">
            <v>587</v>
          </cell>
          <cell r="AS86">
            <v>13</v>
          </cell>
          <cell r="AU86">
            <v>0</v>
          </cell>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O86">
            <v>0.12291361730601695</v>
          </cell>
          <cell r="BS86">
            <v>1000</v>
          </cell>
          <cell r="BT86" t="str">
            <v>Ceiling (High)</v>
          </cell>
          <cell r="BV86">
            <v>3000</v>
          </cell>
          <cell r="BW86" t="str">
            <v>Ceiling (High)</v>
          </cell>
          <cell r="BY86">
            <v>5000</v>
          </cell>
          <cell r="BZ86" t="str">
            <v>Ceiling (High)</v>
          </cell>
          <cell r="CA86">
            <v>50000</v>
          </cell>
          <cell r="CB86" t="str">
            <v>0.005%</v>
          </cell>
        </row>
        <row r="87">
          <cell r="A87" t="str">
            <v>PER- AND POLYFLUORALKYL SUBSTANCES (PFAS)</v>
          </cell>
          <cell r="B87" t="str">
            <v>NA</v>
          </cell>
          <cell r="D87">
            <v>5.0000000000000004E-6</v>
          </cell>
          <cell r="E87" t="str">
            <v>5i</v>
          </cell>
          <cell r="F87">
            <v>5.0000000000000004E-6</v>
          </cell>
          <cell r="G87" t="str">
            <v>5i</v>
          </cell>
          <cell r="H87">
            <v>2.0000000000000002E-5</v>
          </cell>
          <cell r="I87" t="str">
            <v>7b</v>
          </cell>
          <cell r="J87">
            <v>2.0000000000000002E-5</v>
          </cell>
          <cell r="K87" t="str">
            <v>7c</v>
          </cell>
          <cell r="Q87">
            <v>1</v>
          </cell>
          <cell r="S87">
            <v>0.1</v>
          </cell>
          <cell r="U87">
            <v>1</v>
          </cell>
          <cell r="W87">
            <v>0.1</v>
          </cell>
          <cell r="Y87" t="str">
            <v>NC</v>
          </cell>
          <cell r="AA87" t="str">
            <v>NC</v>
          </cell>
          <cell r="AC87">
            <v>1</v>
          </cell>
          <cell r="AD87">
            <v>9</v>
          </cell>
          <cell r="AE87">
            <v>1</v>
          </cell>
          <cell r="AF87">
            <v>9</v>
          </cell>
          <cell r="AX87">
            <v>2.0000000000000001E-4</v>
          </cell>
          <cell r="BS87">
            <v>1000</v>
          </cell>
          <cell r="BT87" t="str">
            <v>Ceiling (High)</v>
          </cell>
          <cell r="BV87">
            <v>3000</v>
          </cell>
          <cell r="BW87" t="str">
            <v>Ceiling (High)</v>
          </cell>
          <cell r="BY87">
            <v>5000</v>
          </cell>
          <cell r="BZ87" t="str">
            <v>Ceiling (High)</v>
          </cell>
          <cell r="CA87">
            <v>50000</v>
          </cell>
          <cell r="CB87" t="str">
            <v>0.005%</v>
          </cell>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Q88">
            <v>1</v>
          </cell>
          <cell r="S88">
            <v>0.1</v>
          </cell>
          <cell r="U88">
            <v>1</v>
          </cell>
          <cell r="W88">
            <v>0.1</v>
          </cell>
          <cell r="Y88" t="str">
            <v>NC</v>
          </cell>
          <cell r="AA88" t="str">
            <v>NC</v>
          </cell>
          <cell r="AC88">
            <v>1</v>
          </cell>
          <cell r="AD88">
            <v>9</v>
          </cell>
          <cell r="AE88">
            <v>1</v>
          </cell>
          <cell r="AF88">
            <v>9</v>
          </cell>
          <cell r="AI88">
            <v>2.9999999999999997E-4</v>
          </cell>
          <cell r="AM88">
            <v>2.9999999999999997E-4</v>
          </cell>
          <cell r="AX88">
            <v>2.0000000000000001E-4</v>
          </cell>
          <cell r="BE88">
            <v>514</v>
          </cell>
          <cell r="BS88">
            <v>1000</v>
          </cell>
          <cell r="BT88" t="str">
            <v>Ceiling (High)</v>
          </cell>
          <cell r="BV88">
            <v>3000</v>
          </cell>
          <cell r="BW88" t="str">
            <v>Ceiling (High)</v>
          </cell>
          <cell r="BY88">
            <v>5000</v>
          </cell>
          <cell r="BZ88" t="str">
            <v>Ceiling (High)</v>
          </cell>
          <cell r="CA88">
            <v>50000</v>
          </cell>
          <cell r="CB88" t="str">
            <v>0.005%</v>
          </cell>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Q89">
            <v>1</v>
          </cell>
          <cell r="S89">
            <v>0.1</v>
          </cell>
          <cell r="U89">
            <v>1</v>
          </cell>
          <cell r="W89">
            <v>0.1</v>
          </cell>
          <cell r="Y89" t="str">
            <v>NC</v>
          </cell>
          <cell r="AA89" t="str">
            <v>NC</v>
          </cell>
          <cell r="AC89">
            <v>1</v>
          </cell>
          <cell r="AD89">
            <v>9</v>
          </cell>
          <cell r="AE89">
            <v>1</v>
          </cell>
          <cell r="AF89">
            <v>9</v>
          </cell>
          <cell r="AI89">
            <v>5.0000000000000001E-4</v>
          </cell>
          <cell r="AM89">
            <v>5.0000000000000001E-4</v>
          </cell>
          <cell r="AX89">
            <v>2.0000000000000001E-4</v>
          </cell>
          <cell r="AY89">
            <v>0</v>
          </cell>
          <cell r="BE89">
            <v>364</v>
          </cell>
          <cell r="BS89">
            <v>1000</v>
          </cell>
          <cell r="BT89" t="str">
            <v>Ceiling (High)</v>
          </cell>
          <cell r="BV89">
            <v>3000</v>
          </cell>
          <cell r="BW89" t="str">
            <v>Ceiling (High)</v>
          </cell>
          <cell r="BY89">
            <v>5000</v>
          </cell>
          <cell r="BZ89" t="str">
            <v>Ceiling (High)</v>
          </cell>
          <cell r="CA89">
            <v>50000</v>
          </cell>
          <cell r="CB89" t="str">
            <v>0.005%</v>
          </cell>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Q90">
            <v>1</v>
          </cell>
          <cell r="S90">
            <v>0.1</v>
          </cell>
          <cell r="U90">
            <v>1</v>
          </cell>
          <cell r="W90">
            <v>0.1</v>
          </cell>
          <cell r="Y90" t="str">
            <v>NC</v>
          </cell>
          <cell r="AA90" t="str">
            <v>NC</v>
          </cell>
          <cell r="AC90">
            <v>1</v>
          </cell>
          <cell r="AD90">
            <v>9</v>
          </cell>
          <cell r="AE90">
            <v>1</v>
          </cell>
          <cell r="AF90">
            <v>9</v>
          </cell>
          <cell r="AI90">
            <v>2.9999999999999997E-4</v>
          </cell>
          <cell r="AM90">
            <v>2.9999999999999997E-4</v>
          </cell>
          <cell r="AX90">
            <v>2.0000000000000001E-4</v>
          </cell>
          <cell r="AY90">
            <v>0</v>
          </cell>
          <cell r="BE90">
            <v>400</v>
          </cell>
          <cell r="BS90">
            <v>1000</v>
          </cell>
          <cell r="BT90" t="str">
            <v>Ceiling (High)</v>
          </cell>
          <cell r="BV90">
            <v>3000</v>
          </cell>
          <cell r="BW90" t="str">
            <v>Ceiling (High)</v>
          </cell>
          <cell r="BY90">
            <v>5000</v>
          </cell>
          <cell r="BZ90" t="str">
            <v>Ceiling (High)</v>
          </cell>
          <cell r="CA90">
            <v>50000</v>
          </cell>
          <cell r="CB90" t="str">
            <v>0.005%</v>
          </cell>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Q91">
            <v>1</v>
          </cell>
          <cell r="S91">
            <v>0.1</v>
          </cell>
          <cell r="U91">
            <v>1</v>
          </cell>
          <cell r="W91">
            <v>0.1</v>
          </cell>
          <cell r="Y91" t="str">
            <v>NC</v>
          </cell>
          <cell r="AA91" t="str">
            <v>NC</v>
          </cell>
          <cell r="AC91">
            <v>1</v>
          </cell>
          <cell r="AD91">
            <v>9</v>
          </cell>
          <cell r="AE91">
            <v>1</v>
          </cell>
          <cell r="AF91">
            <v>9</v>
          </cell>
          <cell r="AI91">
            <v>7.2000000000000005E-4</v>
          </cell>
          <cell r="AM91">
            <v>7.2000000000000005E-4</v>
          </cell>
          <cell r="AX91">
            <v>2.0000000000000001E-4</v>
          </cell>
          <cell r="AY91">
            <v>0</v>
          </cell>
          <cell r="BE91">
            <v>414</v>
          </cell>
          <cell r="BS91">
            <v>1000</v>
          </cell>
          <cell r="BT91" t="str">
            <v>Ceiling (High)</v>
          </cell>
          <cell r="BV91">
            <v>3000</v>
          </cell>
          <cell r="BW91" t="str">
            <v>Ceiling (High)</v>
          </cell>
          <cell r="BY91">
            <v>5000</v>
          </cell>
          <cell r="BZ91" t="str">
            <v>Ceiling (High)</v>
          </cell>
          <cell r="CA91">
            <v>50000</v>
          </cell>
          <cell r="CB91" t="str">
            <v>0.005%</v>
          </cell>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Q92">
            <v>1</v>
          </cell>
          <cell r="S92">
            <v>0.1</v>
          </cell>
          <cell r="U92">
            <v>1</v>
          </cell>
          <cell r="W92">
            <v>0.1</v>
          </cell>
          <cell r="Y92" t="str">
            <v>NC</v>
          </cell>
          <cell r="AA92" t="str">
            <v>NC</v>
          </cell>
          <cell r="AC92">
            <v>1</v>
          </cell>
          <cell r="AD92">
            <v>9</v>
          </cell>
          <cell r="AE92">
            <v>1</v>
          </cell>
          <cell r="AF92">
            <v>9</v>
          </cell>
          <cell r="AI92">
            <v>2E-3</v>
          </cell>
          <cell r="AM92">
            <v>2E-3</v>
          </cell>
          <cell r="AX92">
            <v>2.0000000000000001E-4</v>
          </cell>
          <cell r="AY92">
            <v>0</v>
          </cell>
          <cell r="BE92">
            <v>500</v>
          </cell>
          <cell r="BS92">
            <v>1000</v>
          </cell>
          <cell r="BT92" t="str">
            <v>Ceiling (High)</v>
          </cell>
          <cell r="BV92">
            <v>3000</v>
          </cell>
          <cell r="BW92" t="str">
            <v>Ceiling (High)</v>
          </cell>
          <cell r="BY92">
            <v>5000</v>
          </cell>
          <cell r="BZ92" t="str">
            <v>Ceiling (High)</v>
          </cell>
          <cell r="CA92">
            <v>50000</v>
          </cell>
          <cell r="CB92" t="str">
            <v>0.005%</v>
          </cell>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Q93">
            <v>1</v>
          </cell>
          <cell r="S93">
            <v>0.1</v>
          </cell>
          <cell r="U93">
            <v>1</v>
          </cell>
          <cell r="W93">
            <v>0.1</v>
          </cell>
          <cell r="Y93" t="str">
            <v>NC</v>
          </cell>
          <cell r="AA93" t="str">
            <v>NC</v>
          </cell>
          <cell r="AC93">
            <v>1</v>
          </cell>
          <cell r="AD93">
            <v>9</v>
          </cell>
          <cell r="AE93">
            <v>1</v>
          </cell>
          <cell r="AF93">
            <v>9</v>
          </cell>
          <cell r="AI93">
            <v>3.2000000000000003E-4</v>
          </cell>
          <cell r="AM93">
            <v>3.2000000000000003E-4</v>
          </cell>
          <cell r="AX93">
            <v>2.0000000000000001E-4</v>
          </cell>
          <cell r="AY93">
            <v>0</v>
          </cell>
          <cell r="BE93">
            <v>464</v>
          </cell>
          <cell r="BS93">
            <v>1000</v>
          </cell>
          <cell r="BT93" t="str">
            <v>Ceiling (High)</v>
          </cell>
          <cell r="BV93">
            <v>3000</v>
          </cell>
          <cell r="BW93" t="str">
            <v>Ceiling (High)</v>
          </cell>
          <cell r="BY93">
            <v>5000</v>
          </cell>
          <cell r="BZ93" t="str">
            <v>Ceiling (High)</v>
          </cell>
          <cell r="CA93">
            <v>50000</v>
          </cell>
          <cell r="CB93" t="str">
            <v>0.005%</v>
          </cell>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Q94">
            <v>1</v>
          </cell>
          <cell r="R94">
            <v>9</v>
          </cell>
          <cell r="S94">
            <v>0.1</v>
          </cell>
          <cell r="T94">
            <v>9</v>
          </cell>
          <cell r="U94">
            <v>1</v>
          </cell>
          <cell r="V94">
            <v>9</v>
          </cell>
          <cell r="W94">
            <v>0.1</v>
          </cell>
          <cell r="X94">
            <v>9</v>
          </cell>
          <cell r="Y94" t="str">
            <v>NC</v>
          </cell>
          <cell r="AA94" t="str">
            <v>NC</v>
          </cell>
          <cell r="AC94">
            <v>1</v>
          </cell>
          <cell r="AD94">
            <v>9</v>
          </cell>
          <cell r="AE94">
            <v>1</v>
          </cell>
          <cell r="AF94">
            <v>9</v>
          </cell>
          <cell r="AK94">
            <v>1</v>
          </cell>
          <cell r="AO94">
            <v>0</v>
          </cell>
          <cell r="AX94">
            <v>0.1</v>
          </cell>
          <cell r="AY94">
            <v>1</v>
          </cell>
          <cell r="AZ94">
            <v>0</v>
          </cell>
          <cell r="BD94">
            <v>0</v>
          </cell>
          <cell r="BO94">
            <v>0</v>
          </cell>
          <cell r="BS94">
            <v>1000</v>
          </cell>
          <cell r="BT94" t="str">
            <v>Ceiling (High)</v>
          </cell>
          <cell r="BV94">
            <v>3000</v>
          </cell>
          <cell r="BW94" t="str">
            <v>Ceiling (High)</v>
          </cell>
          <cell r="BY94">
            <v>5000</v>
          </cell>
          <cell r="BZ94" t="str">
            <v>Ceiling (High)</v>
          </cell>
          <cell r="CA94">
            <v>50000</v>
          </cell>
          <cell r="CB94" t="str">
            <v>0.005%</v>
          </cell>
        </row>
        <row r="95">
          <cell r="A95" t="str">
            <v>PETROLEUM HYDROCARBONS</v>
          </cell>
          <cell r="B95" t="str">
            <v>NA</v>
          </cell>
          <cell r="Q95">
            <v>1</v>
          </cell>
          <cell r="AC95">
            <v>1</v>
          </cell>
          <cell r="AD95">
            <v>9</v>
          </cell>
          <cell r="AE95">
            <v>1</v>
          </cell>
          <cell r="AF95">
            <v>9</v>
          </cell>
          <cell r="AO95">
            <v>0</v>
          </cell>
          <cell r="AW95">
            <v>0</v>
          </cell>
          <cell r="AX95">
            <v>0</v>
          </cell>
          <cell r="AY95">
            <v>0</v>
          </cell>
          <cell r="AZ95">
            <v>0</v>
          </cell>
          <cell r="BD95">
            <v>0</v>
          </cell>
        </row>
        <row r="96">
          <cell r="A96" t="str">
            <v>PETROLEUM HYDROCARBONS Aliphatics C5 to C8</v>
          </cell>
          <cell r="B96" t="str">
            <v>NA</v>
          </cell>
          <cell r="D96">
            <v>0.04</v>
          </cell>
          <cell r="E96" t="str">
            <v>5c</v>
          </cell>
          <cell r="F96">
            <v>0.4</v>
          </cell>
          <cell r="G96" t="str">
            <v>5c</v>
          </cell>
          <cell r="H96">
            <v>0.2</v>
          </cell>
          <cell r="I96" t="str">
            <v>5c</v>
          </cell>
          <cell r="J96">
            <v>0.2</v>
          </cell>
          <cell r="K96" t="str">
            <v>7c</v>
          </cell>
          <cell r="Q96">
            <v>1</v>
          </cell>
          <cell r="R96" t="str">
            <v>9e</v>
          </cell>
          <cell r="S96">
            <v>0.2</v>
          </cell>
          <cell r="T96" t="str">
            <v>9e</v>
          </cell>
          <cell r="U96">
            <v>1</v>
          </cell>
          <cell r="V96" t="str">
            <v>9e</v>
          </cell>
          <cell r="W96">
            <v>0.2</v>
          </cell>
          <cell r="X96" t="str">
            <v>9e</v>
          </cell>
          <cell r="Y96" t="str">
            <v>NC</v>
          </cell>
          <cell r="AA96" t="str">
            <v>NC</v>
          </cell>
          <cell r="AC96">
            <v>1</v>
          </cell>
          <cell r="AD96">
            <v>9</v>
          </cell>
          <cell r="AE96">
            <v>1</v>
          </cell>
          <cell r="AF96">
            <v>9</v>
          </cell>
          <cell r="AK96">
            <v>1</v>
          </cell>
          <cell r="AL96" t="str">
            <v>NC</v>
          </cell>
          <cell r="AO96">
            <v>330</v>
          </cell>
          <cell r="AU96">
            <v>0</v>
          </cell>
          <cell r="AW96">
            <v>0</v>
          </cell>
          <cell r="AX96">
            <v>0</v>
          </cell>
          <cell r="AY96">
            <v>0</v>
          </cell>
          <cell r="AZ96">
            <v>11000</v>
          </cell>
          <cell r="BA96" t="str">
            <v>18b</v>
          </cell>
          <cell r="BB96">
            <v>1.296</v>
          </cell>
          <cell r="BC96" t="str">
            <v>18b</v>
          </cell>
          <cell r="BD96">
            <v>54</v>
          </cell>
          <cell r="BE96">
            <v>93</v>
          </cell>
          <cell r="BG96">
            <v>76</v>
          </cell>
          <cell r="BH96">
            <v>3.85</v>
          </cell>
          <cell r="BI96" t="str">
            <v>18a</v>
          </cell>
          <cell r="BJ96">
            <v>2265</v>
          </cell>
          <cell r="BO96">
            <v>0.16603513514585116</v>
          </cell>
          <cell r="BS96">
            <v>100</v>
          </cell>
          <cell r="BT96" t="str">
            <v>Ceiling (Low)</v>
          </cell>
          <cell r="BV96">
            <v>500</v>
          </cell>
          <cell r="BW96" t="str">
            <v>Ceiling (Low)</v>
          </cell>
          <cell r="BY96">
            <v>500</v>
          </cell>
          <cell r="BZ96" t="str">
            <v>High Volatility</v>
          </cell>
          <cell r="CA96">
            <v>50000</v>
          </cell>
          <cell r="CB96" t="str">
            <v>0.005%</v>
          </cell>
        </row>
        <row r="97">
          <cell r="A97" t="str">
            <v>PETROLEUM HYDROCARBONS Aliphatics C9 to C12</v>
          </cell>
          <cell r="B97" t="str">
            <v>NA</v>
          </cell>
          <cell r="D97">
            <v>0.1</v>
          </cell>
          <cell r="E97" t="str">
            <v>5c</v>
          </cell>
          <cell r="F97">
            <v>1</v>
          </cell>
          <cell r="G97" t="str">
            <v>5c</v>
          </cell>
          <cell r="H97">
            <v>0.2</v>
          </cell>
          <cell r="I97" t="str">
            <v>5c</v>
          </cell>
          <cell r="J97">
            <v>0.6</v>
          </cell>
          <cell r="K97" t="str">
            <v>5c</v>
          </cell>
          <cell r="Q97">
            <v>1</v>
          </cell>
          <cell r="R97" t="str">
            <v>9e</v>
          </cell>
          <cell r="S97">
            <v>0.2</v>
          </cell>
          <cell r="T97" t="str">
            <v>9e</v>
          </cell>
          <cell r="U97">
            <v>1</v>
          </cell>
          <cell r="V97" t="str">
            <v>9e</v>
          </cell>
          <cell r="W97">
            <v>0.2</v>
          </cell>
          <cell r="X97" t="str">
            <v>9e</v>
          </cell>
          <cell r="Y97" t="str">
            <v>NC</v>
          </cell>
          <cell r="AA97" t="str">
            <v>NC</v>
          </cell>
          <cell r="AC97">
            <v>1</v>
          </cell>
          <cell r="AD97">
            <v>9</v>
          </cell>
          <cell r="AE97">
            <v>1</v>
          </cell>
          <cell r="AF97">
            <v>9</v>
          </cell>
          <cell r="AK97">
            <v>1</v>
          </cell>
          <cell r="AL97" t="str">
            <v>NC</v>
          </cell>
          <cell r="AO97">
            <v>220</v>
          </cell>
          <cell r="AU97">
            <v>0</v>
          </cell>
          <cell r="AW97">
            <v>0</v>
          </cell>
          <cell r="AX97">
            <v>0</v>
          </cell>
          <cell r="AY97">
            <v>0</v>
          </cell>
          <cell r="AZ97">
            <v>70</v>
          </cell>
          <cell r="BA97" t="str">
            <v>18b</v>
          </cell>
          <cell r="BB97">
            <v>1.56</v>
          </cell>
          <cell r="BC97" t="str">
            <v>18b</v>
          </cell>
          <cell r="BD97">
            <v>65</v>
          </cell>
          <cell r="BE97">
            <v>149</v>
          </cell>
          <cell r="BG97">
            <v>0.66120000000000001</v>
          </cell>
          <cell r="BH97">
            <v>5.52</v>
          </cell>
          <cell r="BI97" t="str">
            <v>18a</v>
          </cell>
          <cell r="BJ97">
            <v>150000</v>
          </cell>
          <cell r="BO97">
            <v>1.020469431942199</v>
          </cell>
          <cell r="BS97">
            <v>1000</v>
          </cell>
          <cell r="BT97" t="str">
            <v>Ceiling (High)</v>
          </cell>
          <cell r="BV97">
            <v>3000</v>
          </cell>
          <cell r="BW97" t="str">
            <v>Ceiling (High)</v>
          </cell>
          <cell r="BY97">
            <v>5000</v>
          </cell>
          <cell r="BZ97" t="str">
            <v>Ceiling (High)</v>
          </cell>
          <cell r="CA97">
            <v>50000</v>
          </cell>
          <cell r="CB97" t="str">
            <v>0.005%</v>
          </cell>
        </row>
        <row r="98">
          <cell r="A98" t="str">
            <v>PETROLEUM HYDROCARBONS Aliphatics C9 to C18</v>
          </cell>
          <cell r="B98" t="str">
            <v>NA</v>
          </cell>
          <cell r="D98">
            <v>0.1</v>
          </cell>
          <cell r="E98" t="str">
            <v>5c</v>
          </cell>
          <cell r="F98">
            <v>1</v>
          </cell>
          <cell r="G98" t="str">
            <v>5c</v>
          </cell>
          <cell r="H98">
            <v>0.2</v>
          </cell>
          <cell r="I98" t="str">
            <v>5c</v>
          </cell>
          <cell r="J98">
            <v>0.6</v>
          </cell>
          <cell r="K98" t="str">
            <v>5c</v>
          </cell>
          <cell r="Q98">
            <v>1</v>
          </cell>
          <cell r="R98" t="str">
            <v>9e</v>
          </cell>
          <cell r="S98">
            <v>0.2</v>
          </cell>
          <cell r="T98" t="str">
            <v>9e</v>
          </cell>
          <cell r="U98">
            <v>1</v>
          </cell>
          <cell r="V98" t="str">
            <v>9e</v>
          </cell>
          <cell r="W98">
            <v>0.2</v>
          </cell>
          <cell r="X98" t="str">
            <v>9e</v>
          </cell>
          <cell r="Y98" t="str">
            <v>NC</v>
          </cell>
          <cell r="AA98" t="str">
            <v>NC</v>
          </cell>
          <cell r="AC98">
            <v>1</v>
          </cell>
          <cell r="AD98">
            <v>9</v>
          </cell>
          <cell r="AE98">
            <v>1</v>
          </cell>
          <cell r="AF98">
            <v>9</v>
          </cell>
          <cell r="AK98">
            <v>1</v>
          </cell>
          <cell r="AL98" t="str">
            <v>NC</v>
          </cell>
          <cell r="AO98">
            <v>100</v>
          </cell>
          <cell r="AU98">
            <v>0</v>
          </cell>
          <cell r="AW98">
            <v>0</v>
          </cell>
          <cell r="AX98">
            <v>0</v>
          </cell>
          <cell r="AY98">
            <v>0</v>
          </cell>
          <cell r="AZ98">
            <v>10</v>
          </cell>
          <cell r="BA98" t="str">
            <v>18b</v>
          </cell>
          <cell r="BB98">
            <v>1.6560000000000001</v>
          </cell>
          <cell r="BC98" t="str">
            <v>18b</v>
          </cell>
          <cell r="BD98">
            <v>69</v>
          </cell>
          <cell r="BE98">
            <v>170</v>
          </cell>
          <cell r="BG98">
            <v>0.106</v>
          </cell>
          <cell r="BH98">
            <v>5.94</v>
          </cell>
          <cell r="BI98" t="str">
            <v>18a</v>
          </cell>
          <cell r="BJ98">
            <v>680000</v>
          </cell>
          <cell r="BO98">
            <v>1.4736691770366908</v>
          </cell>
          <cell r="BS98">
            <v>1000</v>
          </cell>
          <cell r="BT98" t="str">
            <v>Ceiling (High)</v>
          </cell>
          <cell r="BV98">
            <v>3000</v>
          </cell>
          <cell r="BW98" t="str">
            <v>Ceiling (High)</v>
          </cell>
          <cell r="BY98">
            <v>5000</v>
          </cell>
          <cell r="BZ98" t="str">
            <v>Ceiling (High)</v>
          </cell>
          <cell r="CA98">
            <v>50000</v>
          </cell>
          <cell r="CB98" t="str">
            <v>0.005%</v>
          </cell>
        </row>
        <row r="99">
          <cell r="A99" t="str">
            <v>PETROLEUM HYDROCARBONS Aliphatics C19 to C36</v>
          </cell>
          <cell r="B99" t="str">
            <v>NA</v>
          </cell>
          <cell r="D99">
            <v>2</v>
          </cell>
          <cell r="E99" t="str">
            <v>5c</v>
          </cell>
          <cell r="F99">
            <v>6</v>
          </cell>
          <cell r="G99" t="str">
            <v>5c</v>
          </cell>
          <cell r="Q99">
            <v>1</v>
          </cell>
          <cell r="R99" t="str">
            <v>9e</v>
          </cell>
          <cell r="S99">
            <v>0.2</v>
          </cell>
          <cell r="T99" t="str">
            <v>9e</v>
          </cell>
          <cell r="U99">
            <v>1</v>
          </cell>
          <cell r="V99" t="str">
            <v>9e</v>
          </cell>
          <cell r="W99">
            <v>0.2</v>
          </cell>
          <cell r="X99" t="str">
            <v>9e</v>
          </cell>
          <cell r="Y99" t="str">
            <v>NC</v>
          </cell>
          <cell r="AA99" t="str">
            <v>NC</v>
          </cell>
          <cell r="AC99">
            <v>1</v>
          </cell>
          <cell r="AD99">
            <v>9</v>
          </cell>
          <cell r="AE99">
            <v>1</v>
          </cell>
          <cell r="AF99">
            <v>9</v>
          </cell>
          <cell r="AK99">
            <v>1</v>
          </cell>
          <cell r="AL99" t="str">
            <v>NC</v>
          </cell>
          <cell r="AO99">
            <v>0</v>
          </cell>
          <cell r="AW99">
            <v>0</v>
          </cell>
          <cell r="AX99">
            <v>0</v>
          </cell>
          <cell r="AY99">
            <v>0</v>
          </cell>
          <cell r="AZ99">
            <v>0</v>
          </cell>
          <cell r="BD99">
            <v>0</v>
          </cell>
          <cell r="BJ99">
            <v>0</v>
          </cell>
          <cell r="BO99">
            <v>0</v>
          </cell>
          <cell r="BS99">
            <v>3000</v>
          </cell>
          <cell r="BT99" t="str">
            <v>Ceiling (High)</v>
          </cell>
          <cell r="BV99">
            <v>5000</v>
          </cell>
          <cell r="BW99" t="str">
            <v>Ceiling (High)</v>
          </cell>
          <cell r="BY99">
            <v>5000</v>
          </cell>
          <cell r="BZ99" t="str">
            <v>Ceiling (High)</v>
          </cell>
          <cell r="CA99">
            <v>50000</v>
          </cell>
          <cell r="CB99" t="str">
            <v>0.005%</v>
          </cell>
        </row>
        <row r="100">
          <cell r="A100" t="str">
            <v>PETROLEUM HYDROCARBONS Aromatics C9 to C10</v>
          </cell>
          <cell r="B100" t="str">
            <v>NA</v>
          </cell>
          <cell r="D100">
            <v>0.03</v>
          </cell>
          <cell r="E100" t="str">
            <v>5c</v>
          </cell>
          <cell r="F100">
            <v>0.3</v>
          </cell>
          <cell r="G100" t="str">
            <v>5c</v>
          </cell>
          <cell r="H100">
            <v>0.05</v>
          </cell>
          <cell r="I100" t="str">
            <v>5c</v>
          </cell>
          <cell r="J100">
            <v>0.5</v>
          </cell>
          <cell r="K100" t="str">
            <v>5c</v>
          </cell>
          <cell r="Q100">
            <v>1</v>
          </cell>
          <cell r="R100" t="str">
            <v>9e</v>
          </cell>
          <cell r="S100">
            <v>0.2</v>
          </cell>
          <cell r="T100" t="str">
            <v>9e</v>
          </cell>
          <cell r="U100">
            <v>1</v>
          </cell>
          <cell r="V100" t="str">
            <v>9e</v>
          </cell>
          <cell r="W100">
            <v>0.2</v>
          </cell>
          <cell r="X100" t="str">
            <v>9e</v>
          </cell>
          <cell r="Y100" t="str">
            <v>NC</v>
          </cell>
          <cell r="AA100" t="str">
            <v>NC</v>
          </cell>
          <cell r="AC100">
            <v>1</v>
          </cell>
          <cell r="AD100">
            <v>9</v>
          </cell>
          <cell r="AE100">
            <v>1</v>
          </cell>
          <cell r="AF100">
            <v>9</v>
          </cell>
          <cell r="AK100">
            <v>1</v>
          </cell>
          <cell r="AL100" t="str">
            <v>NC</v>
          </cell>
          <cell r="AO100">
            <v>44</v>
          </cell>
          <cell r="AU100">
            <v>0</v>
          </cell>
          <cell r="AW100">
            <v>0</v>
          </cell>
          <cell r="AX100">
            <v>0</v>
          </cell>
          <cell r="AY100">
            <v>0</v>
          </cell>
          <cell r="AZ100">
            <v>51000</v>
          </cell>
          <cell r="BA100" t="str">
            <v>18b</v>
          </cell>
          <cell r="BB100">
            <v>7.92E-3</v>
          </cell>
          <cell r="BC100" t="str">
            <v>18b</v>
          </cell>
          <cell r="BD100">
            <v>0.33</v>
          </cell>
          <cell r="BE100">
            <v>120</v>
          </cell>
          <cell r="BG100">
            <v>2.2040000000000002</v>
          </cell>
          <cell r="BH100">
            <v>3.93</v>
          </cell>
          <cell r="BI100" t="str">
            <v>18a</v>
          </cell>
          <cell r="BJ100">
            <v>1778</v>
          </cell>
          <cell r="BO100">
            <v>0.13237317937881946</v>
          </cell>
          <cell r="BS100">
            <v>100</v>
          </cell>
          <cell r="BT100" t="str">
            <v>Ceiling (Low)</v>
          </cell>
          <cell r="BV100">
            <v>500</v>
          </cell>
          <cell r="BW100" t="str">
            <v>Ceiling (Low)</v>
          </cell>
          <cell r="BY100">
            <v>500</v>
          </cell>
          <cell r="BZ100" t="str">
            <v>High Volatility</v>
          </cell>
          <cell r="CA100">
            <v>50000</v>
          </cell>
          <cell r="CB100" t="str">
            <v>0.005%</v>
          </cell>
        </row>
        <row r="101">
          <cell r="A101" t="str">
            <v>PETROLEUM HYDROCARBONS Aromatics C11 to C22</v>
          </cell>
          <cell r="B101" t="str">
            <v>NA</v>
          </cell>
          <cell r="D101">
            <v>0.03</v>
          </cell>
          <cell r="E101" t="str">
            <v>5c</v>
          </cell>
          <cell r="F101">
            <v>0.3</v>
          </cell>
          <cell r="G101" t="str">
            <v>5c</v>
          </cell>
          <cell r="H101">
            <v>0.05</v>
          </cell>
          <cell r="I101" t="str">
            <v>5c</v>
          </cell>
          <cell r="J101">
            <v>0.5</v>
          </cell>
          <cell r="K101" t="str">
            <v>5c</v>
          </cell>
          <cell r="Q101">
            <v>0.3</v>
          </cell>
          <cell r="R101" t="str">
            <v>9d</v>
          </cell>
          <cell r="S101">
            <v>0.1</v>
          </cell>
          <cell r="T101" t="str">
            <v>9d</v>
          </cell>
          <cell r="U101">
            <v>0.3</v>
          </cell>
          <cell r="V101" t="str">
            <v>9d</v>
          </cell>
          <cell r="W101">
            <v>0.1</v>
          </cell>
          <cell r="X101" t="str">
            <v>9d</v>
          </cell>
          <cell r="Y101" t="str">
            <v>NC</v>
          </cell>
          <cell r="AA101" t="str">
            <v>NC</v>
          </cell>
          <cell r="AC101">
            <v>1</v>
          </cell>
          <cell r="AD101">
            <v>9</v>
          </cell>
          <cell r="AE101">
            <v>1</v>
          </cell>
          <cell r="AF101">
            <v>9</v>
          </cell>
          <cell r="AK101">
            <v>0.92</v>
          </cell>
          <cell r="AL101" t="str">
            <v>NC</v>
          </cell>
          <cell r="AO101">
            <v>50</v>
          </cell>
          <cell r="AU101">
            <v>0</v>
          </cell>
          <cell r="AW101">
            <v>0</v>
          </cell>
          <cell r="AX101">
            <v>0</v>
          </cell>
          <cell r="AY101">
            <v>0</v>
          </cell>
          <cell r="AZ101">
            <v>5800</v>
          </cell>
          <cell r="BA101" t="str">
            <v>18b</v>
          </cell>
          <cell r="BB101">
            <v>7.1999999999999994E-4</v>
          </cell>
          <cell r="BC101" t="str">
            <v>18b</v>
          </cell>
          <cell r="BD101">
            <v>0.03</v>
          </cell>
          <cell r="BE101">
            <v>150</v>
          </cell>
          <cell r="BG101">
            <v>2.4E-2</v>
          </cell>
          <cell r="BH101">
            <v>5.09</v>
          </cell>
          <cell r="BI101" t="str">
            <v>18a</v>
          </cell>
          <cell r="BJ101">
            <v>5012</v>
          </cell>
          <cell r="BO101">
            <v>0.52408291256402928</v>
          </cell>
          <cell r="BS101">
            <v>1000</v>
          </cell>
          <cell r="BT101" t="str">
            <v>Ceiling (High)</v>
          </cell>
          <cell r="BV101">
            <v>3000</v>
          </cell>
          <cell r="BW101" t="str">
            <v>Ceiling (High)</v>
          </cell>
          <cell r="BY101">
            <v>5000</v>
          </cell>
          <cell r="BZ101" t="str">
            <v>Ceiling (High)</v>
          </cell>
          <cell r="CA101">
            <v>50000</v>
          </cell>
          <cell r="CB101" t="str">
            <v>0.005%</v>
          </cell>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M102" t="str">
            <v>D</v>
          </cell>
          <cell r="N102">
            <v>1</v>
          </cell>
          <cell r="Q102">
            <v>0.3</v>
          </cell>
          <cell r="R102" t="str">
            <v>9d</v>
          </cell>
          <cell r="S102">
            <v>0.1</v>
          </cell>
          <cell r="T102" t="str">
            <v>9d</v>
          </cell>
          <cell r="U102">
            <v>0.3</v>
          </cell>
          <cell r="V102" t="str">
            <v>9e</v>
          </cell>
          <cell r="W102">
            <v>0.1</v>
          </cell>
          <cell r="X102" t="str">
            <v>9d</v>
          </cell>
          <cell r="Y102" t="str">
            <v>NC</v>
          </cell>
          <cell r="AA102" t="str">
            <v>NC</v>
          </cell>
          <cell r="AC102">
            <v>1</v>
          </cell>
          <cell r="AD102">
            <v>9</v>
          </cell>
          <cell r="AE102">
            <v>1</v>
          </cell>
          <cell r="AF102">
            <v>9</v>
          </cell>
          <cell r="AI102">
            <v>20</v>
          </cell>
          <cell r="AK102">
            <v>0.92</v>
          </cell>
          <cell r="AL102" t="str">
            <v>NC</v>
          </cell>
          <cell r="AM102">
            <v>3</v>
          </cell>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O102">
            <v>0.14021678337057589</v>
          </cell>
          <cell r="BS102">
            <v>500</v>
          </cell>
          <cell r="BT102" t="str">
            <v>Ceiling (Medium)</v>
          </cell>
          <cell r="BV102">
            <v>1000</v>
          </cell>
          <cell r="BW102" t="str">
            <v>Ceiling (Medium)</v>
          </cell>
          <cell r="BY102">
            <v>3000</v>
          </cell>
          <cell r="BZ102" t="str">
            <v>Ceiling (Medium)</v>
          </cell>
          <cell r="CA102">
            <v>50000</v>
          </cell>
          <cell r="CB102" t="str">
            <v>0.005%</v>
          </cell>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M103" t="str">
            <v>D</v>
          </cell>
          <cell r="N103">
            <v>1</v>
          </cell>
          <cell r="Q103">
            <v>1</v>
          </cell>
          <cell r="R103" t="str">
            <v>9e</v>
          </cell>
          <cell r="S103">
            <v>0.3</v>
          </cell>
          <cell r="T103" t="str">
            <v>9b</v>
          </cell>
          <cell r="U103">
            <v>1</v>
          </cell>
          <cell r="V103" t="str">
            <v>9e</v>
          </cell>
          <cell r="W103">
            <v>0.3</v>
          </cell>
          <cell r="X103" t="str">
            <v>9b</v>
          </cell>
          <cell r="Y103" t="str">
            <v>NC</v>
          </cell>
          <cell r="AA103" t="str">
            <v>NC</v>
          </cell>
          <cell r="AC103">
            <v>1</v>
          </cell>
          <cell r="AD103">
            <v>9</v>
          </cell>
          <cell r="AE103">
            <v>1</v>
          </cell>
          <cell r="AF103">
            <v>9</v>
          </cell>
          <cell r="AK103">
            <v>1</v>
          </cell>
          <cell r="AL103" t="str">
            <v>NC</v>
          </cell>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O103">
            <v>4.3371056350044119E-3</v>
          </cell>
          <cell r="BS103">
            <v>500</v>
          </cell>
          <cell r="BT103" t="str">
            <v>Ceiling (Medium)</v>
          </cell>
          <cell r="BV103">
            <v>1000</v>
          </cell>
          <cell r="BW103" t="str">
            <v>Ceiling (Medium)</v>
          </cell>
          <cell r="BY103">
            <v>3000</v>
          </cell>
          <cell r="BZ103" t="str">
            <v>Ceiling (Medium)</v>
          </cell>
          <cell r="CA103">
            <v>50000</v>
          </cell>
          <cell r="CB103" t="str">
            <v>0.005%</v>
          </cell>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K104">
            <v>0.89</v>
          </cell>
          <cell r="AL104">
            <v>0.89</v>
          </cell>
          <cell r="AO104">
            <v>0</v>
          </cell>
          <cell r="AU104">
            <v>0</v>
          </cell>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O104">
            <v>1.1199535223848884</v>
          </cell>
          <cell r="BP104">
            <v>0.83937499999999998</v>
          </cell>
          <cell r="BS104">
            <v>1000</v>
          </cell>
          <cell r="BT104" t="str">
            <v>Ceiling (High)</v>
          </cell>
          <cell r="BV104">
            <v>3000</v>
          </cell>
          <cell r="BW104" t="str">
            <v>Ceiling (High)</v>
          </cell>
          <cell r="BY104">
            <v>5000</v>
          </cell>
          <cell r="BZ104" t="str">
            <v>Ceiling (High)</v>
          </cell>
          <cell r="CA104">
            <v>50000</v>
          </cell>
          <cell r="CB104" t="str">
            <v>0.005%</v>
          </cell>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M105" t="str">
            <v>D</v>
          </cell>
          <cell r="N105">
            <v>1</v>
          </cell>
          <cell r="Q105">
            <v>0.3</v>
          </cell>
          <cell r="R105" t="str">
            <v>9d</v>
          </cell>
          <cell r="S105">
            <v>0.1</v>
          </cell>
          <cell r="T105" t="str">
            <v>9d</v>
          </cell>
          <cell r="U105">
            <v>0.3</v>
          </cell>
          <cell r="V105" t="str">
            <v>9d</v>
          </cell>
          <cell r="W105">
            <v>0.1</v>
          </cell>
          <cell r="X105" t="str">
            <v>9d</v>
          </cell>
          <cell r="Y105" t="str">
            <v>NC</v>
          </cell>
          <cell r="AA105" t="str">
            <v>NC</v>
          </cell>
          <cell r="AC105">
            <v>1</v>
          </cell>
          <cell r="AD105">
            <v>9</v>
          </cell>
          <cell r="AE105">
            <v>1</v>
          </cell>
          <cell r="AF105">
            <v>9</v>
          </cell>
          <cell r="AI105">
            <v>20</v>
          </cell>
          <cell r="AK105">
            <v>0.92</v>
          </cell>
          <cell r="AL105" t="str">
            <v>NC</v>
          </cell>
          <cell r="AM105">
            <v>4</v>
          </cell>
          <cell r="AO105">
            <v>0</v>
          </cell>
          <cell r="AU105">
            <v>0</v>
          </cell>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O105">
            <v>0.1948049553290766</v>
          </cell>
          <cell r="BS105">
            <v>1000</v>
          </cell>
          <cell r="BT105" t="str">
            <v>Ceiling (High)</v>
          </cell>
          <cell r="BV105">
            <v>3000</v>
          </cell>
          <cell r="BW105" t="str">
            <v>Ceiling (High)</v>
          </cell>
          <cell r="BY105">
            <v>5000</v>
          </cell>
          <cell r="BZ105" t="str">
            <v>Ceiling (High)</v>
          </cell>
          <cell r="CA105">
            <v>50000</v>
          </cell>
          <cell r="CB105" t="str">
            <v>0.005%</v>
          </cell>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K106">
            <v>1</v>
          </cell>
          <cell r="AL106">
            <v>1</v>
          </cell>
          <cell r="AO106">
            <v>0</v>
          </cell>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O106">
            <v>3.384885636728822E-4</v>
          </cell>
          <cell r="BS106">
            <v>1000</v>
          </cell>
          <cell r="BT106" t="str">
            <v>Ceiling (High)</v>
          </cell>
          <cell r="BV106">
            <v>3000</v>
          </cell>
          <cell r="BW106" t="str">
            <v>Ceiling (High)</v>
          </cell>
          <cell r="BY106">
            <v>5000</v>
          </cell>
          <cell r="BZ106" t="str">
            <v>Ceiling (High)</v>
          </cell>
          <cell r="CA106">
            <v>50000</v>
          </cell>
          <cell r="CB106" t="str">
            <v>0.005%</v>
          </cell>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M107" t="str">
            <v>D</v>
          </cell>
          <cell r="N107">
            <v>1</v>
          </cell>
          <cell r="Q107">
            <v>1</v>
          </cell>
          <cell r="R107" t="str">
            <v>9e</v>
          </cell>
          <cell r="S107">
            <v>0.01</v>
          </cell>
          <cell r="T107" t="str">
            <v>9e</v>
          </cell>
          <cell r="U107">
            <v>1</v>
          </cell>
          <cell r="V107" t="str">
            <v>9e</v>
          </cell>
          <cell r="W107">
            <v>0.01</v>
          </cell>
          <cell r="X107" t="str">
            <v>9e</v>
          </cell>
          <cell r="Y107" t="str">
            <v>NC</v>
          </cell>
          <cell r="AA107" t="str">
            <v>NC</v>
          </cell>
          <cell r="AC107">
            <v>1</v>
          </cell>
          <cell r="AD107">
            <v>9</v>
          </cell>
          <cell r="AE107">
            <v>1</v>
          </cell>
          <cell r="AF107">
            <v>9</v>
          </cell>
          <cell r="AI107">
            <v>1</v>
          </cell>
          <cell r="AK107">
            <v>0.6</v>
          </cell>
          <cell r="AL107" t="str">
            <v>NC</v>
          </cell>
          <cell r="AM107">
            <v>0.5</v>
          </cell>
          <cell r="AO107">
            <v>0</v>
          </cell>
          <cell r="AU107">
            <v>0</v>
          </cell>
          <cell r="AW107">
            <v>0</v>
          </cell>
          <cell r="AX107">
            <v>15</v>
          </cell>
          <cell r="AY107">
            <v>50</v>
          </cell>
          <cell r="AZ107">
            <v>0</v>
          </cell>
          <cell r="BD107">
            <v>0</v>
          </cell>
          <cell r="BE107">
            <v>79</v>
          </cell>
          <cell r="BF107">
            <v>13</v>
          </cell>
          <cell r="BH107">
            <v>0.24</v>
          </cell>
          <cell r="BJ107">
            <v>0</v>
          </cell>
          <cell r="BO107">
            <v>1E-3</v>
          </cell>
          <cell r="BS107">
            <v>1000</v>
          </cell>
          <cell r="BT107" t="str">
            <v>Ceiling (High)</v>
          </cell>
          <cell r="BV107">
            <v>3000</v>
          </cell>
          <cell r="BW107" t="str">
            <v>Ceiling (High)</v>
          </cell>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M108" t="str">
            <v>D</v>
          </cell>
          <cell r="N108">
            <v>1</v>
          </cell>
          <cell r="Q108">
            <v>1</v>
          </cell>
          <cell r="R108" t="str">
            <v>9e</v>
          </cell>
          <cell r="S108">
            <v>0.3</v>
          </cell>
          <cell r="T108" t="str">
            <v>9e</v>
          </cell>
          <cell r="U108">
            <v>1</v>
          </cell>
          <cell r="V108" t="str">
            <v>9e</v>
          </cell>
          <cell r="W108">
            <v>0.3</v>
          </cell>
          <cell r="X108" t="str">
            <v>9e</v>
          </cell>
          <cell r="Y108" t="str">
            <v>NC</v>
          </cell>
          <cell r="AA108" t="str">
            <v>NC</v>
          </cell>
          <cell r="AC108">
            <v>1</v>
          </cell>
          <cell r="AD108">
            <v>9</v>
          </cell>
          <cell r="AE108">
            <v>1</v>
          </cell>
          <cell r="AF108">
            <v>9</v>
          </cell>
          <cell r="AI108">
            <v>5</v>
          </cell>
          <cell r="AK108">
            <v>0.04</v>
          </cell>
          <cell r="AL108" t="str">
            <v>NC</v>
          </cell>
          <cell r="AM108">
            <v>0.6</v>
          </cell>
          <cell r="AN108">
            <v>4.7</v>
          </cell>
          <cell r="AO108">
            <v>0</v>
          </cell>
          <cell r="AU108">
            <v>0</v>
          </cell>
          <cell r="AW108">
            <v>0</v>
          </cell>
          <cell r="AX108">
            <v>1.4</v>
          </cell>
          <cell r="AY108">
            <v>7</v>
          </cell>
          <cell r="AZ108">
            <v>0</v>
          </cell>
          <cell r="BD108">
            <v>0</v>
          </cell>
          <cell r="BE108">
            <v>108</v>
          </cell>
          <cell r="BF108">
            <v>13</v>
          </cell>
          <cell r="BH108">
            <v>0.23</v>
          </cell>
          <cell r="BJ108">
            <v>0</v>
          </cell>
          <cell r="BO108">
            <v>5.9999999999999995E-4</v>
          </cell>
          <cell r="BS108">
            <v>1000</v>
          </cell>
          <cell r="BT108" t="str">
            <v>Ceiling (High)</v>
          </cell>
          <cell r="BV108">
            <v>3000</v>
          </cell>
          <cell r="BW108" t="str">
            <v>Ceiling (High)</v>
          </cell>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K109">
            <v>1</v>
          </cell>
          <cell r="AL109">
            <v>1</v>
          </cell>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O109">
            <v>3.6694417673371636E-2</v>
          </cell>
          <cell r="BS109">
            <v>500</v>
          </cell>
          <cell r="BT109" t="str">
            <v>Ceiling (Medium)</v>
          </cell>
          <cell r="BV109">
            <v>1000</v>
          </cell>
          <cell r="BW109" t="str">
            <v>Ceiling (Medium)</v>
          </cell>
          <cell r="BY109">
            <v>3000</v>
          </cell>
          <cell r="BZ109" t="str">
            <v>Ceiling (Medium)</v>
          </cell>
          <cell r="CA109">
            <v>50000</v>
          </cell>
          <cell r="CB109" t="str">
            <v>0.005%</v>
          </cell>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K110">
            <v>1</v>
          </cell>
          <cell r="AL110">
            <v>1</v>
          </cell>
          <cell r="AM110">
            <v>2.1999999999999999E-5</v>
          </cell>
          <cell r="AO110">
            <v>0</v>
          </cell>
          <cell r="AU110">
            <v>0</v>
          </cell>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O110">
            <v>0.76700818769351109</v>
          </cell>
          <cell r="BS110">
            <v>1000</v>
          </cell>
          <cell r="BT110" t="str">
            <v>Ceiling (High)</v>
          </cell>
          <cell r="BV110">
            <v>3000</v>
          </cell>
          <cell r="BW110" t="str">
            <v>Ceiling (High)</v>
          </cell>
          <cell r="BY110">
            <v>5000</v>
          </cell>
          <cell r="BZ110" t="str">
            <v>Ceiling (High)</v>
          </cell>
          <cell r="CA110">
            <v>50000</v>
          </cell>
          <cell r="CB110" t="str">
            <v>0.005%</v>
          </cell>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K111">
            <v>0.7</v>
          </cell>
          <cell r="AL111">
            <v>0.7</v>
          </cell>
          <cell r="AO111">
            <v>0</v>
          </cell>
          <cell r="AU111">
            <v>0</v>
          </cell>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O111">
            <v>1.5595525028269547E-2</v>
          </cell>
          <cell r="BS111">
            <v>100</v>
          </cell>
          <cell r="BT111" t="str">
            <v>Ceiling (Low)</v>
          </cell>
          <cell r="BV111">
            <v>500</v>
          </cell>
          <cell r="BW111" t="str">
            <v>Ceiling (Low)</v>
          </cell>
          <cell r="BY111">
            <v>500</v>
          </cell>
          <cell r="BZ111" t="str">
            <v>High Volatility</v>
          </cell>
          <cell r="CA111">
            <v>50000</v>
          </cell>
          <cell r="CB111" t="str">
            <v>0.005%</v>
          </cell>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L112">
            <v>0.7</v>
          </cell>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O112">
            <v>6.8643591792699517E-3</v>
          </cell>
          <cell r="BS112">
            <v>500</v>
          </cell>
          <cell r="BT112" t="str">
            <v>Ceiling (Medium)</v>
          </cell>
          <cell r="BV112">
            <v>1000</v>
          </cell>
          <cell r="BW112" t="str">
            <v>Ceiling (Medium)</v>
          </cell>
          <cell r="BY112">
            <v>3000</v>
          </cell>
          <cell r="BZ112" t="str">
            <v>Ceiling (Medium)</v>
          </cell>
          <cell r="CA112">
            <v>50000</v>
          </cell>
          <cell r="CB112" t="str">
            <v>0.005%</v>
          </cell>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K113">
            <v>1</v>
          </cell>
          <cell r="AL113">
            <v>1</v>
          </cell>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O113">
            <v>3.2688876924727196E-2</v>
          </cell>
          <cell r="BS113">
            <v>500</v>
          </cell>
          <cell r="BT113" t="str">
            <v>Ceiling (Medium)</v>
          </cell>
          <cell r="BV113">
            <v>1000</v>
          </cell>
          <cell r="BW113" t="str">
            <v>Ceiling (Medium)</v>
          </cell>
          <cell r="BY113">
            <v>3000</v>
          </cell>
          <cell r="BZ113" t="str">
            <v>Ceiling (Medium)</v>
          </cell>
          <cell r="CA113">
            <v>50000</v>
          </cell>
          <cell r="CB113" t="str">
            <v>0.005%</v>
          </cell>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Q114">
            <v>1</v>
          </cell>
          <cell r="R114" t="str">
            <v>9e</v>
          </cell>
          <cell r="S114">
            <v>0.01</v>
          </cell>
          <cell r="T114" t="str">
            <v>9e</v>
          </cell>
          <cell r="U114">
            <v>1</v>
          </cell>
          <cell r="V114" t="str">
            <v>9e</v>
          </cell>
          <cell r="W114">
            <v>0.01</v>
          </cell>
          <cell r="X114" t="str">
            <v>9e</v>
          </cell>
          <cell r="Y114" t="str">
            <v>NC</v>
          </cell>
          <cell r="AA114" t="str">
            <v>NC</v>
          </cell>
          <cell r="AC114">
            <v>1</v>
          </cell>
          <cell r="AD114">
            <v>9</v>
          </cell>
          <cell r="AE114">
            <v>1</v>
          </cell>
          <cell r="AF114">
            <v>9</v>
          </cell>
          <cell r="AI114">
            <v>5</v>
          </cell>
          <cell r="AK114">
            <v>1</v>
          </cell>
          <cell r="AL114" t="str">
            <v>NC</v>
          </cell>
          <cell r="AM114">
            <v>0.6</v>
          </cell>
          <cell r="AO114">
            <v>0</v>
          </cell>
          <cell r="AU114">
            <v>0</v>
          </cell>
          <cell r="AW114">
            <v>0</v>
          </cell>
          <cell r="AX114">
            <v>8</v>
          </cell>
          <cell r="AY114">
            <v>40</v>
          </cell>
          <cell r="AZ114">
            <v>0</v>
          </cell>
          <cell r="BD114">
            <v>0</v>
          </cell>
          <cell r="BE114">
            <v>204</v>
          </cell>
          <cell r="BF114">
            <v>13</v>
          </cell>
          <cell r="BH114">
            <v>0.23</v>
          </cell>
          <cell r="BJ114">
            <v>0</v>
          </cell>
          <cell r="BO114">
            <v>1E-3</v>
          </cell>
          <cell r="BS114">
            <v>1000</v>
          </cell>
          <cell r="BT114" t="str">
            <v>Ceiling (High)</v>
          </cell>
          <cell r="BV114">
            <v>3000</v>
          </cell>
          <cell r="BW114" t="str">
            <v>Ceiling (High)</v>
          </cell>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M115" t="str">
            <v>D</v>
          </cell>
          <cell r="N115">
            <v>1</v>
          </cell>
          <cell r="Q115">
            <v>1</v>
          </cell>
          <cell r="R115" t="str">
            <v>9e</v>
          </cell>
          <cell r="S115">
            <v>0.03</v>
          </cell>
          <cell r="T115" t="str">
            <v>9e</v>
          </cell>
          <cell r="U115">
            <v>1</v>
          </cell>
          <cell r="V115" t="str">
            <v>9e</v>
          </cell>
          <cell r="W115">
            <v>0.03</v>
          </cell>
          <cell r="X115" t="str">
            <v>9e</v>
          </cell>
          <cell r="Y115" t="str">
            <v>NC</v>
          </cell>
          <cell r="AA115" t="str">
            <v>NC</v>
          </cell>
          <cell r="AC115">
            <v>1</v>
          </cell>
          <cell r="AD115">
            <v>9</v>
          </cell>
          <cell r="AE115">
            <v>1</v>
          </cell>
          <cell r="AF115">
            <v>9</v>
          </cell>
          <cell r="AK115">
            <v>1</v>
          </cell>
          <cell r="AL115" t="str">
            <v>NC</v>
          </cell>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O115">
            <v>3.0661966160107378E-2</v>
          </cell>
          <cell r="BS115">
            <v>500</v>
          </cell>
          <cell r="BT115" t="str">
            <v>Ceiling (Medium)</v>
          </cell>
          <cell r="BV115">
            <v>1000</v>
          </cell>
          <cell r="BW115" t="str">
            <v>Ceiling (Medium)</v>
          </cell>
          <cell r="BY115">
            <v>3000</v>
          </cell>
          <cell r="BZ115" t="str">
            <v>Ceiling (Medium)</v>
          </cell>
          <cell r="CA115">
            <v>50000</v>
          </cell>
          <cell r="CB115" t="str">
            <v>0.005%</v>
          </cell>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M116" t="str">
            <v>D</v>
          </cell>
          <cell r="N116">
            <v>1</v>
          </cell>
          <cell r="Q116">
            <v>1</v>
          </cell>
          <cell r="R116" t="str">
            <v>9e</v>
          </cell>
          <cell r="S116">
            <v>0.03</v>
          </cell>
          <cell r="T116" t="str">
            <v>9e</v>
          </cell>
          <cell r="U116">
            <v>1</v>
          </cell>
          <cell r="V116" t="str">
            <v>9e</v>
          </cell>
          <cell r="W116">
            <v>0.03</v>
          </cell>
          <cell r="X116" t="str">
            <v>9e</v>
          </cell>
          <cell r="Y116" t="str">
            <v>NC</v>
          </cell>
          <cell r="AA116" t="str">
            <v>NC</v>
          </cell>
          <cell r="AC116">
            <v>1</v>
          </cell>
          <cell r="AD116">
            <v>9</v>
          </cell>
          <cell r="AE116">
            <v>1</v>
          </cell>
          <cell r="AF116">
            <v>9</v>
          </cell>
          <cell r="AK116">
            <v>1</v>
          </cell>
          <cell r="AL116" t="str">
            <v>NC</v>
          </cell>
          <cell r="AO116">
            <v>3.4</v>
          </cell>
          <cell r="AP116">
            <v>15</v>
          </cell>
          <cell r="AQ116">
            <v>0.08</v>
          </cell>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H116">
            <v>4.0199999999999996</v>
          </cell>
          <cell r="BI116">
            <v>16</v>
          </cell>
          <cell r="BJ116">
            <v>1660</v>
          </cell>
          <cell r="BK116" t="str">
            <v>17a</v>
          </cell>
          <cell r="BL116">
            <v>17</v>
          </cell>
          <cell r="BM116">
            <v>17</v>
          </cell>
          <cell r="BO116">
            <v>6.9119406439804909E-2</v>
          </cell>
          <cell r="BS116">
            <v>1000</v>
          </cell>
          <cell r="BT116" t="str">
            <v>Ceiling (High)</v>
          </cell>
          <cell r="BV116">
            <v>3000</v>
          </cell>
          <cell r="BW116" t="str">
            <v>Ceiling (High)</v>
          </cell>
          <cell r="BY116">
            <v>5000</v>
          </cell>
          <cell r="BZ116" t="str">
            <v>Ceiling (High)</v>
          </cell>
          <cell r="CA116">
            <v>50000</v>
          </cell>
          <cell r="CB116" t="str">
            <v>0.005%</v>
          </cell>
        </row>
        <row r="117">
          <cell r="A117" t="str">
            <v>TRICHLOROETHANE, 1,1,1-</v>
          </cell>
          <cell r="B117" t="str">
            <v>71-55-6</v>
          </cell>
          <cell r="C117">
            <v>42922</v>
          </cell>
          <cell r="D117">
            <v>2</v>
          </cell>
          <cell r="E117">
            <v>1</v>
          </cell>
          <cell r="F117">
            <v>7</v>
          </cell>
          <cell r="G117">
            <v>1</v>
          </cell>
          <cell r="H117">
            <v>5</v>
          </cell>
          <cell r="I117">
            <v>1</v>
          </cell>
          <cell r="J117">
            <v>5</v>
          </cell>
          <cell r="K117">
            <v>1</v>
          </cell>
          <cell r="M117" t="str">
            <v>D</v>
          </cell>
          <cell r="N117">
            <v>1</v>
          </cell>
          <cell r="Q117">
            <v>1</v>
          </cell>
          <cell r="R117" t="str">
            <v>9e</v>
          </cell>
          <cell r="S117">
            <v>0.03</v>
          </cell>
          <cell r="T117" t="str">
            <v>9e</v>
          </cell>
          <cell r="U117">
            <v>1</v>
          </cell>
          <cell r="V117" t="str">
            <v>9e</v>
          </cell>
          <cell r="W117">
            <v>0.03</v>
          </cell>
          <cell r="X117" t="str">
            <v>9e</v>
          </cell>
          <cell r="Y117" t="str">
            <v>NC</v>
          </cell>
          <cell r="AA117" t="str">
            <v>NC</v>
          </cell>
          <cell r="AC117">
            <v>1</v>
          </cell>
          <cell r="AD117">
            <v>9</v>
          </cell>
          <cell r="AE117">
            <v>1</v>
          </cell>
          <cell r="AF117">
            <v>9</v>
          </cell>
          <cell r="AK117">
            <v>1</v>
          </cell>
          <cell r="AL117" t="str">
            <v>NC</v>
          </cell>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O117">
            <v>1.2548736499304816E-2</v>
          </cell>
          <cell r="BS117">
            <v>500</v>
          </cell>
          <cell r="BT117" t="str">
            <v>Ceiling (Medium)</v>
          </cell>
          <cell r="BV117">
            <v>1000</v>
          </cell>
          <cell r="BW117" t="str">
            <v>Ceiling (Medium)</v>
          </cell>
          <cell r="BY117">
            <v>3000</v>
          </cell>
          <cell r="BZ117" t="str">
            <v>Ceiling (Medium)</v>
          </cell>
          <cell r="CA117">
            <v>50000</v>
          </cell>
          <cell r="CB117" t="str">
            <v>0.005%</v>
          </cell>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K118">
            <v>1</v>
          </cell>
          <cell r="AL118">
            <v>1</v>
          </cell>
          <cell r="AO118">
            <v>9.98</v>
          </cell>
          <cell r="AP118">
            <v>10</v>
          </cell>
          <cell r="AQ118">
            <v>1.835</v>
          </cell>
          <cell r="AU118">
            <v>0</v>
          </cell>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O118">
            <v>5.0419670131853726E-3</v>
          </cell>
          <cell r="BS118">
            <v>100</v>
          </cell>
          <cell r="BT118" t="str">
            <v>Ceiling (Low)</v>
          </cell>
          <cell r="BV118">
            <v>500</v>
          </cell>
          <cell r="BW118" t="str">
            <v>Ceiling (Low)</v>
          </cell>
          <cell r="BY118">
            <v>500</v>
          </cell>
          <cell r="BZ118" t="str">
            <v>High Volatility</v>
          </cell>
          <cell r="CA118">
            <v>50000</v>
          </cell>
          <cell r="CB118" t="str">
            <v>0.005%</v>
          </cell>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J119" t="str">
            <v>M</v>
          </cell>
          <cell r="AK119">
            <v>1</v>
          </cell>
          <cell r="AL119">
            <v>1</v>
          </cell>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O119">
            <v>1.1577105741152704E-2</v>
          </cell>
          <cell r="BS119">
            <v>500</v>
          </cell>
          <cell r="BT119" t="str">
            <v>Ceiling (Medium)</v>
          </cell>
          <cell r="BV119">
            <v>1000</v>
          </cell>
          <cell r="BW119" t="str">
            <v>Ceiling (Medium)</v>
          </cell>
          <cell r="BY119">
            <v>3000</v>
          </cell>
          <cell r="BZ119" t="str">
            <v>Ceiling (Medium)</v>
          </cell>
          <cell r="CA119">
            <v>50000</v>
          </cell>
          <cell r="CB119" t="str">
            <v>0.005%</v>
          </cell>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Q120">
            <v>1</v>
          </cell>
          <cell r="R120" t="str">
            <v>9e</v>
          </cell>
          <cell r="S120">
            <v>0.3</v>
          </cell>
          <cell r="T120" t="str">
            <v>9b</v>
          </cell>
          <cell r="U120">
            <v>1</v>
          </cell>
          <cell r="V120" t="str">
            <v>9e</v>
          </cell>
          <cell r="W120">
            <v>0.3</v>
          </cell>
          <cell r="X120" t="str">
            <v>9b</v>
          </cell>
          <cell r="Y120" t="str">
            <v>NC</v>
          </cell>
          <cell r="AA120" t="str">
            <v>NC</v>
          </cell>
          <cell r="AC120">
            <v>1</v>
          </cell>
          <cell r="AD120">
            <v>9</v>
          </cell>
          <cell r="AE120">
            <v>1</v>
          </cell>
          <cell r="AF120">
            <v>9</v>
          </cell>
          <cell r="AK120">
            <v>1</v>
          </cell>
          <cell r="AL120" t="str">
            <v>NC</v>
          </cell>
          <cell r="AO120">
            <v>0</v>
          </cell>
          <cell r="AR120">
            <v>200</v>
          </cell>
          <cell r="AS120">
            <v>24</v>
          </cell>
          <cell r="AU120">
            <v>0</v>
          </cell>
          <cell r="AW120">
            <v>0</v>
          </cell>
          <cell r="AX120">
            <v>0.66</v>
          </cell>
          <cell r="AY120">
            <v>10</v>
          </cell>
          <cell r="AZ120">
            <v>1200000</v>
          </cell>
          <cell r="BA120">
            <v>22</v>
          </cell>
          <cell r="BB120">
            <v>1.6199999999999999E-6</v>
          </cell>
          <cell r="BC120">
            <v>22</v>
          </cell>
          <cell r="BD120">
            <v>6.629562939924701E-5</v>
          </cell>
          <cell r="BE120">
            <v>197</v>
          </cell>
          <cell r="BF120">
            <v>11</v>
          </cell>
          <cell r="BH120">
            <v>3.72</v>
          </cell>
          <cell r="BI120">
            <v>17</v>
          </cell>
          <cell r="BJ120">
            <v>298</v>
          </cell>
          <cell r="BK120" t="str">
            <v>17b</v>
          </cell>
          <cell r="BL120">
            <v>69</v>
          </cell>
          <cell r="BM120">
            <v>17</v>
          </cell>
          <cell r="BO120">
            <v>3.5645113342624428E-2</v>
          </cell>
          <cell r="BS120">
            <v>1000</v>
          </cell>
          <cell r="BT120" t="str">
            <v>Ceiling (High)</v>
          </cell>
          <cell r="BV120">
            <v>3000</v>
          </cell>
          <cell r="BW120" t="str">
            <v>Ceiling (High)</v>
          </cell>
          <cell r="BY120">
            <v>5000</v>
          </cell>
          <cell r="BZ120" t="str">
            <v>Ceiling (High)</v>
          </cell>
          <cell r="CA120">
            <v>50000</v>
          </cell>
          <cell r="CB120" t="str">
            <v>0.005%</v>
          </cell>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K121">
            <v>1</v>
          </cell>
          <cell r="AL121">
            <v>1</v>
          </cell>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H121">
            <v>3.69</v>
          </cell>
          <cell r="BI121">
            <v>16</v>
          </cell>
          <cell r="BJ121">
            <v>131</v>
          </cell>
          <cell r="BK121" t="str">
            <v>17b</v>
          </cell>
          <cell r="BL121">
            <v>69</v>
          </cell>
          <cell r="BM121">
            <v>17</v>
          </cell>
          <cell r="BO121">
            <v>3.4056498956736098E-2</v>
          </cell>
          <cell r="BS121">
            <v>1000</v>
          </cell>
          <cell r="BT121" t="str">
            <v>Ceiling (High)</v>
          </cell>
          <cell r="BV121">
            <v>3000</v>
          </cell>
          <cell r="BW121" t="str">
            <v>Ceiling (High)</v>
          </cell>
          <cell r="BY121">
            <v>5000</v>
          </cell>
          <cell r="BZ121" t="str">
            <v>Ceiling (High)</v>
          </cell>
          <cell r="CA121">
            <v>50000</v>
          </cell>
          <cell r="CB121" t="str">
            <v>0.005%</v>
          </cell>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Q122">
            <v>1</v>
          </cell>
          <cell r="R122" t="str">
            <v>9e</v>
          </cell>
          <cell r="S122">
            <v>0.1</v>
          </cell>
          <cell r="T122" t="str">
            <v>9e</v>
          </cell>
          <cell r="U122">
            <v>1</v>
          </cell>
          <cell r="V122" t="str">
            <v>9e</v>
          </cell>
          <cell r="W122">
            <v>0.1</v>
          </cell>
          <cell r="X122" t="str">
            <v>9e</v>
          </cell>
          <cell r="Y122" t="str">
            <v>NC</v>
          </cell>
          <cell r="AA122" t="str">
            <v>NC</v>
          </cell>
          <cell r="AC122">
            <v>1</v>
          </cell>
          <cell r="AD122">
            <v>9</v>
          </cell>
          <cell r="AE122">
            <v>1</v>
          </cell>
          <cell r="AF122">
            <v>9</v>
          </cell>
          <cell r="AI122">
            <v>30</v>
          </cell>
          <cell r="AK122">
            <v>0.05</v>
          </cell>
          <cell r="AL122" t="str">
            <v>NC</v>
          </cell>
          <cell r="AM122">
            <v>30</v>
          </cell>
          <cell r="AO122">
            <v>0</v>
          </cell>
          <cell r="AU122">
            <v>0</v>
          </cell>
          <cell r="AW122">
            <v>0</v>
          </cell>
          <cell r="AX122">
            <v>0</v>
          </cell>
          <cell r="AY122">
            <v>8</v>
          </cell>
          <cell r="AZ122">
            <v>0</v>
          </cell>
          <cell r="BD122">
            <v>0</v>
          </cell>
          <cell r="BE122">
            <v>51</v>
          </cell>
          <cell r="BF122">
            <v>13</v>
          </cell>
          <cell r="BO122">
            <v>1E-3</v>
          </cell>
          <cell r="BS122">
            <v>1000</v>
          </cell>
          <cell r="BT122" t="str">
            <v>Ceiling (High)</v>
          </cell>
          <cell r="BV122">
            <v>3000</v>
          </cell>
          <cell r="BW122" t="str">
            <v>Ceiling (High)</v>
          </cell>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J123" t="str">
            <v>M</v>
          </cell>
          <cell r="AK123">
            <v>0.98</v>
          </cell>
          <cell r="AL123">
            <v>0.64</v>
          </cell>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O123">
            <v>8.2489752393533015E-3</v>
          </cell>
          <cell r="BS123">
            <v>500</v>
          </cell>
          <cell r="BT123" t="str">
            <v>Ceiling (Medium)</v>
          </cell>
          <cell r="BV123">
            <v>1000</v>
          </cell>
          <cell r="BW123" t="str">
            <v>Ceiling (Medium)</v>
          </cell>
          <cell r="BY123">
            <v>3000</v>
          </cell>
          <cell r="BZ123" t="str">
            <v>Ceiling (Medium)</v>
          </cell>
          <cell r="CA123">
            <v>50000</v>
          </cell>
          <cell r="CB123" t="str">
            <v>0.005%</v>
          </cell>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M124" t="str">
            <v>D</v>
          </cell>
          <cell r="N124">
            <v>1</v>
          </cell>
          <cell r="Q124">
            <v>1</v>
          </cell>
          <cell r="R124" t="str">
            <v>9e</v>
          </cell>
          <cell r="S124">
            <v>0.03</v>
          </cell>
          <cell r="T124" t="str">
            <v>9e</v>
          </cell>
          <cell r="U124">
            <v>1</v>
          </cell>
          <cell r="V124" t="str">
            <v>9e</v>
          </cell>
          <cell r="W124">
            <v>0.03</v>
          </cell>
          <cell r="X124" t="str">
            <v>9e</v>
          </cell>
          <cell r="Y124" t="str">
            <v>NC</v>
          </cell>
          <cell r="AA124" t="str">
            <v>NC</v>
          </cell>
          <cell r="AC124">
            <v>1</v>
          </cell>
          <cell r="AD124">
            <v>9</v>
          </cell>
          <cell r="AE124">
            <v>1</v>
          </cell>
          <cell r="AF124">
            <v>9</v>
          </cell>
          <cell r="AK124">
            <v>1</v>
          </cell>
          <cell r="AL124" t="str">
            <v>NC</v>
          </cell>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O124">
            <v>4.9203953568145137E-2</v>
          </cell>
          <cell r="BS124">
            <v>500</v>
          </cell>
          <cell r="BT124" t="str">
            <v>Ceiling (Medium)</v>
          </cell>
          <cell r="BV124">
            <v>1000</v>
          </cell>
          <cell r="BW124" t="str">
            <v>Ceiling (Medium)</v>
          </cell>
          <cell r="BY124">
            <v>3000</v>
          </cell>
          <cell r="BZ124" t="str">
            <v>Ceiling (Medium)</v>
          </cell>
          <cell r="CA124">
            <v>50000</v>
          </cell>
          <cell r="CB124" t="str">
            <v>0.005%</v>
          </cell>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M125" t="str">
            <v>D</v>
          </cell>
          <cell r="N125">
            <v>1</v>
          </cell>
          <cell r="Q125">
            <v>1</v>
          </cell>
          <cell r="R125" t="str">
            <v>9e</v>
          </cell>
          <cell r="S125">
            <v>0.1</v>
          </cell>
          <cell r="T125" t="str">
            <v>9e</v>
          </cell>
          <cell r="U125">
            <v>1</v>
          </cell>
          <cell r="V125" t="str">
            <v>9e</v>
          </cell>
          <cell r="W125">
            <v>0.1</v>
          </cell>
          <cell r="X125" t="str">
            <v>9e</v>
          </cell>
          <cell r="Y125" t="str">
            <v>NC</v>
          </cell>
          <cell r="AA125" t="str">
            <v>NC</v>
          </cell>
          <cell r="AC125">
            <v>1</v>
          </cell>
          <cell r="AD125">
            <v>9</v>
          </cell>
          <cell r="AE125">
            <v>1</v>
          </cell>
          <cell r="AF125">
            <v>9</v>
          </cell>
          <cell r="AI125">
            <v>300</v>
          </cell>
          <cell r="AK125">
            <v>0.46</v>
          </cell>
          <cell r="AL125" t="str">
            <v>NC</v>
          </cell>
          <cell r="AM125">
            <v>100</v>
          </cell>
          <cell r="AO125">
            <v>0</v>
          </cell>
          <cell r="AU125">
            <v>0</v>
          </cell>
          <cell r="AW125">
            <v>0</v>
          </cell>
          <cell r="AX125">
            <v>0.4</v>
          </cell>
          <cell r="AY125">
            <v>2</v>
          </cell>
          <cell r="AZ125">
            <v>0</v>
          </cell>
          <cell r="BE125">
            <v>65</v>
          </cell>
          <cell r="BF125">
            <v>13</v>
          </cell>
          <cell r="BH125">
            <v>-0.47</v>
          </cell>
          <cell r="BJ125">
            <v>0</v>
          </cell>
          <cell r="BO125">
            <v>5.9999999999999995E-4</v>
          </cell>
          <cell r="BP125">
            <v>1.52</v>
          </cell>
          <cell r="BS125">
            <v>1000</v>
          </cell>
          <cell r="BT125" t="str">
            <v>Ceiling (High)</v>
          </cell>
          <cell r="BV125">
            <v>3000</v>
          </cell>
          <cell r="BW125" t="str">
            <v>Ceiling (High)</v>
          </cell>
          <cell r="BY125">
            <v>5000</v>
          </cell>
          <cell r="BZ125" t="str">
            <v>Ceiling (High)</v>
          </cell>
          <cell r="CA125">
            <v>50000</v>
          </cell>
          <cell r="CB125" t="str">
            <v>0.005%</v>
          </cell>
          <cell r="CC125" t="str">
            <v>Y</v>
          </cell>
        </row>
      </sheetData>
      <sheetData sheetId="2">
        <row r="3">
          <cell r="B3" t="str">
            <v>RISK LEVELS</v>
          </cell>
        </row>
        <row r="4">
          <cell r="B4" t="str">
            <v>(all Calculations)</v>
          </cell>
        </row>
        <row r="6">
          <cell r="B6" t="str">
            <v>Target Non-cancer Risk Level:</v>
          </cell>
        </row>
        <row r="8">
          <cell r="C8" t="str">
            <v xml:space="preserve">Hazard Index = </v>
          </cell>
          <cell r="D8">
            <v>0.2</v>
          </cell>
        </row>
        <row r="10">
          <cell r="B10" t="str">
            <v>Target Cancer Risk Level:</v>
          </cell>
        </row>
        <row r="12">
          <cell r="C12" t="str">
            <v>Excess Lifetime Cancer Risk =</v>
          </cell>
          <cell r="D12">
            <v>9.9999999999999995E-7</v>
          </cell>
        </row>
      </sheetData>
      <sheetData sheetId="3">
        <row r="3">
          <cell r="C3" t="str">
            <v>PQL</v>
          </cell>
          <cell r="D3" t="str">
            <v>PQL</v>
          </cell>
        </row>
        <row r="4">
          <cell r="C4" t="str">
            <v>Ground</v>
          </cell>
          <cell r="D4" t="str">
            <v>Soil</v>
          </cell>
        </row>
        <row r="5">
          <cell r="B5" t="str">
            <v>CASRN</v>
          </cell>
          <cell r="C5" t="str">
            <v>Water</v>
          </cell>
        </row>
        <row r="6">
          <cell r="A6" t="str">
            <v>OIL OR HAZARDOUS MATERIAL (OHM)</v>
          </cell>
          <cell r="C6" t="str">
            <v>ug/L</v>
          </cell>
          <cell r="D6" t="str">
            <v>mg/kg</v>
          </cell>
          <cell r="E6" t="str">
            <v>Ref</v>
          </cell>
        </row>
        <row r="7">
          <cell r="A7" t="str">
            <v>ACENAPHTHENE</v>
          </cell>
          <cell r="B7" t="str">
            <v>83-32-9</v>
          </cell>
          <cell r="C7">
            <v>10</v>
          </cell>
          <cell r="D7">
            <v>0.66</v>
          </cell>
          <cell r="E7" t="str">
            <v>10b</v>
          </cell>
        </row>
        <row r="8">
          <cell r="A8" t="str">
            <v>ACENAPHTHYLENE</v>
          </cell>
          <cell r="B8" t="str">
            <v>208-96-8</v>
          </cell>
          <cell r="C8">
            <v>0.5</v>
          </cell>
          <cell r="D8">
            <v>0.66</v>
          </cell>
          <cell r="E8" t="str">
            <v>10b</v>
          </cell>
        </row>
        <row r="9">
          <cell r="A9" t="str">
            <v>ACETONE</v>
          </cell>
          <cell r="B9" t="str">
            <v>67-64-1</v>
          </cell>
          <cell r="C9">
            <v>100</v>
          </cell>
          <cell r="D9">
            <v>0.1</v>
          </cell>
          <cell r="E9" t="str">
            <v>10b</v>
          </cell>
        </row>
        <row r="10">
          <cell r="A10" t="str">
            <v>ALDRIN</v>
          </cell>
          <cell r="B10" t="str">
            <v>309-00-2</v>
          </cell>
          <cell r="C10">
            <v>0.5</v>
          </cell>
          <cell r="D10">
            <v>2.6800000000000001E-3</v>
          </cell>
          <cell r="E10" t="str">
            <v>10b</v>
          </cell>
        </row>
        <row r="11">
          <cell r="A11" t="str">
            <v>ANTHRACENE</v>
          </cell>
          <cell r="B11" t="str">
            <v>120-12-7</v>
          </cell>
          <cell r="C11">
            <v>0.5</v>
          </cell>
          <cell r="D11">
            <v>0.66</v>
          </cell>
          <cell r="E11" t="str">
            <v>10b</v>
          </cell>
        </row>
        <row r="12">
          <cell r="A12" t="str">
            <v>ANTIMONY</v>
          </cell>
          <cell r="B12" t="str">
            <v>7440-36-0</v>
          </cell>
          <cell r="C12">
            <v>32</v>
          </cell>
          <cell r="D12">
            <v>6.4</v>
          </cell>
          <cell r="E12" t="str">
            <v>10a</v>
          </cell>
        </row>
        <row r="13">
          <cell r="A13" t="str">
            <v>ARSENIC</v>
          </cell>
          <cell r="B13" t="str">
            <v>7440-38-2</v>
          </cell>
          <cell r="C13">
            <v>50</v>
          </cell>
          <cell r="D13">
            <v>10.6</v>
          </cell>
          <cell r="E13" t="str">
            <v>10d</v>
          </cell>
        </row>
        <row r="14">
          <cell r="A14" t="str">
            <v>BARIUM</v>
          </cell>
          <cell r="B14" t="str">
            <v>7440-39-3</v>
          </cell>
          <cell r="C14">
            <v>2</v>
          </cell>
        </row>
        <row r="15">
          <cell r="A15" t="str">
            <v>BENZENE</v>
          </cell>
          <cell r="B15" t="str">
            <v>71-43-2</v>
          </cell>
          <cell r="C15">
            <v>0.5</v>
          </cell>
          <cell r="D15">
            <v>0.1</v>
          </cell>
          <cell r="E15" t="str">
            <v>10b</v>
          </cell>
        </row>
        <row r="16">
          <cell r="A16" t="str">
            <v>BENZO(a)ANTHRACENE</v>
          </cell>
          <cell r="B16" t="str">
            <v>56-55-3</v>
          </cell>
          <cell r="C16">
            <v>1</v>
          </cell>
          <cell r="D16">
            <v>0.66</v>
          </cell>
          <cell r="E16" t="str">
            <v>10b</v>
          </cell>
        </row>
        <row r="17">
          <cell r="A17" t="str">
            <v>BENZO(a)PYRENE</v>
          </cell>
          <cell r="B17" t="str">
            <v>50-32-8</v>
          </cell>
          <cell r="C17">
            <v>0.5</v>
          </cell>
          <cell r="D17">
            <v>0.66</v>
          </cell>
          <cell r="E17" t="str">
            <v>10b</v>
          </cell>
        </row>
        <row r="18">
          <cell r="A18" t="str">
            <v>BENZO(b)FLUORANTHENE</v>
          </cell>
          <cell r="B18" t="str">
            <v>205-99-2</v>
          </cell>
          <cell r="C18">
            <v>1</v>
          </cell>
          <cell r="D18">
            <v>0.66</v>
          </cell>
          <cell r="E18" t="str">
            <v>10b</v>
          </cell>
        </row>
        <row r="19">
          <cell r="A19" t="str">
            <v>BENZO(g,h,i)PERYLENE</v>
          </cell>
          <cell r="B19" t="str">
            <v>191-24-2</v>
          </cell>
          <cell r="C19">
            <v>0.5</v>
          </cell>
          <cell r="D19">
            <v>0.66</v>
          </cell>
          <cell r="E19" t="str">
            <v>10b</v>
          </cell>
        </row>
        <row r="20">
          <cell r="A20" t="str">
            <v>BENZO(k)FLUORANTHENE</v>
          </cell>
          <cell r="B20" t="str">
            <v>207-08-9</v>
          </cell>
          <cell r="C20">
            <v>1</v>
          </cell>
          <cell r="D20">
            <v>0.66</v>
          </cell>
          <cell r="E20" t="str">
            <v>10b</v>
          </cell>
        </row>
        <row r="21">
          <cell r="A21" t="str">
            <v>BERYLLIUM</v>
          </cell>
          <cell r="B21" t="str">
            <v>7440-41-7</v>
          </cell>
          <cell r="C21">
            <v>0.3</v>
          </cell>
          <cell r="D21">
            <v>0.06</v>
          </cell>
          <cell r="E21" t="str">
            <v>10a</v>
          </cell>
        </row>
        <row r="22">
          <cell r="A22" t="str">
            <v>BIPHENYL, 1,1-</v>
          </cell>
          <cell r="B22" t="str">
            <v xml:space="preserve">92-52-4 </v>
          </cell>
          <cell r="C22">
            <v>0.1</v>
          </cell>
          <cell r="D22">
            <v>0.05</v>
          </cell>
          <cell r="E22" t="str">
            <v>10b</v>
          </cell>
        </row>
        <row r="23">
          <cell r="A23" t="str">
            <v>BIS(2-CHLOROETHYL)ETHER</v>
          </cell>
          <cell r="B23" t="str">
            <v>111-44-4</v>
          </cell>
          <cell r="C23">
            <v>28.5</v>
          </cell>
          <cell r="D23">
            <v>0.66</v>
          </cell>
          <cell r="E23" t="str">
            <v>10a</v>
          </cell>
        </row>
        <row r="24">
          <cell r="A24" t="str">
            <v>BIS(2-CHLOROISOPROPYL)ETHER</v>
          </cell>
          <cell r="B24" t="str">
            <v>108-60-1</v>
          </cell>
          <cell r="C24">
            <v>28.5</v>
          </cell>
          <cell r="D24">
            <v>0.66</v>
          </cell>
          <cell r="E24" t="str">
            <v>10a</v>
          </cell>
        </row>
        <row r="25">
          <cell r="A25" t="str">
            <v>BIS(2-ETHYLHEXYL)PHTHALATE</v>
          </cell>
          <cell r="B25" t="str">
            <v>117-81-7</v>
          </cell>
          <cell r="C25">
            <v>4</v>
          </cell>
          <cell r="D25">
            <v>0.66</v>
          </cell>
          <cell r="E25" t="str">
            <v>10b</v>
          </cell>
        </row>
        <row r="26">
          <cell r="A26" t="str">
            <v>BROMODICHLOROMETHANE</v>
          </cell>
          <cell r="B26" t="str">
            <v>75-27-4</v>
          </cell>
          <cell r="C26">
            <v>2.5</v>
          </cell>
          <cell r="D26">
            <v>0.1</v>
          </cell>
          <cell r="E26" t="str">
            <v>10b</v>
          </cell>
        </row>
        <row r="27">
          <cell r="A27" t="str">
            <v>BROMOFORM</v>
          </cell>
          <cell r="B27" t="str">
            <v>75-25-2</v>
          </cell>
          <cell r="C27">
            <v>3.5</v>
          </cell>
          <cell r="D27">
            <v>0.1</v>
          </cell>
          <cell r="E27" t="str">
            <v>10b</v>
          </cell>
        </row>
        <row r="28">
          <cell r="A28" t="str">
            <v>BROMOMETHANE</v>
          </cell>
          <cell r="B28" t="str">
            <v>74-83-9</v>
          </cell>
          <cell r="C28">
            <v>0.55000000000000004</v>
          </cell>
          <cell r="D28">
            <v>0.5</v>
          </cell>
          <cell r="E28" t="str">
            <v>10g</v>
          </cell>
        </row>
        <row r="29">
          <cell r="A29" t="str">
            <v>CADMIUM</v>
          </cell>
          <cell r="B29" t="str">
            <v>7440-43-9</v>
          </cell>
          <cell r="C29">
            <v>4</v>
          </cell>
          <cell r="D29">
            <v>0.8</v>
          </cell>
          <cell r="E29" t="str">
            <v>10a</v>
          </cell>
        </row>
        <row r="30">
          <cell r="A30" t="str">
            <v>CARBON TETRACHLORIDE</v>
          </cell>
          <cell r="B30" t="str">
            <v>56-23-5</v>
          </cell>
          <cell r="C30">
            <v>1.5</v>
          </cell>
          <cell r="D30">
            <v>0.1</v>
          </cell>
          <cell r="E30" t="str">
            <v>10b</v>
          </cell>
        </row>
        <row r="31">
          <cell r="A31" t="str">
            <v>CHLORDANE</v>
          </cell>
          <cell r="B31" t="str">
            <v>12789-03-6</v>
          </cell>
          <cell r="C31">
            <v>1.5</v>
          </cell>
          <cell r="D31">
            <v>0.7</v>
          </cell>
          <cell r="E31" t="str">
            <v>10b</v>
          </cell>
        </row>
        <row r="32">
          <cell r="A32" t="str">
            <v>CHLOROANILINE, p-</v>
          </cell>
          <cell r="B32" t="str">
            <v>106-47-8</v>
          </cell>
          <cell r="C32">
            <v>20</v>
          </cell>
          <cell r="D32">
            <v>1.3</v>
          </cell>
          <cell r="E32" t="str">
            <v>10b</v>
          </cell>
        </row>
        <row r="33">
          <cell r="A33" t="str">
            <v>CHLOROBENZENE</v>
          </cell>
          <cell r="B33" t="str">
            <v>108-90-7</v>
          </cell>
          <cell r="C33">
            <v>0.5</v>
          </cell>
          <cell r="D33">
            <v>0.1</v>
          </cell>
          <cell r="E33" t="str">
            <v>10b</v>
          </cell>
        </row>
        <row r="34">
          <cell r="A34" t="str">
            <v>CHLOROFORM</v>
          </cell>
          <cell r="B34" t="str">
            <v>67-66-3</v>
          </cell>
          <cell r="C34">
            <v>1</v>
          </cell>
          <cell r="D34">
            <v>0.1</v>
          </cell>
          <cell r="E34" t="str">
            <v>10b</v>
          </cell>
        </row>
        <row r="35">
          <cell r="A35" t="str">
            <v>CHLOROPHENOL, 2-</v>
          </cell>
          <cell r="B35" t="str">
            <v>95-57-8</v>
          </cell>
          <cell r="C35">
            <v>10</v>
          </cell>
          <cell r="D35">
            <v>0.66</v>
          </cell>
          <cell r="E35" t="str">
            <v>10b</v>
          </cell>
        </row>
        <row r="36">
          <cell r="A36" t="str">
            <v>CHROMIUM (TOTAL)</v>
          </cell>
          <cell r="B36" t="str">
            <v>7440-47-3</v>
          </cell>
          <cell r="C36">
            <v>0.5</v>
          </cell>
          <cell r="D36">
            <v>0</v>
          </cell>
          <cell r="E36" t="str">
            <v>10b</v>
          </cell>
        </row>
        <row r="37">
          <cell r="A37" t="str">
            <v>CHROMIUM(III)</v>
          </cell>
          <cell r="B37" t="str">
            <v>16065-83-1</v>
          </cell>
          <cell r="C37">
            <v>7</v>
          </cell>
          <cell r="D37">
            <v>1.4</v>
          </cell>
          <cell r="E37" t="str">
            <v>10b</v>
          </cell>
        </row>
        <row r="38">
          <cell r="A38" t="str">
            <v>CHROMIUM(VI)</v>
          </cell>
          <cell r="B38" t="str">
            <v>18540-29-9</v>
          </cell>
          <cell r="C38">
            <v>0.5</v>
          </cell>
          <cell r="D38">
            <v>0</v>
          </cell>
          <cell r="E38" t="str">
            <v>10b</v>
          </cell>
        </row>
        <row r="39">
          <cell r="A39" t="str">
            <v>CHRYSENE</v>
          </cell>
          <cell r="B39" t="str">
            <v>218-01-9</v>
          </cell>
          <cell r="C39">
            <v>1.5</v>
          </cell>
          <cell r="D39">
            <v>0.66</v>
          </cell>
          <cell r="E39" t="str">
            <v>10b</v>
          </cell>
        </row>
        <row r="40">
          <cell r="A40" t="str">
            <v>CYANIDE</v>
          </cell>
          <cell r="B40" t="str">
            <v>57-12-5</v>
          </cell>
          <cell r="C40">
            <v>0.1</v>
          </cell>
          <cell r="D40">
            <v>1</v>
          </cell>
          <cell r="E40" t="str">
            <v>10a</v>
          </cell>
        </row>
        <row r="41">
          <cell r="A41" t="str">
            <v>DIBENZO(a,h)ANTHRACENE</v>
          </cell>
          <cell r="B41" t="str">
            <v xml:space="preserve">53-70-3 </v>
          </cell>
          <cell r="C41">
            <v>0.5</v>
          </cell>
          <cell r="D41">
            <v>0.66</v>
          </cell>
          <cell r="E41" t="str">
            <v>10b</v>
          </cell>
        </row>
        <row r="42">
          <cell r="A42" t="str">
            <v>DIBROMOCHLOROMETHANE</v>
          </cell>
          <cell r="B42" t="str">
            <v>124-48-1</v>
          </cell>
          <cell r="C42">
            <v>2</v>
          </cell>
          <cell r="D42">
            <v>5.0000000000000001E-3</v>
          </cell>
          <cell r="E42" t="str">
            <v>10b</v>
          </cell>
        </row>
        <row r="43">
          <cell r="A43" t="str">
            <v>DICHLOROBENZENE, 1,2-  (o-DCB)</v>
          </cell>
          <cell r="B43" t="str">
            <v>95-50-1</v>
          </cell>
          <cell r="C43">
            <v>5</v>
          </cell>
          <cell r="D43">
            <v>0.66</v>
          </cell>
          <cell r="E43" t="str">
            <v>10b</v>
          </cell>
        </row>
        <row r="44">
          <cell r="A44" t="str">
            <v>DICHLOROBENZENE, 1,3-  (m-DCB)</v>
          </cell>
          <cell r="B44" t="str">
            <v>541-73-1</v>
          </cell>
          <cell r="C44">
            <v>0.6</v>
          </cell>
          <cell r="D44">
            <v>0.66</v>
          </cell>
          <cell r="E44" t="str">
            <v>10b</v>
          </cell>
        </row>
        <row r="45">
          <cell r="A45" t="str">
            <v>DICHLOROBENZENE, 1,4-  (p-DCB)</v>
          </cell>
          <cell r="B45" t="str">
            <v>106-46-7</v>
          </cell>
          <cell r="C45">
            <v>0.2</v>
          </cell>
          <cell r="D45">
            <v>0.66</v>
          </cell>
          <cell r="E45" t="str">
            <v>10b</v>
          </cell>
        </row>
        <row r="46">
          <cell r="A46" t="str">
            <v>DICHLOROBENZIDINE, 3,3'-</v>
          </cell>
          <cell r="B46" t="str">
            <v>91-94-1</v>
          </cell>
          <cell r="C46">
            <v>82.5</v>
          </cell>
          <cell r="D46">
            <v>1.3</v>
          </cell>
          <cell r="E46" t="str">
            <v>10a</v>
          </cell>
        </row>
        <row r="47">
          <cell r="A47" t="str">
            <v>DICHLORODIPHENYL DICHLOROETHANE, P,P'- (DDD)</v>
          </cell>
          <cell r="B47" t="str">
            <v>72-54-8</v>
          </cell>
          <cell r="C47">
            <v>1.2500000000000001E-2</v>
          </cell>
          <cell r="D47">
            <v>7.3699999999999998E-3</v>
          </cell>
          <cell r="E47" t="str">
            <v>10a</v>
          </cell>
        </row>
        <row r="48">
          <cell r="A48" t="str">
            <v>DICHLORODIPHENYLDICHLOROETHYLENE,P,P'- (DDE)</v>
          </cell>
          <cell r="B48" t="str">
            <v>72-55-9</v>
          </cell>
          <cell r="C48">
            <v>0.05</v>
          </cell>
          <cell r="D48">
            <v>2.6800000000000001E-3</v>
          </cell>
          <cell r="E48" t="str">
            <v>10a</v>
          </cell>
        </row>
        <row r="49">
          <cell r="A49" t="str">
            <v>DICHLORODIPHENYLTRICHLOROETHANE, P,P'- (DDT)</v>
          </cell>
          <cell r="B49" t="str">
            <v>50-29-3</v>
          </cell>
          <cell r="C49">
            <v>0.3</v>
          </cell>
          <cell r="D49">
            <v>8.0399999999999985E-3</v>
          </cell>
          <cell r="E49" t="str">
            <v>10a</v>
          </cell>
        </row>
        <row r="50">
          <cell r="A50" t="str">
            <v>DICHLOROETHANE, 1,1-</v>
          </cell>
          <cell r="B50" t="str">
            <v xml:space="preserve">75-34-3 </v>
          </cell>
          <cell r="C50">
            <v>1</v>
          </cell>
          <cell r="D50">
            <v>0.1</v>
          </cell>
          <cell r="E50" t="str">
            <v>10b</v>
          </cell>
        </row>
        <row r="51">
          <cell r="A51" t="str">
            <v>DICHLOROETHANE, 1,2-</v>
          </cell>
          <cell r="B51" t="str">
            <v>107-06-2</v>
          </cell>
          <cell r="C51">
            <v>1</v>
          </cell>
          <cell r="D51">
            <v>0.1</v>
          </cell>
          <cell r="E51" t="str">
            <v>10b</v>
          </cell>
        </row>
        <row r="52">
          <cell r="A52" t="str">
            <v>DICHLOROETHYLENE, 1,1-</v>
          </cell>
          <cell r="B52" t="str">
            <v>75-35-4</v>
          </cell>
          <cell r="C52">
            <v>1</v>
          </cell>
          <cell r="D52">
            <v>0.1</v>
          </cell>
          <cell r="E52" t="str">
            <v>10b</v>
          </cell>
        </row>
        <row r="53">
          <cell r="A53" t="str">
            <v>DICHLOROETHYLENE, CIS-1,2-</v>
          </cell>
          <cell r="B53" t="str">
            <v>156-59-2</v>
          </cell>
          <cell r="C53">
            <v>0.6</v>
          </cell>
          <cell r="D53">
            <v>0.1</v>
          </cell>
          <cell r="E53" t="str">
            <v>10b</v>
          </cell>
        </row>
        <row r="54">
          <cell r="A54" t="str">
            <v>DICHLOROETHYLENE, TRANS-1,2-</v>
          </cell>
          <cell r="B54" t="str">
            <v>156-60-5</v>
          </cell>
          <cell r="C54">
            <v>0.3</v>
          </cell>
          <cell r="D54">
            <v>0.1</v>
          </cell>
          <cell r="E54" t="str">
            <v>10b</v>
          </cell>
        </row>
        <row r="55">
          <cell r="A55" t="str">
            <v>DICHLOROMETHANE</v>
          </cell>
          <cell r="B55" t="str">
            <v>75-09-2</v>
          </cell>
          <cell r="C55">
            <v>5</v>
          </cell>
          <cell r="D55">
            <v>0.1</v>
          </cell>
          <cell r="E55" t="str">
            <v>10b</v>
          </cell>
        </row>
        <row r="56">
          <cell r="A56" t="str">
            <v>DICHLOROPHENOL, 2,4-</v>
          </cell>
          <cell r="B56" t="str">
            <v>120-83-2</v>
          </cell>
          <cell r="C56">
            <v>13.5</v>
          </cell>
          <cell r="D56">
            <v>0.66</v>
          </cell>
          <cell r="E56" t="str">
            <v>10a</v>
          </cell>
        </row>
        <row r="57">
          <cell r="A57" t="str">
            <v>DICHLOROPROPANE, 1,2-</v>
          </cell>
          <cell r="B57" t="str">
            <v>78-87-5</v>
          </cell>
          <cell r="C57">
            <v>1</v>
          </cell>
          <cell r="D57">
            <v>0.1</v>
          </cell>
          <cell r="E57" t="str">
            <v>10b</v>
          </cell>
        </row>
        <row r="58">
          <cell r="A58" t="str">
            <v>DICHLOROPROPENE, 1,3-</v>
          </cell>
          <cell r="B58" t="str">
            <v>542-75-6</v>
          </cell>
          <cell r="C58">
            <v>5</v>
          </cell>
          <cell r="D58">
            <v>5.0000000000000001E-3</v>
          </cell>
          <cell r="E58" t="str">
            <v>10b</v>
          </cell>
        </row>
        <row r="59">
          <cell r="A59" t="str">
            <v>DIELDRIN</v>
          </cell>
          <cell r="B59" t="str">
            <v>60-57-1</v>
          </cell>
          <cell r="C59">
            <v>0.1</v>
          </cell>
          <cell r="D59">
            <v>1.34E-3</v>
          </cell>
          <cell r="E59" t="str">
            <v>10a</v>
          </cell>
        </row>
        <row r="60">
          <cell r="A60" t="str">
            <v>DIETHYL PHTHALATE</v>
          </cell>
          <cell r="B60" t="str">
            <v>84-66-2</v>
          </cell>
          <cell r="C60">
            <v>4</v>
          </cell>
          <cell r="D60">
            <v>0.66</v>
          </cell>
          <cell r="E60" t="str">
            <v>10b</v>
          </cell>
        </row>
        <row r="61">
          <cell r="A61" t="str">
            <v>DIMETHYL PHTHALATE</v>
          </cell>
          <cell r="B61" t="str">
            <v>131-11-3</v>
          </cell>
          <cell r="C61">
            <v>1.5</v>
          </cell>
          <cell r="D61">
            <v>0.66</v>
          </cell>
          <cell r="E61" t="str">
            <v>10b</v>
          </cell>
        </row>
        <row r="62">
          <cell r="A62" t="str">
            <v>DIMETHYLPHENOL, 2,4-</v>
          </cell>
          <cell r="B62" t="str">
            <v>105-67-9</v>
          </cell>
          <cell r="C62">
            <v>13.5</v>
          </cell>
          <cell r="D62">
            <v>0.66</v>
          </cell>
          <cell r="E62" t="str">
            <v>10a</v>
          </cell>
        </row>
        <row r="63">
          <cell r="A63" t="str">
            <v>DINITROPHENOL, 2,4-</v>
          </cell>
          <cell r="B63" t="str">
            <v>51-28-5</v>
          </cell>
          <cell r="C63">
            <v>210</v>
          </cell>
          <cell r="D63">
            <v>3.3</v>
          </cell>
          <cell r="E63" t="str">
            <v>10a</v>
          </cell>
        </row>
        <row r="64">
          <cell r="A64" t="str">
            <v>DINITROTOLUENE, 2,4-</v>
          </cell>
          <cell r="B64" t="str">
            <v>121-14-2</v>
          </cell>
          <cell r="C64">
            <v>28.5</v>
          </cell>
          <cell r="D64">
            <v>0.66</v>
          </cell>
          <cell r="E64" t="str">
            <v>10a</v>
          </cell>
        </row>
        <row r="65">
          <cell r="A65" t="str">
            <v>DIOXANE, 1,4-</v>
          </cell>
          <cell r="B65" t="str">
            <v>123-91-1</v>
          </cell>
          <cell r="C65">
            <v>0.04</v>
          </cell>
          <cell r="D65">
            <v>0.15</v>
          </cell>
          <cell r="E65" t="str">
            <v>10e</v>
          </cell>
        </row>
        <row r="66">
          <cell r="A66" t="str">
            <v>ENDOSULFAN</v>
          </cell>
          <cell r="B66" t="str">
            <v>115-29-7</v>
          </cell>
          <cell r="C66">
            <v>0.12</v>
          </cell>
          <cell r="D66">
            <v>9.3800000000000012E-3</v>
          </cell>
          <cell r="E66" t="str">
            <v>10a</v>
          </cell>
        </row>
        <row r="67">
          <cell r="A67" t="str">
            <v>ENDRIN</v>
          </cell>
          <cell r="B67" t="str">
            <v>72-20-8</v>
          </cell>
          <cell r="C67">
            <v>5</v>
          </cell>
          <cell r="D67">
            <v>4.0199999999999993E-3</v>
          </cell>
          <cell r="E67" t="str">
            <v>10b</v>
          </cell>
        </row>
        <row r="68">
          <cell r="A68" t="str">
            <v>ETHYLBENZENE</v>
          </cell>
          <cell r="B68" t="str">
            <v>100-41-4</v>
          </cell>
          <cell r="C68">
            <v>0.3</v>
          </cell>
          <cell r="D68">
            <v>0.1</v>
          </cell>
          <cell r="E68" t="str">
            <v>10b</v>
          </cell>
        </row>
        <row r="69">
          <cell r="A69" t="str">
            <v>ETHYLENE DIBROMIDE</v>
          </cell>
          <cell r="B69" t="str">
            <v>106-93-4</v>
          </cell>
          <cell r="C69">
            <v>0.3</v>
          </cell>
          <cell r="D69">
            <v>0.1</v>
          </cell>
          <cell r="E69" t="str">
            <v>10b</v>
          </cell>
        </row>
        <row r="70">
          <cell r="A70" t="str">
            <v>FLUORANTHENE</v>
          </cell>
          <cell r="B70" t="str">
            <v>206-44-0</v>
          </cell>
          <cell r="C70">
            <v>11</v>
          </cell>
          <cell r="D70">
            <v>0.66</v>
          </cell>
          <cell r="E70" t="str">
            <v>10a</v>
          </cell>
        </row>
        <row r="71">
          <cell r="A71" t="str">
            <v>FLUORENE</v>
          </cell>
          <cell r="B71" t="str">
            <v>86-73-7</v>
          </cell>
          <cell r="C71">
            <v>1</v>
          </cell>
          <cell r="D71">
            <v>0.66</v>
          </cell>
          <cell r="E71" t="str">
            <v>10b</v>
          </cell>
        </row>
        <row r="72">
          <cell r="A72" t="str">
            <v>HEPTACHLOR</v>
          </cell>
          <cell r="B72" t="str">
            <v>76-44-8</v>
          </cell>
          <cell r="C72">
            <v>1</v>
          </cell>
          <cell r="D72">
            <v>2.0099999999999996E-3</v>
          </cell>
          <cell r="E72" t="str">
            <v>10b</v>
          </cell>
        </row>
        <row r="73">
          <cell r="A73" t="str">
            <v>HEPTACHLOR EPOXIDE</v>
          </cell>
          <cell r="B73" t="str">
            <v>1024-57-3</v>
          </cell>
          <cell r="C73">
            <v>1.5</v>
          </cell>
          <cell r="D73">
            <v>5.561E-2</v>
          </cell>
          <cell r="E73" t="str">
            <v>10b</v>
          </cell>
        </row>
        <row r="74">
          <cell r="A74" t="str">
            <v>HEXACHLOROBENZENE</v>
          </cell>
          <cell r="B74" t="str">
            <v>118-74-1</v>
          </cell>
          <cell r="C74">
            <v>1</v>
          </cell>
          <cell r="D74">
            <v>0.66</v>
          </cell>
          <cell r="E74" t="str">
            <v>10b</v>
          </cell>
        </row>
        <row r="75">
          <cell r="A75" t="str">
            <v>HEXACHLOROBUTADIENE</v>
          </cell>
          <cell r="B75" t="str">
            <v>87-68-3</v>
          </cell>
          <cell r="C75">
            <v>0.55000000000000004</v>
          </cell>
          <cell r="D75">
            <v>0.66</v>
          </cell>
          <cell r="E75" t="str">
            <v>10b</v>
          </cell>
        </row>
        <row r="76">
          <cell r="A76" t="str">
            <v>HEXACHLOROCYCLOHEXANE, GAMMA (gamma-HCH)</v>
          </cell>
          <cell r="B76" t="str">
            <v>58-89-9</v>
          </cell>
          <cell r="C76">
            <v>0.5</v>
          </cell>
          <cell r="D76">
            <v>2.6800000000000001E-3</v>
          </cell>
          <cell r="E76" t="str">
            <v>10b</v>
          </cell>
        </row>
        <row r="77">
          <cell r="A77" t="str">
            <v>HEXACHLOROETHANE</v>
          </cell>
          <cell r="B77" t="str">
            <v>67-72-1</v>
          </cell>
          <cell r="C77">
            <v>8</v>
          </cell>
          <cell r="D77">
            <v>0.66</v>
          </cell>
          <cell r="E77" t="str">
            <v>10a</v>
          </cell>
        </row>
        <row r="78">
          <cell r="A78" t="str">
            <v>HMX</v>
          </cell>
          <cell r="B78" t="str">
            <v>2691-41-0</v>
          </cell>
          <cell r="C78">
            <v>13</v>
          </cell>
          <cell r="D78">
            <v>2.2000000000000002</v>
          </cell>
        </row>
        <row r="79">
          <cell r="A79" t="str">
            <v>INDENO(1,2,3-cd)PYRENE</v>
          </cell>
          <cell r="B79" t="str">
            <v>193-39-5</v>
          </cell>
          <cell r="C79">
            <v>0.5</v>
          </cell>
          <cell r="D79">
            <v>0.66</v>
          </cell>
          <cell r="E79" t="str">
            <v>10b</v>
          </cell>
        </row>
        <row r="80">
          <cell r="A80" t="str">
            <v>LEAD</v>
          </cell>
          <cell r="B80" t="str">
            <v>7439-92-1</v>
          </cell>
          <cell r="C80">
            <v>1</v>
          </cell>
          <cell r="D80">
            <v>8.4</v>
          </cell>
          <cell r="E80" t="str">
            <v>10a</v>
          </cell>
        </row>
        <row r="81">
          <cell r="A81" t="str">
            <v>MERCURY</v>
          </cell>
          <cell r="B81" t="str">
            <v>7439-97-6</v>
          </cell>
          <cell r="C81">
            <v>0.2</v>
          </cell>
          <cell r="D81">
            <v>0.1</v>
          </cell>
          <cell r="E81" t="str">
            <v>10b</v>
          </cell>
        </row>
        <row r="82">
          <cell r="A82" t="str">
            <v>METHOXYCHLOR</v>
          </cell>
          <cell r="B82" t="str">
            <v>72-43-5</v>
          </cell>
          <cell r="C82">
            <v>1.5</v>
          </cell>
          <cell r="D82">
            <v>0.11792</v>
          </cell>
          <cell r="E82" t="str">
            <v>10b</v>
          </cell>
        </row>
        <row r="83">
          <cell r="A83" t="str">
            <v>METHYL ETHYL KETONE</v>
          </cell>
          <cell r="B83" t="str">
            <v>78-93-3</v>
          </cell>
          <cell r="C83">
            <v>100</v>
          </cell>
          <cell r="D83">
            <v>0.1</v>
          </cell>
          <cell r="E83" t="str">
            <v>10b</v>
          </cell>
        </row>
        <row r="84">
          <cell r="A84" t="str">
            <v>METHYL ISOBUTYL KETONE</v>
          </cell>
          <cell r="B84" t="str">
            <v>108-10-1</v>
          </cell>
          <cell r="C84">
            <v>50</v>
          </cell>
          <cell r="D84">
            <v>0.05</v>
          </cell>
          <cell r="E84" t="str">
            <v>10b</v>
          </cell>
        </row>
        <row r="85">
          <cell r="A85" t="str">
            <v>METHYL MERCURY</v>
          </cell>
          <cell r="B85" t="str">
            <v>22967-92-6</v>
          </cell>
          <cell r="D85">
            <v>0</v>
          </cell>
        </row>
        <row r="86">
          <cell r="A86" t="str">
            <v>METHYL TERT BUTYL ETHER</v>
          </cell>
          <cell r="B86" t="str">
            <v>1634-04-4</v>
          </cell>
          <cell r="C86">
            <v>0.5</v>
          </cell>
          <cell r="D86">
            <v>0.1</v>
          </cell>
          <cell r="E86" t="str">
            <v>10b</v>
          </cell>
        </row>
        <row r="87">
          <cell r="A87" t="str">
            <v>METHYLNAPHTHALENE, 2-</v>
          </cell>
          <cell r="B87" t="str">
            <v>91-57-6</v>
          </cell>
          <cell r="C87">
            <v>10</v>
          </cell>
          <cell r="D87">
            <v>0.66</v>
          </cell>
          <cell r="E87" t="str">
            <v>10b</v>
          </cell>
        </row>
        <row r="88">
          <cell r="A88" t="str">
            <v>NAPHTHALENE</v>
          </cell>
          <cell r="B88" t="str">
            <v>91-20-3</v>
          </cell>
          <cell r="C88">
            <v>0.2</v>
          </cell>
          <cell r="D88">
            <v>0.66</v>
          </cell>
          <cell r="E88" t="str">
            <v>10b</v>
          </cell>
        </row>
        <row r="89">
          <cell r="A89" t="str">
            <v>NICKEL</v>
          </cell>
          <cell r="B89" t="str">
            <v>7440-02-0</v>
          </cell>
          <cell r="C89">
            <v>15</v>
          </cell>
          <cell r="D89">
            <v>3</v>
          </cell>
          <cell r="E89" t="str">
            <v>10a</v>
          </cell>
        </row>
        <row r="90">
          <cell r="A90" t="str">
            <v>PENTACHLOROPHENOL</v>
          </cell>
          <cell r="B90" t="str">
            <v>87-86-5</v>
          </cell>
          <cell r="C90">
            <v>15</v>
          </cell>
          <cell r="D90">
            <v>3.3</v>
          </cell>
          <cell r="E90" t="str">
            <v>10b</v>
          </cell>
        </row>
        <row r="91">
          <cell r="A91" t="str">
            <v>PERCHLORATE</v>
          </cell>
          <cell r="B91" t="str">
            <v>NA</v>
          </cell>
          <cell r="C91">
            <v>1</v>
          </cell>
          <cell r="D91">
            <v>0.1</v>
          </cell>
          <cell r="E91" t="str">
            <v>10f</v>
          </cell>
        </row>
        <row r="92">
          <cell r="A92" t="str">
            <v>PER- AND POLYFLUORALKYL SUBSTANCES (PFAS)</v>
          </cell>
          <cell r="B92" t="str">
            <v>NA</v>
          </cell>
          <cell r="D92">
            <v>2.0000000000000001E-4</v>
          </cell>
          <cell r="E92" t="str">
            <v>10h</v>
          </cell>
        </row>
        <row r="93">
          <cell r="A93" t="str">
            <v>PERFLUORODECANOIC ACID (PFDA)</v>
          </cell>
          <cell r="B93" t="str">
            <v>335-76-2</v>
          </cell>
          <cell r="D93">
            <v>2.0000000000000001E-4</v>
          </cell>
          <cell r="E93" t="str">
            <v>10h</v>
          </cell>
        </row>
        <row r="94">
          <cell r="A94" t="str">
            <v>PERFLUOROHEPTANOIC ACID (PFHpA)</v>
          </cell>
          <cell r="B94" t="str">
            <v>375-85-9</v>
          </cell>
          <cell r="D94">
            <v>2.0000000000000001E-4</v>
          </cell>
          <cell r="E94" t="str">
            <v>10h</v>
          </cell>
        </row>
        <row r="95">
          <cell r="A95" t="str">
            <v>PERFLUOROHEXANESULFONIC ACID (PFHxS)</v>
          </cell>
          <cell r="B95" t="str">
            <v>335-46-4</v>
          </cell>
          <cell r="D95">
            <v>2.0000000000000001E-4</v>
          </cell>
          <cell r="E95" t="str">
            <v>10h</v>
          </cell>
        </row>
        <row r="96">
          <cell r="A96" t="str">
            <v>PERFLUOROOCTANOIC ACID (PFOA)</v>
          </cell>
          <cell r="B96" t="str">
            <v>335-67-1</v>
          </cell>
          <cell r="D96">
            <v>2.0000000000000001E-4</v>
          </cell>
          <cell r="E96" t="str">
            <v>10h</v>
          </cell>
        </row>
        <row r="97">
          <cell r="A97" t="str">
            <v>PERFLUOROOCTANESULFONIC ACID (PFOS)</v>
          </cell>
          <cell r="B97" t="str">
            <v>1763-23-1</v>
          </cell>
          <cell r="D97">
            <v>2.0000000000000001E-4</v>
          </cell>
          <cell r="E97" t="str">
            <v>10h</v>
          </cell>
        </row>
        <row r="98">
          <cell r="A98" t="str">
            <v>PERFLUORONONANOIC ACID (PFNA)</v>
          </cell>
          <cell r="B98" t="str">
            <v>375-95-1</v>
          </cell>
          <cell r="D98">
            <v>2.0000000000000001E-4</v>
          </cell>
          <cell r="E98" t="str">
            <v>10h</v>
          </cell>
        </row>
        <row r="99">
          <cell r="A99" t="str">
            <v>PETROLEUM HYDROCARBONS</v>
          </cell>
          <cell r="B99" t="str">
            <v>NA</v>
          </cell>
        </row>
        <row r="100">
          <cell r="A100" t="str">
            <v>PETROLEUM HYDROCARBONS Aliphatics C5 to C8</v>
          </cell>
          <cell r="B100" t="str">
            <v>NA</v>
          </cell>
        </row>
        <row r="101">
          <cell r="A101" t="str">
            <v>PETROLEUM HYDROCARBONS Aliphatics C9 to C12</v>
          </cell>
          <cell r="B101" t="str">
            <v>NA</v>
          </cell>
        </row>
        <row r="102">
          <cell r="A102" t="str">
            <v>PETROLEUM HYDROCARBONS Aliphatics C9 to C18</v>
          </cell>
          <cell r="B102" t="str">
            <v>NA</v>
          </cell>
        </row>
        <row r="103">
          <cell r="A103" t="str">
            <v>PETROLEUM HYDROCARBONS Aliphatics C19 to C36</v>
          </cell>
          <cell r="B103" t="str">
            <v>NA</v>
          </cell>
        </row>
        <row r="104">
          <cell r="A104" t="str">
            <v>PETROLEUM HYDROCARBONS Aromatics C9 to C10</v>
          </cell>
          <cell r="B104" t="str">
            <v>NA</v>
          </cell>
        </row>
        <row r="105">
          <cell r="A105" t="str">
            <v>PETROLEUM HYDROCARBONS Aromatics C11 to C22</v>
          </cell>
          <cell r="B105" t="str">
            <v>NA</v>
          </cell>
        </row>
        <row r="106">
          <cell r="A106" t="str">
            <v>PHENANTHRENE</v>
          </cell>
          <cell r="B106" t="str">
            <v>85-01-8</v>
          </cell>
          <cell r="C106">
            <v>1</v>
          </cell>
          <cell r="D106">
            <v>0.66</v>
          </cell>
          <cell r="E106" t="str">
            <v>10b</v>
          </cell>
        </row>
        <row r="107">
          <cell r="A107" t="str">
            <v>PHENOL</v>
          </cell>
          <cell r="B107" t="str">
            <v>108-95-2</v>
          </cell>
          <cell r="C107">
            <v>10</v>
          </cell>
          <cell r="D107">
            <v>0.66</v>
          </cell>
          <cell r="E107" t="str">
            <v>10b</v>
          </cell>
        </row>
        <row r="108">
          <cell r="A108" t="str">
            <v>POLYCHLORINATED BIPHENYLS (PCBs)</v>
          </cell>
          <cell r="B108" t="str">
            <v>1336-36-3</v>
          </cell>
          <cell r="C108">
            <v>0.32500000000000001</v>
          </cell>
          <cell r="D108">
            <v>4.3549999999999998E-2</v>
          </cell>
          <cell r="E108" t="str">
            <v>10b</v>
          </cell>
        </row>
        <row r="109">
          <cell r="A109" t="str">
            <v>PYRENE</v>
          </cell>
          <cell r="B109" t="str">
            <v>129-00-0</v>
          </cell>
          <cell r="C109">
            <v>0.5</v>
          </cell>
          <cell r="D109">
            <v>0.66</v>
          </cell>
          <cell r="E109" t="str">
            <v>10b</v>
          </cell>
        </row>
        <row r="110">
          <cell r="A110" t="str">
            <v>RDX</v>
          </cell>
          <cell r="B110" t="str">
            <v>121-82-4</v>
          </cell>
          <cell r="C110">
            <v>0.84</v>
          </cell>
          <cell r="D110">
            <v>1</v>
          </cell>
        </row>
        <row r="111">
          <cell r="A111" t="str">
            <v>SELENIUM</v>
          </cell>
          <cell r="B111" t="str">
            <v>7782-49-2</v>
          </cell>
          <cell r="C111">
            <v>50</v>
          </cell>
          <cell r="D111">
            <v>15</v>
          </cell>
          <cell r="E111" t="str">
            <v>10a</v>
          </cell>
        </row>
        <row r="112">
          <cell r="A112" t="str">
            <v>SILVER</v>
          </cell>
          <cell r="B112" t="str">
            <v>7440-22-4</v>
          </cell>
          <cell r="C112">
            <v>7</v>
          </cell>
          <cell r="D112">
            <v>1.4</v>
          </cell>
          <cell r="E112" t="str">
            <v>10a</v>
          </cell>
        </row>
        <row r="113">
          <cell r="A113" t="str">
            <v>STYRENE</v>
          </cell>
          <cell r="B113" t="str">
            <v>100-42-5</v>
          </cell>
          <cell r="C113">
            <v>0.3</v>
          </cell>
          <cell r="D113">
            <v>0.1</v>
          </cell>
          <cell r="E113" t="str">
            <v>10b</v>
          </cell>
        </row>
        <row r="114">
          <cell r="A114" t="str">
            <v>TCDD, 2,3,7,8-  (equivalents)</v>
          </cell>
          <cell r="B114" t="str">
            <v>1746-01-6</v>
          </cell>
          <cell r="C114">
            <v>1.0000000000000001E-5</v>
          </cell>
          <cell r="D114">
            <v>9.9999999999999995E-7</v>
          </cell>
          <cell r="E114" t="str">
            <v>10c</v>
          </cell>
        </row>
        <row r="115">
          <cell r="A115" t="str">
            <v>TETRACHLOROETHANE, 1,1,1,2-</v>
          </cell>
          <cell r="B115" t="str">
            <v>630-20-6</v>
          </cell>
          <cell r="C115">
            <v>5</v>
          </cell>
          <cell r="D115">
            <v>0.1</v>
          </cell>
          <cell r="E115" t="str">
            <v>10b</v>
          </cell>
        </row>
        <row r="116">
          <cell r="A116" t="str">
            <v>TETRACHLOROETHANE, 1,1,2,2-</v>
          </cell>
          <cell r="B116" t="str">
            <v>79-34-5</v>
          </cell>
          <cell r="C116">
            <v>2</v>
          </cell>
          <cell r="D116">
            <v>5.0000000000000001E-3</v>
          </cell>
          <cell r="E116" t="str">
            <v>10b</v>
          </cell>
        </row>
        <row r="117">
          <cell r="A117" t="str">
            <v>TETRACHLOROETHYLENE</v>
          </cell>
          <cell r="B117" t="str">
            <v>127-18-4</v>
          </cell>
          <cell r="C117">
            <v>1.5</v>
          </cell>
          <cell r="D117">
            <v>0.1</v>
          </cell>
          <cell r="E117" t="str">
            <v>10b</v>
          </cell>
        </row>
        <row r="118">
          <cell r="A118" t="str">
            <v>THALLIUM</v>
          </cell>
          <cell r="B118" t="str">
            <v>7440-28-0</v>
          </cell>
          <cell r="C118">
            <v>40</v>
          </cell>
          <cell r="D118">
            <v>8</v>
          </cell>
          <cell r="E118" t="str">
            <v>10a</v>
          </cell>
        </row>
        <row r="119">
          <cell r="A119" t="str">
            <v>TOLUENE</v>
          </cell>
          <cell r="B119" t="str">
            <v>108-88-3</v>
          </cell>
          <cell r="C119">
            <v>0.5</v>
          </cell>
          <cell r="D119">
            <v>0.1</v>
          </cell>
          <cell r="E119" t="str">
            <v>10b</v>
          </cell>
        </row>
        <row r="120">
          <cell r="A120" t="str">
            <v>TRICHLOROBENZENE, 1,2,4-</v>
          </cell>
          <cell r="B120" t="str">
            <v>120-82-1</v>
          </cell>
          <cell r="C120">
            <v>1</v>
          </cell>
          <cell r="D120">
            <v>0.1</v>
          </cell>
          <cell r="E120" t="str">
            <v>10b</v>
          </cell>
        </row>
        <row r="121">
          <cell r="A121" t="str">
            <v>TRICHLOROETHANE, 1,1,1-</v>
          </cell>
          <cell r="B121" t="str">
            <v>71-55-6</v>
          </cell>
          <cell r="C121">
            <v>1.5</v>
          </cell>
          <cell r="D121">
            <v>0.1</v>
          </cell>
          <cell r="E121" t="str">
            <v>10b</v>
          </cell>
        </row>
        <row r="122">
          <cell r="A122" t="str">
            <v>TRICHLOROETHANE, 1,1,2-</v>
          </cell>
          <cell r="B122" t="str">
            <v xml:space="preserve">79-00-5 </v>
          </cell>
          <cell r="C122">
            <v>0.5</v>
          </cell>
          <cell r="D122">
            <v>0.1</v>
          </cell>
          <cell r="E122" t="str">
            <v>10b</v>
          </cell>
        </row>
        <row r="123">
          <cell r="A123" t="str">
            <v>TRICHLOROETHYLENE</v>
          </cell>
          <cell r="B123" t="str">
            <v>79-01-6</v>
          </cell>
          <cell r="C123">
            <v>2</v>
          </cell>
          <cell r="D123">
            <v>5.0000000000000001E-3</v>
          </cell>
          <cell r="E123" t="str">
            <v>10b</v>
          </cell>
        </row>
        <row r="124">
          <cell r="A124" t="str">
            <v>TRICHLOROPHENOL, 2,4,5-</v>
          </cell>
          <cell r="B124" t="str">
            <v>95-95-4</v>
          </cell>
          <cell r="C124">
            <v>10</v>
          </cell>
          <cell r="D124">
            <v>0.66</v>
          </cell>
          <cell r="E124" t="str">
            <v>10b</v>
          </cell>
        </row>
        <row r="125">
          <cell r="A125" t="str">
            <v>TRICHLOROPHENOL 2,4,6-</v>
          </cell>
          <cell r="B125" t="str">
            <v>88-06-2</v>
          </cell>
          <cell r="C125">
            <v>10</v>
          </cell>
          <cell r="D125">
            <v>0.66</v>
          </cell>
          <cell r="E125" t="str">
            <v>10b</v>
          </cell>
        </row>
      </sheetData>
      <sheetData sheetId="4">
        <row r="2">
          <cell r="B2" t="str">
            <v>Body Weight Calculations:</v>
          </cell>
          <cell r="M2" t="str">
            <v>NHANES</v>
          </cell>
          <cell r="N2" t="str">
            <v>Weight</v>
          </cell>
        </row>
        <row r="3">
          <cell r="M3" t="str">
            <v xml:space="preserve"> age</v>
          </cell>
          <cell r="N3" t="str">
            <v>kg</v>
          </cell>
        </row>
        <row r="4">
          <cell r="B4" t="str">
            <v>Age (years)</v>
          </cell>
          <cell r="C4" t="str">
            <v>50th Percentile</v>
          </cell>
          <cell r="M4" t="str">
            <v>0-2m</v>
          </cell>
          <cell r="N4">
            <v>4.9000000000000004</v>
          </cell>
        </row>
        <row r="5">
          <cell r="C5" t="str">
            <v>Body Weight</v>
          </cell>
          <cell r="M5" t="str">
            <v>3-5m</v>
          </cell>
          <cell r="N5">
            <v>6.6</v>
          </cell>
        </row>
        <row r="6">
          <cell r="C6" t="str">
            <v>Females</v>
          </cell>
          <cell r="D6" t="str">
            <v>number of</v>
          </cell>
          <cell r="M6" t="str">
            <v>6-8m</v>
          </cell>
          <cell r="N6">
            <v>8</v>
          </cell>
        </row>
        <row r="7">
          <cell r="C7" t="str">
            <v>kg</v>
          </cell>
          <cell r="D7" t="str">
            <v>years</v>
          </cell>
          <cell r="M7" t="str">
            <v>9-11m</v>
          </cell>
          <cell r="N7">
            <v>9</v>
          </cell>
        </row>
        <row r="8">
          <cell r="B8" t="str">
            <v>0&lt;1</v>
          </cell>
          <cell r="C8">
            <v>7.125</v>
          </cell>
          <cell r="D8">
            <v>1</v>
          </cell>
          <cell r="M8" t="str">
            <v>1 yr</v>
          </cell>
          <cell r="N8">
            <v>10.9</v>
          </cell>
        </row>
        <row r="9">
          <cell r="B9" t="str">
            <v>1&lt;2</v>
          </cell>
          <cell r="C9">
            <v>12</v>
          </cell>
          <cell r="D9">
            <v>1</v>
          </cell>
          <cell r="H9" t="str">
            <v>Mutagen Averages</v>
          </cell>
          <cell r="M9">
            <v>2</v>
          </cell>
          <cell r="N9">
            <v>13.1</v>
          </cell>
        </row>
        <row r="10">
          <cell r="B10" t="str">
            <v>2&lt;3</v>
          </cell>
          <cell r="C10">
            <v>14.3</v>
          </cell>
          <cell r="D10">
            <v>1</v>
          </cell>
          <cell r="H10" t="str">
            <v>Age</v>
          </cell>
          <cell r="M10">
            <v>3</v>
          </cell>
          <cell r="N10">
            <v>15.5</v>
          </cell>
        </row>
        <row r="11">
          <cell r="B11" t="str">
            <v>3&lt;4</v>
          </cell>
          <cell r="C11">
            <v>16.5</v>
          </cell>
          <cell r="D11">
            <v>1</v>
          </cell>
          <cell r="H11" t="str">
            <v>0&lt;2:</v>
          </cell>
          <cell r="I11">
            <v>9.5625</v>
          </cell>
          <cell r="J11" t="str">
            <v>kg</v>
          </cell>
          <cell r="M11">
            <v>4</v>
          </cell>
          <cell r="N11">
            <v>17.5</v>
          </cell>
        </row>
        <row r="12">
          <cell r="B12" t="str">
            <v>4&lt;5</v>
          </cell>
          <cell r="C12">
            <v>18.55</v>
          </cell>
          <cell r="D12">
            <v>1</v>
          </cell>
          <cell r="E12" t="str">
            <v>GW Average</v>
          </cell>
          <cell r="M12">
            <v>5</v>
          </cell>
          <cell r="N12">
            <v>19.600000000000001</v>
          </cell>
        </row>
        <row r="13">
          <cell r="B13" t="str">
            <v>5&lt;6</v>
          </cell>
          <cell r="C13">
            <v>20.85</v>
          </cell>
          <cell r="D13">
            <v>1</v>
          </cell>
          <cell r="E13" t="str">
            <v>0&lt;7:</v>
          </cell>
          <cell r="F13">
            <v>16.175000000000001</v>
          </cell>
          <cell r="G13" t="str">
            <v>kg</v>
          </cell>
          <cell r="M13">
            <v>6</v>
          </cell>
          <cell r="N13">
            <v>22.1</v>
          </cell>
        </row>
        <row r="14">
          <cell r="B14" t="str">
            <v>6&lt;7</v>
          </cell>
          <cell r="C14">
            <v>23.9</v>
          </cell>
          <cell r="D14">
            <v>1</v>
          </cell>
          <cell r="E14" t="str">
            <v>Soil Average</v>
          </cell>
          <cell r="H14" t="str">
            <v>2&lt;6:</v>
          </cell>
          <cell r="I14">
            <v>17.55</v>
          </cell>
          <cell r="J14" t="str">
            <v>kg</v>
          </cell>
          <cell r="M14">
            <v>7</v>
          </cell>
          <cell r="N14">
            <v>25.7</v>
          </cell>
          <cell r="P14" t="str">
            <v>Age 1-6</v>
          </cell>
        </row>
        <row r="15">
          <cell r="B15" t="str">
            <v>7&lt;8</v>
          </cell>
          <cell r="C15">
            <v>26.95</v>
          </cell>
          <cell r="D15">
            <v>1</v>
          </cell>
          <cell r="E15" t="str">
            <v>1&lt;8:</v>
          </cell>
          <cell r="F15">
            <v>19.007142857142856</v>
          </cell>
          <cell r="G15" t="str">
            <v>kg</v>
          </cell>
          <cell r="M15">
            <v>8</v>
          </cell>
          <cell r="N15">
            <v>28.2</v>
          </cell>
          <cell r="P15">
            <v>16.45</v>
          </cell>
        </row>
        <row r="16">
          <cell r="B16" t="str">
            <v>8&lt;9</v>
          </cell>
          <cell r="C16">
            <v>31.1</v>
          </cell>
          <cell r="D16">
            <v>1</v>
          </cell>
          <cell r="M16">
            <v>9</v>
          </cell>
          <cell r="N16">
            <v>34</v>
          </cell>
        </row>
        <row r="17">
          <cell r="B17" t="str">
            <v>9&lt;10</v>
          </cell>
          <cell r="C17">
            <v>37.25</v>
          </cell>
          <cell r="D17">
            <v>1</v>
          </cell>
          <cell r="H17" t="str">
            <v>6&lt;16:</v>
          </cell>
          <cell r="I17">
            <v>43.204999999999998</v>
          </cell>
          <cell r="J17" t="str">
            <v>kg</v>
          </cell>
          <cell r="M17">
            <v>10</v>
          </cell>
          <cell r="N17">
            <v>40.5</v>
          </cell>
        </row>
        <row r="18">
          <cell r="B18" t="str">
            <v>10&lt;11</v>
          </cell>
          <cell r="C18">
            <v>43.9</v>
          </cell>
          <cell r="D18">
            <v>1</v>
          </cell>
          <cell r="M18">
            <v>11</v>
          </cell>
          <cell r="N18">
            <v>47.3</v>
          </cell>
        </row>
        <row r="19">
          <cell r="B19" t="str">
            <v>11&lt;12</v>
          </cell>
          <cell r="C19">
            <v>48.4</v>
          </cell>
          <cell r="D19">
            <v>1</v>
          </cell>
          <cell r="E19" t="str">
            <v>GW Average</v>
          </cell>
          <cell r="M19">
            <v>12</v>
          </cell>
          <cell r="N19">
            <v>49.5</v>
          </cell>
        </row>
        <row r="20">
          <cell r="B20" t="str">
            <v>12&lt;13</v>
          </cell>
          <cell r="C20">
            <v>51.95</v>
          </cell>
          <cell r="D20">
            <v>1</v>
          </cell>
          <cell r="E20" t="str">
            <v>7&lt;14:</v>
          </cell>
          <cell r="F20">
            <v>41.99285714285714</v>
          </cell>
          <cell r="G20" t="str">
            <v>kg</v>
          </cell>
          <cell r="M20">
            <v>13</v>
          </cell>
          <cell r="N20">
            <v>54.4</v>
          </cell>
        </row>
        <row r="21">
          <cell r="B21" t="str">
            <v>13&lt;14</v>
          </cell>
          <cell r="C21">
            <v>54.4</v>
          </cell>
          <cell r="D21">
            <v>1</v>
          </cell>
          <cell r="E21" t="str">
            <v>Soil Average</v>
          </cell>
          <cell r="M21">
            <v>14</v>
          </cell>
          <cell r="N21">
            <v>54.4</v>
          </cell>
        </row>
        <row r="22">
          <cell r="B22" t="str">
            <v>14&lt;15</v>
          </cell>
          <cell r="C22">
            <v>56</v>
          </cell>
          <cell r="D22">
            <v>1</v>
          </cell>
          <cell r="E22" t="str">
            <v>8&lt;15:</v>
          </cell>
          <cell r="F22">
            <v>46.142857142857146</v>
          </cell>
          <cell r="G22" t="str">
            <v>kg</v>
          </cell>
          <cell r="M22">
            <v>15</v>
          </cell>
          <cell r="N22">
            <v>57.6</v>
          </cell>
        </row>
        <row r="23">
          <cell r="B23" t="str">
            <v>15&lt;16</v>
          </cell>
          <cell r="C23">
            <v>58.2</v>
          </cell>
          <cell r="D23">
            <v>1</v>
          </cell>
          <cell r="M23">
            <v>16</v>
          </cell>
          <cell r="N23">
            <v>58.8</v>
          </cell>
        </row>
        <row r="24">
          <cell r="B24" t="str">
            <v>16&lt;17</v>
          </cell>
          <cell r="C24">
            <v>59.7</v>
          </cell>
          <cell r="D24">
            <v>1</v>
          </cell>
          <cell r="M24">
            <v>17</v>
          </cell>
          <cell r="N24">
            <v>60.6</v>
          </cell>
        </row>
        <row r="25">
          <cell r="B25" t="str">
            <v>17&lt;18</v>
          </cell>
          <cell r="C25">
            <v>61.8</v>
          </cell>
          <cell r="D25">
            <v>1</v>
          </cell>
          <cell r="M25">
            <v>18</v>
          </cell>
          <cell r="N25">
            <v>63</v>
          </cell>
        </row>
        <row r="26">
          <cell r="B26" t="str">
            <v>18&lt;19</v>
          </cell>
          <cell r="C26">
            <v>63</v>
          </cell>
          <cell r="D26">
            <v>1</v>
          </cell>
          <cell r="M26">
            <v>19</v>
          </cell>
          <cell r="N26">
            <v>63</v>
          </cell>
        </row>
        <row r="27">
          <cell r="B27" t="str">
            <v>19&lt;20</v>
          </cell>
          <cell r="C27">
            <v>64.150000000000006</v>
          </cell>
          <cell r="D27">
            <v>1</v>
          </cell>
          <cell r="M27" t="str">
            <v>20-29</v>
          </cell>
          <cell r="N27">
            <v>65.3</v>
          </cell>
        </row>
        <row r="28">
          <cell r="B28" t="str">
            <v>20&lt;21</v>
          </cell>
          <cell r="C28">
            <v>65.3</v>
          </cell>
          <cell r="D28">
            <v>1</v>
          </cell>
          <cell r="M28" t="str">
            <v>30-39</v>
          </cell>
          <cell r="N28">
            <v>70.2</v>
          </cell>
        </row>
        <row r="29">
          <cell r="B29" t="str">
            <v>21&lt;22</v>
          </cell>
          <cell r="C29">
            <v>65.3</v>
          </cell>
          <cell r="D29">
            <v>1</v>
          </cell>
          <cell r="M29" t="str">
            <v>40-49</v>
          </cell>
          <cell r="N29">
            <v>72.900000000000006</v>
          </cell>
        </row>
        <row r="30">
          <cell r="B30" t="str">
            <v>22&lt;23</v>
          </cell>
          <cell r="C30">
            <v>65.3</v>
          </cell>
          <cell r="D30">
            <v>1</v>
          </cell>
          <cell r="E30" t="str">
            <v>GW Average</v>
          </cell>
        </row>
        <row r="31">
          <cell r="B31" t="str">
            <v>23&lt;24</v>
          </cell>
          <cell r="C31">
            <v>65.3</v>
          </cell>
          <cell r="D31">
            <v>1</v>
          </cell>
          <cell r="E31" t="str">
            <v>17&lt;24:</v>
          </cell>
          <cell r="F31">
            <v>64.307142857142864</v>
          </cell>
          <cell r="G31" t="str">
            <v>kg</v>
          </cell>
        </row>
        <row r="32">
          <cell r="B32" t="str">
            <v>24&lt;25</v>
          </cell>
          <cell r="C32">
            <v>65.3</v>
          </cell>
          <cell r="D32">
            <v>1</v>
          </cell>
          <cell r="E32" t="str">
            <v>Soil Average</v>
          </cell>
        </row>
        <row r="33">
          <cell r="B33" t="str">
            <v>25&lt;26</v>
          </cell>
          <cell r="C33">
            <v>65.3</v>
          </cell>
          <cell r="D33">
            <v>1</v>
          </cell>
          <cell r="E33" t="str">
            <v>18&lt;25:</v>
          </cell>
          <cell r="F33">
            <v>64.807142857142864</v>
          </cell>
          <cell r="G33" t="str">
            <v>kg</v>
          </cell>
        </row>
        <row r="34">
          <cell r="B34" t="str">
            <v>26&lt;27</v>
          </cell>
          <cell r="C34">
            <v>65.3</v>
          </cell>
          <cell r="D34">
            <v>1</v>
          </cell>
        </row>
        <row r="35">
          <cell r="B35" t="str">
            <v>27&lt;28</v>
          </cell>
          <cell r="C35">
            <v>65.3</v>
          </cell>
          <cell r="D35">
            <v>1</v>
          </cell>
          <cell r="E35" t="str">
            <v>GW Average</v>
          </cell>
        </row>
        <row r="36">
          <cell r="B36" t="str">
            <v>28&lt;29</v>
          </cell>
          <cell r="C36">
            <v>65.3</v>
          </cell>
          <cell r="D36">
            <v>1</v>
          </cell>
          <cell r="E36" t="str">
            <v>14&lt;30:</v>
          </cell>
          <cell r="F36">
            <v>63.49062499999998</v>
          </cell>
          <cell r="G36" t="str">
            <v>kg</v>
          </cell>
          <cell r="R36" t="str">
            <v xml:space="preserve"> </v>
          </cell>
        </row>
        <row r="37">
          <cell r="B37" t="str">
            <v>29&lt;30</v>
          </cell>
          <cell r="C37">
            <v>65.3</v>
          </cell>
          <cell r="D37">
            <v>1</v>
          </cell>
          <cell r="E37" t="str">
            <v>Soil Average</v>
          </cell>
        </row>
        <row r="38">
          <cell r="B38" t="str">
            <v>30&lt;31</v>
          </cell>
          <cell r="C38">
            <v>70.2</v>
          </cell>
          <cell r="D38">
            <v>1</v>
          </cell>
          <cell r="E38" t="str">
            <v>15&lt;31:</v>
          </cell>
          <cell r="F38">
            <v>64.378124999999983</v>
          </cell>
          <cell r="G38" t="str">
            <v>kg</v>
          </cell>
          <cell r="H38" t="str">
            <v>16&lt;31:</v>
          </cell>
          <cell r="I38">
            <v>64.789999999999992</v>
          </cell>
          <cell r="J38" t="str">
            <v>kg</v>
          </cell>
        </row>
        <row r="39">
          <cell r="B39" t="str">
            <v>31&lt;32</v>
          </cell>
          <cell r="C39">
            <v>70.2</v>
          </cell>
          <cell r="D39">
            <v>1</v>
          </cell>
        </row>
        <row r="40">
          <cell r="B40" t="str">
            <v>32&lt;33</v>
          </cell>
          <cell r="C40">
            <v>70.2</v>
          </cell>
          <cell r="D40">
            <v>1</v>
          </cell>
        </row>
        <row r="41">
          <cell r="B41" t="str">
            <v>33&lt;34</v>
          </cell>
          <cell r="C41">
            <v>70.2</v>
          </cell>
          <cell r="D41">
            <v>1</v>
          </cell>
        </row>
        <row r="42">
          <cell r="B42" t="str">
            <v>34&lt;35</v>
          </cell>
          <cell r="C42">
            <v>70.2</v>
          </cell>
          <cell r="D42">
            <v>1</v>
          </cell>
        </row>
        <row r="43">
          <cell r="B43" t="str">
            <v>35&lt;36</v>
          </cell>
          <cell r="C43">
            <v>70.2</v>
          </cell>
          <cell r="D43">
            <v>1</v>
          </cell>
        </row>
        <row r="44">
          <cell r="B44" t="str">
            <v>36&lt;37</v>
          </cell>
          <cell r="C44">
            <v>70.2</v>
          </cell>
          <cell r="D44">
            <v>1</v>
          </cell>
        </row>
        <row r="45">
          <cell r="B45" t="str">
            <v>37&lt;38</v>
          </cell>
          <cell r="C45">
            <v>70.2</v>
          </cell>
          <cell r="D45">
            <v>1</v>
          </cell>
        </row>
        <row r="46">
          <cell r="B46" t="str">
            <v>38&lt;39</v>
          </cell>
          <cell r="C46">
            <v>70.2</v>
          </cell>
          <cell r="D46">
            <v>1</v>
          </cell>
        </row>
        <row r="47">
          <cell r="B47" t="str">
            <v>39&lt;40</v>
          </cell>
          <cell r="C47">
            <v>70.2</v>
          </cell>
          <cell r="D47">
            <v>1</v>
          </cell>
        </row>
        <row r="48">
          <cell r="B48" t="str">
            <v>40&lt;41</v>
          </cell>
          <cell r="C48">
            <v>72.900000000000006</v>
          </cell>
          <cell r="D48">
            <v>1</v>
          </cell>
        </row>
        <row r="49">
          <cell r="B49" t="str">
            <v>41&lt;42</v>
          </cell>
          <cell r="C49">
            <v>72.900000000000006</v>
          </cell>
          <cell r="D49">
            <v>1</v>
          </cell>
        </row>
        <row r="50">
          <cell r="B50" t="str">
            <v>42&lt;43</v>
          </cell>
          <cell r="C50">
            <v>72.900000000000006</v>
          </cell>
          <cell r="D50">
            <v>1</v>
          </cell>
        </row>
        <row r="51">
          <cell r="B51" t="str">
            <v>43&lt;44</v>
          </cell>
          <cell r="C51">
            <v>72.900000000000006</v>
          </cell>
          <cell r="D51">
            <v>1</v>
          </cell>
          <cell r="E51" t="str">
            <v>Average</v>
          </cell>
        </row>
        <row r="52">
          <cell r="B52" t="str">
            <v>44&lt;45</v>
          </cell>
          <cell r="C52">
            <v>72.900000000000006</v>
          </cell>
          <cell r="D52">
            <v>1</v>
          </cell>
          <cell r="E52" t="str">
            <v>18&lt;45:</v>
          </cell>
          <cell r="F52">
            <v>68.394444444444474</v>
          </cell>
          <cell r="G52" t="str">
            <v>kg</v>
          </cell>
        </row>
      </sheetData>
      <sheetData sheetId="5">
        <row r="2">
          <cell r="A2" t="str">
            <v>For Soil Exposures</v>
          </cell>
          <cell r="E2" t="str">
            <v xml:space="preserve"> </v>
          </cell>
        </row>
        <row r="3">
          <cell r="B3" t="str">
            <v>AGE</v>
          </cell>
          <cell r="C3" t="str">
            <v>Total SA repr by body part (unitless)</v>
          </cell>
          <cell r="H3" t="str">
            <v>Total Body SA</v>
          </cell>
          <cell r="I3" t="str">
            <v>SA by body part (m2)</v>
          </cell>
          <cell r="N3" t="str">
            <v xml:space="preserve">Total Exposed SA </v>
          </cell>
        </row>
        <row r="4">
          <cell r="C4" t="str">
            <v>Head</v>
          </cell>
          <cell r="D4" t="str">
            <v>Forearms</v>
          </cell>
          <cell r="E4" t="str">
            <v>Hands</v>
          </cell>
          <cell r="F4" t="str">
            <v>Lower
Legs</v>
          </cell>
          <cell r="G4" t="str">
            <v>Feet</v>
          </cell>
          <cell r="H4" t="str">
            <v>m2</v>
          </cell>
          <cell r="I4" t="str">
            <v>Head</v>
          </cell>
          <cell r="J4" t="str">
            <v>Forearms</v>
          </cell>
          <cell r="K4" t="str">
            <v>Hands</v>
          </cell>
          <cell r="L4" t="str">
            <v>Lower 
Legs</v>
          </cell>
          <cell r="M4" t="str">
            <v>Feet</v>
          </cell>
          <cell r="N4" t="str">
            <v>(m2)</v>
          </cell>
          <cell r="O4" t="str">
            <v>(cm2)</v>
          </cell>
        </row>
        <row r="5">
          <cell r="A5" t="str">
            <v>EFH 2011</v>
          </cell>
          <cell r="B5" t="str">
            <v>0&lt;1</v>
          </cell>
          <cell r="C5">
            <v>0.182</v>
          </cell>
          <cell r="D5">
            <v>6.4390000000000003E-2</v>
          </cell>
          <cell r="E5">
            <v>5.2999999999999999E-2</v>
          </cell>
          <cell r="F5">
            <v>8.2400000000000001E-2</v>
          </cell>
          <cell r="G5">
            <v>6.5000000000000002E-2</v>
          </cell>
          <cell r="H5">
            <v>0.39</v>
          </cell>
          <cell r="I5">
            <v>7.0980000000000001E-2</v>
          </cell>
          <cell r="J5">
            <v>2.5112100000000002E-2</v>
          </cell>
          <cell r="K5">
            <v>2.0670000000000001E-2</v>
          </cell>
          <cell r="L5">
            <v>3.2136000000000005E-2</v>
          </cell>
          <cell r="M5">
            <v>2.5350000000000001E-2</v>
          </cell>
          <cell r="N5">
            <v>0.17424810000000002</v>
          </cell>
          <cell r="O5">
            <v>1742.4810000000002</v>
          </cell>
        </row>
        <row r="6">
          <cell r="B6" t="str">
            <v>1&lt;2</v>
          </cell>
          <cell r="C6">
            <v>0.16500000000000001</v>
          </cell>
          <cell r="D6">
            <v>6.1100000000000002E-2</v>
          </cell>
          <cell r="E6">
            <v>5.7000000000000002E-2</v>
          </cell>
          <cell r="F6">
            <v>9.240000000000001E-2</v>
          </cell>
          <cell r="G6">
            <v>6.3E-2</v>
          </cell>
          <cell r="H6">
            <v>0.52</v>
          </cell>
          <cell r="I6">
            <v>8.5800000000000001E-2</v>
          </cell>
          <cell r="J6">
            <v>3.1772000000000002E-2</v>
          </cell>
          <cell r="K6">
            <v>2.9640000000000003E-2</v>
          </cell>
          <cell r="L6">
            <v>4.8048000000000007E-2</v>
          </cell>
          <cell r="M6">
            <v>3.2760000000000004E-2</v>
          </cell>
          <cell r="N6">
            <v>0.22802000000000003</v>
          </cell>
          <cell r="O6">
            <v>2280.2000000000003</v>
          </cell>
        </row>
        <row r="7">
          <cell r="A7" t="str">
            <v>Boniol</v>
          </cell>
          <cell r="B7" t="str">
            <v>2&lt;3</v>
          </cell>
          <cell r="C7">
            <v>8.4000000000000005E-2</v>
          </cell>
          <cell r="D7">
            <v>5.6000000000000001E-2</v>
          </cell>
          <cell r="E7">
            <v>4.8000000000000001E-2</v>
          </cell>
          <cell r="F7">
            <v>0.112</v>
          </cell>
          <cell r="G7">
            <v>0.06</v>
          </cell>
          <cell r="H7">
            <v>0.59</v>
          </cell>
          <cell r="I7">
            <v>4.956E-2</v>
          </cell>
          <cell r="J7">
            <v>3.304E-2</v>
          </cell>
          <cell r="K7">
            <v>2.8319999999999998E-2</v>
          </cell>
          <cell r="L7">
            <v>6.608E-2</v>
          </cell>
          <cell r="M7">
            <v>3.5399999999999994E-2</v>
          </cell>
          <cell r="N7">
            <v>0.21239999999999998</v>
          </cell>
          <cell r="O7">
            <v>2124</v>
          </cell>
        </row>
        <row r="8">
          <cell r="B8" t="str">
            <v>3&lt;4</v>
          </cell>
          <cell r="C8">
            <v>8.4000000000000005E-2</v>
          </cell>
          <cell r="D8">
            <v>5.6000000000000001E-2</v>
          </cell>
          <cell r="E8">
            <v>4.8000000000000001E-2</v>
          </cell>
          <cell r="F8">
            <v>0.112</v>
          </cell>
          <cell r="G8">
            <v>0.06</v>
          </cell>
          <cell r="H8">
            <v>0.67515463917525786</v>
          </cell>
          <cell r="I8">
            <v>5.6712989690721666E-2</v>
          </cell>
          <cell r="J8">
            <v>3.7808659793814439E-2</v>
          </cell>
          <cell r="K8">
            <v>3.2407422680412377E-2</v>
          </cell>
          <cell r="L8">
            <v>7.5617319587628878E-2</v>
          </cell>
          <cell r="M8">
            <v>4.0509278350515474E-2</v>
          </cell>
          <cell r="N8">
            <v>0.24305567010309281</v>
          </cell>
          <cell r="O8">
            <v>2430.5567010309283</v>
          </cell>
        </row>
        <row r="9">
          <cell r="B9" t="str">
            <v>4&lt;5</v>
          </cell>
          <cell r="C9">
            <v>7.8E-2</v>
          </cell>
          <cell r="D9">
            <v>5.5E-2</v>
          </cell>
          <cell r="E9">
            <v>4.9000000000000002E-2</v>
          </cell>
          <cell r="F9">
            <v>0.104</v>
          </cell>
          <cell r="G9">
            <v>6.3E-2</v>
          </cell>
          <cell r="H9">
            <v>0.73445173383317719</v>
          </cell>
          <cell r="I9">
            <v>5.7287235238987821E-2</v>
          </cell>
          <cell r="J9">
            <v>4.0394845360824744E-2</v>
          </cell>
          <cell r="K9">
            <v>3.5988134957825685E-2</v>
          </cell>
          <cell r="L9">
            <v>7.6382980318650429E-2</v>
          </cell>
          <cell r="M9">
            <v>4.627045923149016E-2</v>
          </cell>
          <cell r="N9">
            <v>0.25632365510777883</v>
          </cell>
          <cell r="O9">
            <v>2563.2365510777881</v>
          </cell>
        </row>
        <row r="10">
          <cell r="B10" t="str">
            <v>5&lt;6</v>
          </cell>
          <cell r="C10">
            <v>7.8E-2</v>
          </cell>
          <cell r="D10">
            <v>5.5E-2</v>
          </cell>
          <cell r="E10">
            <v>4.9000000000000002E-2</v>
          </cell>
          <cell r="F10">
            <v>0.104</v>
          </cell>
          <cell r="G10">
            <v>6.3E-2</v>
          </cell>
          <cell r="H10">
            <v>0.81039362699156525</v>
          </cell>
          <cell r="I10">
            <v>6.3210702905342087E-2</v>
          </cell>
          <cell r="J10">
            <v>4.457164948453609E-2</v>
          </cell>
          <cell r="K10">
            <v>3.9709287722586702E-2</v>
          </cell>
          <cell r="L10">
            <v>8.4280937207122777E-2</v>
          </cell>
          <cell r="M10">
            <v>5.1054798500468609E-2</v>
          </cell>
          <cell r="N10">
            <v>0.28282737582005629</v>
          </cell>
          <cell r="O10">
            <v>2828.273758200563</v>
          </cell>
        </row>
        <row r="11">
          <cell r="B11" t="str">
            <v>6&lt;7</v>
          </cell>
          <cell r="C11">
            <v>6.9000000000000006E-2</v>
          </cell>
          <cell r="D11">
            <v>5.2999999999999999E-2</v>
          </cell>
          <cell r="E11">
            <v>4.9000000000000002E-2</v>
          </cell>
          <cell r="F11">
            <v>0.114</v>
          </cell>
          <cell r="G11">
            <v>6.6000000000000003E-2</v>
          </cell>
          <cell r="H11">
            <v>0.87847695390781566</v>
          </cell>
          <cell r="I11">
            <v>6.0614909819639289E-2</v>
          </cell>
          <cell r="J11">
            <v>4.6559278557114225E-2</v>
          </cell>
          <cell r="K11">
            <v>4.3045370741482972E-2</v>
          </cell>
          <cell r="L11">
            <v>0.10014637274549099</v>
          </cell>
          <cell r="M11">
            <v>5.7979478957915838E-2</v>
          </cell>
          <cell r="N11">
            <v>0.3083454108216433</v>
          </cell>
          <cell r="O11">
            <v>3083.4541082164328</v>
          </cell>
        </row>
        <row r="12">
          <cell r="B12" t="str">
            <v>7&lt;8</v>
          </cell>
          <cell r="C12">
            <v>6.9000000000000006E-2</v>
          </cell>
          <cell r="D12">
            <v>5.2999999999999999E-2</v>
          </cell>
          <cell r="E12">
            <v>4.9000000000000002E-2</v>
          </cell>
          <cell r="F12">
            <v>0.114</v>
          </cell>
          <cell r="G12">
            <v>6.6000000000000003E-2</v>
          </cell>
          <cell r="H12">
            <v>0.95559118236472951</v>
          </cell>
          <cell r="I12">
            <v>6.5935791583166342E-2</v>
          </cell>
          <cell r="J12">
            <v>5.0646332665330661E-2</v>
          </cell>
          <cell r="K12">
            <v>4.6823967935871749E-2</v>
          </cell>
          <cell r="L12">
            <v>0.10893739478957917</v>
          </cell>
          <cell r="M12">
            <v>6.306901803607215E-2</v>
          </cell>
          <cell r="N12">
            <v>0.33541250501002007</v>
          </cell>
          <cell r="O12">
            <v>3354.1250501002005</v>
          </cell>
        </row>
        <row r="13">
          <cell r="B13" t="str">
            <v>8&lt;9</v>
          </cell>
          <cell r="C13">
            <v>6.0999999999999999E-2</v>
          </cell>
          <cell r="D13">
            <v>5.5E-2</v>
          </cell>
          <cell r="E13">
            <v>4.7E-2</v>
          </cell>
          <cell r="F13">
            <v>0.113</v>
          </cell>
          <cell r="G13">
            <v>6.5000000000000002E-2</v>
          </cell>
          <cell r="H13">
            <v>1.0420841683366733</v>
          </cell>
          <cell r="I13">
            <v>6.3567134268537065E-2</v>
          </cell>
          <cell r="J13">
            <v>5.7314629258517033E-2</v>
          </cell>
          <cell r="K13">
            <v>4.8977955911823641E-2</v>
          </cell>
          <cell r="L13">
            <v>0.11775551102204408</v>
          </cell>
          <cell r="M13">
            <v>6.7735470941883771E-2</v>
          </cell>
          <cell r="N13">
            <v>0.35535070140280556</v>
          </cell>
          <cell r="O13">
            <v>3553.5070140280554</v>
          </cell>
        </row>
        <row r="14">
          <cell r="B14" t="str">
            <v>9&lt;10</v>
          </cell>
          <cell r="C14">
            <v>6.0999999999999999E-2</v>
          </cell>
          <cell r="D14">
            <v>5.5E-2</v>
          </cell>
          <cell r="E14">
            <v>4.7E-2</v>
          </cell>
          <cell r="F14">
            <v>0.113</v>
          </cell>
          <cell r="G14">
            <v>6.5000000000000002E-2</v>
          </cell>
          <cell r="H14">
            <v>1.1046092184368739</v>
          </cell>
          <cell r="I14">
            <v>6.7381162324649302E-2</v>
          </cell>
          <cell r="J14">
            <v>6.0753507014028062E-2</v>
          </cell>
          <cell r="K14">
            <v>5.191663326653307E-2</v>
          </cell>
          <cell r="L14">
            <v>0.12482084168336675</v>
          </cell>
          <cell r="M14">
            <v>7.1799599198396805E-2</v>
          </cell>
          <cell r="N14">
            <v>0.37667174348697396</v>
          </cell>
          <cell r="O14">
            <v>3766.7174348697395</v>
          </cell>
        </row>
        <row r="15">
          <cell r="B15" t="str">
            <v>10&lt;11</v>
          </cell>
          <cell r="C15">
            <v>5.2999999999999999E-2</v>
          </cell>
          <cell r="D15">
            <v>5.2999999999999999E-2</v>
          </cell>
          <cell r="E15">
            <v>4.4999999999999998E-2</v>
          </cell>
          <cell r="F15">
            <v>0.122</v>
          </cell>
          <cell r="G15">
            <v>6.7000000000000004E-2</v>
          </cell>
          <cell r="H15">
            <v>1.2192384769539077</v>
          </cell>
          <cell r="I15">
            <v>6.4619639278557114E-2</v>
          </cell>
          <cell r="J15">
            <v>6.4619639278557114E-2</v>
          </cell>
          <cell r="K15">
            <v>5.4865731462925844E-2</v>
          </cell>
          <cell r="L15">
            <v>0.14874709418837676</v>
          </cell>
          <cell r="M15">
            <v>8.1688977955911818E-2</v>
          </cell>
          <cell r="N15">
            <v>0.41454108216432861</v>
          </cell>
          <cell r="O15">
            <v>4145.410821643286</v>
          </cell>
        </row>
        <row r="16">
          <cell r="B16" t="str">
            <v>11&lt;12</v>
          </cell>
          <cell r="C16">
            <v>5.2999999999999999E-2</v>
          </cell>
          <cell r="D16">
            <v>5.2999999999999999E-2</v>
          </cell>
          <cell r="E16">
            <v>4.4999999999999998E-2</v>
          </cell>
          <cell r="F16">
            <v>0.122</v>
          </cell>
          <cell r="G16">
            <v>6.7000000000000004E-2</v>
          </cell>
          <cell r="H16">
            <v>1.3801369863013699</v>
          </cell>
          <cell r="I16">
            <v>7.31472602739726E-2</v>
          </cell>
          <cell r="J16">
            <v>7.31472602739726E-2</v>
          </cell>
          <cell r="K16">
            <v>6.2106164383561646E-2</v>
          </cell>
          <cell r="L16">
            <v>0.16837671232876714</v>
          </cell>
          <cell r="M16">
            <v>9.2469178082191794E-2</v>
          </cell>
          <cell r="N16">
            <v>0.46924657534246578</v>
          </cell>
          <cell r="O16">
            <v>4692.465753424658</v>
          </cell>
        </row>
        <row r="17">
          <cell r="B17" t="str">
            <v>12&lt;13</v>
          </cell>
          <cell r="C17">
            <v>4.8000000000000001E-2</v>
          </cell>
          <cell r="D17">
            <v>5.5E-2</v>
          </cell>
          <cell r="E17">
            <v>4.4999999999999998E-2</v>
          </cell>
          <cell r="F17">
            <v>0.125</v>
          </cell>
          <cell r="G17">
            <v>6.5000000000000002E-2</v>
          </cell>
          <cell r="H17">
            <v>1.4863013698630136</v>
          </cell>
          <cell r="I17">
            <v>7.134246575342465E-2</v>
          </cell>
          <cell r="J17">
            <v>8.1746575342465752E-2</v>
          </cell>
          <cell r="K17">
            <v>6.6883561643835618E-2</v>
          </cell>
          <cell r="L17">
            <v>0.18578767123287671</v>
          </cell>
          <cell r="M17">
            <v>9.6609589041095886E-2</v>
          </cell>
          <cell r="N17">
            <v>0.50236986301369857</v>
          </cell>
          <cell r="O17">
            <v>5023.6986301369861</v>
          </cell>
        </row>
        <row r="18">
          <cell r="B18" t="str">
            <v>13&lt;14</v>
          </cell>
          <cell r="C18">
            <v>4.8000000000000001E-2</v>
          </cell>
          <cell r="D18">
            <v>5.5E-2</v>
          </cell>
          <cell r="E18">
            <v>4.4999999999999998E-2</v>
          </cell>
          <cell r="F18">
            <v>0.125</v>
          </cell>
          <cell r="G18">
            <v>6.5000000000000002E-2</v>
          </cell>
          <cell r="H18">
            <v>1.5712328767123289</v>
          </cell>
          <cell r="I18">
            <v>7.5419178082191785E-2</v>
          </cell>
          <cell r="J18">
            <v>8.6417808219178091E-2</v>
          </cell>
          <cell r="K18">
            <v>7.0705479452054798E-2</v>
          </cell>
          <cell r="L18">
            <v>0.19640410958904111</v>
          </cell>
          <cell r="M18">
            <v>0.10213013698630138</v>
          </cell>
          <cell r="N18">
            <v>0.53107671232876719</v>
          </cell>
          <cell r="O18">
            <v>5310.7671232876719</v>
          </cell>
        </row>
        <row r="19">
          <cell r="B19" t="str">
            <v>14&lt;15</v>
          </cell>
          <cell r="C19">
            <v>4.4999999999999998E-2</v>
          </cell>
          <cell r="D19">
            <v>5.2999999999999999E-2</v>
          </cell>
          <cell r="E19">
            <v>4.2000000000000003E-2</v>
          </cell>
          <cell r="F19">
            <v>0.121</v>
          </cell>
          <cell r="G19">
            <v>6.0999999999999999E-2</v>
          </cell>
          <cell r="H19">
            <v>1.6455479452054795</v>
          </cell>
          <cell r="I19">
            <v>7.4049657534246582E-2</v>
          </cell>
          <cell r="J19">
            <v>8.7214041095890413E-2</v>
          </cell>
          <cell r="K19">
            <v>6.9113013698630141E-2</v>
          </cell>
          <cell r="L19">
            <v>0.19911130136986302</v>
          </cell>
          <cell r="M19">
            <v>0.10037842465753424</v>
          </cell>
          <cell r="N19">
            <v>0.52986643835616443</v>
          </cell>
          <cell r="O19">
            <v>5298.6643835616442</v>
          </cell>
        </row>
        <row r="20">
          <cell r="B20" t="str">
            <v>15&lt;16</v>
          </cell>
          <cell r="C20">
            <v>4.4999999999999998E-2</v>
          </cell>
          <cell r="D20">
            <v>5.2999999999999999E-2</v>
          </cell>
          <cell r="E20">
            <v>4.2000000000000003E-2</v>
          </cell>
          <cell r="F20">
            <v>0.121</v>
          </cell>
          <cell r="G20">
            <v>6.0999999999999999E-2</v>
          </cell>
          <cell r="H20">
            <v>1.6667808219178084</v>
          </cell>
          <cell r="I20">
            <v>7.5005136986301374E-2</v>
          </cell>
          <cell r="J20">
            <v>8.833938356164385E-2</v>
          </cell>
          <cell r="K20">
            <v>7.0004794520547961E-2</v>
          </cell>
          <cell r="L20">
            <v>0.20168047945205481</v>
          </cell>
          <cell r="M20">
            <v>0.10167363013698631</v>
          </cell>
          <cell r="N20">
            <v>0.53670342465753429</v>
          </cell>
          <cell r="O20">
            <v>5367.0342465753429</v>
          </cell>
        </row>
        <row r="21">
          <cell r="B21" t="str">
            <v>16&lt;17</v>
          </cell>
          <cell r="C21">
            <v>4.2999999999999997E-2</v>
          </cell>
          <cell r="D21">
            <v>5.0999999999999997E-2</v>
          </cell>
          <cell r="E21">
            <v>4.3999999999999997E-2</v>
          </cell>
          <cell r="F21">
            <v>0.11899999999999999</v>
          </cell>
          <cell r="G21">
            <v>6.0999999999999999E-2</v>
          </cell>
          <cell r="H21">
            <v>1.6289156626506027</v>
          </cell>
          <cell r="I21">
            <v>7.0043373493975908E-2</v>
          </cell>
          <cell r="J21">
            <v>8.3074698795180729E-2</v>
          </cell>
          <cell r="K21">
            <v>7.1672289156626517E-2</v>
          </cell>
          <cell r="L21">
            <v>0.19384096385542171</v>
          </cell>
          <cell r="M21">
            <v>9.936385542168677E-2</v>
          </cell>
          <cell r="N21">
            <v>0.51799518072289163</v>
          </cell>
          <cell r="O21">
            <v>5179.9518072289166</v>
          </cell>
        </row>
        <row r="22">
          <cell r="B22" t="str">
            <v>17&lt;18</v>
          </cell>
          <cell r="C22">
            <v>4.2999999999999997E-2</v>
          </cell>
          <cell r="D22">
            <v>5.0999999999999997E-2</v>
          </cell>
          <cell r="E22">
            <v>4.3999999999999997E-2</v>
          </cell>
          <cell r="F22">
            <v>0.11899999999999999</v>
          </cell>
          <cell r="G22">
            <v>6.0999999999999999E-2</v>
          </cell>
          <cell r="H22">
            <v>1.6594578313253014</v>
          </cell>
          <cell r="I22">
            <v>7.135668674698796E-2</v>
          </cell>
          <cell r="J22">
            <v>8.4632349397590373E-2</v>
          </cell>
          <cell r="K22">
            <v>7.3016144578313263E-2</v>
          </cell>
          <cell r="L22">
            <v>0.19747548192771086</v>
          </cell>
          <cell r="M22">
            <v>0.10122692771084339</v>
          </cell>
          <cell r="N22">
            <v>0.52770759036144588</v>
          </cell>
          <cell r="O22">
            <v>5277.0759036144591</v>
          </cell>
        </row>
        <row r="23">
          <cell r="B23" t="str">
            <v>Adult</v>
          </cell>
          <cell r="C23">
            <v>6.2E-2</v>
          </cell>
          <cell r="D23">
            <v>6.0159999999999998E-2</v>
          </cell>
          <cell r="E23">
            <v>4.8000000000000001E-2</v>
          </cell>
          <cell r="F23">
            <v>0.12920000000000001</v>
          </cell>
          <cell r="G23">
            <v>6.6000000000000003E-2</v>
          </cell>
          <cell r="H23">
            <v>1.7205421686746991</v>
          </cell>
          <cell r="I23">
            <v>0.10667361445783134</v>
          </cell>
          <cell r="J23">
            <v>0.10350781686746989</v>
          </cell>
          <cell r="K23">
            <v>8.258602409638556E-2</v>
          </cell>
          <cell r="L23">
            <v>0.22229404819277115</v>
          </cell>
          <cell r="M23">
            <v>0.11355578313253015</v>
          </cell>
          <cell r="N23">
            <v>0.62861728674698802</v>
          </cell>
          <cell r="O23">
            <v>6286.1728674698807</v>
          </cell>
        </row>
        <row r="24">
          <cell r="A24" t="str">
            <v>Yellow are from USEPA Exposure Factors Handbook 2011 Table 7-2 (USEPA 1985 for first two years), other ages based on adjustments in Boniol found in Table 7-8</v>
          </cell>
        </row>
        <row r="25">
          <cell r="A25" t="str">
            <v xml:space="preserve">Mean % of Male and female children from USEPA because not broken out, female for USEPA adults, female from Boniol  </v>
          </cell>
        </row>
        <row r="26">
          <cell r="A26" t="str">
            <v>For USEPA forearms is arms times .47,  per reported conversations between VT and USEPA Region 1 risk assessors, for all Boniol is "lower arms",</v>
          </cell>
        </row>
        <row r="27">
          <cell r="A27" t="str">
            <v>For USEPA Lower legs is legs times .40 per same reported USEPA conversations above, for Boniol use "legs", as they had "legs" and "thighs" separate and "legs" were smaller, assume lower legs for legs.</v>
          </cell>
        </row>
        <row r="29">
          <cell r="A29" t="str">
            <v>Calcuations for getting yearly estimates from the 2011 EFH tables</v>
          </cell>
        </row>
        <row r="30">
          <cell r="I30" t="str">
            <v>2011 Data by age bin</v>
          </cell>
        </row>
        <row r="31">
          <cell r="I31" t="str">
            <v xml:space="preserve">EFH, 2011 Table 7-11 p. 7-42 </v>
          </cell>
        </row>
        <row r="33">
          <cell r="G33" t="str">
            <v>AGE</v>
          </cell>
          <cell r="I33" t="str">
            <v>TOTAL BODY SA (m2)</v>
          </cell>
        </row>
        <row r="34">
          <cell r="G34" t="str">
            <v xml:space="preserve"> EHF, 2011</v>
          </cell>
          <cell r="H34" t="str">
            <v>m2</v>
          </cell>
          <cell r="I34" t="str">
            <v>years</v>
          </cell>
          <cell r="J34" t="str">
            <v>wtd by 
time</v>
          </cell>
          <cell r="O34" t="str">
            <v xml:space="preserve">Updated Values </v>
          </cell>
        </row>
        <row r="35">
          <cell r="C35" t="str">
            <v>1997 Data by Year</v>
          </cell>
          <cell r="G35" t="str">
            <v>0&lt;1m</v>
          </cell>
          <cell r="H35">
            <v>0.28000000000000003</v>
          </cell>
          <cell r="I35">
            <v>8.3333333333333329E-2</v>
          </cell>
          <cell r="J35">
            <v>2.3333333333333334E-2</v>
          </cell>
          <cell r="M35" t="str">
            <v xml:space="preserve"> </v>
          </cell>
          <cell r="O35" t="str">
            <v>for Use in This Method 1 Suite</v>
          </cell>
        </row>
        <row r="36">
          <cell r="B36" t="str">
            <v>EFH, 97 Tables 6-7 (child),  6-2 (18+)</v>
          </cell>
          <cell r="G36" t="str">
            <v>1&lt;3m</v>
          </cell>
          <cell r="H36">
            <v>0.31</v>
          </cell>
          <cell r="I36">
            <v>0.16666666666666666</v>
          </cell>
          <cell r="J36">
            <v>5.1666666666666666E-2</v>
          </cell>
        </row>
        <row r="37">
          <cell r="G37" t="str">
            <v>3&lt;6m</v>
          </cell>
          <cell r="H37">
            <v>0.38</v>
          </cell>
          <cell r="I37">
            <v>0.25</v>
          </cell>
          <cell r="J37">
            <v>9.5000000000000001E-2</v>
          </cell>
          <cell r="O37" t="str">
            <v>For Soil</v>
          </cell>
          <cell r="P37" t="str">
            <v>For GW</v>
          </cell>
        </row>
        <row r="38">
          <cell r="B38" t="str">
            <v>Female</v>
          </cell>
          <cell r="C38" t="str">
            <v>Total Body SA m2</v>
          </cell>
          <cell r="G38" t="str">
            <v>6&lt;12m</v>
          </cell>
          <cell r="H38">
            <v>0.44</v>
          </cell>
          <cell r="I38">
            <v>0.5</v>
          </cell>
          <cell r="J38">
            <v>0.22</v>
          </cell>
          <cell r="N38" t="str">
            <v xml:space="preserve">1997 
SA Adjusted </v>
          </cell>
          <cell r="O38" t="str">
            <v>Updated</v>
          </cell>
          <cell r="P38" t="str">
            <v>Updated</v>
          </cell>
        </row>
        <row r="39">
          <cell r="B39" t="str">
            <v>AGE</v>
          </cell>
          <cell r="G39" t="str">
            <v>above time weighted summed to get 0&lt;1yr below</v>
          </cell>
          <cell r="L39" t="str">
            <v>% Diff btwn</v>
          </cell>
          <cell r="M39" t="str">
            <v>AGE</v>
          </cell>
          <cell r="N39" t="str">
            <v>by 2011
 % Diff</v>
          </cell>
          <cell r="O39" t="str">
            <v>Total SA
m2</v>
          </cell>
          <cell r="P39" t="str">
            <v>Total SA 
cm2</v>
          </cell>
        </row>
        <row r="40">
          <cell r="A40" t="str">
            <v>no data,</v>
          </cell>
          <cell r="B40" t="str">
            <v>0&lt;1</v>
          </cell>
          <cell r="C40">
            <v>0.57899999999999996</v>
          </cell>
          <cell r="G40" t="str">
            <v>0&lt;1</v>
          </cell>
          <cell r="J40">
            <v>0.39</v>
          </cell>
          <cell r="K40" t="str">
            <v>0&lt;1 yr</v>
          </cell>
          <cell r="L40" t="str">
            <v>1997 &amp; 2011</v>
          </cell>
          <cell r="M40" t="str">
            <v>0&lt;1</v>
          </cell>
          <cell r="O40">
            <v>0.39</v>
          </cell>
          <cell r="P40">
            <v>3900</v>
          </cell>
        </row>
        <row r="41">
          <cell r="A41" t="str">
            <v>use 2&lt;3</v>
          </cell>
          <cell r="B41" t="str">
            <v>1&lt;2</v>
          </cell>
          <cell r="C41">
            <v>0.57899999999999996</v>
          </cell>
          <cell r="G41" t="str">
            <v>1&lt;2</v>
          </cell>
          <cell r="H41">
            <v>0.52</v>
          </cell>
          <cell r="I41">
            <v>1</v>
          </cell>
          <cell r="J41">
            <v>0.52</v>
          </cell>
          <cell r="K41" t="str">
            <v>1&lt;2 yr</v>
          </cell>
          <cell r="M41" t="str">
            <v>1&lt;2</v>
          </cell>
          <cell r="O41">
            <v>0.52</v>
          </cell>
          <cell r="P41">
            <v>5200</v>
          </cell>
          <cell r="Q41" t="str">
            <v>Ave 0&lt;2:</v>
          </cell>
          <cell r="R41">
            <v>4550</v>
          </cell>
        </row>
        <row r="42">
          <cell r="B42" t="str">
            <v>2&lt;3</v>
          </cell>
          <cell r="C42">
            <v>0.57899999999999996</v>
          </cell>
          <cell r="G42" t="str">
            <v>2&lt;3</v>
          </cell>
          <cell r="H42">
            <v>0.59</v>
          </cell>
          <cell r="I42">
            <v>1</v>
          </cell>
          <cell r="J42">
            <v>0.59</v>
          </cell>
          <cell r="K42" t="str">
            <v>2&lt;3 yr</v>
          </cell>
          <cell r="M42" t="str">
            <v>2&lt;3</v>
          </cell>
          <cell r="O42">
            <v>0.59</v>
          </cell>
          <cell r="P42">
            <v>5900</v>
          </cell>
        </row>
        <row r="43">
          <cell r="B43" t="str">
            <v>3&lt;4</v>
          </cell>
          <cell r="C43">
            <v>0.64900000000000002</v>
          </cell>
          <cell r="D43" t="str">
            <v>3-&lt;6 yr</v>
          </cell>
          <cell r="E43">
            <v>0.71133333333333326</v>
          </cell>
          <cell r="G43" t="str">
            <v>3&lt;6</v>
          </cell>
          <cell r="I43">
            <v>3</v>
          </cell>
          <cell r="J43">
            <v>0.74</v>
          </cell>
          <cell r="K43" t="str">
            <v>3&lt;6 yr</v>
          </cell>
          <cell r="L43">
            <v>4.0299906279287816</v>
          </cell>
          <cell r="M43" t="str">
            <v>3&lt;4</v>
          </cell>
          <cell r="N43">
            <v>0.67515463917525786</v>
          </cell>
          <cell r="O43">
            <v>0.67515463917525786</v>
          </cell>
          <cell r="P43">
            <v>6751.5463917525785</v>
          </cell>
        </row>
        <row r="44">
          <cell r="B44" t="str">
            <v>4&lt;5</v>
          </cell>
          <cell r="C44">
            <v>0.70599999999999996</v>
          </cell>
          <cell r="M44" t="str">
            <v>4&lt;5</v>
          </cell>
          <cell r="N44">
            <v>0.73445173383317719</v>
          </cell>
          <cell r="O44">
            <v>0.73445173383317719</v>
          </cell>
          <cell r="P44">
            <v>7344.5173383317715</v>
          </cell>
        </row>
        <row r="45">
          <cell r="B45" t="str">
            <v>5&lt;6</v>
          </cell>
          <cell r="C45">
            <v>0.77900000000000003</v>
          </cell>
          <cell r="M45" t="str">
            <v>5&lt;6</v>
          </cell>
          <cell r="N45">
            <v>0.81039362699156525</v>
          </cell>
          <cell r="O45">
            <v>0.81039362699156525</v>
          </cell>
          <cell r="P45">
            <v>8103.9362699156527</v>
          </cell>
          <cell r="Q45" t="str">
            <v>Ave 2&lt;6:</v>
          </cell>
          <cell r="R45">
            <v>7025</v>
          </cell>
        </row>
        <row r="46">
          <cell r="B46" t="str">
            <v>6&lt;7</v>
          </cell>
          <cell r="C46">
            <v>0.84299999999999997</v>
          </cell>
          <cell r="D46" t="str">
            <v>6-&lt;11yr</v>
          </cell>
          <cell r="E46">
            <v>0.998</v>
          </cell>
          <cell r="G46" t="str">
            <v>6&lt;11</v>
          </cell>
          <cell r="I46">
            <v>5</v>
          </cell>
          <cell r="J46">
            <v>1.04</v>
          </cell>
          <cell r="K46" t="str">
            <v>6&lt;11yr</v>
          </cell>
          <cell r="L46">
            <v>4.2084168336673384</v>
          </cell>
          <cell r="M46" t="str">
            <v>6&lt;7</v>
          </cell>
          <cell r="N46">
            <v>0.87847695390781566</v>
          </cell>
          <cell r="O46">
            <v>0.87847695390781566</v>
          </cell>
          <cell r="P46">
            <v>8784.7695390781573</v>
          </cell>
        </row>
        <row r="47">
          <cell r="B47" t="str">
            <v>7&lt;8</v>
          </cell>
          <cell r="C47">
            <v>0.91700000000000004</v>
          </cell>
          <cell r="M47" t="str">
            <v>7&lt;8</v>
          </cell>
          <cell r="N47">
            <v>0.95559118236472951</v>
          </cell>
          <cell r="O47">
            <v>0.95559118236472951</v>
          </cell>
          <cell r="P47">
            <v>9555.911823647295</v>
          </cell>
          <cell r="Q47" t="str">
            <v>Ave 0&lt;7:</v>
          </cell>
          <cell r="R47">
            <v>6569.2527912968799</v>
          </cell>
        </row>
        <row r="48">
          <cell r="B48" t="str">
            <v>8&lt;9</v>
          </cell>
          <cell r="C48">
            <v>1</v>
          </cell>
          <cell r="M48" t="str">
            <v>8&lt;9</v>
          </cell>
          <cell r="N48">
            <v>1.0420841683366733</v>
          </cell>
          <cell r="O48">
            <v>1.0420841683366733</v>
          </cell>
          <cell r="P48">
            <v>10420.841683366732</v>
          </cell>
        </row>
        <row r="49">
          <cell r="B49" t="str">
            <v>9&lt;10</v>
          </cell>
          <cell r="C49">
            <v>1.06</v>
          </cell>
          <cell r="M49" t="str">
            <v>9&lt;10</v>
          </cell>
          <cell r="N49">
            <v>1.1046092184368739</v>
          </cell>
          <cell r="O49">
            <v>1.1046092184368739</v>
          </cell>
          <cell r="P49">
            <v>11046.092184368739</v>
          </cell>
        </row>
        <row r="50">
          <cell r="B50" t="str">
            <v>10&lt;11</v>
          </cell>
          <cell r="C50">
            <v>1.17</v>
          </cell>
          <cell r="M50" t="str">
            <v>10&lt;11</v>
          </cell>
          <cell r="N50">
            <v>1.2192384769539077</v>
          </cell>
          <cell r="O50">
            <v>1.2192384769539077</v>
          </cell>
          <cell r="P50">
            <v>12192.384769539078</v>
          </cell>
        </row>
        <row r="51">
          <cell r="B51" t="str">
            <v>11&lt;12</v>
          </cell>
          <cell r="C51">
            <v>1.3</v>
          </cell>
          <cell r="D51" t="str">
            <v>11-&lt;16 yr</v>
          </cell>
          <cell r="E51">
            <v>1.46</v>
          </cell>
          <cell r="G51" t="str">
            <v>11&lt;16</v>
          </cell>
          <cell r="I51">
            <v>5</v>
          </cell>
          <cell r="J51">
            <v>1.55</v>
          </cell>
          <cell r="K51" t="str">
            <v>11&lt;16 yr</v>
          </cell>
          <cell r="L51">
            <v>6.1643835616438407</v>
          </cell>
          <cell r="M51" t="str">
            <v>11&lt;12</v>
          </cell>
          <cell r="N51">
            <v>1.3801369863013699</v>
          </cell>
          <cell r="O51">
            <v>1.3801369863013699</v>
          </cell>
          <cell r="P51">
            <v>13801.369863013699</v>
          </cell>
        </row>
        <row r="52">
          <cell r="B52" t="str">
            <v>12&lt;13</v>
          </cell>
          <cell r="C52">
            <v>1.4</v>
          </cell>
          <cell r="M52" t="str">
            <v>12&lt;13</v>
          </cell>
          <cell r="N52">
            <v>1.4863013698630136</v>
          </cell>
          <cell r="O52">
            <v>1.4863013698630136</v>
          </cell>
          <cell r="P52">
            <v>14863.013698630137</v>
          </cell>
          <cell r="Q52" t="str">
            <v>Ave 6&lt;16:</v>
          </cell>
          <cell r="R52">
            <v>12950</v>
          </cell>
        </row>
        <row r="53">
          <cell r="B53" t="str">
            <v>13&lt;14</v>
          </cell>
          <cell r="C53">
            <v>1.48</v>
          </cell>
          <cell r="M53" t="str">
            <v>13&lt;14</v>
          </cell>
          <cell r="N53">
            <v>1.5712328767123289</v>
          </cell>
          <cell r="O53">
            <v>1.5712328767123289</v>
          </cell>
          <cell r="P53">
            <v>15712.328767123288</v>
          </cell>
        </row>
        <row r="54">
          <cell r="B54" t="str">
            <v>14&lt;15</v>
          </cell>
          <cell r="C54">
            <v>1.55</v>
          </cell>
          <cell r="M54" t="str">
            <v>14&lt;15</v>
          </cell>
          <cell r="N54">
            <v>1.6455479452054795</v>
          </cell>
          <cell r="O54">
            <v>1.6455479452054795</v>
          </cell>
          <cell r="P54">
            <v>16455.479452054795</v>
          </cell>
          <cell r="Q54" t="str">
            <v>Ave 7&lt;14:</v>
          </cell>
          <cell r="R54">
            <v>12513.13468424128</v>
          </cell>
        </row>
        <row r="55">
          <cell r="B55" t="str">
            <v>15&lt;16</v>
          </cell>
          <cell r="C55">
            <v>1.57</v>
          </cell>
          <cell r="M55" t="str">
            <v>15&lt;16</v>
          </cell>
          <cell r="N55">
            <v>1.6667808219178084</v>
          </cell>
          <cell r="O55">
            <v>1.6667808219178084</v>
          </cell>
          <cell r="P55">
            <v>16667.808219178085</v>
          </cell>
        </row>
        <row r="56">
          <cell r="B56" t="str">
            <v>16&lt;17</v>
          </cell>
          <cell r="C56">
            <v>1.6</v>
          </cell>
          <cell r="D56" t="str">
            <v>16-&lt;21 yr</v>
          </cell>
          <cell r="E56">
            <v>1.6599999999999997</v>
          </cell>
          <cell r="G56" t="str">
            <v>16&lt;21</v>
          </cell>
          <cell r="I56">
            <v>5</v>
          </cell>
          <cell r="J56">
            <v>1.69</v>
          </cell>
          <cell r="K56" t="str">
            <v>16&lt;21 yr</v>
          </cell>
          <cell r="L56">
            <v>1.807228915662666</v>
          </cell>
          <cell r="M56" t="str">
            <v>16&lt;17</v>
          </cell>
          <cell r="N56">
            <v>1.6289156626506027</v>
          </cell>
          <cell r="O56">
            <v>1.6289156626506027</v>
          </cell>
          <cell r="P56">
            <v>16289.156626506026</v>
          </cell>
        </row>
        <row r="57">
          <cell r="B57" t="str">
            <v>17&lt;18</v>
          </cell>
          <cell r="C57">
            <v>1.63</v>
          </cell>
          <cell r="M57" t="str">
            <v>17&lt;18</v>
          </cell>
          <cell r="N57">
            <v>1.6594578313253014</v>
          </cell>
          <cell r="O57">
            <v>1.6594578313253014</v>
          </cell>
          <cell r="P57">
            <v>16594.578313253016</v>
          </cell>
        </row>
        <row r="58">
          <cell r="B58" t="str">
            <v>18&lt;19</v>
          </cell>
          <cell r="C58">
            <v>1.69</v>
          </cell>
          <cell r="G58" t="str">
            <v>Adult</v>
          </cell>
          <cell r="H58" t="str">
            <v xml:space="preserve">From Table 7-13 </v>
          </cell>
          <cell r="J58">
            <v>1.82</v>
          </cell>
          <cell r="M58" t="str">
            <v>18&lt;19</v>
          </cell>
          <cell r="N58">
            <v>1.7205421686746991</v>
          </cell>
          <cell r="O58">
            <v>1.7205421686746991</v>
          </cell>
          <cell r="P58">
            <v>17205.421686746991</v>
          </cell>
        </row>
        <row r="59">
          <cell r="B59" t="str">
            <v>19&lt;20</v>
          </cell>
          <cell r="C59">
            <v>1.69</v>
          </cell>
          <cell r="H59" t="str">
            <v>p 7-45 (50th percentile Adult female 21 and older)</v>
          </cell>
          <cell r="M59" t="str">
            <v>19&lt;20</v>
          </cell>
          <cell r="N59">
            <v>1.7205421686746991</v>
          </cell>
          <cell r="O59">
            <v>1.7205421686746991</v>
          </cell>
          <cell r="P59">
            <v>17205.421686746991</v>
          </cell>
          <cell r="Q59" t="str">
            <v>Ave 16&lt;30:</v>
          </cell>
          <cell r="R59">
            <v>17735.714285714286</v>
          </cell>
        </row>
        <row r="60">
          <cell r="B60" t="str">
            <v>20&lt;21</v>
          </cell>
          <cell r="C60">
            <v>1.69</v>
          </cell>
          <cell r="M60" t="str">
            <v>20&lt;21</v>
          </cell>
          <cell r="N60">
            <v>1.7205421686746991</v>
          </cell>
          <cell r="O60">
            <v>1.7205421686746991</v>
          </cell>
          <cell r="P60">
            <v>17205.421686746991</v>
          </cell>
        </row>
        <row r="61">
          <cell r="M61" t="str">
            <v>ADULT</v>
          </cell>
          <cell r="O61">
            <v>1.82</v>
          </cell>
          <cell r="P61">
            <v>18200</v>
          </cell>
          <cell r="Q61" t="str">
            <v>Ave 14&lt;30:</v>
          </cell>
          <cell r="R61">
            <v>17588.955479452055</v>
          </cell>
        </row>
        <row r="70">
          <cell r="M70" t="str">
            <v xml:space="preserve"> </v>
          </cell>
        </row>
      </sheetData>
      <sheetData sheetId="6">
        <row r="1">
          <cell r="A1" t="str">
            <v>References for the Derivation of the MCP Standards</v>
          </cell>
        </row>
        <row r="4">
          <cell r="A4" t="str">
            <v>Reference #</v>
          </cell>
          <cell r="B4" t="str">
            <v>Description</v>
          </cell>
        </row>
        <row r="5">
          <cell r="B5" t="str">
            <v>Toxicity Values</v>
          </cell>
        </row>
        <row r="6">
          <cell r="A6">
            <v>1</v>
          </cell>
          <cell r="B6" t="str">
            <v>USEPA, Integrated Risk Information System (IRIS).</v>
          </cell>
        </row>
        <row r="7">
          <cell r="A7" t="str">
            <v>1a</v>
          </cell>
          <cell r="B7" t="str">
            <v>The oral cancer slope factor for a mix of 2,4- and 2,6- Dinitrotoluene (from IRIS) has been</v>
          </cell>
        </row>
        <row r="8">
          <cell r="B8" t="str">
            <v>used as the cancer slope factor equivalent for pure 2,4-Dinitrotoluene.</v>
          </cell>
        </row>
        <row r="9">
          <cell r="A9" t="str">
            <v>1b</v>
          </cell>
          <cell r="B9" t="str">
            <v>The chronic oral RfD for 1,2-Dichlorobenzene has been used as the chronic oral RfD equivalent for 1,3-Dichlorobenzene and 1,4-Dichlorobenzene.</v>
          </cell>
        </row>
        <row r="10">
          <cell r="A10" t="str">
            <v>1c</v>
          </cell>
          <cell r="B10" t="str">
            <v>IRIS lists two oral RfDs for cadmium, one for food and one for water exposure.  The more conservative is used.</v>
          </cell>
        </row>
        <row r="11">
          <cell r="A11" t="str">
            <v>1d</v>
          </cell>
          <cell r="B11" t="str">
            <v>The chronic oral RfD (from IRIS) has been used here as a subchronic oral RfD equivalent.</v>
          </cell>
        </row>
        <row r="12">
          <cell r="A12" t="str">
            <v>1e</v>
          </cell>
          <cell r="B12" t="str">
            <v xml:space="preserve">The IRIS Oral Cancer Slope Factor and Inhalation Unit Risk for benzo(a)pyrene is the basis for the Oral Cancer Slope Factors and Inhalation Unit Risks applied to the seven PAH compounds which are </v>
          </cell>
        </row>
        <row r="13">
          <cell r="B13" t="str">
            <v>designated as category A, B1, B2 or C carcinogens. The values are adjusted by Relative Potency Factors.</v>
          </cell>
        </row>
        <row r="14">
          <cell r="A14" t="str">
            <v>1f</v>
          </cell>
          <cell r="B14" t="str">
            <v>This value was withdrawn from IRIS. MassDEP continues to use it pending new toxicity information.</v>
          </cell>
        </row>
        <row r="15">
          <cell r="A15" t="str">
            <v>1g</v>
          </cell>
          <cell r="B15" t="str">
            <v>The chronic oral Reference Dose for DDT has been adopted for DDD and DDE as well.</v>
          </cell>
        </row>
        <row r="16">
          <cell r="A16" t="str">
            <v>1h</v>
          </cell>
          <cell r="B16" t="str">
            <v>The IRIS chronic RfC for Cr VI was used for CR III.</v>
          </cell>
        </row>
        <row r="17">
          <cell r="A17" t="str">
            <v>1i</v>
          </cell>
          <cell r="B17" t="str">
            <v>The subchronic RfD is based upon the subchronic toxicity data that is the basis of the chronic RfD presented in the IRIS file.</v>
          </cell>
        </row>
        <row r="18">
          <cell r="A18" t="str">
            <v>1j</v>
          </cell>
          <cell r="B18" t="str">
            <v>The subchronic RfC is set equal to the chronic RfC based on information in the IRIS file.</v>
          </cell>
        </row>
        <row r="19">
          <cell r="A19" t="str">
            <v>1k</v>
          </cell>
          <cell r="B19" t="str">
            <v>The subchronic RfC is based upon the subchronic toxicity data that is the basis of the chronic RfC presented in the IRIS file.</v>
          </cell>
        </row>
        <row r="20">
          <cell r="A20" t="str">
            <v>1l</v>
          </cell>
          <cell r="B20" t="str">
            <v xml:space="preserve">This value is presented in IRIS as the Oral Cancer Slope Factor that would result from including leukemia data in the development of the value. </v>
          </cell>
        </row>
        <row r="21">
          <cell r="A21" t="str">
            <v>1m</v>
          </cell>
          <cell r="B21" t="str">
            <v>The chronic and subchronic RfCs for 1,4-Dichlorobenze are used for 1,2- and 1,3- Dichlorobenzene.</v>
          </cell>
        </row>
        <row r="22">
          <cell r="A22" t="str">
            <v>1n</v>
          </cell>
          <cell r="B22" t="str">
            <v>USEPA Health Advisory https://www.epa.gov/ground-water-and-drinking-water/supporting-documents-drinking-water-health-advisories-pfoa-and-pfos</v>
          </cell>
        </row>
        <row r="24">
          <cell r="A24">
            <v>2</v>
          </cell>
          <cell r="B24" t="str">
            <v xml:space="preserve">USEPA Health Effects Assessment Summary Tables (HEAST), Annual FY-1996.  </v>
          </cell>
        </row>
        <row r="25">
          <cell r="A25" t="str">
            <v>2a</v>
          </cell>
          <cell r="B25" t="str">
            <v>This subchronic oral RfD (from HEAST) for 1,2-Dichlorobenzene has been used as the</v>
          </cell>
        </row>
        <row r="26">
          <cell r="A26" t="str">
            <v xml:space="preserve"> </v>
          </cell>
          <cell r="B26" t="str">
            <v xml:space="preserve">subchronic oral RfD equivalent for 1,3- and 1,4- Dichlorobenzene. </v>
          </cell>
        </row>
        <row r="27">
          <cell r="A27" t="str">
            <v>2b</v>
          </cell>
          <cell r="B27" t="str">
            <v>The subchronic RfC is based upon the subchronic toxicity data that is the basis of the chronic RfC presented in HEAST.</v>
          </cell>
        </row>
        <row r="28">
          <cell r="A28" t="str">
            <v>2c</v>
          </cell>
          <cell r="B28" t="str">
            <v xml:space="preserve">This Cancer Slope Factor or Unit Risk was taken from a fact sheet distributed by the USEPA Superfund Health Risk Technical Support Center at </v>
          </cell>
        </row>
        <row r="29">
          <cell r="B29" t="str">
            <v>ECAO-Cincinnati, current as of September 2, 1992.</v>
          </cell>
        </row>
        <row r="30">
          <cell r="A30" t="str">
            <v>2d</v>
          </cell>
          <cell r="B30" t="str">
            <v>This value has been withdrawn from HEAST, MassDEP continues to use it pending new information.</v>
          </cell>
        </row>
        <row r="31">
          <cell r="A31" t="str">
            <v>2e</v>
          </cell>
          <cell r="B31" t="str">
            <v>From Table 2 of HEAST. Values in Table 2 were calculated by an alternative method.</v>
          </cell>
        </row>
        <row r="32">
          <cell r="A32" t="str">
            <v>2f</v>
          </cell>
          <cell r="B32" t="str">
            <v>The chronic Reference Concentration for 1,2-dichlorobenzene has been used for 1,3 dichlorobenzene.</v>
          </cell>
        </row>
        <row r="33">
          <cell r="A33" t="str">
            <v>2g</v>
          </cell>
          <cell r="B33" t="str">
            <v>The subchronic oral RfD for DDT has been adopted for DDE and DDD as well.</v>
          </cell>
        </row>
        <row r="35">
          <cell r="A35">
            <v>3</v>
          </cell>
          <cell r="B35" t="str">
            <v>MassDEP Chemical Health Effects Assessment Methodology and Method to Derive Allowable Ambient Limits (CHEM/AAL)</v>
          </cell>
        </row>
        <row r="36">
          <cell r="B36" t="str">
            <v>http://www.mass.gov/dep/toxics/stypes/telaal.htm</v>
          </cell>
        </row>
        <row r="37">
          <cell r="A37" t="str">
            <v>3a</v>
          </cell>
          <cell r="B37" t="str">
            <v xml:space="preserve">MassDEP Methodology for Updating Air Guidelines: Allowable Ambient Limits (AALs) and Threshold Effects Exposure Limits (TELs) (MassDEP 2011). </v>
          </cell>
        </row>
        <row r="38">
          <cell r="B38" t="str">
            <v>More info on the MassDEP Amibient Air Toxics Guidelines webpage. (http://www.mass.gov/eea/agencies/massdep/toxics/sources/air-guideline-values.html)</v>
          </cell>
        </row>
        <row r="40">
          <cell r="A40">
            <v>4</v>
          </cell>
          <cell r="B40" t="str">
            <v xml:space="preserve">Developed for the Risk Assessment ShortForm - Residential Scenario (MassDEP, 1992) by MassDEP staff.  Documentation of this value may be found </v>
          </cell>
        </row>
        <row r="41">
          <cell r="B41" t="str">
            <v>in Appendix D of that document.</v>
          </cell>
        </row>
        <row r="43">
          <cell r="A43" t="str">
            <v>5a</v>
          </cell>
          <cell r="B43" t="str">
            <v>The chronic and subchronic RfDs for MTBE were developed by MassDEP ORS Air/Water Toxics staff. See http://www.mass.gov/dep/water/drinking/standards/mtbe.htm</v>
          </cell>
        </row>
        <row r="44">
          <cell r="A44" t="str">
            <v>5b</v>
          </cell>
          <cell r="B44" t="str">
            <v xml:space="preserve">The RfCs for silver, thallium, and zinc were developed by MassDEP ORS Air/Water Toxics staff. </v>
          </cell>
        </row>
        <row r="45">
          <cell r="A45" t="str">
            <v>5c</v>
          </cell>
          <cell r="B45" t="str">
            <v xml:space="preserve">Final Updated Petroleum Hydrocarbon Fraction Toxicity Values for the VPH/EPH/APH Methodology. </v>
          </cell>
        </row>
        <row r="46">
          <cell r="B46" t="str">
            <v>See: http://www.mass.gov/dep/cleanup/laws/tphtox03.doc</v>
          </cell>
        </row>
        <row r="47">
          <cell r="A47" t="str">
            <v>5d</v>
          </cell>
          <cell r="B47" t="str">
            <v>Toxicity values for PAHs are consistent with the approach presented in "Updated Petroleum Hydrocarbon Fraction Toxicity Values for the VPH/EPH/APH Methodology" MassDEP 2003 and</v>
          </cell>
        </row>
        <row r="48">
          <cell r="B48" t="str">
            <v xml:space="preserve">"Characterizing Risks Posed by Petroleum Contaminated Sites" MassDEP 2002. </v>
          </cell>
        </row>
        <row r="49">
          <cell r="A49" t="str">
            <v>5e</v>
          </cell>
          <cell r="B49" t="str">
            <v>MassDEP (2006)  Perchlorate Toxicological Profile And Health Assessment. (http://www.mass.gov/dep/toxics/perchlorate-toxicity-061206.pdf)</v>
          </cell>
        </row>
        <row r="51">
          <cell r="A51" t="str">
            <v>5h</v>
          </cell>
          <cell r="B51" t="str">
            <v xml:space="preserve">Developed by MassDEP ORS in 2013, adopted in by MassDEP in January 2014. </v>
          </cell>
        </row>
        <row r="52">
          <cell r="B52" t="str">
            <v>"Tetrachloroethylene (Perchloroethylene) Inhalation Unit Risk Value" 2014. http://www.mass.gov/eea/agencies/massdep/toxics/sources/tetrachloroethylene-pce.html</v>
          </cell>
        </row>
        <row r="53">
          <cell r="A53" t="str">
            <v>5i</v>
          </cell>
          <cell r="B53" t="str">
            <v>MassDEP ORS 2018 - background documentation for the PFAS ORSGL.</v>
          </cell>
        </row>
        <row r="55">
          <cell r="A55">
            <v>6</v>
          </cell>
          <cell r="B55" t="str">
            <v xml:space="preserve">PPRTVs </v>
          </cell>
        </row>
        <row r="56">
          <cell r="A56" t="str">
            <v>6a</v>
          </cell>
          <cell r="B56" t="str">
            <v>The chronic values is set equal to the PPRTV subchronic value.</v>
          </cell>
        </row>
        <row r="57">
          <cell r="A57" t="str">
            <v>6b</v>
          </cell>
          <cell r="B57" t="str">
            <v>Value used in USEPA Drinking Water Program and cited in PPRTV documentation.</v>
          </cell>
        </row>
        <row r="58">
          <cell r="A58" t="str">
            <v>6c</v>
          </cell>
          <cell r="B58" t="str">
            <v>PPRTV Screening Value</v>
          </cell>
        </row>
        <row r="59">
          <cell r="A59" t="str">
            <v>6d</v>
          </cell>
          <cell r="B59" t="str">
            <v>This subchronic value is from the subchronic study on which the chronic RfD is based.</v>
          </cell>
        </row>
        <row r="61">
          <cell r="A61" t="str">
            <v>7a</v>
          </cell>
          <cell r="B61" t="str">
            <v>Conversion of the oral Cancer Slope Factor to the inhalation Unit Risk, using the equation:  Slope Factor x Ventilation Rate x Constant / Body Weight</v>
          </cell>
        </row>
        <row r="62">
          <cell r="B62" t="str">
            <v>(CSF x V x C)/BW  =  (CSF x 20 m3/day x 0.001 mg/µg) / 70 kg</v>
          </cell>
        </row>
        <row r="63">
          <cell r="A63" t="str">
            <v>7b</v>
          </cell>
          <cell r="B63" t="str">
            <v>Conversion of the oral Reference Dose to a Reference Concentration, using the equation:  RfD x BW / Ventilation Rate</v>
          </cell>
        </row>
        <row r="64">
          <cell r="B64" t="str">
            <v>RfC= (RfD x 70 kg) /  20 m3/day</v>
          </cell>
        </row>
        <row r="65">
          <cell r="A65" t="str">
            <v>7c</v>
          </cell>
          <cell r="B65" t="str">
            <v>The Subchronic Inhalation Reference Concentration for this chemical is taken to be equal to the chronic value, absent clear chemical-specific information justifying a higher value..</v>
          </cell>
        </row>
        <row r="68">
          <cell r="B68" t="str">
            <v>RAFs</v>
          </cell>
        </row>
        <row r="69">
          <cell r="A69">
            <v>9</v>
          </cell>
          <cell r="B69" t="str">
            <v xml:space="preserve">MassDEP 2012 RAF Review. Unless specified otherwise, due to data limitations and consistent with the approach in Ontario Ministry of the Environment (2011 - for full reference </v>
          </cell>
        </row>
        <row r="70">
          <cell r="B70" t="str">
            <v xml:space="preserve">see note 48e), a default RAF of 1 was chosen for all organic compounds for oral ingestion of contaminated soil and water. </v>
          </cell>
        </row>
        <row r="71">
          <cell r="A71" t="str">
            <v>9a</v>
          </cell>
          <cell r="B71" t="str">
            <v xml:space="preserve">MassDEP 2012 RAF Review - Dermal RAFs for dioxins, furans, and PCBs consider data presented in:  Brewster DW, Banks YB, Clark AM and Birbaum LS. (1998).   </v>
          </cell>
        </row>
        <row r="72">
          <cell r="B72" t="str">
            <v>Comparative Dermal Absorption of 2,3,7,8-Tetrachlorodibenzo-p-dioxin and Three Polychlorinated Dibenzofurans. Toxicol Appl Pharacol 97(1):156-166.</v>
          </cell>
        </row>
        <row r="73">
          <cell r="B73" t="str">
            <v xml:space="preserve">Mayes BA, Brown GL, Mondello FJ, Holtzclaw KW, Hamilton SB, Ramsey AA. (2002).Dermal Absorption in Rhesus Monkeys of Polychlorinated Biphenyls from Soil Contaminated With </v>
          </cell>
        </row>
        <row r="74">
          <cell r="B74" t="str">
            <v>Aroclor 1260. Regul Toxicol Pharmacol 35(3):289-295.</v>
          </cell>
        </row>
        <row r="75">
          <cell r="B75" t="str">
            <v xml:space="preserve">Roy TA, Hammerstron AK and Schaum J. (2008). Percutaneous Absorption of 2,3,7,8-Tetrachlorodibenzo-p-dioxin (TCDD) from Soil. J. Toxicol Environ Health, </v>
          </cell>
        </row>
        <row r="76">
          <cell r="B76" t="str">
            <v>Part A: Current Issues: 1509-1515.</v>
          </cell>
        </row>
        <row r="77">
          <cell r="B77" t="str">
            <v xml:space="preserve">Wester RC, Maibach HI, Sedik L, Melendres J, and Wade M. (1993). Percutaneous Absorption of PCBs from Soil: In-vivo Rhesus Monkey, In-vitro Human Skin, and Binding to </v>
          </cell>
        </row>
        <row r="78">
          <cell r="B78" t="str">
            <v>Powered Human Stratum Corneum. J. Toxicol. Environ. Health 39:375-382.</v>
          </cell>
        </row>
        <row r="79">
          <cell r="B79" t="str">
            <v>Absorption of these compounds from soil with high to low organic content has been reported to range from less than 1% to over 10%. In light of the variability in the reported</v>
          </cell>
        </row>
        <row r="80">
          <cell r="B80" t="str">
            <v>dermal absorption values and study characteristics, a default value of 0.1 was selected, which is toward the high end of the reported values.</v>
          </cell>
        </row>
        <row r="81">
          <cell r="A81" t="str">
            <v>9b</v>
          </cell>
          <cell r="B81" t="str">
            <v xml:space="preserve">MassDEP 2012 RAF Review - RAFs for phenols consider data presented in Baranowska-Dutkiewicz, B. (1981) Skin absorption of phenol from aqueous </v>
          </cell>
        </row>
        <row r="82">
          <cell r="B82" t="str">
            <v xml:space="preserve">solutions in men.  Int. Arch. Environ. Health 49:99-104 </v>
          </cell>
        </row>
        <row r="83">
          <cell r="A83" t="str">
            <v>9c</v>
          </cell>
          <cell r="B83" t="str">
            <v>MassDEP 2012 RAF Review - Pentachlorophenol RAFs consider data presented in Baranowska-Dutkiewicz 1981 (see note 48b), OME 2011 (see note 48e), and USEPA 2004 (see note 48a).</v>
          </cell>
        </row>
        <row r="84">
          <cell r="A84" t="str">
            <v>9d</v>
          </cell>
          <cell r="B84" t="str">
            <v xml:space="preserve">MassDEP 2012 RAF Review - Based on Magee B, Andersen P and Burmaster. (1996). Absorption Adjustment Factor (AAF) Distributions for Polycyclic Aromatic Hydrocarbons (PAHs). </v>
          </cell>
        </row>
        <row r="85">
          <cell r="B85" t="str">
            <v>Human and Ecological Risk Assessment 2:841-873.</v>
          </cell>
        </row>
        <row r="86">
          <cell r="A86" t="str">
            <v>9e</v>
          </cell>
          <cell r="B86" t="str">
            <v xml:space="preserve">MassDEP 2012 RAF Review - Based on Ontario Ministry of the Environment (2011). Rationale for the Development of Soil and Ground Water Standards for Use at Contaminated Sites in </v>
          </cell>
        </row>
        <row r="87">
          <cell r="B87" t="str">
            <v>Ontario (April 15, 2011, Standards Development Branch, Ontario Ministry of the Environment (see Section 2.6, Development of Relative Absorption Factors, pp 61-67 and Table 2.35b</v>
          </cell>
        </row>
        <row r="88">
          <cell r="B88" t="str">
            <v xml:space="preserve"> Estimation of  Dermal Relative Absorption Factors (RAFs) PP 120- 141) http://www.ene.gov.on.ca/environment/en/resources/STDPROD_081485.html; Accessed March 22, 2012.</v>
          </cell>
        </row>
        <row r="89">
          <cell r="A89" t="str">
            <v>9f</v>
          </cell>
          <cell r="B89" t="str">
            <v xml:space="preserve">MassDEP 2012 RAF Review - Based on USEPA (2004). Risk Assessment Guidance for Superfund Volume 1: Human Health Evaluation Manual Part E, </v>
          </cell>
        </row>
        <row r="90">
          <cell r="B90" t="str">
            <v xml:space="preserve">Supplemental Guidance for Dermal Risk Assessment. </v>
          </cell>
        </row>
        <row r="91">
          <cell r="A91" t="str">
            <v>9g</v>
          </cell>
          <cell r="B91" t="str">
            <v xml:space="preserve">MassDEP 2013 - Consistent with information in the IRIS file, an RAF of .5 is used for Cadmium to adjust the water reference dose for soil. </v>
          </cell>
        </row>
        <row r="92">
          <cell r="A92" t="str">
            <v>9h</v>
          </cell>
          <cell r="B92" t="str">
            <v xml:space="preserve">MassDEP 2012, in keeping with values developed for the Risk Assessment ShortForm - Residential Scenario (MassDEP, 1992) by MassDEP staff.  Documentation of this value </v>
          </cell>
        </row>
        <row r="93">
          <cell r="B93" t="str">
            <v>is located in Appendix D of that document.</v>
          </cell>
        </row>
        <row r="95">
          <cell r="B95" t="str">
            <v>PQLs</v>
          </cell>
        </row>
        <row r="96">
          <cell r="A96" t="str">
            <v>10a</v>
          </cell>
          <cell r="B96" t="str">
            <v>PQLs from the Guide to Environmental Analytical Methods, Robert E. Wagner, editor; Genium Publishing Corporation, Schenectady, NY; 1992.</v>
          </cell>
        </row>
        <row r="97">
          <cell r="A97" t="str">
            <v>10b</v>
          </cell>
          <cell r="B97" t="str">
            <v>PQLs from USEPA Test Methods for Evaluating Solid Waste, SW-846, Third Edition (Revision O), November 1986.</v>
          </cell>
        </row>
        <row r="98">
          <cell r="A98" t="str">
            <v>10c</v>
          </cell>
          <cell r="B98" t="str">
            <v>PQL from USEPA Method 1613.</v>
          </cell>
        </row>
        <row r="99">
          <cell r="A99" t="str">
            <v>10d</v>
          </cell>
          <cell r="B99" t="str">
            <v>PQL from Standard Methods for the Examination of Water and Wastewater, 17th edition; Water Environment Federation.</v>
          </cell>
        </row>
        <row r="100">
          <cell r="A100" t="str">
            <v>10e</v>
          </cell>
          <cell r="B100" t="str">
            <v xml:space="preserve">The PQL for 1,4 Dioxane is cited in the documentation for the Massachusetts Drinking Water Guideline for 1,4-dioxane and is the LCMRL (Lowest Concentration Minimum Reporting Level) .  </v>
          </cell>
        </row>
        <row r="101">
          <cell r="B101" t="str">
            <v xml:space="preserve">Set in 2012 when the ORSGL was changed. Note that US EPA has replaced the term PQL (practical Quantitation Limit) with LCMRL.  </v>
          </cell>
        </row>
        <row r="102">
          <cell r="B102" t="str">
            <v>Analytical Methods that can achieve this concentration are U.S.EPA Method 522, Modified SW-846 8260 SIM, and Modified SW-846 8270 SIM.</v>
          </cell>
        </row>
        <row r="103">
          <cell r="B103" t="str">
            <v>See http://www.mass.gov/dep/water/drinking/standards/14dioxan.htm</v>
          </cell>
        </row>
        <row r="104">
          <cell r="A104" t="str">
            <v>10f</v>
          </cell>
          <cell r="B104" t="str">
            <v>The PQL for Perchlorate is cited in the documentation for the Massachusetts Drinking Water Guidelines and is based on U.S. EPA Method 314.0, revision 1.0 (U.S. EPA, 1999b)</v>
          </cell>
        </row>
        <row r="105">
          <cell r="B105" t="str">
            <v>See http://www.mass.gov/dep/water/drinking/standards/perchlor.htm</v>
          </cell>
        </row>
        <row r="106">
          <cell r="A106" t="str">
            <v>10g</v>
          </cell>
          <cell r="B106" t="str">
            <v>PQL from MassDEP WSC Memorandum #99-145 "PRESERVATION TECHNIQUES FOR VOLATILE ORGANIC COMPOUND (VOC) SOIL SAMPLE ANALYSES"</v>
          </cell>
        </row>
        <row r="107">
          <cell r="B107" t="str">
            <v>using methanol preservation techniques.</v>
          </cell>
        </row>
        <row r="108">
          <cell r="A108" t="str">
            <v>10h</v>
          </cell>
          <cell r="B108" t="str">
            <v>Reporting Limit (RL) from MassDEP Wall Experiment Station recommendation.</v>
          </cell>
        </row>
        <row r="110">
          <cell r="B110" t="str">
            <v>Chemical Characteristics and Physical Constants</v>
          </cell>
        </row>
        <row r="111">
          <cell r="A111">
            <v>11</v>
          </cell>
          <cell r="B111" t="str">
            <v>Chemical constants from United States Environmental Protection Agency (USEPA), 1986.  "Superfund Public Health Evaluation Manual";  U.S. Environmental Protection Agency;</v>
          </cell>
        </row>
        <row r="112">
          <cell r="B112" t="str">
            <v>Office of Emergency and Remedial Response, EPA/540/1-86/060 (OSWER Directive 9285.4-1); Washington, D.C., Oct</v>
          </cell>
        </row>
        <row r="114">
          <cell r="A114">
            <v>12</v>
          </cell>
          <cell r="B114" t="str">
            <v>Chemical and physical constants from U.S. Department of Defense, 1989</v>
          </cell>
        </row>
        <row r="116">
          <cell r="A116">
            <v>13</v>
          </cell>
          <cell r="B116" t="str">
            <v xml:space="preserve">Chemical and physical constants from ATSDR,  Toxicological Profiles for specific chemicals. Agency for Toxic Substances and Disease Registry, U.S. Public Health Service.  </v>
          </cell>
        </row>
        <row r="118">
          <cell r="A118">
            <v>14</v>
          </cell>
          <cell r="B118" t="str">
            <v>Log Kow based on USEPA Draft Health Advisory for Methyl t-Butyl Ether, 1989.</v>
          </cell>
        </row>
        <row r="120">
          <cell r="A120">
            <v>15</v>
          </cell>
          <cell r="B120" t="str">
            <v>Molecular Weights from Risk Reduction Engineering Laboratory (RREL) Treatability Database, Version 4.0.</v>
          </cell>
        </row>
        <row r="122">
          <cell r="A122">
            <v>16</v>
          </cell>
          <cell r="B122" t="str">
            <v>OSHA  Documentation of TLV -TWA</v>
          </cell>
        </row>
        <row r="124">
          <cell r="A124">
            <v>17</v>
          </cell>
          <cell r="B124" t="str">
            <v>Chemical Constants from USEPA Soil Screening (SSL) Guidance:  Technical Background Document, EPA/540/R95/128, May 1996</v>
          </cell>
        </row>
        <row r="125">
          <cell r="A125" t="str">
            <v>17a</v>
          </cell>
          <cell r="B125" t="str">
            <v>Measured Koc (from the SSL Guidance), Table 39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CP%20Toxicity_02202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5"/>
  <sheetViews>
    <sheetView showGridLines="0" tabSelected="1" zoomScaleNormal="100" workbookViewId="0"/>
  </sheetViews>
  <sheetFormatPr defaultColWidth="9.1796875" defaultRowHeight="12.5" x14ac:dyDescent="0.25"/>
  <cols>
    <col min="1" max="1" width="5" style="1" customWidth="1"/>
    <col min="2" max="2" width="7.81640625" style="1" customWidth="1"/>
    <col min="3" max="3" width="3.54296875" style="1" customWidth="1"/>
    <col min="4" max="4" width="23.81640625" style="1" customWidth="1"/>
    <col min="5" max="5" width="64.54296875" style="1" customWidth="1"/>
    <col min="6" max="6" width="4.1796875" style="1" customWidth="1"/>
    <col min="7" max="7" width="7.81640625" style="1" customWidth="1"/>
    <col min="8" max="16384" width="9.1796875" style="1"/>
  </cols>
  <sheetData>
    <row r="1" spans="1:23" ht="16" thickTop="1" x14ac:dyDescent="0.35">
      <c r="A1" s="26"/>
      <c r="B1" s="353"/>
      <c r="C1" s="354"/>
      <c r="D1" s="355"/>
      <c r="E1" s="354"/>
      <c r="F1" s="354"/>
      <c r="G1" s="356"/>
      <c r="H1" s="26"/>
      <c r="I1" s="26"/>
      <c r="J1" s="26"/>
      <c r="K1" s="26"/>
      <c r="L1" s="26"/>
      <c r="M1" s="26"/>
      <c r="N1" s="26"/>
      <c r="O1" s="26"/>
      <c r="P1" s="26"/>
      <c r="Q1" s="26"/>
      <c r="R1" s="26"/>
      <c r="S1" s="26"/>
      <c r="T1" s="26"/>
      <c r="U1" s="26"/>
      <c r="V1" s="26"/>
      <c r="W1" s="26"/>
    </row>
    <row r="2" spans="1:23" ht="15.5" x14ac:dyDescent="0.35">
      <c r="A2" s="26"/>
      <c r="B2" s="492" t="s">
        <v>220</v>
      </c>
      <c r="C2" s="493"/>
      <c r="D2" s="493"/>
      <c r="E2" s="493"/>
      <c r="F2" s="493"/>
      <c r="G2" s="494"/>
      <c r="H2" s="26"/>
      <c r="I2" s="26"/>
      <c r="J2" s="26"/>
      <c r="K2" s="26"/>
      <c r="L2" s="26"/>
      <c r="M2" s="26"/>
      <c r="N2" s="26"/>
      <c r="O2" s="26"/>
      <c r="P2" s="26"/>
      <c r="Q2" s="26"/>
      <c r="R2" s="26"/>
      <c r="S2" s="26"/>
      <c r="T2" s="26"/>
      <c r="U2" s="26"/>
      <c r="V2" s="26"/>
      <c r="W2" s="26"/>
    </row>
    <row r="3" spans="1:23" x14ac:dyDescent="0.25">
      <c r="A3" s="26"/>
      <c r="B3" s="40"/>
      <c r="C3" s="9"/>
      <c r="D3" s="9"/>
      <c r="E3" s="9"/>
      <c r="F3" s="9"/>
      <c r="G3" s="36"/>
      <c r="H3" s="26"/>
      <c r="I3" s="26"/>
      <c r="J3" s="26"/>
      <c r="K3" s="26"/>
      <c r="L3" s="26"/>
      <c r="M3" s="26"/>
      <c r="N3" s="26"/>
      <c r="O3" s="26"/>
      <c r="P3" s="26"/>
      <c r="Q3" s="26"/>
      <c r="R3" s="26"/>
      <c r="S3" s="26"/>
      <c r="T3" s="26"/>
      <c r="U3" s="26"/>
      <c r="V3" s="26"/>
      <c r="W3" s="26"/>
    </row>
    <row r="4" spans="1:23" ht="13" x14ac:dyDescent="0.3">
      <c r="A4" s="26"/>
      <c r="B4" s="41"/>
      <c r="C4" s="9"/>
      <c r="D4" s="9" t="s">
        <v>221</v>
      </c>
      <c r="E4" s="9"/>
      <c r="F4" s="9"/>
      <c r="G4" s="36"/>
      <c r="H4" s="26"/>
      <c r="I4" s="26"/>
      <c r="J4" s="26"/>
      <c r="K4" s="26"/>
      <c r="L4" s="26"/>
      <c r="M4" s="26"/>
      <c r="N4" s="26"/>
      <c r="O4" s="26"/>
      <c r="P4" s="26"/>
      <c r="Q4" s="26"/>
      <c r="R4" s="26"/>
      <c r="S4" s="26"/>
      <c r="T4" s="26"/>
      <c r="U4" s="26"/>
      <c r="V4" s="26"/>
      <c r="W4" s="26"/>
    </row>
    <row r="5" spans="1:23" x14ac:dyDescent="0.25">
      <c r="A5" s="26"/>
      <c r="B5" s="40"/>
      <c r="C5" s="9"/>
      <c r="D5" s="9"/>
      <c r="E5" s="9"/>
      <c r="F5" s="9"/>
      <c r="G5" s="36"/>
      <c r="H5" s="26"/>
      <c r="I5" s="26"/>
      <c r="J5" s="26"/>
      <c r="K5" s="26"/>
      <c r="L5" s="26"/>
      <c r="M5" s="26"/>
      <c r="N5" s="26"/>
      <c r="O5" s="26"/>
      <c r="P5" s="26"/>
      <c r="Q5" s="26"/>
      <c r="R5" s="26"/>
      <c r="S5" s="26"/>
      <c r="T5" s="26"/>
      <c r="U5" s="26"/>
      <c r="V5" s="26"/>
      <c r="W5" s="26"/>
    </row>
    <row r="6" spans="1:23" ht="13.5" thickBot="1" x14ac:dyDescent="0.35">
      <c r="A6" s="26"/>
      <c r="B6" s="42"/>
      <c r="C6" s="8"/>
      <c r="D6" s="28" t="s">
        <v>222</v>
      </c>
      <c r="E6" s="28" t="s">
        <v>223</v>
      </c>
      <c r="F6" s="8"/>
      <c r="G6" s="36"/>
      <c r="H6" s="27"/>
      <c r="I6" s="27"/>
      <c r="J6" s="27"/>
      <c r="K6" s="27"/>
      <c r="L6" s="27"/>
      <c r="M6" s="27"/>
      <c r="N6" s="27"/>
      <c r="O6" s="27"/>
      <c r="P6" s="27"/>
      <c r="Q6" s="27"/>
      <c r="R6" s="27"/>
      <c r="S6" s="27"/>
      <c r="T6" s="26"/>
      <c r="U6" s="26"/>
      <c r="V6" s="26"/>
      <c r="W6" s="26"/>
    </row>
    <row r="7" spans="1:23" x14ac:dyDescent="0.25">
      <c r="A7" s="26"/>
      <c r="B7" s="40"/>
      <c r="C7" s="375"/>
      <c r="D7" s="375"/>
      <c r="E7" s="9"/>
      <c r="F7" s="9"/>
      <c r="G7" s="36"/>
      <c r="H7" s="26"/>
      <c r="I7" s="26"/>
      <c r="J7" s="26"/>
      <c r="K7" s="26"/>
      <c r="L7" s="26"/>
      <c r="M7" s="26"/>
      <c r="N7" s="26"/>
      <c r="O7" s="26"/>
      <c r="P7" s="26"/>
      <c r="Q7" s="26"/>
      <c r="R7" s="26"/>
      <c r="S7" s="26"/>
      <c r="T7" s="26"/>
      <c r="U7" s="26"/>
      <c r="V7" s="26"/>
      <c r="W7" s="26"/>
    </row>
    <row r="8" spans="1:23" x14ac:dyDescent="0.25">
      <c r="A8" s="26"/>
      <c r="B8" s="40"/>
      <c r="C8" s="376"/>
      <c r="D8" s="375" t="s">
        <v>224</v>
      </c>
      <c r="E8" s="35" t="s">
        <v>225</v>
      </c>
      <c r="F8" s="9"/>
      <c r="G8" s="36"/>
      <c r="H8" s="26"/>
      <c r="I8" s="26"/>
      <c r="J8" s="26"/>
      <c r="K8" s="26"/>
      <c r="L8" s="26"/>
      <c r="M8" s="26"/>
      <c r="N8" s="26"/>
      <c r="O8" s="26"/>
      <c r="P8" s="26"/>
      <c r="Q8" s="26"/>
      <c r="R8" s="26"/>
      <c r="S8" s="26"/>
      <c r="T8" s="26"/>
      <c r="U8" s="26"/>
      <c r="V8" s="26"/>
      <c r="W8" s="26"/>
    </row>
    <row r="9" spans="1:23" x14ac:dyDescent="0.25">
      <c r="A9" s="26"/>
      <c r="B9" s="40"/>
      <c r="C9" s="375"/>
      <c r="D9" s="375"/>
      <c r="E9" s="35"/>
      <c r="F9" s="9"/>
      <c r="G9" s="36"/>
      <c r="H9" s="26"/>
      <c r="I9" s="26"/>
      <c r="J9" s="26"/>
      <c r="K9" s="26"/>
      <c r="L9" s="26"/>
      <c r="M9" s="26"/>
      <c r="N9" s="26"/>
      <c r="O9" s="26"/>
      <c r="P9" s="26"/>
      <c r="Q9" s="26"/>
      <c r="R9" s="26"/>
      <c r="S9" s="26"/>
      <c r="T9" s="26"/>
      <c r="U9" s="26"/>
      <c r="V9" s="26"/>
      <c r="W9" s="26"/>
    </row>
    <row r="10" spans="1:23" x14ac:dyDescent="0.25">
      <c r="A10" s="26"/>
      <c r="B10" s="40"/>
      <c r="C10" s="377"/>
      <c r="D10" s="379" t="s">
        <v>219</v>
      </c>
      <c r="E10" s="35" t="s">
        <v>227</v>
      </c>
      <c r="F10" s="9"/>
      <c r="G10" s="36"/>
      <c r="H10" s="26"/>
      <c r="I10" s="26"/>
      <c r="J10" s="26"/>
      <c r="K10" s="26"/>
      <c r="L10" s="26"/>
      <c r="M10" s="26"/>
      <c r="N10" s="26"/>
      <c r="O10" s="26"/>
      <c r="P10" s="26"/>
      <c r="Q10" s="26"/>
      <c r="R10" s="26"/>
      <c r="S10" s="26"/>
      <c r="T10" s="26"/>
      <c r="U10" s="26"/>
      <c r="V10" s="26"/>
      <c r="W10" s="26"/>
    </row>
    <row r="11" spans="1:23" x14ac:dyDescent="0.25">
      <c r="A11" s="26"/>
      <c r="B11" s="40"/>
      <c r="C11" s="378"/>
      <c r="D11" s="375"/>
      <c r="E11" s="35" t="s">
        <v>228</v>
      </c>
      <c r="F11" s="9"/>
      <c r="G11" s="36"/>
      <c r="H11" s="26"/>
      <c r="I11" s="26"/>
      <c r="J11" s="26"/>
      <c r="K11" s="26"/>
      <c r="L11" s="26"/>
      <c r="M11" s="26"/>
      <c r="N11" s="26"/>
      <c r="O11" s="26"/>
      <c r="P11" s="26"/>
      <c r="Q11" s="26"/>
      <c r="R11" s="26"/>
      <c r="S11" s="26"/>
      <c r="T11" s="26"/>
      <c r="U11" s="26"/>
      <c r="V11" s="26"/>
      <c r="W11" s="26"/>
    </row>
    <row r="12" spans="1:23" x14ac:dyDescent="0.25">
      <c r="A12" s="26"/>
      <c r="B12" s="40"/>
      <c r="C12" s="378"/>
      <c r="D12" s="375"/>
      <c r="E12" s="35"/>
      <c r="F12" s="9"/>
      <c r="G12" s="36"/>
      <c r="H12" s="26"/>
      <c r="I12" s="26"/>
      <c r="J12" s="26"/>
      <c r="K12" s="26"/>
      <c r="L12" s="26"/>
      <c r="M12" s="26"/>
      <c r="N12" s="26"/>
      <c r="O12" s="26"/>
      <c r="P12" s="26"/>
      <c r="Q12" s="26"/>
      <c r="R12" s="26"/>
      <c r="S12" s="26"/>
      <c r="T12" s="26"/>
      <c r="U12" s="26"/>
      <c r="V12" s="26"/>
      <c r="W12" s="26"/>
    </row>
    <row r="13" spans="1:23" x14ac:dyDescent="0.25">
      <c r="A13" s="26"/>
      <c r="B13" s="40"/>
      <c r="C13" s="377"/>
      <c r="D13" s="379" t="s">
        <v>229</v>
      </c>
      <c r="E13" s="35" t="s">
        <v>230</v>
      </c>
      <c r="F13" s="9"/>
      <c r="G13" s="36"/>
      <c r="H13" s="26"/>
      <c r="I13" s="26"/>
      <c r="J13" s="26"/>
      <c r="K13" s="26"/>
      <c r="L13" s="26"/>
      <c r="M13" s="26"/>
      <c r="N13" s="26"/>
      <c r="O13" s="26"/>
      <c r="P13" s="26"/>
      <c r="Q13" s="26"/>
      <c r="R13" s="26"/>
      <c r="S13" s="26"/>
      <c r="T13" s="26"/>
      <c r="U13" s="26"/>
      <c r="V13" s="26"/>
      <c r="W13" s="26"/>
    </row>
    <row r="14" spans="1:23" x14ac:dyDescent="0.25">
      <c r="A14" s="26"/>
      <c r="B14" s="40"/>
      <c r="C14" s="377"/>
      <c r="D14" s="375"/>
      <c r="E14" s="35" t="s">
        <v>231</v>
      </c>
      <c r="F14" s="9"/>
      <c r="G14" s="36"/>
      <c r="H14" s="26"/>
      <c r="I14" s="26"/>
      <c r="J14" s="26"/>
      <c r="K14" s="26"/>
      <c r="L14" s="26"/>
      <c r="M14" s="26"/>
      <c r="N14" s="26"/>
      <c r="O14" s="26"/>
      <c r="P14" s="26"/>
      <c r="Q14" s="26"/>
      <c r="R14" s="26"/>
      <c r="S14" s="26"/>
      <c r="T14" s="26"/>
      <c r="U14" s="26"/>
      <c r="V14" s="26"/>
      <c r="W14" s="26"/>
    </row>
    <row r="15" spans="1:23" x14ac:dyDescent="0.25">
      <c r="A15" s="26"/>
      <c r="B15" s="40"/>
      <c r="C15" s="377"/>
      <c r="D15" s="375"/>
      <c r="E15" s="35"/>
      <c r="F15" s="9"/>
      <c r="G15" s="36"/>
      <c r="H15" s="26"/>
      <c r="I15" s="26"/>
      <c r="J15" s="26"/>
      <c r="K15" s="26"/>
      <c r="L15" s="26"/>
      <c r="M15" s="26"/>
      <c r="N15" s="26"/>
      <c r="O15" s="26"/>
      <c r="P15" s="26"/>
      <c r="Q15" s="26"/>
      <c r="R15" s="26"/>
      <c r="S15" s="26"/>
      <c r="T15" s="26"/>
      <c r="U15" s="26"/>
      <c r="V15" s="26"/>
      <c r="W15" s="26"/>
    </row>
    <row r="16" spans="1:23" x14ac:dyDescent="0.25">
      <c r="A16" s="26"/>
      <c r="B16" s="40"/>
      <c r="C16" s="377"/>
      <c r="D16" s="379" t="s">
        <v>333</v>
      </c>
      <c r="E16" s="35" t="s">
        <v>227</v>
      </c>
      <c r="F16" s="9"/>
      <c r="G16" s="36"/>
      <c r="H16" s="26"/>
      <c r="I16" s="26"/>
      <c r="J16" s="26"/>
      <c r="K16" s="26"/>
      <c r="L16" s="26"/>
      <c r="M16" s="26"/>
      <c r="N16" s="26"/>
      <c r="O16" s="26"/>
      <c r="P16" s="26"/>
      <c r="Q16" s="26"/>
      <c r="R16" s="26"/>
      <c r="S16" s="26"/>
      <c r="T16" s="26"/>
      <c r="U16" s="26"/>
      <c r="V16" s="26"/>
      <c r="W16" s="26"/>
    </row>
    <row r="17" spans="1:23" x14ac:dyDescent="0.25">
      <c r="A17" s="26"/>
      <c r="B17" s="40"/>
      <c r="C17" s="377"/>
      <c r="D17" s="375"/>
      <c r="E17" s="35" t="s">
        <v>327</v>
      </c>
      <c r="F17" s="9"/>
      <c r="G17" s="36"/>
      <c r="H17" s="26"/>
      <c r="I17" s="26"/>
      <c r="J17" s="26"/>
      <c r="K17" s="26"/>
      <c r="L17" s="26"/>
      <c r="M17" s="26"/>
      <c r="N17" s="26"/>
      <c r="O17" s="26"/>
      <c r="P17" s="26"/>
      <c r="Q17" s="26"/>
      <c r="R17" s="26"/>
      <c r="S17" s="26"/>
      <c r="T17" s="26"/>
      <c r="U17" s="26"/>
      <c r="V17" s="26"/>
      <c r="W17" s="26"/>
    </row>
    <row r="18" spans="1:23" x14ac:dyDescent="0.25">
      <c r="A18" s="26"/>
      <c r="B18" s="40"/>
      <c r="C18" s="377"/>
      <c r="D18" s="375"/>
      <c r="E18" s="35"/>
      <c r="F18" s="9"/>
      <c r="G18" s="36"/>
      <c r="H18" s="26"/>
      <c r="I18" s="26"/>
      <c r="J18" s="26"/>
      <c r="K18" s="26"/>
      <c r="L18" s="26"/>
      <c r="M18" s="26"/>
      <c r="N18" s="26"/>
      <c r="O18" s="26"/>
      <c r="P18" s="26"/>
      <c r="Q18" s="26"/>
      <c r="R18" s="26"/>
      <c r="S18" s="26"/>
      <c r="T18" s="26"/>
      <c r="U18" s="26"/>
      <c r="V18" s="26"/>
      <c r="W18" s="26"/>
    </row>
    <row r="19" spans="1:23" x14ac:dyDescent="0.25">
      <c r="A19" s="26"/>
      <c r="B19" s="40"/>
      <c r="C19" s="377"/>
      <c r="D19" s="379" t="s">
        <v>198</v>
      </c>
      <c r="E19" s="35" t="s">
        <v>232</v>
      </c>
      <c r="F19" s="9"/>
      <c r="G19" s="36"/>
      <c r="H19" s="26"/>
      <c r="I19" s="26"/>
      <c r="J19" s="26"/>
      <c r="K19" s="26"/>
      <c r="L19" s="26"/>
      <c r="M19" s="26"/>
      <c r="N19" s="26"/>
      <c r="O19" s="26"/>
      <c r="P19" s="26"/>
      <c r="Q19" s="26"/>
      <c r="R19" s="26"/>
      <c r="S19" s="26"/>
      <c r="T19" s="26"/>
      <c r="U19" s="26"/>
      <c r="V19" s="26"/>
      <c r="W19" s="26"/>
    </row>
    <row r="20" spans="1:23" x14ac:dyDescent="0.25">
      <c r="A20" s="26"/>
      <c r="B20" s="40"/>
      <c r="C20" s="377"/>
      <c r="D20" s="375"/>
      <c r="E20" s="35" t="s">
        <v>228</v>
      </c>
      <c r="F20" s="9"/>
      <c r="G20" s="36"/>
      <c r="H20" s="26"/>
      <c r="I20" s="26"/>
      <c r="J20" s="26"/>
      <c r="K20" s="26"/>
      <c r="L20" s="26"/>
      <c r="M20" s="26"/>
      <c r="N20" s="26"/>
      <c r="O20" s="26"/>
      <c r="P20" s="26"/>
      <c r="Q20" s="26"/>
      <c r="R20" s="26"/>
      <c r="S20" s="26"/>
      <c r="T20" s="26"/>
      <c r="U20" s="26"/>
      <c r="V20" s="26"/>
      <c r="W20" s="26"/>
    </row>
    <row r="21" spans="1:23" x14ac:dyDescent="0.25">
      <c r="A21" s="26"/>
      <c r="B21" s="40"/>
      <c r="C21" s="377"/>
      <c r="D21" s="375"/>
      <c r="E21" s="35"/>
      <c r="F21" s="9"/>
      <c r="G21" s="36"/>
      <c r="H21" s="26"/>
      <c r="I21" s="26"/>
      <c r="J21" s="26"/>
      <c r="K21" s="26"/>
      <c r="L21" s="26"/>
      <c r="M21" s="26"/>
      <c r="N21" s="26"/>
      <c r="O21" s="26"/>
      <c r="P21" s="26"/>
      <c r="Q21" s="26"/>
      <c r="R21" s="26"/>
      <c r="S21" s="26"/>
      <c r="T21" s="26"/>
      <c r="U21" s="26"/>
      <c r="V21" s="26"/>
      <c r="W21" s="26"/>
    </row>
    <row r="22" spans="1:23" x14ac:dyDescent="0.25">
      <c r="A22" s="26"/>
      <c r="B22" s="40"/>
      <c r="C22" s="377"/>
      <c r="D22" s="379" t="s">
        <v>233</v>
      </c>
      <c r="E22" s="35" t="s">
        <v>234</v>
      </c>
      <c r="F22" s="9"/>
      <c r="G22" s="36"/>
      <c r="H22" s="26"/>
      <c r="I22" s="26"/>
      <c r="J22" s="26"/>
      <c r="K22" s="26"/>
      <c r="L22" s="26"/>
      <c r="M22" s="26"/>
      <c r="N22" s="26"/>
      <c r="O22" s="26"/>
      <c r="P22" s="26"/>
      <c r="Q22" s="26"/>
      <c r="R22" s="26"/>
      <c r="S22" s="26"/>
      <c r="T22" s="26"/>
      <c r="U22" s="26"/>
      <c r="V22" s="26"/>
      <c r="W22" s="26"/>
    </row>
    <row r="23" spans="1:23" x14ac:dyDescent="0.25">
      <c r="A23" s="26"/>
      <c r="B23" s="40"/>
      <c r="C23" s="377"/>
      <c r="D23" s="375"/>
      <c r="E23" s="35" t="s">
        <v>231</v>
      </c>
      <c r="F23" s="9"/>
      <c r="G23" s="36"/>
      <c r="H23" s="26"/>
      <c r="I23" s="26"/>
      <c r="J23" s="26"/>
      <c r="K23" s="26"/>
      <c r="L23" s="26"/>
      <c r="M23" s="26"/>
      <c r="N23" s="26"/>
      <c r="O23" s="26"/>
      <c r="P23" s="26"/>
      <c r="Q23" s="26"/>
      <c r="R23" s="26"/>
      <c r="S23" s="26"/>
      <c r="T23" s="26"/>
      <c r="U23" s="26"/>
      <c r="V23" s="26"/>
      <c r="W23" s="26"/>
    </row>
    <row r="24" spans="1:23" x14ac:dyDescent="0.25">
      <c r="A24" s="26"/>
      <c r="B24" s="40"/>
      <c r="C24" s="377"/>
      <c r="D24" s="375"/>
      <c r="E24" s="35"/>
      <c r="F24" s="9"/>
      <c r="G24" s="36"/>
      <c r="H24" s="26"/>
      <c r="I24" s="26"/>
      <c r="J24" s="26"/>
      <c r="K24" s="26"/>
      <c r="L24" s="26"/>
      <c r="M24" s="26"/>
      <c r="N24" s="26"/>
      <c r="O24" s="26"/>
      <c r="P24" s="26"/>
      <c r="Q24" s="26"/>
      <c r="R24" s="26"/>
      <c r="S24" s="26"/>
      <c r="T24" s="26"/>
      <c r="U24" s="26"/>
      <c r="V24" s="26"/>
      <c r="W24" s="26"/>
    </row>
    <row r="25" spans="1:23" x14ac:dyDescent="0.25">
      <c r="A25" s="26"/>
      <c r="B25" s="40"/>
      <c r="C25" s="377"/>
      <c r="D25" s="379" t="s">
        <v>210</v>
      </c>
      <c r="E25" s="35" t="s">
        <v>235</v>
      </c>
      <c r="F25" s="9"/>
      <c r="G25" s="36"/>
      <c r="H25" s="26"/>
      <c r="I25" s="26"/>
      <c r="J25" s="26"/>
      <c r="K25" s="26"/>
      <c r="L25" s="26"/>
      <c r="M25" s="26"/>
      <c r="N25" s="26"/>
      <c r="O25" s="26"/>
      <c r="P25" s="26"/>
      <c r="Q25" s="26"/>
      <c r="R25" s="26"/>
      <c r="S25" s="26"/>
      <c r="T25" s="26"/>
      <c r="U25" s="26"/>
      <c r="V25" s="26"/>
      <c r="W25" s="26"/>
    </row>
    <row r="26" spans="1:23" x14ac:dyDescent="0.25">
      <c r="A26" s="26"/>
      <c r="B26" s="40"/>
      <c r="C26" s="377"/>
      <c r="D26" s="375"/>
      <c r="E26" s="35" t="s">
        <v>228</v>
      </c>
      <c r="F26" s="9"/>
      <c r="G26" s="36"/>
      <c r="H26" s="26"/>
      <c r="I26" s="26"/>
      <c r="J26" s="26"/>
      <c r="K26" s="26"/>
      <c r="L26" s="26"/>
      <c r="M26" s="26"/>
      <c r="N26" s="26"/>
      <c r="O26" s="26"/>
      <c r="P26" s="26"/>
      <c r="Q26" s="26"/>
      <c r="R26" s="26"/>
      <c r="S26" s="26"/>
      <c r="T26" s="26"/>
      <c r="U26" s="26"/>
      <c r="V26" s="26"/>
      <c r="W26" s="26"/>
    </row>
    <row r="27" spans="1:23" x14ac:dyDescent="0.25">
      <c r="A27" s="26"/>
      <c r="B27" s="40"/>
      <c r="C27" s="377"/>
      <c r="D27" s="375"/>
      <c r="E27" s="35"/>
      <c r="F27" s="9"/>
      <c r="G27" s="36"/>
      <c r="H27" s="26"/>
      <c r="I27" s="26"/>
      <c r="J27" s="26"/>
      <c r="K27" s="26"/>
      <c r="L27" s="26"/>
      <c r="M27" s="26"/>
      <c r="N27" s="26"/>
      <c r="O27" s="26"/>
      <c r="P27" s="26"/>
      <c r="Q27" s="26"/>
      <c r="R27" s="26"/>
      <c r="S27" s="26"/>
      <c r="T27" s="26"/>
      <c r="U27" s="26"/>
      <c r="V27" s="26"/>
      <c r="W27" s="26"/>
    </row>
    <row r="28" spans="1:23" ht="12" customHeight="1" x14ac:dyDescent="0.25">
      <c r="A28" s="26"/>
      <c r="B28" s="40"/>
      <c r="C28" s="377"/>
      <c r="D28" s="379" t="s">
        <v>236</v>
      </c>
      <c r="E28" s="35" t="s">
        <v>237</v>
      </c>
      <c r="F28" s="9"/>
      <c r="G28" s="36"/>
      <c r="H28" s="26"/>
      <c r="I28" s="26"/>
      <c r="J28" s="26"/>
      <c r="K28" s="26"/>
      <c r="L28" s="26"/>
      <c r="M28" s="26"/>
      <c r="N28" s="26"/>
      <c r="O28" s="26"/>
      <c r="P28" s="26"/>
      <c r="Q28" s="26"/>
      <c r="R28" s="26"/>
      <c r="S28" s="26"/>
      <c r="T28" s="26"/>
      <c r="U28" s="26"/>
      <c r="V28" s="26"/>
      <c r="W28" s="26"/>
    </row>
    <row r="29" spans="1:23" ht="13" thickBot="1" x14ac:dyDescent="0.3">
      <c r="A29" s="26"/>
      <c r="B29" s="40"/>
      <c r="C29" s="377"/>
      <c r="D29" s="375"/>
      <c r="E29" s="35" t="s">
        <v>231</v>
      </c>
      <c r="F29" s="9"/>
      <c r="G29" s="36"/>
      <c r="H29" s="26"/>
      <c r="I29" s="26"/>
      <c r="J29" s="26"/>
      <c r="K29" s="26"/>
      <c r="L29" s="26"/>
      <c r="M29" s="26"/>
      <c r="N29" s="26"/>
      <c r="O29" s="26"/>
      <c r="P29" s="26"/>
      <c r="Q29" s="26"/>
      <c r="R29" s="26"/>
      <c r="S29" s="26"/>
      <c r="T29" s="26"/>
      <c r="U29" s="26"/>
      <c r="V29" s="26"/>
      <c r="W29" s="26"/>
    </row>
    <row r="30" spans="1:23" ht="16.75" customHeight="1" x14ac:dyDescent="0.25">
      <c r="A30" s="26"/>
      <c r="B30" s="40"/>
      <c r="C30" s="33"/>
      <c r="D30" s="33"/>
      <c r="E30" s="33"/>
      <c r="F30" s="33"/>
      <c r="G30" s="36"/>
      <c r="H30" s="26"/>
      <c r="I30" s="26"/>
      <c r="J30" s="26"/>
      <c r="K30" s="26"/>
      <c r="L30" s="26"/>
      <c r="M30" s="26"/>
      <c r="N30" s="26"/>
      <c r="O30" s="26"/>
      <c r="P30" s="26"/>
      <c r="Q30" s="26"/>
      <c r="R30" s="26"/>
      <c r="S30" s="26"/>
      <c r="T30" s="26"/>
      <c r="U30" s="26"/>
      <c r="V30" s="26"/>
      <c r="W30" s="26"/>
    </row>
    <row r="31" spans="1:23" ht="13" x14ac:dyDescent="0.3">
      <c r="A31" s="26"/>
      <c r="B31" s="40"/>
      <c r="C31" s="32" t="s">
        <v>271</v>
      </c>
      <c r="D31" s="34"/>
      <c r="E31" s="35"/>
      <c r="F31" s="9"/>
      <c r="G31" s="36"/>
      <c r="H31" s="26"/>
      <c r="I31" s="26"/>
      <c r="J31" s="26"/>
      <c r="K31" s="26"/>
      <c r="L31" s="26"/>
      <c r="M31" s="26"/>
      <c r="N31" s="26"/>
      <c r="O31" s="26"/>
      <c r="P31" s="26"/>
      <c r="Q31" s="26"/>
      <c r="R31" s="26"/>
      <c r="S31" s="26"/>
      <c r="T31" s="26"/>
      <c r="U31" s="26"/>
      <c r="V31" s="26"/>
      <c r="W31" s="26"/>
    </row>
    <row r="32" spans="1:23" ht="13" x14ac:dyDescent="0.3">
      <c r="A32" s="26"/>
      <c r="B32" s="40"/>
      <c r="C32" s="32" t="s">
        <v>270</v>
      </c>
      <c r="D32" s="34"/>
      <c r="E32" s="35"/>
      <c r="F32" s="9"/>
      <c r="G32" s="36"/>
      <c r="H32" s="26"/>
      <c r="I32" s="26"/>
      <c r="J32" s="26"/>
      <c r="K32" s="26"/>
      <c r="L32" s="26"/>
      <c r="M32" s="26"/>
      <c r="N32" s="26"/>
      <c r="O32" s="26"/>
      <c r="P32" s="26"/>
      <c r="Q32" s="26"/>
      <c r="R32" s="26"/>
      <c r="S32" s="26"/>
      <c r="T32" s="26"/>
      <c r="U32" s="26"/>
      <c r="V32" s="26"/>
      <c r="W32" s="26"/>
    </row>
    <row r="33" spans="1:23" ht="13" x14ac:dyDescent="0.3">
      <c r="A33" s="26"/>
      <c r="B33" s="40"/>
      <c r="C33" s="32" t="s">
        <v>387</v>
      </c>
      <c r="D33" s="34"/>
      <c r="E33" s="35"/>
      <c r="F33" s="9"/>
      <c r="G33" s="36"/>
      <c r="H33" s="26"/>
      <c r="I33" s="26"/>
      <c r="J33" s="26"/>
      <c r="K33" s="26"/>
      <c r="L33" s="26"/>
      <c r="M33" s="26"/>
      <c r="N33" s="26"/>
      <c r="O33" s="26"/>
      <c r="P33" s="26"/>
      <c r="Q33" s="26"/>
      <c r="R33" s="26"/>
      <c r="S33" s="26"/>
      <c r="T33" s="26"/>
      <c r="U33" s="26"/>
      <c r="V33" s="26"/>
      <c r="W33" s="26"/>
    </row>
    <row r="34" spans="1:23" ht="13" x14ac:dyDescent="0.3">
      <c r="A34" s="26"/>
      <c r="B34" s="40"/>
      <c r="C34" s="32"/>
      <c r="D34" s="34"/>
      <c r="E34" s="35"/>
      <c r="F34" s="9"/>
      <c r="G34" s="36"/>
      <c r="H34" s="26"/>
      <c r="I34" s="26"/>
      <c r="J34" s="26"/>
      <c r="K34" s="26"/>
      <c r="L34" s="26"/>
      <c r="M34" s="26"/>
      <c r="N34" s="26"/>
      <c r="O34" s="26"/>
      <c r="P34" s="26"/>
      <c r="Q34" s="26"/>
      <c r="R34" s="26"/>
      <c r="S34" s="26"/>
      <c r="T34" s="26"/>
      <c r="U34" s="26"/>
      <c r="V34" s="26"/>
      <c r="W34" s="26"/>
    </row>
    <row r="35" spans="1:23" ht="13" x14ac:dyDescent="0.3">
      <c r="A35" s="26"/>
      <c r="B35" s="40"/>
      <c r="C35" s="32"/>
      <c r="D35" s="37" t="s">
        <v>388</v>
      </c>
      <c r="E35" s="35" t="s">
        <v>226</v>
      </c>
      <c r="F35" s="9"/>
      <c r="G35" s="36"/>
      <c r="H35" s="26"/>
      <c r="I35" s="26"/>
      <c r="J35" s="26"/>
      <c r="K35" s="26"/>
      <c r="L35" s="26"/>
      <c r="M35" s="26"/>
      <c r="N35" s="26"/>
      <c r="O35" s="26"/>
      <c r="P35" s="26"/>
      <c r="Q35" s="26"/>
      <c r="R35" s="26"/>
      <c r="S35" s="26"/>
      <c r="T35" s="26"/>
      <c r="U35" s="26"/>
      <c r="V35" s="26"/>
      <c r="W35" s="26"/>
    </row>
    <row r="36" spans="1:23" ht="13" x14ac:dyDescent="0.3">
      <c r="A36" s="26"/>
      <c r="B36" s="40"/>
      <c r="C36" s="32"/>
      <c r="D36" s="34"/>
      <c r="E36" s="35"/>
      <c r="F36" s="9"/>
      <c r="G36" s="36"/>
      <c r="H36" s="26"/>
      <c r="I36" s="26"/>
      <c r="J36" s="26"/>
      <c r="K36" s="26"/>
      <c r="L36" s="26"/>
      <c r="M36" s="26"/>
      <c r="N36" s="26"/>
      <c r="O36" s="26"/>
      <c r="P36" s="26"/>
      <c r="Q36" s="26"/>
      <c r="R36" s="26"/>
      <c r="S36" s="26"/>
      <c r="T36" s="26"/>
      <c r="U36" s="26"/>
      <c r="V36" s="26"/>
      <c r="W36" s="26"/>
    </row>
    <row r="37" spans="1:23" ht="23.5" customHeight="1" x14ac:dyDescent="0.25">
      <c r="A37" s="26"/>
      <c r="B37" s="40"/>
      <c r="C37" s="491" t="s">
        <v>393</v>
      </c>
      <c r="D37" s="491"/>
      <c r="E37" s="491"/>
      <c r="F37" s="9"/>
      <c r="G37" s="36"/>
      <c r="H37" s="26"/>
      <c r="I37" s="26"/>
      <c r="J37" s="26"/>
      <c r="K37" s="26"/>
      <c r="L37" s="26"/>
      <c r="M37" s="26"/>
      <c r="N37" s="26"/>
      <c r="O37" s="26"/>
      <c r="P37" s="26"/>
      <c r="Q37" s="26"/>
      <c r="R37" s="26"/>
      <c r="S37" s="26"/>
      <c r="T37" s="26"/>
      <c r="U37" s="26"/>
      <c r="V37" s="26"/>
      <c r="W37" s="26"/>
    </row>
    <row r="38" spans="1:23" ht="13.5" thickBot="1" x14ac:dyDescent="0.35">
      <c r="A38" s="26"/>
      <c r="B38" s="40"/>
      <c r="C38" s="372"/>
      <c r="D38" s="373"/>
      <c r="E38" s="374"/>
      <c r="F38" s="9"/>
      <c r="G38" s="36"/>
      <c r="H38" s="26"/>
      <c r="I38" s="26"/>
      <c r="J38" s="26"/>
      <c r="K38" s="26"/>
      <c r="L38" s="26"/>
      <c r="M38" s="26"/>
      <c r="N38" s="26"/>
      <c r="O38" s="26"/>
      <c r="P38" s="26"/>
      <c r="Q38" s="26"/>
      <c r="R38" s="26"/>
      <c r="S38" s="26"/>
      <c r="T38" s="26"/>
      <c r="U38" s="26"/>
      <c r="V38" s="26"/>
      <c r="W38" s="26"/>
    </row>
    <row r="39" spans="1:23" ht="13" thickBot="1" x14ac:dyDescent="0.3">
      <c r="A39" s="26"/>
      <c r="B39" s="40"/>
      <c r="C39" s="33"/>
      <c r="D39" s="33"/>
      <c r="E39" s="33"/>
      <c r="F39" s="33"/>
      <c r="G39" s="36"/>
      <c r="H39" s="26"/>
      <c r="I39" s="26"/>
      <c r="J39" s="26"/>
      <c r="K39" s="26"/>
      <c r="L39" s="26"/>
      <c r="M39" s="26"/>
      <c r="N39" s="26"/>
      <c r="O39" s="26"/>
      <c r="P39" s="26"/>
      <c r="Q39" s="26"/>
      <c r="R39" s="26"/>
      <c r="S39" s="26"/>
      <c r="T39" s="26"/>
      <c r="U39" s="26"/>
      <c r="V39" s="26"/>
      <c r="W39" s="26"/>
    </row>
    <row r="40" spans="1:23" x14ac:dyDescent="0.25">
      <c r="A40" s="26"/>
      <c r="B40" s="40"/>
      <c r="C40" s="19"/>
      <c r="D40" s="20" t="s">
        <v>238</v>
      </c>
      <c r="E40" s="20"/>
      <c r="F40" s="21"/>
      <c r="G40" s="36"/>
      <c r="H40" s="26"/>
      <c r="I40" s="26"/>
      <c r="J40" s="26"/>
      <c r="K40" s="26"/>
      <c r="L40" s="26"/>
      <c r="M40" s="26"/>
      <c r="N40" s="26"/>
      <c r="O40" s="26"/>
      <c r="P40" s="26"/>
      <c r="Q40" s="26"/>
      <c r="R40" s="26"/>
      <c r="S40" s="26"/>
      <c r="T40" s="26"/>
      <c r="U40" s="26"/>
      <c r="V40" s="26"/>
      <c r="W40" s="26"/>
    </row>
    <row r="41" spans="1:23" x14ac:dyDescent="0.25">
      <c r="A41" s="26"/>
      <c r="B41" s="40"/>
      <c r="C41" s="22"/>
      <c r="D41" s="11"/>
      <c r="E41" s="11"/>
      <c r="F41" s="12"/>
      <c r="G41" s="36"/>
      <c r="H41" s="26"/>
      <c r="I41" s="26"/>
      <c r="J41" s="26"/>
      <c r="K41" s="26"/>
      <c r="L41" s="26"/>
      <c r="M41" s="26"/>
      <c r="N41" s="26"/>
      <c r="O41" s="26"/>
      <c r="P41" s="26"/>
      <c r="Q41" s="26"/>
      <c r="R41" s="26"/>
      <c r="S41" s="26"/>
      <c r="T41" s="26"/>
      <c r="U41" s="26"/>
      <c r="V41" s="26"/>
      <c r="W41" s="26"/>
    </row>
    <row r="42" spans="1:23" ht="15.5" x14ac:dyDescent="0.35">
      <c r="A42" s="26"/>
      <c r="B42" s="40"/>
      <c r="C42" s="22"/>
      <c r="D42" s="381" t="s">
        <v>389</v>
      </c>
      <c r="E42" s="11"/>
      <c r="F42" s="12"/>
      <c r="G42" s="36"/>
      <c r="H42" s="26"/>
      <c r="I42" s="26"/>
      <c r="J42" s="26"/>
      <c r="K42" s="26"/>
      <c r="L42" s="26"/>
      <c r="M42" s="26"/>
      <c r="N42" s="26"/>
      <c r="O42" s="26"/>
      <c r="P42" s="26"/>
      <c r="Q42" s="26"/>
      <c r="R42" s="26"/>
      <c r="S42" s="26"/>
      <c r="T42" s="26"/>
      <c r="U42" s="26"/>
      <c r="V42" s="26"/>
      <c r="W42" s="26"/>
    </row>
    <row r="43" spans="1:23" x14ac:dyDescent="0.25">
      <c r="A43" s="26"/>
      <c r="B43" s="40"/>
      <c r="C43" s="22"/>
      <c r="D43" s="11" t="s">
        <v>239</v>
      </c>
      <c r="E43" s="11"/>
      <c r="F43" s="12"/>
      <c r="G43" s="36"/>
      <c r="H43" s="26"/>
      <c r="I43" s="26"/>
      <c r="J43" s="26"/>
      <c r="K43" s="26"/>
      <c r="L43" s="26"/>
      <c r="M43" s="26"/>
      <c r="N43" s="26"/>
      <c r="O43" s="26"/>
      <c r="P43" s="26"/>
      <c r="Q43" s="26"/>
      <c r="R43" s="26"/>
      <c r="S43" s="26"/>
      <c r="T43" s="26"/>
      <c r="U43" s="26"/>
      <c r="V43" s="26"/>
      <c r="W43" s="26"/>
    </row>
    <row r="44" spans="1:23" x14ac:dyDescent="0.25">
      <c r="A44" s="26"/>
      <c r="B44" s="40"/>
      <c r="C44" s="22"/>
      <c r="D44" s="11" t="s">
        <v>240</v>
      </c>
      <c r="E44" s="11"/>
      <c r="F44" s="12"/>
      <c r="G44" s="36"/>
      <c r="H44" s="26"/>
      <c r="I44" s="26"/>
      <c r="J44" s="26"/>
      <c r="K44" s="26"/>
      <c r="L44" s="26"/>
      <c r="M44" s="26"/>
      <c r="N44" s="26"/>
      <c r="O44" s="26"/>
      <c r="P44" s="26"/>
      <c r="Q44" s="26"/>
      <c r="R44" s="26"/>
      <c r="S44" s="26"/>
      <c r="T44" s="26"/>
      <c r="U44" s="26"/>
      <c r="V44" s="26"/>
      <c r="W44" s="26"/>
    </row>
    <row r="45" spans="1:23" x14ac:dyDescent="0.25">
      <c r="A45" s="26"/>
      <c r="B45" s="40"/>
      <c r="C45" s="22"/>
      <c r="D45" s="11" t="s">
        <v>390</v>
      </c>
      <c r="E45" s="11"/>
      <c r="F45" s="12"/>
      <c r="G45" s="36"/>
      <c r="H45" s="26"/>
      <c r="I45" s="26"/>
      <c r="J45" s="26"/>
      <c r="K45" s="26"/>
      <c r="L45" s="26"/>
      <c r="M45" s="26"/>
      <c r="N45" s="26"/>
      <c r="O45" s="26"/>
      <c r="P45" s="26"/>
      <c r="Q45" s="26"/>
      <c r="R45" s="26"/>
      <c r="S45" s="26"/>
      <c r="T45" s="26"/>
      <c r="U45" s="26"/>
      <c r="V45" s="26"/>
      <c r="W45" s="26"/>
    </row>
    <row r="46" spans="1:23" x14ac:dyDescent="0.25">
      <c r="A46" s="26"/>
      <c r="B46" s="40"/>
      <c r="C46" s="22"/>
      <c r="D46" s="11" t="s">
        <v>391</v>
      </c>
      <c r="E46" s="11"/>
      <c r="F46" s="12"/>
      <c r="G46" s="36"/>
      <c r="H46" s="26"/>
      <c r="I46" s="26"/>
      <c r="J46" s="26"/>
      <c r="K46" s="26"/>
      <c r="L46" s="26"/>
      <c r="M46" s="26"/>
      <c r="N46" s="26"/>
      <c r="O46" s="26"/>
      <c r="P46" s="26"/>
      <c r="Q46" s="26"/>
      <c r="R46" s="26"/>
      <c r="S46" s="26"/>
      <c r="T46" s="26"/>
      <c r="U46" s="26"/>
      <c r="V46" s="26"/>
      <c r="W46" s="26"/>
    </row>
    <row r="47" spans="1:23" x14ac:dyDescent="0.25">
      <c r="A47" s="26"/>
      <c r="B47" s="40"/>
      <c r="C47" s="22"/>
      <c r="D47" s="11" t="s">
        <v>392</v>
      </c>
      <c r="E47" s="11"/>
      <c r="F47" s="12"/>
      <c r="G47" s="36"/>
      <c r="H47" s="26"/>
      <c r="I47" s="26"/>
      <c r="J47" s="26"/>
      <c r="K47" s="26"/>
      <c r="L47" s="26"/>
      <c r="M47" s="26"/>
      <c r="N47" s="26"/>
      <c r="O47" s="26"/>
      <c r="P47" s="26"/>
      <c r="Q47" s="26"/>
      <c r="R47" s="26"/>
      <c r="S47" s="26"/>
      <c r="T47" s="26"/>
      <c r="U47" s="26"/>
      <c r="V47" s="26"/>
      <c r="W47" s="26"/>
    </row>
    <row r="48" spans="1:23" x14ac:dyDescent="0.25">
      <c r="A48" s="26"/>
      <c r="B48" s="40"/>
      <c r="C48" s="22"/>
      <c r="D48" s="11"/>
      <c r="E48" s="11"/>
      <c r="F48" s="12"/>
      <c r="G48" s="36"/>
      <c r="H48" s="26"/>
      <c r="I48" s="26"/>
      <c r="J48" s="26"/>
      <c r="K48" s="26"/>
      <c r="L48" s="26"/>
      <c r="M48" s="26"/>
      <c r="N48" s="26"/>
      <c r="O48" s="26"/>
      <c r="P48" s="26"/>
      <c r="Q48" s="26"/>
      <c r="R48" s="26"/>
      <c r="S48" s="26"/>
      <c r="T48" s="26"/>
      <c r="U48" s="26"/>
      <c r="V48" s="26"/>
      <c r="W48" s="26"/>
    </row>
    <row r="49" spans="1:23" x14ac:dyDescent="0.25">
      <c r="A49" s="26"/>
      <c r="B49" s="40"/>
      <c r="C49" s="22"/>
      <c r="D49" s="11"/>
      <c r="E49" s="380" t="str">
        <f>[1]Introduction!$E$51</f>
        <v>Method-1 Spreadsheets Version March 2024</v>
      </c>
      <c r="F49" s="12"/>
      <c r="G49" s="36"/>
      <c r="H49" s="26"/>
      <c r="I49" s="26"/>
      <c r="J49" s="26"/>
      <c r="K49" s="26"/>
      <c r="L49" s="26"/>
      <c r="M49" s="26"/>
      <c r="N49" s="26"/>
      <c r="O49" s="26"/>
      <c r="P49" s="26"/>
      <c r="Q49" s="26"/>
      <c r="R49" s="26"/>
      <c r="S49" s="26"/>
      <c r="T49" s="26"/>
      <c r="U49" s="26"/>
      <c r="V49" s="26"/>
      <c r="W49" s="26"/>
    </row>
    <row r="50" spans="1:23" ht="13" thickBot="1" x14ac:dyDescent="0.3">
      <c r="A50" s="26"/>
      <c r="B50" s="40"/>
      <c r="C50" s="23"/>
      <c r="D50" s="24"/>
      <c r="E50" s="24"/>
      <c r="F50" s="10"/>
      <c r="G50" s="36"/>
      <c r="H50" s="26"/>
      <c r="I50" s="26"/>
      <c r="J50" s="26"/>
      <c r="K50" s="26"/>
      <c r="L50" s="26"/>
      <c r="M50" s="26"/>
      <c r="N50" s="26"/>
      <c r="O50" s="26"/>
      <c r="P50" s="26"/>
      <c r="Q50" s="26"/>
      <c r="R50" s="26"/>
      <c r="S50" s="26"/>
      <c r="T50" s="26"/>
      <c r="U50" s="26"/>
      <c r="V50" s="26"/>
      <c r="W50" s="26"/>
    </row>
    <row r="51" spans="1:23" ht="13" thickBot="1" x14ac:dyDescent="0.3">
      <c r="A51" s="26"/>
      <c r="B51" s="43"/>
      <c r="C51" s="38"/>
      <c r="D51" s="38"/>
      <c r="E51" s="38"/>
      <c r="F51" s="38"/>
      <c r="G51" s="39"/>
      <c r="H51" s="26"/>
      <c r="I51" s="26"/>
      <c r="J51" s="26"/>
      <c r="K51" s="26"/>
      <c r="L51" s="26"/>
      <c r="M51" s="26"/>
      <c r="N51" s="26"/>
      <c r="O51" s="26"/>
      <c r="P51" s="26"/>
      <c r="Q51" s="26"/>
      <c r="R51" s="26"/>
      <c r="S51" s="26"/>
      <c r="T51" s="26"/>
      <c r="U51" s="26"/>
      <c r="V51" s="26"/>
      <c r="W51" s="26"/>
    </row>
    <row r="52" spans="1:23" ht="13" thickTop="1" x14ac:dyDescent="0.25">
      <c r="A52" s="26"/>
      <c r="B52" s="26"/>
      <c r="C52" s="26"/>
      <c r="D52" s="26"/>
      <c r="E52" s="26"/>
      <c r="F52" s="26"/>
      <c r="G52" s="26"/>
      <c r="H52" s="26"/>
      <c r="I52" s="26"/>
      <c r="J52" s="26"/>
      <c r="K52" s="26"/>
      <c r="L52" s="26"/>
      <c r="M52" s="26"/>
      <c r="N52" s="26"/>
      <c r="O52" s="26"/>
      <c r="P52" s="26"/>
      <c r="Q52" s="26"/>
      <c r="R52" s="26"/>
      <c r="S52" s="26"/>
      <c r="T52" s="26"/>
      <c r="U52" s="26"/>
      <c r="V52" s="26"/>
      <c r="W52" s="26"/>
    </row>
    <row r="53" spans="1:23" x14ac:dyDescent="0.25">
      <c r="A53" s="26"/>
      <c r="B53" s="26"/>
      <c r="C53" s="26"/>
      <c r="D53" s="26"/>
      <c r="E53" s="26"/>
      <c r="F53" s="26"/>
      <c r="G53" s="26"/>
      <c r="H53" s="26"/>
      <c r="I53" s="26"/>
      <c r="J53" s="26"/>
      <c r="K53" s="26"/>
      <c r="L53" s="26"/>
      <c r="M53" s="26"/>
      <c r="N53" s="26"/>
      <c r="O53" s="26"/>
      <c r="P53" s="26"/>
      <c r="Q53" s="26"/>
      <c r="R53" s="26"/>
      <c r="S53" s="26"/>
      <c r="T53" s="26"/>
      <c r="U53" s="26"/>
      <c r="V53" s="26"/>
      <c r="W53" s="26"/>
    </row>
    <row r="54" spans="1:23" x14ac:dyDescent="0.25">
      <c r="A54" s="26"/>
      <c r="B54" s="26"/>
      <c r="C54" s="26"/>
      <c r="D54" s="26"/>
      <c r="E54" s="26"/>
      <c r="F54" s="26"/>
      <c r="G54" s="26"/>
      <c r="H54" s="26"/>
      <c r="I54" s="26"/>
      <c r="J54" s="26"/>
      <c r="K54" s="26"/>
      <c r="L54" s="26"/>
      <c r="M54" s="26"/>
      <c r="N54" s="26"/>
      <c r="O54" s="26"/>
      <c r="P54" s="26"/>
      <c r="Q54" s="26"/>
      <c r="R54" s="26"/>
      <c r="S54" s="26"/>
      <c r="T54" s="26"/>
      <c r="U54" s="26"/>
      <c r="V54" s="26"/>
      <c r="W54" s="26"/>
    </row>
    <row r="55" spans="1:23" x14ac:dyDescent="0.25">
      <c r="A55" s="26"/>
      <c r="B55" s="26"/>
      <c r="C55" s="26"/>
      <c r="D55" s="26"/>
      <c r="E55" s="26"/>
      <c r="F55" s="26"/>
      <c r="G55" s="26"/>
      <c r="H55" s="26"/>
      <c r="I55" s="26"/>
      <c r="J55" s="26"/>
      <c r="K55" s="26"/>
      <c r="L55" s="26"/>
      <c r="M55" s="26"/>
      <c r="N55" s="26"/>
      <c r="O55" s="26"/>
      <c r="P55" s="26"/>
      <c r="Q55" s="26"/>
      <c r="R55" s="26"/>
      <c r="S55" s="26"/>
      <c r="T55" s="26"/>
      <c r="U55" s="26"/>
      <c r="V55" s="26"/>
      <c r="W55" s="26"/>
    </row>
    <row r="56" spans="1:23" x14ac:dyDescent="0.25">
      <c r="A56" s="26"/>
      <c r="B56" s="26"/>
      <c r="C56" s="26"/>
      <c r="D56" s="26"/>
      <c r="E56" s="26"/>
      <c r="F56" s="26"/>
      <c r="G56" s="26"/>
      <c r="H56" s="26"/>
      <c r="I56" s="26"/>
      <c r="J56" s="26"/>
      <c r="K56" s="26"/>
      <c r="L56" s="26"/>
      <c r="M56" s="26"/>
      <c r="N56" s="26"/>
      <c r="O56" s="26"/>
      <c r="P56" s="26"/>
      <c r="Q56" s="26"/>
      <c r="R56" s="26"/>
      <c r="S56" s="26"/>
      <c r="T56" s="26"/>
      <c r="U56" s="26"/>
      <c r="V56" s="26"/>
      <c r="W56" s="26"/>
    </row>
    <row r="57" spans="1:23" x14ac:dyDescent="0.25">
      <c r="A57" s="26"/>
      <c r="B57" s="26"/>
      <c r="C57" s="26"/>
      <c r="D57" s="26"/>
      <c r="E57" s="26"/>
      <c r="F57" s="26"/>
      <c r="G57" s="26"/>
      <c r="H57" s="26"/>
      <c r="I57" s="26"/>
      <c r="J57" s="26"/>
      <c r="K57" s="26"/>
      <c r="L57" s="26"/>
      <c r="M57" s="26"/>
      <c r="N57" s="26"/>
      <c r="O57" s="26"/>
      <c r="P57" s="26"/>
      <c r="Q57" s="26"/>
      <c r="R57" s="26"/>
      <c r="S57" s="26"/>
      <c r="T57" s="26"/>
      <c r="U57" s="26"/>
      <c r="V57" s="26"/>
      <c r="W57" s="26"/>
    </row>
    <row r="58" spans="1:23" x14ac:dyDescent="0.25">
      <c r="A58" s="26"/>
      <c r="B58" s="26"/>
      <c r="C58" s="26"/>
      <c r="D58" s="26"/>
      <c r="E58" s="26"/>
      <c r="F58" s="26"/>
      <c r="G58" s="26"/>
      <c r="H58" s="26"/>
      <c r="I58" s="26"/>
      <c r="J58" s="26"/>
      <c r="K58" s="26"/>
      <c r="L58" s="26"/>
      <c r="M58" s="26"/>
      <c r="N58" s="26"/>
      <c r="O58" s="26"/>
      <c r="P58" s="26"/>
      <c r="Q58" s="26"/>
      <c r="R58" s="26"/>
      <c r="S58" s="26"/>
      <c r="T58" s="26"/>
      <c r="U58" s="26"/>
      <c r="V58" s="26"/>
      <c r="W58" s="26"/>
    </row>
    <row r="59" spans="1:23" x14ac:dyDescent="0.25">
      <c r="A59" s="26"/>
      <c r="B59" s="26"/>
      <c r="C59" s="26"/>
      <c r="D59" s="26"/>
      <c r="E59" s="26"/>
      <c r="F59" s="26"/>
      <c r="G59" s="26"/>
      <c r="H59" s="26"/>
      <c r="I59" s="26"/>
      <c r="J59" s="26"/>
      <c r="K59" s="26"/>
      <c r="L59" s="26"/>
      <c r="M59" s="26"/>
      <c r="N59" s="26"/>
      <c r="O59" s="26"/>
      <c r="P59" s="26"/>
      <c r="Q59" s="26"/>
      <c r="R59" s="26"/>
      <c r="S59" s="26"/>
      <c r="T59" s="26"/>
      <c r="U59" s="26"/>
      <c r="V59" s="26"/>
      <c r="W59" s="26"/>
    </row>
    <row r="60" spans="1:23" x14ac:dyDescent="0.25">
      <c r="A60" s="26"/>
      <c r="B60" s="26"/>
      <c r="C60" s="26"/>
      <c r="D60" s="26"/>
      <c r="E60" s="26"/>
      <c r="F60" s="26"/>
      <c r="G60" s="26"/>
      <c r="H60" s="26"/>
      <c r="I60" s="26"/>
      <c r="J60" s="26"/>
      <c r="K60" s="26"/>
      <c r="L60" s="26"/>
      <c r="M60" s="26"/>
      <c r="N60" s="26"/>
      <c r="O60" s="26"/>
      <c r="P60" s="26"/>
      <c r="Q60" s="26"/>
      <c r="R60" s="26"/>
      <c r="S60" s="26"/>
      <c r="T60" s="26"/>
      <c r="U60" s="26"/>
      <c r="V60" s="26"/>
      <c r="W60" s="26"/>
    </row>
    <row r="61" spans="1:23" x14ac:dyDescent="0.25">
      <c r="A61" s="26"/>
      <c r="B61" s="26"/>
      <c r="C61" s="26"/>
      <c r="D61" s="26"/>
      <c r="E61" s="26"/>
      <c r="F61" s="26"/>
      <c r="G61" s="26"/>
      <c r="H61" s="26"/>
      <c r="I61" s="26"/>
      <c r="J61" s="26"/>
      <c r="K61" s="26"/>
      <c r="L61" s="26"/>
      <c r="M61" s="26"/>
      <c r="N61" s="26"/>
      <c r="O61" s="26"/>
      <c r="P61" s="26"/>
      <c r="Q61" s="26"/>
      <c r="R61" s="26"/>
      <c r="S61" s="26"/>
      <c r="T61" s="26"/>
      <c r="U61" s="26"/>
      <c r="V61" s="26"/>
      <c r="W61" s="26"/>
    </row>
    <row r="62" spans="1:23" x14ac:dyDescent="0.25">
      <c r="A62" s="26"/>
      <c r="B62" s="26"/>
      <c r="C62" s="26"/>
      <c r="D62" s="26"/>
      <c r="E62" s="26"/>
      <c r="F62" s="26"/>
      <c r="G62" s="26"/>
      <c r="H62" s="26"/>
      <c r="I62" s="26"/>
      <c r="J62" s="26"/>
      <c r="K62" s="26"/>
      <c r="L62" s="26"/>
      <c r="M62" s="26"/>
      <c r="N62" s="26"/>
      <c r="O62" s="26"/>
      <c r="P62" s="26"/>
      <c r="Q62" s="26"/>
      <c r="R62" s="26"/>
      <c r="S62" s="26"/>
      <c r="T62" s="26"/>
      <c r="U62" s="26"/>
      <c r="V62" s="26"/>
      <c r="W62" s="26"/>
    </row>
    <row r="63" spans="1:23" x14ac:dyDescent="0.25">
      <c r="A63" s="26"/>
      <c r="B63" s="26"/>
      <c r="C63" s="26"/>
      <c r="D63" s="26"/>
      <c r="E63" s="26"/>
      <c r="F63" s="26"/>
      <c r="G63" s="26"/>
      <c r="H63" s="26"/>
      <c r="I63" s="26"/>
      <c r="J63" s="26"/>
      <c r="K63" s="26"/>
      <c r="L63" s="26"/>
      <c r="M63" s="26"/>
      <c r="N63" s="26"/>
      <c r="O63" s="26"/>
      <c r="P63" s="26"/>
      <c r="Q63" s="26"/>
      <c r="R63" s="26"/>
      <c r="S63" s="26"/>
      <c r="T63" s="26"/>
      <c r="U63" s="26"/>
      <c r="V63" s="26"/>
      <c r="W63" s="26"/>
    </row>
    <row r="64" spans="1:23" x14ac:dyDescent="0.25">
      <c r="A64" s="26"/>
      <c r="B64" s="26"/>
      <c r="C64" s="26"/>
      <c r="D64" s="26"/>
      <c r="E64" s="26"/>
      <c r="F64" s="26"/>
      <c r="G64" s="26"/>
      <c r="H64" s="26"/>
      <c r="I64" s="26"/>
      <c r="J64" s="26"/>
      <c r="K64" s="26"/>
      <c r="L64" s="26"/>
      <c r="M64" s="26"/>
      <c r="N64" s="26"/>
      <c r="O64" s="26"/>
      <c r="P64" s="26"/>
      <c r="Q64" s="26"/>
      <c r="R64" s="26"/>
      <c r="S64" s="26"/>
      <c r="T64" s="26"/>
      <c r="U64" s="26"/>
      <c r="V64" s="26"/>
      <c r="W64" s="26"/>
    </row>
    <row r="65" spans="1:23" x14ac:dyDescent="0.25">
      <c r="A65" s="26"/>
      <c r="B65" s="26"/>
      <c r="C65" s="26"/>
      <c r="D65" s="26"/>
      <c r="E65" s="26"/>
      <c r="F65" s="26"/>
      <c r="G65" s="26"/>
      <c r="H65" s="26"/>
      <c r="I65" s="26"/>
      <c r="J65" s="26"/>
      <c r="K65" s="26"/>
      <c r="L65" s="26"/>
      <c r="M65" s="26"/>
      <c r="N65" s="26"/>
      <c r="O65" s="26"/>
      <c r="P65" s="26"/>
      <c r="Q65" s="26"/>
      <c r="R65" s="26"/>
      <c r="S65" s="26"/>
      <c r="T65" s="26"/>
      <c r="U65" s="26"/>
      <c r="V65" s="26"/>
      <c r="W65" s="26"/>
    </row>
  </sheetData>
  <sheetProtection sheet="1" objects="1" scenarios="1"/>
  <mergeCells count="2">
    <mergeCell ref="C37:E37"/>
    <mergeCell ref="B2:G2"/>
  </mergeCells>
  <phoneticPr fontId="0" type="noConversion"/>
  <hyperlinks>
    <hyperlink ref="D10" location="'S-1'!A1" display="S-1" xr:uid="{00000000-0004-0000-0000-000000000000}"/>
    <hyperlink ref="D13" location="'S-1 Assumptions'!A1" display="S-1 Assumptions" xr:uid="{00000000-0004-0000-0000-000001000000}"/>
    <hyperlink ref="D19" location="'S-2'!A1" display="S-2" xr:uid="{00000000-0004-0000-0000-000002000000}"/>
    <hyperlink ref="D22" location="'S-2 Assumptions'!A1" display="S-2 Assumptions" xr:uid="{00000000-0004-0000-0000-000003000000}"/>
    <hyperlink ref="D25" location="'S-3'!A1" display="S-3" xr:uid="{00000000-0004-0000-0000-000004000000}"/>
    <hyperlink ref="D28" location="'S-3 Assumptions'!A1" display="S-3 Assumptions" xr:uid="{00000000-0004-0000-0000-000005000000}"/>
    <hyperlink ref="D35" r:id="rId1" xr:uid="{00000000-0004-0000-0000-000006000000}"/>
    <hyperlink ref="D16" location="Introduction!A1" display="S-1 TCE &amp; VC" xr:uid="{00000000-0004-0000-0000-000007000000}"/>
  </hyperlinks>
  <printOptions horizontalCentered="1"/>
  <pageMargins left="0.5" right="0.5" top="1" bottom="1" header="0.5" footer="0.5"/>
  <pageSetup scale="80" orientation="portrait" horizontalDpi="1200" verticalDpi="1200" r:id="rId2"/>
  <headerFooter>
    <oddHeader>&amp;C&amp;"Arial,Bold"MCP Numerical Standards Derivation</oddHeader>
    <oddFooter>&amp;L&amp;8MassDEP&amp;C&amp;8 2024&amp;R&amp;8Workbook: &amp;F
Sheet: &amp;A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11"/>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11" defaultRowHeight="13" x14ac:dyDescent="0.25"/>
  <cols>
    <col min="1" max="1" width="26.453125" style="46" customWidth="1"/>
    <col min="2" max="2" width="9.81640625" style="60" bestFit="1" customWidth="1"/>
    <col min="3" max="3" width="12.453125" style="60" bestFit="1" customWidth="1"/>
    <col min="4" max="5" width="12.1796875" style="60" bestFit="1" customWidth="1"/>
    <col min="6" max="6" width="9.1796875" style="60" customWidth="1"/>
    <col min="7" max="7" width="14.1796875" style="60" customWidth="1"/>
    <col min="8" max="8" width="14.453125" style="60" customWidth="1"/>
    <col min="9" max="9" width="9.1796875" style="315" customWidth="1"/>
    <col min="10" max="10" width="15.81640625" style="175" bestFit="1" customWidth="1"/>
    <col min="11" max="16384" width="11" style="46"/>
  </cols>
  <sheetData>
    <row r="1" spans="1:10" thickTop="1" x14ac:dyDescent="0.25">
      <c r="A1" s="45"/>
      <c r="B1" s="498" t="s">
        <v>117</v>
      </c>
      <c r="C1" s="499"/>
      <c r="D1" s="499"/>
      <c r="E1" s="500"/>
      <c r="F1" s="501" t="s">
        <v>347</v>
      </c>
      <c r="G1" s="502"/>
      <c r="H1" s="502" t="s">
        <v>348</v>
      </c>
      <c r="I1" s="505" t="s">
        <v>350</v>
      </c>
      <c r="J1" s="506"/>
    </row>
    <row r="2" spans="1:10" ht="23" x14ac:dyDescent="0.25">
      <c r="A2" s="89" t="s">
        <v>219</v>
      </c>
      <c r="B2" s="495" t="s">
        <v>349</v>
      </c>
      <c r="C2" s="496"/>
      <c r="D2" s="496"/>
      <c r="E2" s="497"/>
      <c r="F2" s="503"/>
      <c r="G2" s="504"/>
      <c r="H2" s="504"/>
      <c r="I2" s="507"/>
      <c r="J2" s="508"/>
    </row>
    <row r="3" spans="1:10" s="60" customFormat="1" ht="52.5" x14ac:dyDescent="0.25">
      <c r="A3" s="58" t="s">
        <v>115</v>
      </c>
      <c r="B3" s="148" t="s">
        <v>114</v>
      </c>
      <c r="C3" s="86" t="s">
        <v>345</v>
      </c>
      <c r="D3" s="86" t="s">
        <v>346</v>
      </c>
      <c r="E3" s="87" t="s">
        <v>379</v>
      </c>
      <c r="F3" s="503"/>
      <c r="G3" s="504"/>
      <c r="H3" s="504"/>
      <c r="I3" s="507"/>
      <c r="J3" s="508"/>
    </row>
    <row r="4" spans="1:10" ht="15.5" x14ac:dyDescent="0.25">
      <c r="A4" s="58" t="s">
        <v>296</v>
      </c>
      <c r="B4" s="149" t="s">
        <v>356</v>
      </c>
      <c r="C4" s="84" t="s">
        <v>359</v>
      </c>
      <c r="D4" s="84" t="s">
        <v>359</v>
      </c>
      <c r="E4" s="85" t="s">
        <v>359</v>
      </c>
      <c r="F4" s="503"/>
      <c r="G4" s="504"/>
      <c r="H4" s="504"/>
      <c r="I4" s="507"/>
      <c r="J4" s="508"/>
    </row>
    <row r="5" spans="1:10" ht="14" x14ac:dyDescent="0.25">
      <c r="A5" s="47"/>
      <c r="B5" s="150"/>
      <c r="C5" s="80"/>
      <c r="D5" s="80"/>
      <c r="E5" s="81"/>
      <c r="F5" s="63"/>
      <c r="G5" s="73"/>
      <c r="H5" s="62"/>
      <c r="I5" s="72"/>
      <c r="J5" s="59"/>
    </row>
    <row r="6" spans="1:10" s="92" customFormat="1" ht="23.5" thickBot="1" x14ac:dyDescent="0.3">
      <c r="A6" s="349" t="s">
        <v>380</v>
      </c>
      <c r="B6" s="151" t="s">
        <v>109</v>
      </c>
      <c r="C6" s="82" t="s">
        <v>109</v>
      </c>
      <c r="D6" s="82" t="s">
        <v>109</v>
      </c>
      <c r="E6" s="83" t="s">
        <v>109</v>
      </c>
      <c r="F6" s="75" t="s">
        <v>109</v>
      </c>
      <c r="G6" s="76" t="s">
        <v>110</v>
      </c>
      <c r="H6" s="76" t="s">
        <v>109</v>
      </c>
      <c r="I6" s="77" t="s">
        <v>109</v>
      </c>
      <c r="J6" s="78" t="s">
        <v>108</v>
      </c>
    </row>
    <row r="7" spans="1:10" ht="12.5" x14ac:dyDescent="0.25">
      <c r="A7" s="88" t="s">
        <v>107</v>
      </c>
      <c r="B7" s="301">
        <f>IF(ISERR(1/+(VLOOKUP(A7,[1]!TOX,17,FALSE))),0,'[1]Target Risk'!$D$8*(VLOOKUP(A7,[1]!TOX,4,FALSE))/(('S-1 Assumptions'!$K$18*(VLOOKUP(A7,[1]!TOX,17,FALSE)))+('S-1 Assumptions'!$L$51*(VLOOKUP(A7,[1]!TOX,19,FALSE)))))</f>
        <v>4867.3991125643161</v>
      </c>
      <c r="C7" s="302">
        <f>IF(ISERR(1/(VLOOKUP(A7,[1]!TOX,25,FALSE))),0,'[1]Target Risk'!$D$12/((('S-1 Assumptions'!$K$26*(VLOOKUP(A7,[1]!TOX,25,FALSE)))+('S-1 Assumptions'!$L$59*(VLOOKUP(A7,[1]!TOX,27,FALSE))))*(VLOOKUP(A7,[1]!TOX,12,FALSE))))</f>
        <v>0</v>
      </c>
      <c r="D7" s="302">
        <f>IF(ISERR(1/(VLOOKUP(A7,[1]!TOX,25,FALSE))),0,IF(VLOOKUP(A7,[1]!TOX,36,FALSE)="M",'[1]Target Risk'!$D$12/((((((('S-1 Assumptions'!$K$30*(VLOOKUP(A7,[1]!TOX,25,FALSE)))+('S-1 Assumptions'!$L$67*(VLOOKUP(A7,[1]!TOX,27,FALSE))))*10))+(((('S-1 Assumptions'!$K$31*(VLOOKUP(A7,[1]!TOX,25,FALSE)))+('S-1 Assumptions'!$L$68*(VLOOKUP(A7,[1]!TOX,27,FALSE))))*3))+(((('S-1 Assumptions'!$K$32*(VLOOKUP(A7,[1]!TOX,25,FALSE)))+('S-1 Assumptions'!$L$69*(VLOOKUP(A7,[1]!TOX,27,FALSE))))*3))+(((('S-1 Assumptions'!$K$33*(VLOOKUP(A7,[1]!TOX,25,FALSE)))+('S-1 Assumptions'!$L$70)*(VLOOKUP(A7,[1]!TOX,27,FALSE))))*1)))*(VLOOKUP(A7,[1]!TOX,12,FALSE))),0))</f>
        <v>0</v>
      </c>
      <c r="E7" s="303">
        <f>IF(ISERR(1/(VLOOKUP(A7,[1]!TOX,25,FALSE))),0,IF(VLOOKUP(A7,[1]!TOX,36,FALSE)="M",'[1]Target Risk'!$D$12/((((((('S-1 Assumptions'!$K$30*(VLOOKUP(A7,[1]!TOX,25,FALSE)))+('S-1 Assumptions'!$L$67*(VLOOKUP(A7,[1]!TOX,27,FALSE))))*10))+(((('S-1 Assumptions'!$K$31*(VLOOKUP(A7,[1]!TOX,25,FALSE)))+('S-1 Assumptions'!$L$68*(VLOOKUP(A7,[1]!TOX,27,FALSE))))*3))+(((('S-1 Assumptions'!$K$32*(VLOOKUP(A7,[1]!TOX,25,FALSE)))+('S-1 Assumptions'!$L$69*(VLOOKUP(A7,[1]!TOX,27,FALSE))))*3))+(((('S-1 Assumptions'!$K$33*(VLOOKUP(A7,[1]!TOX,25,FALSE)))+('S-1 Assumptions'!$L$70)*(VLOOKUP(A7,[1]!TOX,27,FALSE))))*1)))*(VLOOKUP(A7,[1]!TOX,12,FALSE))),('[1]Target Risk'!$D$12/((('S-1 Assumptions'!$K$26*(VLOOKUP(A7,[1]!TOX,25,FALSE)))+('S-1 Assumptions'!$L$59*(VLOOKUP(A7,[1]!TOX,27,FALSE))))*(VLOOKUP(A7,[1]!TOX,12,FALSE))))))</f>
        <v>0</v>
      </c>
      <c r="F7" s="304">
        <f>IF(B7=0,MIN(E7,(VLOOKUP(A7,[1]!TOX,71,FALSE))),IF(E7=0,MIN(B7,(VLOOKUP(A7,[1]!TOX,71,FALSE))),MIN(B7,E7,(VLOOKUP(A7,[1]!TOX,71,FALSE)))))</f>
        <v>1000</v>
      </c>
      <c r="G7" s="303" t="str">
        <f>IF(F7=B7,"Noncancer Risk",IF(F7=E7,"Cancer Risk",(VLOOKUP(A7,[1]!TOX,72,FALSE))))</f>
        <v>Ceiling (High)</v>
      </c>
      <c r="H7" s="305">
        <f>MAX(F7,(VLOOKUP(A7,[1]!TOX,50,FALSE)),(VLOOKUP(A7,[1]!TOX,39,FALSE)))</f>
        <v>1000</v>
      </c>
      <c r="I7" s="306">
        <f>IF(H7&lt;&gt;0,ROUND(H7,1-(1+INT(LOG10(ABS(H7))))),"")</f>
        <v>1000</v>
      </c>
      <c r="J7" s="307" t="str">
        <f>IF(H7=0,"Not Calculated",IF(H7=F7,G7,IF(H7=(VLOOKUP(A7,[1]!TOX,39,FALSE)),"Background","PQL")))</f>
        <v>Ceiling (High)</v>
      </c>
    </row>
    <row r="8" spans="1:10" ht="12.5" x14ac:dyDescent="0.25">
      <c r="A8" s="50" t="s">
        <v>106</v>
      </c>
      <c r="B8" s="160">
        <f>IF(ISERR(1/+(VLOOKUP(A8,[1]!TOX,17,FALSE))),0,'[1]Target Risk'!$D$8*(VLOOKUP(A8,[1]!TOX,4,FALSE))/(('S-1 Assumptions'!$K$18*(VLOOKUP(A8,[1]!TOX,17,FALSE)))+('S-1 Assumptions'!$L$51*(VLOOKUP(A8,[1]!TOX,19,FALSE)))))</f>
        <v>2433.699556282158</v>
      </c>
      <c r="C8" s="161">
        <f>IF(ISERR(1/(VLOOKUP(A8,[1]!TOX,25,FALSE))),0,'[1]Target Risk'!$D$12/((('S-1 Assumptions'!$K$26*(VLOOKUP(A8,[1]!TOX,25,FALSE)))+('S-1 Assumptions'!$L$59*(VLOOKUP(A8,[1]!TOX,27,FALSE))))*(VLOOKUP(A8,[1]!TOX,12,FALSE))))</f>
        <v>0</v>
      </c>
      <c r="D8" s="161">
        <f>IF(ISERR(1/(VLOOKUP(A8,[1]!TOX,25,FALSE))),0,IF(VLOOKUP(A8,[1]!TOX,36,FALSE)="M",'[1]Target Risk'!$D$12/((((((('S-1 Assumptions'!$K$30*(VLOOKUP(A8,[1]!TOX,25,FALSE)))+('S-1 Assumptions'!$L$67*(VLOOKUP(A8,[1]!TOX,27,FALSE))))*10))+(((('S-1 Assumptions'!$K$31*(VLOOKUP(A8,[1]!TOX,25,FALSE)))+('S-1 Assumptions'!$L$68*(VLOOKUP(A8,[1]!TOX,27,FALSE))))*3))+(((('S-1 Assumptions'!$K$32*(VLOOKUP(A8,[1]!TOX,25,FALSE)))+('S-1 Assumptions'!$L$69*(VLOOKUP(A8,[1]!TOX,27,FALSE))))*3))+(((('S-1 Assumptions'!$K$33*(VLOOKUP(A8,[1]!TOX,25,FALSE)))+('S-1 Assumptions'!$L$70)*(VLOOKUP(A8,[1]!TOX,27,FALSE))))*1)))*(VLOOKUP(A8,[1]!TOX,12,FALSE))),0))</f>
        <v>0</v>
      </c>
      <c r="E8" s="162">
        <f>IF(ISERR(1/(VLOOKUP(A8,[1]!TOX,25,FALSE))),0,IF(VLOOKUP(A8,[1]!TOX,36,FALSE)="M",'[1]Target Risk'!$D$12/((((((('S-1 Assumptions'!$K$30*(VLOOKUP(A8,[1]!TOX,25,FALSE)))+('S-1 Assumptions'!$L$67*(VLOOKUP(A8,[1]!TOX,27,FALSE))))*10))+(((('S-1 Assumptions'!$K$31*(VLOOKUP(A8,[1]!TOX,25,FALSE)))+('S-1 Assumptions'!$L$68*(VLOOKUP(A8,[1]!TOX,27,FALSE))))*3))+(((('S-1 Assumptions'!$K$32*(VLOOKUP(A8,[1]!TOX,25,FALSE)))+('S-1 Assumptions'!$L$69*(VLOOKUP(A8,[1]!TOX,27,FALSE))))*3))+(((('S-1 Assumptions'!$K$33*(VLOOKUP(A8,[1]!TOX,25,FALSE)))+('S-1 Assumptions'!$L$70)*(VLOOKUP(A8,[1]!TOX,27,FALSE))))*1)))*(VLOOKUP(A8,[1]!TOX,12,FALSE))),('[1]Target Risk'!$D$12/((('S-1 Assumptions'!$K$26*(VLOOKUP(A8,[1]!TOX,25,FALSE)))+('S-1 Assumptions'!$L$59*(VLOOKUP(A8,[1]!TOX,27,FALSE))))*(VLOOKUP(A8,[1]!TOX,12,FALSE))))))</f>
        <v>0</v>
      </c>
      <c r="F8" s="308">
        <f>IF(B8=0,MIN(E8,(VLOOKUP(A8,[1]!TOX,71,FALSE))),IF(E8=0,MIN(B8,(VLOOKUP(A8,[1]!TOX,71,FALSE))),MIN(B8,E8,(VLOOKUP(A8,[1]!TOX,71,FALSE)))))</f>
        <v>1000</v>
      </c>
      <c r="G8" s="162" t="str">
        <f>IF(F8=B8,"Noncancer Risk",IF(F8=E8,"Cancer Risk",(VLOOKUP(A8,[1]!TOX,72,FALSE))))</f>
        <v>Ceiling (High)</v>
      </c>
      <c r="H8" s="309">
        <f>MAX(F8,(VLOOKUP(A8,[1]!TOX,50,FALSE)),(VLOOKUP(A8,[1]!TOX,39,FALSE)))</f>
        <v>1000</v>
      </c>
      <c r="I8" s="310">
        <f>IF(H8&lt;&gt;0,ROUND(H8,1-(1+INT(LOG10(ABS(H8))))),"")</f>
        <v>1000</v>
      </c>
      <c r="J8" s="165" t="str">
        <f>IF(H8=0,"Not Calculated",IF(H8=F8,G8,IF(H8=(VLOOKUP(A8,[1]!TOX,39,FALSE)),"Background","PQL")))</f>
        <v>Ceiling (High)</v>
      </c>
    </row>
    <row r="9" spans="1:10" ht="12.5" x14ac:dyDescent="0.25">
      <c r="A9" s="50" t="s">
        <v>105</v>
      </c>
      <c r="B9" s="160">
        <f>IF(ISERR(1/+(VLOOKUP(A9,[1]!TOX,17,FALSE))),0,'[1]Target Risk'!$D$8*(VLOOKUP(A9,[1]!TOX,4,FALSE))/(('S-1 Assumptions'!$K$18*(VLOOKUP(A9,[1]!TOX,17,FALSE)))+('S-1 Assumptions'!$L$51*(VLOOKUP(A9,[1]!TOX,19,FALSE)))))</f>
        <v>66490.54320689688</v>
      </c>
      <c r="C9" s="161">
        <f>IF(ISERR(1/(VLOOKUP(A9,[1]!TOX,25,FALSE))),0,'[1]Target Risk'!$D$12/((('S-1 Assumptions'!$K$26*(VLOOKUP(A9,[1]!TOX,25,FALSE)))+('S-1 Assumptions'!$L$59*(VLOOKUP(A9,[1]!TOX,27,FALSE))))*(VLOOKUP(A9,[1]!TOX,12,FALSE))))</f>
        <v>0</v>
      </c>
      <c r="D9" s="161">
        <f>IF(ISERR(1/(VLOOKUP(A9,[1]!TOX,25,FALSE))),0,IF(VLOOKUP(A9,[1]!TOX,36,FALSE)="M",'[1]Target Risk'!$D$12/((((((('S-1 Assumptions'!$K$30*(VLOOKUP(A9,[1]!TOX,25,FALSE)))+('S-1 Assumptions'!$L$67*(VLOOKUP(A9,[1]!TOX,27,FALSE))))*10))+(((('S-1 Assumptions'!$K$31*(VLOOKUP(A9,[1]!TOX,25,FALSE)))+('S-1 Assumptions'!$L$68*(VLOOKUP(A9,[1]!TOX,27,FALSE))))*3))+(((('S-1 Assumptions'!$K$32*(VLOOKUP(A9,[1]!TOX,25,FALSE)))+('S-1 Assumptions'!$L$69*(VLOOKUP(A9,[1]!TOX,27,FALSE))))*3))+(((('S-1 Assumptions'!$K$33*(VLOOKUP(A9,[1]!TOX,25,FALSE)))+('S-1 Assumptions'!$L$70)*(VLOOKUP(A9,[1]!TOX,27,FALSE))))*1)))*(VLOOKUP(A9,[1]!TOX,12,FALSE))),0))</f>
        <v>0</v>
      </c>
      <c r="E9" s="162">
        <f>IF(ISERR(1/(VLOOKUP(A9,[1]!TOX,25,FALSE))),0,IF(VLOOKUP(A9,[1]!TOX,36,FALSE)="M",'[1]Target Risk'!$D$12/((((((('S-1 Assumptions'!$K$30*(VLOOKUP(A9,[1]!TOX,25,FALSE)))+('S-1 Assumptions'!$L$67*(VLOOKUP(A9,[1]!TOX,27,FALSE))))*10))+(((('S-1 Assumptions'!$K$31*(VLOOKUP(A9,[1]!TOX,25,FALSE)))+('S-1 Assumptions'!$L$68*(VLOOKUP(A9,[1]!TOX,27,FALSE))))*3))+(((('S-1 Assumptions'!$K$32*(VLOOKUP(A9,[1]!TOX,25,FALSE)))+('S-1 Assumptions'!$L$69*(VLOOKUP(A9,[1]!TOX,27,FALSE))))*3))+(((('S-1 Assumptions'!$K$33*(VLOOKUP(A9,[1]!TOX,25,FALSE)))+('S-1 Assumptions'!$L$70)*(VLOOKUP(A9,[1]!TOX,27,FALSE))))*1)))*(VLOOKUP(A9,[1]!TOX,12,FALSE))),('[1]Target Risk'!$D$12/((('S-1 Assumptions'!$K$26*(VLOOKUP(A9,[1]!TOX,25,FALSE)))+('S-1 Assumptions'!$L$59*(VLOOKUP(A9,[1]!TOX,27,FALSE))))*(VLOOKUP(A9,[1]!TOX,12,FALSE))))))</f>
        <v>0</v>
      </c>
      <c r="F9" s="308">
        <f>IF(B9=0,MIN(E9,(VLOOKUP(A9,[1]!TOX,71,FALSE))),IF(E9=0,MIN(B9,(VLOOKUP(A9,[1]!TOX,71,FALSE))),MIN(B9,E9,(VLOOKUP(A9,[1]!TOX,71,FALSE)))))</f>
        <v>500</v>
      </c>
      <c r="G9" s="162" t="str">
        <f>IF(F9=B9,"Noncancer Risk",IF(F9=E9,"Cancer Risk",(VLOOKUP(A9,[1]!TOX,72,FALSE))))</f>
        <v>Ceiling (Medium)</v>
      </c>
      <c r="H9" s="309">
        <f>MAX(F9,(VLOOKUP(A9,[1]!TOX,50,FALSE)),(VLOOKUP(A9,[1]!TOX,39,FALSE)))</f>
        <v>500</v>
      </c>
      <c r="I9" s="310">
        <f t="shared" ref="I9:I35" si="0">IF(H9&lt;&gt;0,ROUND(H9,1-(1+INT(LOG10(ABS(H9))))),"")</f>
        <v>500</v>
      </c>
      <c r="J9" s="165" t="str">
        <f>IF(H9=0,"Not Calculated",IF(H9=F9,G9,IF(H9=(VLOOKUP(A9,[1]!TOX,39,FALSE)),"Background","PQL")))</f>
        <v>Ceiling (Medium)</v>
      </c>
    </row>
    <row r="10" spans="1:10" ht="12.5" x14ac:dyDescent="0.25">
      <c r="A10" s="50" t="s">
        <v>104</v>
      </c>
      <c r="B10" s="160">
        <f>IF(ISERR(1/+(VLOOKUP(A10,[1]!TOX,17,FALSE))),0,'[1]Target Risk'!$D$8*(VLOOKUP(A10,[1]!TOX,4,FALSE))/(('S-1 Assumptions'!$K$18*(VLOOKUP(A10,[1]!TOX,17,FALSE)))+('S-1 Assumptions'!$L$51*(VLOOKUP(A10,[1]!TOX,19,FALSE)))))</f>
        <v>1.5079648754192947</v>
      </c>
      <c r="C10" s="161">
        <f>IF(ISERR(1/(VLOOKUP(A10,[1]!TOX,25,FALSE))),0,'[1]Target Risk'!$D$12/((('S-1 Assumptions'!$K$26*(VLOOKUP(A10,[1]!TOX,25,FALSE)))+('S-1 Assumptions'!$L$59*(VLOOKUP(A10,[1]!TOX,27,FALSE))))*(VLOOKUP(A10,[1]!TOX,12,FALSE))))</f>
        <v>8.752032571603019E-2</v>
      </c>
      <c r="D10" s="161">
        <f>IF(ISERR(1/(VLOOKUP(A10,[1]!TOX,25,FALSE))),0,IF(VLOOKUP(A10,[1]!TOX,36,FALSE)="M",'[1]Target Risk'!$D$12/((((((('S-1 Assumptions'!$K$30*(VLOOKUP(A10,[1]!TOX,25,FALSE)))+('S-1 Assumptions'!$L$67*(VLOOKUP(A10,[1]!TOX,27,FALSE))))*10))+(((('S-1 Assumptions'!$K$31*(VLOOKUP(A10,[1]!TOX,25,FALSE)))+('S-1 Assumptions'!$L$68*(VLOOKUP(A10,[1]!TOX,27,FALSE))))*3))+(((('S-1 Assumptions'!$K$32*(VLOOKUP(A10,[1]!TOX,25,FALSE)))+('S-1 Assumptions'!$L$69*(VLOOKUP(A10,[1]!TOX,27,FALSE))))*3))+(((('S-1 Assumptions'!$K$33*(VLOOKUP(A10,[1]!TOX,25,FALSE)))+('S-1 Assumptions'!$L$70)*(VLOOKUP(A10,[1]!TOX,27,FALSE))))*1)))*(VLOOKUP(A10,[1]!TOX,12,FALSE))),0))</f>
        <v>0</v>
      </c>
      <c r="E10" s="162">
        <f>IF(ISERR(1/(VLOOKUP(A10,[1]!TOX,25,FALSE))),0,IF(VLOOKUP(A10,[1]!TOX,36,FALSE)="M",'[1]Target Risk'!$D$12/((((((('S-1 Assumptions'!$K$30*(VLOOKUP(A10,[1]!TOX,25,FALSE)))+('S-1 Assumptions'!$L$67*(VLOOKUP(A10,[1]!TOX,27,FALSE))))*10))+(((('S-1 Assumptions'!$K$31*(VLOOKUP(A10,[1]!TOX,25,FALSE)))+('S-1 Assumptions'!$L$68*(VLOOKUP(A10,[1]!TOX,27,FALSE))))*3))+(((('S-1 Assumptions'!$K$32*(VLOOKUP(A10,[1]!TOX,25,FALSE)))+('S-1 Assumptions'!$L$69*(VLOOKUP(A10,[1]!TOX,27,FALSE))))*3))+(((('S-1 Assumptions'!$K$33*(VLOOKUP(A10,[1]!TOX,25,FALSE)))+('S-1 Assumptions'!$L$70)*(VLOOKUP(A10,[1]!TOX,27,FALSE))))*1)))*(VLOOKUP(A10,[1]!TOX,12,FALSE))),('[1]Target Risk'!$D$12/((('S-1 Assumptions'!$K$26*(VLOOKUP(A10,[1]!TOX,25,FALSE)))+('S-1 Assumptions'!$L$59*(VLOOKUP(A10,[1]!TOX,27,FALSE))))*(VLOOKUP(A10,[1]!TOX,12,FALSE))))))</f>
        <v>8.752032571603019E-2</v>
      </c>
      <c r="F10" s="308">
        <f>IF(B10=0,MIN(E10,(VLOOKUP(A10,[1]!TOX,71,FALSE))),IF(E10=0,MIN(B10,(VLOOKUP(A10,[1]!TOX,71,FALSE))),MIN(B10,E10,(VLOOKUP(A10,[1]!TOX,71,FALSE)))))</f>
        <v>8.752032571603019E-2</v>
      </c>
      <c r="G10" s="162" t="str">
        <f>IF(F10=B10,"Noncancer Risk",IF(F10=E10,"Cancer Risk",(VLOOKUP(A10,[1]!TOX,72,FALSE))))</f>
        <v>Cancer Risk</v>
      </c>
      <c r="H10" s="309">
        <f>MAX(F10,(VLOOKUP(A10,[1]!TOX,50,FALSE)),(VLOOKUP(A10,[1]!TOX,39,FALSE)))</f>
        <v>8.752032571603019E-2</v>
      </c>
      <c r="I10" s="310">
        <f t="shared" si="0"/>
        <v>0.09</v>
      </c>
      <c r="J10" s="165" t="str">
        <f>IF(H10=0,"Not Calculated",IF(H10=F10,G10,IF(H10=(VLOOKUP(A10,[1]!TOX,39,FALSE)),"Background","PQL")))</f>
        <v>Cancer Risk</v>
      </c>
    </row>
    <row r="11" spans="1:10" ht="12.5" x14ac:dyDescent="0.25">
      <c r="A11" s="50" t="s">
        <v>103</v>
      </c>
      <c r="B11" s="160">
        <f>IF(ISERR(1/+(VLOOKUP(A11,[1]!TOX,17,FALSE))),0,'[1]Target Risk'!$D$8*(VLOOKUP(A11,[1]!TOX,4,FALSE))/(('S-1 Assumptions'!$K$18*(VLOOKUP(A11,[1]!TOX,17,FALSE)))+('S-1 Assumptions'!$L$51*(VLOOKUP(A11,[1]!TOX,19,FALSE)))))</f>
        <v>24336.995562821579</v>
      </c>
      <c r="C11" s="161">
        <f>IF(ISERR(1/(VLOOKUP(A11,[1]!TOX,25,FALSE))),0,'[1]Target Risk'!$D$12/((('S-1 Assumptions'!$K$26*(VLOOKUP(A11,[1]!TOX,25,FALSE)))+('S-1 Assumptions'!$L$59*(VLOOKUP(A11,[1]!TOX,27,FALSE))))*(VLOOKUP(A11,[1]!TOX,12,FALSE))))</f>
        <v>0</v>
      </c>
      <c r="D11" s="161">
        <f>IF(ISERR(1/(VLOOKUP(A11,[1]!TOX,25,FALSE))),0,IF(VLOOKUP(A11,[1]!TOX,36,FALSE)="M",'[1]Target Risk'!$D$12/((((((('S-1 Assumptions'!$K$30*(VLOOKUP(A11,[1]!TOX,25,FALSE)))+('S-1 Assumptions'!$L$67*(VLOOKUP(A11,[1]!TOX,27,FALSE))))*10))+(((('S-1 Assumptions'!$K$31*(VLOOKUP(A11,[1]!TOX,25,FALSE)))+('S-1 Assumptions'!$L$68*(VLOOKUP(A11,[1]!TOX,27,FALSE))))*3))+(((('S-1 Assumptions'!$K$32*(VLOOKUP(A11,[1]!TOX,25,FALSE)))+('S-1 Assumptions'!$L$69*(VLOOKUP(A11,[1]!TOX,27,FALSE))))*3))+(((('S-1 Assumptions'!$K$33*(VLOOKUP(A11,[1]!TOX,25,FALSE)))+('S-1 Assumptions'!$L$70)*(VLOOKUP(A11,[1]!TOX,27,FALSE))))*1)))*(VLOOKUP(A11,[1]!TOX,12,FALSE))),0))</f>
        <v>0</v>
      </c>
      <c r="E11" s="162">
        <f>IF(ISERR(1/(VLOOKUP(A11,[1]!TOX,25,FALSE))),0,IF(VLOOKUP(A11,[1]!TOX,36,FALSE)="M",'[1]Target Risk'!$D$12/((((((('S-1 Assumptions'!$K$30*(VLOOKUP(A11,[1]!TOX,25,FALSE)))+('S-1 Assumptions'!$L$67*(VLOOKUP(A11,[1]!TOX,27,FALSE))))*10))+(((('S-1 Assumptions'!$K$31*(VLOOKUP(A11,[1]!TOX,25,FALSE)))+('S-1 Assumptions'!$L$68*(VLOOKUP(A11,[1]!TOX,27,FALSE))))*3))+(((('S-1 Assumptions'!$K$32*(VLOOKUP(A11,[1]!TOX,25,FALSE)))+('S-1 Assumptions'!$L$69*(VLOOKUP(A11,[1]!TOX,27,FALSE))))*3))+(((('S-1 Assumptions'!$K$33*(VLOOKUP(A11,[1]!TOX,25,FALSE)))+('S-1 Assumptions'!$L$70)*(VLOOKUP(A11,[1]!TOX,27,FALSE))))*1)))*(VLOOKUP(A11,[1]!TOX,12,FALSE))),('[1]Target Risk'!$D$12/((('S-1 Assumptions'!$K$26*(VLOOKUP(A11,[1]!TOX,25,FALSE)))+('S-1 Assumptions'!$L$59*(VLOOKUP(A11,[1]!TOX,27,FALSE))))*(VLOOKUP(A11,[1]!TOX,12,FALSE))))))</f>
        <v>0</v>
      </c>
      <c r="F11" s="308">
        <f>IF(B11=0,MIN(E11,(VLOOKUP(A11,[1]!TOX,71,FALSE))),IF(E11=0,MIN(B11,(VLOOKUP(A11,[1]!TOX,71,FALSE))),MIN(B11,E11,(VLOOKUP(A11,[1]!TOX,71,FALSE)))))</f>
        <v>1000</v>
      </c>
      <c r="G11" s="162" t="str">
        <f>IF(F11=B11,"Noncancer Risk",IF(F11=E11,"Cancer Risk",(VLOOKUP(A11,[1]!TOX,72,FALSE))))</f>
        <v>Ceiling (High)</v>
      </c>
      <c r="H11" s="309">
        <f>MAX(F11,(VLOOKUP(A11,[1]!TOX,50,FALSE)),(VLOOKUP(A11,[1]!TOX,39,FALSE)))</f>
        <v>1000</v>
      </c>
      <c r="I11" s="310">
        <f t="shared" si="0"/>
        <v>1000</v>
      </c>
      <c r="J11" s="165" t="str">
        <f>IF(H11=0,"Not Calculated",IF(H11=F11,G11,IF(H11=(VLOOKUP(A11,[1]!TOX,39,FALSE)),"Background","PQL")))</f>
        <v>Ceiling (High)</v>
      </c>
    </row>
    <row r="12" spans="1:10" ht="12.5" x14ac:dyDescent="0.25">
      <c r="A12" s="50" t="s">
        <v>102</v>
      </c>
      <c r="B12" s="160">
        <f>IF(ISERR(1/+(VLOOKUP(A12,[1]!TOX,17,FALSE))),0,'[1]Target Risk'!$D$8*(VLOOKUP(A12,[1]!TOX,4,FALSE))/(('S-1 Assumptions'!$K$18*(VLOOKUP(A12,[1]!TOX,17,FALSE)))+('S-1 Assumptions'!$L$51*(VLOOKUP(A12,[1]!TOX,19,FALSE)))))</f>
        <v>20.106198338923932</v>
      </c>
      <c r="C12" s="161">
        <f>IF(ISERR(1/(VLOOKUP(A12,[1]!TOX,25,FALSE))),0,'[1]Target Risk'!$D$12/((('S-1 Assumptions'!$K$26*(VLOOKUP(A12,[1]!TOX,25,FALSE)))+('S-1 Assumptions'!$L$59*(VLOOKUP(A12,[1]!TOX,27,FALSE))))*(VLOOKUP(A12,[1]!TOX,12,FALSE))))</f>
        <v>0</v>
      </c>
      <c r="D12" s="161">
        <f>IF(ISERR(1/(VLOOKUP(A12,[1]!TOX,25,FALSE))),0,IF(VLOOKUP(A12,[1]!TOX,36,FALSE)="M",'[1]Target Risk'!$D$12/((((((('S-1 Assumptions'!$K$30*(VLOOKUP(A12,[1]!TOX,25,FALSE)))+('S-1 Assumptions'!$L$67*(VLOOKUP(A12,[1]!TOX,27,FALSE))))*10))+(((('S-1 Assumptions'!$K$31*(VLOOKUP(A12,[1]!TOX,25,FALSE)))+('S-1 Assumptions'!$L$68*(VLOOKUP(A12,[1]!TOX,27,FALSE))))*3))+(((('S-1 Assumptions'!$K$32*(VLOOKUP(A12,[1]!TOX,25,FALSE)))+('S-1 Assumptions'!$L$69*(VLOOKUP(A12,[1]!TOX,27,FALSE))))*3))+(((('S-1 Assumptions'!$K$33*(VLOOKUP(A12,[1]!TOX,25,FALSE)))+('S-1 Assumptions'!$L$70)*(VLOOKUP(A12,[1]!TOX,27,FALSE))))*1)))*(VLOOKUP(A12,[1]!TOX,12,FALSE))),0))</f>
        <v>0</v>
      </c>
      <c r="E12" s="162">
        <f>IF(ISERR(1/(VLOOKUP(A12,[1]!TOX,25,FALSE))),0,IF(VLOOKUP(A12,[1]!TOX,36,FALSE)="M",'[1]Target Risk'!$D$12/((((((('S-1 Assumptions'!$K$30*(VLOOKUP(A12,[1]!TOX,25,FALSE)))+('S-1 Assumptions'!$L$67*(VLOOKUP(A12,[1]!TOX,27,FALSE))))*10))+(((('S-1 Assumptions'!$K$31*(VLOOKUP(A12,[1]!TOX,25,FALSE)))+('S-1 Assumptions'!$L$68*(VLOOKUP(A12,[1]!TOX,27,FALSE))))*3))+(((('S-1 Assumptions'!$K$32*(VLOOKUP(A12,[1]!TOX,25,FALSE)))+('S-1 Assumptions'!$L$69*(VLOOKUP(A12,[1]!TOX,27,FALSE))))*3))+(((('S-1 Assumptions'!$K$33*(VLOOKUP(A12,[1]!TOX,25,FALSE)))+('S-1 Assumptions'!$L$70)*(VLOOKUP(A12,[1]!TOX,27,FALSE))))*1)))*(VLOOKUP(A12,[1]!TOX,12,FALSE))),('[1]Target Risk'!$D$12/((('S-1 Assumptions'!$K$26*(VLOOKUP(A12,[1]!TOX,25,FALSE)))+('S-1 Assumptions'!$L$59*(VLOOKUP(A12,[1]!TOX,27,FALSE))))*(VLOOKUP(A12,[1]!TOX,12,FALSE))))))</f>
        <v>0</v>
      </c>
      <c r="F12" s="308">
        <f>IF(B12=0,MIN(E12,(VLOOKUP(A12,[1]!TOX,71,FALSE))),IF(E12=0,MIN(B12,(VLOOKUP(A12,[1]!TOX,71,FALSE))),MIN(B12,E12,(VLOOKUP(A12,[1]!TOX,71,FALSE)))))</f>
        <v>20.106198338923932</v>
      </c>
      <c r="G12" s="162" t="str">
        <f>IF(F12=B12,"Noncancer Risk",IF(F12=E12,"Cancer Risk",(VLOOKUP(A12,[1]!TOX,72,FALSE))))</f>
        <v>Noncancer Risk</v>
      </c>
      <c r="H12" s="309">
        <f>MAX(F12,(VLOOKUP(A12,[1]!TOX,50,FALSE)),(VLOOKUP(A12,[1]!TOX,39,FALSE)))</f>
        <v>20.106198338923932</v>
      </c>
      <c r="I12" s="310">
        <f t="shared" si="0"/>
        <v>20</v>
      </c>
      <c r="J12" s="165" t="str">
        <f>IF(H12=0,"Not Calculated",IF(H12=F12,G12,IF(H12=(VLOOKUP(A12,[1]!TOX,39,FALSE)),"Background","PQL")))</f>
        <v>Noncancer Risk</v>
      </c>
    </row>
    <row r="13" spans="1:10" ht="12.5" x14ac:dyDescent="0.25">
      <c r="A13" s="50" t="s">
        <v>101</v>
      </c>
      <c r="B13" s="160">
        <f>IF(ISERR(1/+(VLOOKUP(A13,[1]!TOX,17,FALSE))),0,'[1]Target Risk'!$D$8*(VLOOKUP(A13,[1]!TOX,4,FALSE))/(('S-1 Assumptions'!$K$18*(VLOOKUP(A13,[1]!TOX,17,FALSE)))+('S-1 Assumptions'!$L$51*(VLOOKUP(A13,[1]!TOX,19,FALSE)))))</f>
        <v>36.898383179446398</v>
      </c>
      <c r="C13" s="161">
        <f>IF(ISERR(1/(VLOOKUP(A13,[1]!TOX,25,FALSE))),0,IF(VLOOKUP(A13,[1]!TOX,36,FALSE)="M", 0, '[1]Target Risk'!$D$12/((('S-1 Assumptions'!$K$26*(VLOOKUP(A13,[1]!TOX,25,FALSE)))+('S-1 Assumptions'!$L$59*(VLOOKUP(A13,[1]!TOX,27,FALSE))))*(VLOOKUP(A13,[1]!TOX,12,FALSE)))))</f>
        <v>2.4840998616546375</v>
      </c>
      <c r="D13" s="161">
        <f>IF(ISERR(1/(VLOOKUP(A13,[1]!TOX,25,FALSE))),0,IF(VLOOKUP(A13,[1]!TOX,36,FALSE)="M",'[1]Target Risk'!$D$12/((((((('S-1 Assumptions'!$K$30*(VLOOKUP(A13,[1]!TOX,25,FALSE)))+('S-1 Assumptions'!$L$67*(VLOOKUP(A13,[1]!TOX,27,FALSE))))*10))+(((('S-1 Assumptions'!$K$31*(VLOOKUP(A13,[1]!TOX,25,FALSE)))+('S-1 Assumptions'!$L$68*(VLOOKUP(A13,[1]!TOX,27,FALSE))))*3))+(((('S-1 Assumptions'!$K$32*(VLOOKUP(A13,[1]!TOX,25,FALSE)))+('S-1 Assumptions'!$L$69*(VLOOKUP(A13,[1]!TOX,27,FALSE))))*3))+(((('S-1 Assumptions'!$K$33*(VLOOKUP(A13,[1]!TOX,25,FALSE)))+('S-1 Assumptions'!$L$70)*(VLOOKUP(A13,[1]!TOX,27,FALSE))))*1)))*(VLOOKUP(A13,[1]!TOX,12,FALSE))),0))</f>
        <v>0</v>
      </c>
      <c r="E13" s="162">
        <f>IF(ISERR(1/(VLOOKUP(A13,[1]!TOX,25,FALSE))),0,IF(VLOOKUP(A13,[1]!TOX,36,FALSE)="M",'[1]Target Risk'!$D$12/((((((('S-1 Assumptions'!$K$30*(VLOOKUP(A13,[1]!TOX,25,FALSE)))+('S-1 Assumptions'!$L$67*(VLOOKUP(A13,[1]!TOX,27,FALSE))))*10))+(((('S-1 Assumptions'!$K$31*(VLOOKUP(A13,[1]!TOX,25,FALSE)))+('S-1 Assumptions'!$L$68*(VLOOKUP(A13,[1]!TOX,27,FALSE))))*3))+(((('S-1 Assumptions'!$K$32*(VLOOKUP(A13,[1]!TOX,25,FALSE)))+('S-1 Assumptions'!$L$69*(VLOOKUP(A13,[1]!TOX,27,FALSE))))*3))+(((('S-1 Assumptions'!$K$33*(VLOOKUP(A13,[1]!TOX,25,FALSE)))+('S-1 Assumptions'!$L$70)*(VLOOKUP(A13,[1]!TOX,27,FALSE))))*1)))*(VLOOKUP(A13,[1]!TOX,12,FALSE))),('[1]Target Risk'!$D$12/((('S-1 Assumptions'!$K$26*(VLOOKUP(A13,[1]!TOX,25,FALSE)))+('S-1 Assumptions'!$L$59*(VLOOKUP(A13,[1]!TOX,27,FALSE))))*(VLOOKUP(A13,[1]!TOX,12,FALSE))))))</f>
        <v>2.4840998616546375</v>
      </c>
      <c r="F13" s="308">
        <f>IF(B13=0,MIN(E13,(VLOOKUP(A13,[1]!TOX,71,FALSE))),IF(E13=0,MIN(B13,(VLOOKUP(A13,[1]!TOX,71,FALSE))),MIN(B13,E13,(VLOOKUP(A13,[1]!TOX,71,FALSE)))))</f>
        <v>2.4840998616546375</v>
      </c>
      <c r="G13" s="162" t="str">
        <f>IF(F13=B13,"Noncancer Risk",IF(F13=E13,"Cancer Risk",(VLOOKUP(A13,[1]!TOX,72,FALSE))))</f>
        <v>Cancer Risk</v>
      </c>
      <c r="H13" s="309">
        <f>MAX(F13,(VLOOKUP(A13,[1]!TOX,50,FALSE)),(VLOOKUP(A13,[1]!TOX,39,FALSE)))</f>
        <v>20</v>
      </c>
      <c r="I13" s="310">
        <f t="shared" si="0"/>
        <v>20</v>
      </c>
      <c r="J13" s="165" t="str">
        <f>IF(H13=0,"Not Calculated",IF(H13=F13,G13,IF(H13=(VLOOKUP(A13,[1]!TOX,39,FALSE)),"Background","PQL")))</f>
        <v>Background</v>
      </c>
    </row>
    <row r="14" spans="1:10" ht="12.5" x14ac:dyDescent="0.25">
      <c r="A14" s="50" t="s">
        <v>100</v>
      </c>
      <c r="B14" s="160">
        <f>IF(ISERR(1/+(VLOOKUP(A14,[1]!TOX,17,FALSE))),0,'[1]Target Risk'!$D$8*(VLOOKUP(A14,[1]!TOX,4,FALSE))/(('S-1 Assumptions'!$K$18*(VLOOKUP(A14,[1]!TOX,17,FALSE)))+('S-1 Assumptions'!$L$51*(VLOOKUP(A14,[1]!TOX,19,FALSE)))))</f>
        <v>10053.099169461966</v>
      </c>
      <c r="C14" s="161">
        <f>IF(ISERR(1/(VLOOKUP(A14,[1]!TOX,25,FALSE))),0,IF(VLOOKUP(A14,[1]!TOX,36,FALSE)="M", 0, '[1]Target Risk'!$D$12/((('S-1 Assumptions'!$K$26*(VLOOKUP(A14,[1]!TOX,25,FALSE)))+('S-1 Assumptions'!$L$59*(VLOOKUP(A14,[1]!TOX,27,FALSE))))*(VLOOKUP(A14,[1]!TOX,12,FALSE)))))</f>
        <v>0</v>
      </c>
      <c r="D14" s="161">
        <f>IF(ISERR(1/(VLOOKUP(A14,[1]!TOX,25,FALSE))),0,IF(VLOOKUP(A14,[1]!TOX,36,FALSE)="M",'[1]Target Risk'!$D$12/((((((('S-1 Assumptions'!$K$30*(VLOOKUP(A14,[1]!TOX,25,FALSE)))+('S-1 Assumptions'!$L$67*(VLOOKUP(A14,[1]!TOX,27,FALSE))))*10))+(((('S-1 Assumptions'!$K$31*(VLOOKUP(A14,[1]!TOX,25,FALSE)))+('S-1 Assumptions'!$L$68*(VLOOKUP(A14,[1]!TOX,27,FALSE))))*3))+(((('S-1 Assumptions'!$K$32*(VLOOKUP(A14,[1]!TOX,25,FALSE)))+('S-1 Assumptions'!$L$69*(VLOOKUP(A14,[1]!TOX,27,FALSE))))*3))+(((('S-1 Assumptions'!$K$33*(VLOOKUP(A14,[1]!TOX,25,FALSE)))+('S-1 Assumptions'!$L$70)*(VLOOKUP(A14,[1]!TOX,27,FALSE))))*1)))*(VLOOKUP(A14,[1]!TOX,12,FALSE))),0))</f>
        <v>0</v>
      </c>
      <c r="E14" s="162">
        <f>IF(ISERR(1/(VLOOKUP(A14,[1]!TOX,25,FALSE))),0,IF(VLOOKUP(A14,[1]!TOX,36,FALSE)="M",'[1]Target Risk'!$D$12/((((((('S-1 Assumptions'!$K$30*(VLOOKUP(A14,[1]!TOX,25,FALSE)))+('S-1 Assumptions'!$L$67*(VLOOKUP(A14,[1]!TOX,27,FALSE))))*10))+(((('S-1 Assumptions'!$K$31*(VLOOKUP(A14,[1]!TOX,25,FALSE)))+('S-1 Assumptions'!$L$68*(VLOOKUP(A14,[1]!TOX,27,FALSE))))*3))+(((('S-1 Assumptions'!$K$32*(VLOOKUP(A14,[1]!TOX,25,FALSE)))+('S-1 Assumptions'!$L$69*(VLOOKUP(A14,[1]!TOX,27,FALSE))))*3))+(((('S-1 Assumptions'!$K$33*(VLOOKUP(A14,[1]!TOX,25,FALSE)))+('S-1 Assumptions'!$L$70)*(VLOOKUP(A14,[1]!TOX,27,FALSE))))*1)))*(VLOOKUP(A14,[1]!TOX,12,FALSE))),('[1]Target Risk'!$D$12/((('S-1 Assumptions'!$K$26*(VLOOKUP(A14,[1]!TOX,25,FALSE)))+('S-1 Assumptions'!$L$59*(VLOOKUP(A14,[1]!TOX,27,FALSE))))*(VLOOKUP(A14,[1]!TOX,12,FALSE))))))</f>
        <v>0</v>
      </c>
      <c r="F14" s="308">
        <f>IF(B14=0,MIN(E14,(VLOOKUP(A14,[1]!TOX,71,FALSE))),IF(E14=0,MIN(B14,(VLOOKUP(A14,[1]!TOX,71,FALSE))),MIN(B14,E14,(VLOOKUP(A14,[1]!TOX,71,FALSE)))))</f>
        <v>1000</v>
      </c>
      <c r="G14" s="162" t="str">
        <f>IF(F14=B14,"Noncancer Risk",IF(F14=E14,"Cancer Risk",(VLOOKUP(A14,[1]!TOX,72,FALSE))))</f>
        <v>Ceiling (High)</v>
      </c>
      <c r="H14" s="309">
        <f>MAX(F14,(VLOOKUP(A14,[1]!TOX,50,FALSE)),(VLOOKUP(A14,[1]!TOX,39,FALSE)))</f>
        <v>1000</v>
      </c>
      <c r="I14" s="310">
        <f t="shared" si="0"/>
        <v>1000</v>
      </c>
      <c r="J14" s="165" t="str">
        <f>IF(H14=0,"Not Calculated",IF(H14=F14,G14,IF(H14=(VLOOKUP(A14,[1]!TOX,39,FALSE)),"Background","PQL")))</f>
        <v>Ceiling (High)</v>
      </c>
    </row>
    <row r="15" spans="1:10" ht="12.5" x14ac:dyDescent="0.25">
      <c r="A15" s="50" t="s">
        <v>99</v>
      </c>
      <c r="B15" s="160">
        <f>IF(ISERR(1/+(VLOOKUP(A15,[1]!TOX,17,FALSE))),0,'[1]Target Risk'!$D$8*(VLOOKUP(A15,[1]!TOX,4,FALSE))/(('S-1 Assumptions'!$K$18*(VLOOKUP(A15,[1]!TOX,17,FALSE)))+('S-1 Assumptions'!$L$51*(VLOOKUP(A15,[1]!TOX,19,FALSE)))))</f>
        <v>295.51352536398616</v>
      </c>
      <c r="C15" s="161">
        <f>IF(ISERR(1/(VLOOKUP(A15,[1]!TOX,25,FALSE))),0, '[1]Target Risk'!$D$12/((('S-1 Assumptions'!$K$26*(VLOOKUP(A15,[1]!TOX,25,FALSE)))+('S-1 Assumptions'!$L$59*(VLOOKUP(A15,[1]!TOX,27,FALSE))))*(VLOOKUP(A15,[1]!TOX,12,FALSE))))</f>
        <v>41.775886686077826</v>
      </c>
      <c r="D15" s="161">
        <f>IF(ISERR(1/(VLOOKUP(A15,[1]!TOX,25,FALSE))),0,IF(VLOOKUP(A15,[1]!TOX,36,FALSE)="M",'[1]Target Risk'!$D$12/((((((('S-1 Assumptions'!$K$30*(VLOOKUP(A15,[1]!TOX,25,FALSE)))+('S-1 Assumptions'!$L$67*(VLOOKUP(A15,[1]!TOX,27,FALSE))))*10))+(((('S-1 Assumptions'!$K$31*(VLOOKUP(A15,[1]!TOX,25,FALSE)))+('S-1 Assumptions'!$L$68*(VLOOKUP(A15,[1]!TOX,27,FALSE))))*3))+(((('S-1 Assumptions'!$K$32*(VLOOKUP(A15,[1]!TOX,25,FALSE)))+('S-1 Assumptions'!$L$69*(VLOOKUP(A15,[1]!TOX,27,FALSE))))*3))+(((('S-1 Assumptions'!$K$33*(VLOOKUP(A15,[1]!TOX,25,FALSE)))+('S-1 Assumptions'!$L$70)*(VLOOKUP(A15,[1]!TOX,27,FALSE))))*1)))*(VLOOKUP(A15,[1]!TOX,12,FALSE))),0))</f>
        <v>0</v>
      </c>
      <c r="E15" s="162">
        <f>IF(ISERR(1/(VLOOKUP(A15,[1]!TOX,25,FALSE))),0,IF(VLOOKUP(A15,[1]!TOX,36,FALSE)="M",'[1]Target Risk'!$D$12/((((((('S-1 Assumptions'!$K$30*(VLOOKUP(A15,[1]!TOX,25,FALSE)))+('S-1 Assumptions'!$L$67*(VLOOKUP(A15,[1]!TOX,27,FALSE))))*10))+(((('S-1 Assumptions'!$K$31*(VLOOKUP(A15,[1]!TOX,25,FALSE)))+('S-1 Assumptions'!$L$68*(VLOOKUP(A15,[1]!TOX,27,FALSE))))*3))+(((('S-1 Assumptions'!$K$32*(VLOOKUP(A15,[1]!TOX,25,FALSE)))+('S-1 Assumptions'!$L$69*(VLOOKUP(A15,[1]!TOX,27,FALSE))))*3))+(((('S-1 Assumptions'!$K$33*(VLOOKUP(A15,[1]!TOX,25,FALSE)))+('S-1 Assumptions'!$L$70)*(VLOOKUP(A15,[1]!TOX,27,FALSE))))*1)))*(VLOOKUP(A15,[1]!TOX,12,FALSE))),('[1]Target Risk'!$D$12/((('S-1 Assumptions'!$K$26*(VLOOKUP(A15,[1]!TOX,25,FALSE)))+('S-1 Assumptions'!$L$59*(VLOOKUP(A15,[1]!TOX,27,FALSE))))*(VLOOKUP(A15,[1]!TOX,12,FALSE))))))</f>
        <v>41.775886686077826</v>
      </c>
      <c r="F15" s="308">
        <f>IF(B15=0,MIN(E15,(VLOOKUP(A15,[1]!TOX,71,FALSE))),IF(E15=0,MIN(B15,(VLOOKUP(A15,[1]!TOX,71,FALSE))),MIN(B15,E15,(VLOOKUP(A15,[1]!TOX,71,FALSE)))))</f>
        <v>41.775886686077826</v>
      </c>
      <c r="G15" s="162" t="str">
        <f>IF(F15=B15,"Noncancer Risk",IF(F15=E15,"Cancer Risk",(VLOOKUP(A15,[1]!TOX,72,FALSE))))</f>
        <v>Cancer Risk</v>
      </c>
      <c r="H15" s="309">
        <f>MAX(F15,(VLOOKUP(A15,[1]!TOX,50,FALSE)),(VLOOKUP(A15,[1]!TOX,39,FALSE)))</f>
        <v>41.775886686077826</v>
      </c>
      <c r="I15" s="310">
        <f t="shared" si="0"/>
        <v>40</v>
      </c>
      <c r="J15" s="165" t="str">
        <f>IF(H15=0,"Not Calculated",IF(H15=F15,G15,IF(H15=(VLOOKUP(A15,[1]!TOX,39,FALSE)),"Background","PQL")))</f>
        <v>Cancer Risk</v>
      </c>
    </row>
    <row r="16" spans="1:10" ht="12.5" x14ac:dyDescent="0.25">
      <c r="A16" s="50" t="s">
        <v>98</v>
      </c>
      <c r="B16" s="160">
        <f>IF(ISERR(1/+(VLOOKUP(A16,[1]!TOX,17,FALSE))),0,'[1]Target Risk'!$D$8*(VLOOKUP(A16,[1]!TOX,4,FALSE))/(('S-1 Assumptions'!$K$18*(VLOOKUP(A16,[1]!TOX,17,FALSE)))+('S-1 Assumptions'!$L$51*(VLOOKUP(A16,[1]!TOX,19,FALSE)))))</f>
        <v>5928.9276878497549</v>
      </c>
      <c r="C16" s="348">
        <f>IF(ISERR(1/(VLOOKUP(A16,[1]!TOX,25,FALSE))),0, '[1]Target Risk'!$D$12/((('S-1 Assumptions'!$K$26*(VLOOKUP(A16,[1]!TOX,25,FALSE)))+('S-1 Assumptions'!$L$59*(VLOOKUP(A16,[1]!TOX,27,FALSE))))*(VLOOKUP(A16,[1]!TOX,12,FALSE))))</f>
        <v>59.597452250654541</v>
      </c>
      <c r="D16" s="161">
        <f>IF(ISERR(1/(VLOOKUP(A16,[1]!TOX,25,FALSE))),0,IF(VLOOKUP(A16,[1]!TOX,36,FALSE)="M",'[1]Target Risk'!$D$12/((((((('S-1 Assumptions'!$K$30*(VLOOKUP(A16,[1]!TOX,25,FALSE)))+('S-1 Assumptions'!$L$67*(VLOOKUP(A16,[1]!TOX,27,FALSE))))*10))+(((('S-1 Assumptions'!$K$31*(VLOOKUP(A16,[1]!TOX,25,FALSE)))+('S-1 Assumptions'!$L$68*(VLOOKUP(A16,[1]!TOX,27,FALSE))))*3))+(((('S-1 Assumptions'!$K$32*(VLOOKUP(A16,[1]!TOX,25,FALSE)))+('S-1 Assumptions'!$L$69*(VLOOKUP(A16,[1]!TOX,27,FALSE))))*3))+(((('S-1 Assumptions'!$K$33*(VLOOKUP(A16,[1]!TOX,25,FALSE)))+('S-1 Assumptions'!$L$70)*(VLOOKUP(A16,[1]!TOX,27,FALSE))))*1)))*(VLOOKUP(A16,[1]!TOX,12,FALSE))),0))</f>
        <v>18.600117038962075</v>
      </c>
      <c r="E16" s="162">
        <f>IF(ISERR(1/(VLOOKUP(A16,[1]!TOX,25,FALSE))),0,IF(VLOOKUP(A16,[1]!TOX,36,FALSE)="M",'[1]Target Risk'!$D$12/((((((('S-1 Assumptions'!$K$30*(VLOOKUP(A16,[1]!TOX,25,FALSE)))+('S-1 Assumptions'!$L$67*(VLOOKUP(A16,[1]!TOX,27,FALSE))))*10))+(((('S-1 Assumptions'!$K$31*(VLOOKUP(A16,[1]!TOX,25,FALSE)))+('S-1 Assumptions'!$L$68*(VLOOKUP(A16,[1]!TOX,27,FALSE))))*3))+(((('S-1 Assumptions'!$K$32*(VLOOKUP(A16,[1]!TOX,25,FALSE)))+('S-1 Assumptions'!$L$69*(VLOOKUP(A16,[1]!TOX,27,FALSE))))*3))+(((('S-1 Assumptions'!$K$33*(VLOOKUP(A16,[1]!TOX,25,FALSE)))+('S-1 Assumptions'!$L$70)*(VLOOKUP(A16,[1]!TOX,27,FALSE))))*1)))*(VLOOKUP(A16,[1]!TOX,12,FALSE))),('[1]Target Risk'!$D$12/((('S-1 Assumptions'!$K$26*(VLOOKUP(A16,[1]!TOX,25,FALSE)))+('S-1 Assumptions'!$L$59*(VLOOKUP(A16,[1]!TOX,27,FALSE))))*(VLOOKUP(A16,[1]!TOX,12,FALSE))))))</f>
        <v>18.600117038962075</v>
      </c>
      <c r="F16" s="308">
        <f>IF(B16=0,MIN(E16,(VLOOKUP(A16,[1]!TOX,71,FALSE))),IF(E16=0,MIN(B16,(VLOOKUP(A16,[1]!TOX,71,FALSE))),MIN(B16,E16,(VLOOKUP(A16,[1]!TOX,71,FALSE)))))</f>
        <v>18.600117038962075</v>
      </c>
      <c r="G16" s="162" t="str">
        <f>IF(F16=B16,"Noncancer Risk",IF(F16=E16,"Cancer Risk",(VLOOKUP(A16,[1]!TOX,72,FALSE))))</f>
        <v>Cancer Risk</v>
      </c>
      <c r="H16" s="309">
        <f>MAX(F16,(VLOOKUP(A16,[1]!TOX,50,FALSE)),(VLOOKUP(A16,[1]!TOX,39,FALSE)))</f>
        <v>18.600117038962075</v>
      </c>
      <c r="I16" s="310">
        <f t="shared" si="0"/>
        <v>20</v>
      </c>
      <c r="J16" s="165" t="str">
        <f>IF(H16=0,"Not Calculated",IF(H16=F16,G16,IF(H16=(VLOOKUP(A16,[1]!TOX,39,FALSE)),"Background","PQL")))</f>
        <v>Cancer Risk</v>
      </c>
    </row>
    <row r="17" spans="1:10" ht="12.5" x14ac:dyDescent="0.25">
      <c r="A17" s="50" t="s">
        <v>97</v>
      </c>
      <c r="B17" s="160">
        <f>IF(ISERR(1/+(VLOOKUP(A17,[1]!TOX,17,FALSE))),0,'[1]Target Risk'!$D$8*(VLOOKUP(A17,[1]!TOX,4,FALSE))/(('S-1 Assumptions'!$K$18*(VLOOKUP(A17,[1]!TOX,17,FALSE)))+('S-1 Assumptions'!$L$51*(VLOOKUP(A17,[1]!TOX,19,FALSE)))))</f>
        <v>59.289276878497539</v>
      </c>
      <c r="C17" s="348">
        <f>IF(ISERR(1/(VLOOKUP(A17,[1]!TOX,25,FALSE))),0, '[1]Target Risk'!$D$12/((('S-1 Assumptions'!$K$26*(VLOOKUP(A17,[1]!TOX,25,FALSE)))+('S-1 Assumptions'!$L$59*(VLOOKUP(A17,[1]!TOX,27,FALSE))))*(VLOOKUP(A17,[1]!TOX,12,FALSE))))</f>
        <v>5.959745225065455</v>
      </c>
      <c r="D17" s="161">
        <f>IF(ISERR(1/(VLOOKUP(A17,[1]!TOX,25,FALSE))),0,IF(VLOOKUP(A17,[1]!TOX,36,FALSE)="M",'[1]Target Risk'!$D$12/((((((('S-1 Assumptions'!$K$30*(VLOOKUP(A17,[1]!TOX,25,FALSE)))+('S-1 Assumptions'!$L$67*(VLOOKUP(A17,[1]!TOX,27,FALSE))))*10))+(((('S-1 Assumptions'!$K$31*(VLOOKUP(A17,[1]!TOX,25,FALSE)))+('S-1 Assumptions'!$L$68*(VLOOKUP(A17,[1]!TOX,27,FALSE))))*3))+(((('S-1 Assumptions'!$K$32*(VLOOKUP(A17,[1]!TOX,25,FALSE)))+('S-1 Assumptions'!$L$69*(VLOOKUP(A17,[1]!TOX,27,FALSE))))*3))+(((('S-1 Assumptions'!$K$33*(VLOOKUP(A17,[1]!TOX,25,FALSE)))+('S-1 Assumptions'!$L$70)*(VLOOKUP(A17,[1]!TOX,27,FALSE))))*1)))*(VLOOKUP(A17,[1]!TOX,12,FALSE))),0))</f>
        <v>1.8600117038962078</v>
      </c>
      <c r="E17" s="162">
        <f>IF(ISERR(1/(VLOOKUP(A17,[1]!TOX,25,FALSE))),0,IF(VLOOKUP(A17,[1]!TOX,36,FALSE)="M",'[1]Target Risk'!$D$12/((((((('S-1 Assumptions'!$K$30*(VLOOKUP(A17,[1]!TOX,25,FALSE)))+('S-1 Assumptions'!$L$67*(VLOOKUP(A17,[1]!TOX,27,FALSE))))*10))+(((('S-1 Assumptions'!$K$31*(VLOOKUP(A17,[1]!TOX,25,FALSE)))+('S-1 Assumptions'!$L$68*(VLOOKUP(A17,[1]!TOX,27,FALSE))))*3))+(((('S-1 Assumptions'!$K$32*(VLOOKUP(A17,[1]!TOX,25,FALSE)))+('S-1 Assumptions'!$L$69*(VLOOKUP(A17,[1]!TOX,27,FALSE))))*3))+(((('S-1 Assumptions'!$K$33*(VLOOKUP(A17,[1]!TOX,25,FALSE)))+('S-1 Assumptions'!$L$70)*(VLOOKUP(A17,[1]!TOX,27,FALSE))))*1)))*(VLOOKUP(A17,[1]!TOX,12,FALSE))),('[1]Target Risk'!$D$12/((('S-1 Assumptions'!$K$26*(VLOOKUP(A17,[1]!TOX,25,FALSE)))+('S-1 Assumptions'!$L$59*(VLOOKUP(A17,[1]!TOX,27,FALSE))))*(VLOOKUP(A17,[1]!TOX,12,FALSE))))))</f>
        <v>1.8600117038962078</v>
      </c>
      <c r="F17" s="308">
        <f>IF(B17=0,MIN(E17,(VLOOKUP(A17,[1]!TOX,71,FALSE))),IF(E17=0,MIN(B17,(VLOOKUP(A17,[1]!TOX,71,FALSE))),MIN(B17,E17,(VLOOKUP(A17,[1]!TOX,71,FALSE)))))</f>
        <v>1.8600117038962078</v>
      </c>
      <c r="G17" s="162" t="str">
        <f>IF(F17=B17,"Noncancer Risk",IF(F17=E17,"Cancer Risk",(VLOOKUP(A17,[1]!TOX,72,FALSE))))</f>
        <v>Cancer Risk</v>
      </c>
      <c r="H17" s="309">
        <f>MAX(F17,(VLOOKUP(A17,[1]!TOX,50,FALSE)),(VLOOKUP(A17,[1]!TOX,39,FALSE)))</f>
        <v>2</v>
      </c>
      <c r="I17" s="310">
        <f t="shared" si="0"/>
        <v>2</v>
      </c>
      <c r="J17" s="165" t="str">
        <f>IF(H17=0,"Not Calculated",IF(H17=F17,G17,IF(H17=(VLOOKUP(A17,[1]!TOX,39,FALSE)),"Background","PQL")))</f>
        <v>Background</v>
      </c>
    </row>
    <row r="18" spans="1:10" ht="12.5" x14ac:dyDescent="0.25">
      <c r="A18" s="50" t="s">
        <v>96</v>
      </c>
      <c r="B18" s="160">
        <f>IF(ISERR(1/+(VLOOKUP(A18,[1]!TOX,17,FALSE))),0,'[1]Target Risk'!$D$8*(VLOOKUP(A18,[1]!TOX,4,FALSE))/(('S-1 Assumptions'!$K$18*(VLOOKUP(A18,[1]!TOX,17,FALSE)))+('S-1 Assumptions'!$L$51*(VLOOKUP(A18,[1]!TOX,19,FALSE)))))</f>
        <v>5928.9276878497549</v>
      </c>
      <c r="C18" s="348">
        <f>IF(ISERR(1/(VLOOKUP(A18,[1]!TOX,25,FALSE))),0, '[1]Target Risk'!$D$12/((('S-1 Assumptions'!$K$26*(VLOOKUP(A18,[1]!TOX,25,FALSE)))+('S-1 Assumptions'!$L$59*(VLOOKUP(A18,[1]!TOX,27,FALSE))))*(VLOOKUP(A18,[1]!TOX,12,FALSE))))</f>
        <v>59.597452250654541</v>
      </c>
      <c r="D18" s="161">
        <f>IF(ISERR(1/(VLOOKUP(A18,[1]!TOX,25,FALSE))),0,IF(VLOOKUP(A18,[1]!TOX,36,FALSE)="M",'[1]Target Risk'!$D$12/((((((('S-1 Assumptions'!$K$30*(VLOOKUP(A18,[1]!TOX,25,FALSE)))+('S-1 Assumptions'!$L$67*(VLOOKUP(A18,[1]!TOX,27,FALSE))))*10))+(((('S-1 Assumptions'!$K$31*(VLOOKUP(A18,[1]!TOX,25,FALSE)))+('S-1 Assumptions'!$L$68*(VLOOKUP(A18,[1]!TOX,27,FALSE))))*3))+(((('S-1 Assumptions'!$K$32*(VLOOKUP(A18,[1]!TOX,25,FALSE)))+('S-1 Assumptions'!$L$69*(VLOOKUP(A18,[1]!TOX,27,FALSE))))*3))+(((('S-1 Assumptions'!$K$33*(VLOOKUP(A18,[1]!TOX,25,FALSE)))+('S-1 Assumptions'!$L$70)*(VLOOKUP(A18,[1]!TOX,27,FALSE))))*1)))*(VLOOKUP(A18,[1]!TOX,12,FALSE))),0))</f>
        <v>18.600117038962075</v>
      </c>
      <c r="E18" s="162">
        <f>IF(ISERR(1/(VLOOKUP(A18,[1]!TOX,25,FALSE))),0,IF(VLOOKUP(A18,[1]!TOX,36,FALSE)="M",'[1]Target Risk'!$D$12/((((((('S-1 Assumptions'!$K$30*(VLOOKUP(A18,[1]!TOX,25,FALSE)))+('S-1 Assumptions'!$L$67*(VLOOKUP(A18,[1]!TOX,27,FALSE))))*10))+(((('S-1 Assumptions'!$K$31*(VLOOKUP(A18,[1]!TOX,25,FALSE)))+('S-1 Assumptions'!$L$68*(VLOOKUP(A18,[1]!TOX,27,FALSE))))*3))+(((('S-1 Assumptions'!$K$32*(VLOOKUP(A18,[1]!TOX,25,FALSE)))+('S-1 Assumptions'!$L$69*(VLOOKUP(A18,[1]!TOX,27,FALSE))))*3))+(((('S-1 Assumptions'!$K$33*(VLOOKUP(A18,[1]!TOX,25,FALSE)))+('S-1 Assumptions'!$L$70)*(VLOOKUP(A18,[1]!TOX,27,FALSE))))*1)))*(VLOOKUP(A18,[1]!TOX,12,FALSE))),('[1]Target Risk'!$D$12/((('S-1 Assumptions'!$K$26*(VLOOKUP(A18,[1]!TOX,25,FALSE)))+('S-1 Assumptions'!$L$59*(VLOOKUP(A18,[1]!TOX,27,FALSE))))*(VLOOKUP(A18,[1]!TOX,12,FALSE))))))</f>
        <v>18.600117038962075</v>
      </c>
      <c r="F18" s="308">
        <f>IF(B18=0,MIN(E18,(VLOOKUP(A18,[1]!TOX,71,FALSE))),IF(E18=0,MIN(B18,(VLOOKUP(A18,[1]!TOX,71,FALSE))),MIN(B18,E18,(VLOOKUP(A18,[1]!TOX,71,FALSE)))))</f>
        <v>18.600117038962075</v>
      </c>
      <c r="G18" s="162" t="str">
        <f>IF(F18=B18,"Noncancer Risk",IF(F18=E18,"Cancer Risk",(VLOOKUP(A18,[1]!TOX,72,FALSE))))</f>
        <v>Cancer Risk</v>
      </c>
      <c r="H18" s="309">
        <f>MAX(F18,(VLOOKUP(A18,[1]!TOX,50,FALSE)),(VLOOKUP(A18,[1]!TOX,39,FALSE)))</f>
        <v>18.600117038962075</v>
      </c>
      <c r="I18" s="310">
        <f t="shared" si="0"/>
        <v>20</v>
      </c>
      <c r="J18" s="165" t="str">
        <f>IF(H18=0,"Not Calculated",IF(H18=F18,G18,IF(H18=(VLOOKUP(A18,[1]!TOX,39,FALSE)),"Background","PQL")))</f>
        <v>Cancer Risk</v>
      </c>
    </row>
    <row r="19" spans="1:10" ht="12.5" x14ac:dyDescent="0.25">
      <c r="A19" s="50" t="s">
        <v>95</v>
      </c>
      <c r="B19" s="160">
        <f>IF(ISERR(1/+(VLOOKUP(A19,[1]!TOX,17,FALSE))),0,'[1]Target Risk'!$D$8*(VLOOKUP(A19,[1]!TOX,4,FALSE))/(('S-1 Assumptions'!$K$18*(VLOOKUP(A19,[1]!TOX,17,FALSE)))+('S-1 Assumptions'!$L$51*(VLOOKUP(A19,[1]!TOX,19,FALSE)))))</f>
        <v>2433.699556282158</v>
      </c>
      <c r="C19" s="161">
        <f>IF(ISERR(1/(VLOOKUP(A19,[1]!TOX,25,FALSE))),0, '[1]Target Risk'!$D$12/((('S-1 Assumptions'!$K$26*(VLOOKUP(A19,[1]!TOX,25,FALSE)))+('S-1 Assumptions'!$L$59*(VLOOKUP(A19,[1]!TOX,27,FALSE))))*(VLOOKUP(A19,[1]!TOX,12,FALSE))))</f>
        <v>0</v>
      </c>
      <c r="D19" s="161">
        <f>IF(ISERR(1/(VLOOKUP(A19,[1]!TOX,25,FALSE))),0,IF(VLOOKUP(A19,[1]!TOX,36,FALSE)="M",'[1]Target Risk'!$D$12/((((((('S-1 Assumptions'!$K$30*(VLOOKUP(A19,[1]!TOX,25,FALSE)))+('S-1 Assumptions'!$L$67*(VLOOKUP(A19,[1]!TOX,27,FALSE))))*10))+(((('S-1 Assumptions'!$K$31*(VLOOKUP(A19,[1]!TOX,25,FALSE)))+('S-1 Assumptions'!$L$68*(VLOOKUP(A19,[1]!TOX,27,FALSE))))*3))+(((('S-1 Assumptions'!$K$32*(VLOOKUP(A19,[1]!TOX,25,FALSE)))+('S-1 Assumptions'!$L$69*(VLOOKUP(A19,[1]!TOX,27,FALSE))))*3))+(((('S-1 Assumptions'!$K$33*(VLOOKUP(A19,[1]!TOX,25,FALSE)))+('S-1 Assumptions'!$L$70)*(VLOOKUP(A19,[1]!TOX,27,FALSE))))*1)))*(VLOOKUP(A19,[1]!TOX,12,FALSE))),0))</f>
        <v>0</v>
      </c>
      <c r="E19" s="162">
        <f>IF(ISERR(1/(VLOOKUP(A19,[1]!TOX,25,FALSE))),0,IF(VLOOKUP(A19,[1]!TOX,36,FALSE)="M",'[1]Target Risk'!$D$12/((((((('S-1 Assumptions'!$K$30*(VLOOKUP(A19,[1]!TOX,25,FALSE)))+('S-1 Assumptions'!$L$67*(VLOOKUP(A19,[1]!TOX,27,FALSE))))*10))+(((('S-1 Assumptions'!$K$31*(VLOOKUP(A19,[1]!TOX,25,FALSE)))+('S-1 Assumptions'!$L$68*(VLOOKUP(A19,[1]!TOX,27,FALSE))))*3))+(((('S-1 Assumptions'!$K$32*(VLOOKUP(A19,[1]!TOX,25,FALSE)))+('S-1 Assumptions'!$L$69*(VLOOKUP(A19,[1]!TOX,27,FALSE))))*3))+(((('S-1 Assumptions'!$K$33*(VLOOKUP(A19,[1]!TOX,25,FALSE)))+('S-1 Assumptions'!$L$70)*(VLOOKUP(A19,[1]!TOX,27,FALSE))))*1)))*(VLOOKUP(A19,[1]!TOX,12,FALSE))),('[1]Target Risk'!$D$12/((('S-1 Assumptions'!$K$26*(VLOOKUP(A19,[1]!TOX,25,FALSE)))+('S-1 Assumptions'!$L$59*(VLOOKUP(A19,[1]!TOX,27,FALSE))))*(VLOOKUP(A19,[1]!TOX,12,FALSE))))))</f>
        <v>0</v>
      </c>
      <c r="F19" s="308">
        <f>IF(B19=0,MIN(E19,(VLOOKUP(A19,[1]!TOX,71,FALSE))),IF(E19=0,MIN(B19,(VLOOKUP(A19,[1]!TOX,71,FALSE))),MIN(B19,E19,(VLOOKUP(A19,[1]!TOX,71,FALSE)))))</f>
        <v>1000</v>
      </c>
      <c r="G19" s="162" t="str">
        <f>IF(F19=B19,"Noncancer Risk",IF(F19=E19,"Cancer Risk",(VLOOKUP(A19,[1]!TOX,72,FALSE))))</f>
        <v>Ceiling (High)</v>
      </c>
      <c r="H19" s="309">
        <f>MAX(F19,(VLOOKUP(A19,[1]!TOX,50,FALSE)),(VLOOKUP(A19,[1]!TOX,39,FALSE)))</f>
        <v>1000</v>
      </c>
      <c r="I19" s="310">
        <f t="shared" si="0"/>
        <v>1000</v>
      </c>
      <c r="J19" s="165" t="str">
        <f>IF(H19=0,"Not Calculated",IF(H19=F19,G19,IF(H19=(VLOOKUP(A19,[1]!TOX,39,FALSE)),"Background","PQL")))</f>
        <v>Ceiling (High)</v>
      </c>
    </row>
    <row r="20" spans="1:10" ht="12.5" x14ac:dyDescent="0.25">
      <c r="A20" s="50" t="s">
        <v>94</v>
      </c>
      <c r="B20" s="160">
        <f>IF(ISERR(1/+(VLOOKUP(A20,[1]!TOX,17,FALSE))),0,'[1]Target Risk'!$D$8*(VLOOKUP(A20,[1]!TOX,4,FALSE))/(('S-1 Assumptions'!$K$18*(VLOOKUP(A20,[1]!TOX,17,FALSE)))+('S-1 Assumptions'!$L$51*(VLOOKUP(A20,[1]!TOX,19,FALSE)))))</f>
        <v>5928.9276878497549</v>
      </c>
      <c r="C20" s="348">
        <f>IF(ISERR(1/(VLOOKUP(A20,[1]!TOX,25,FALSE))),0, '[1]Target Risk'!$D$12/((('S-1 Assumptions'!$K$26*(VLOOKUP(A20,[1]!TOX,25,FALSE)))+('S-1 Assumptions'!$L$59*(VLOOKUP(A20,[1]!TOX,27,FALSE))))*(VLOOKUP(A20,[1]!TOX,12,FALSE))))</f>
        <v>595.97452250654544</v>
      </c>
      <c r="D20" s="161">
        <f>IF(ISERR(1/(VLOOKUP(A20,[1]!TOX,25,FALSE))),0,IF(VLOOKUP(A20,[1]!TOX,36,FALSE)="M",'[1]Target Risk'!$D$12/((((((('S-1 Assumptions'!$K$30*(VLOOKUP(A20,[1]!TOX,25,FALSE)))+('S-1 Assumptions'!$L$67*(VLOOKUP(A20,[1]!TOX,27,FALSE))))*10))+(((('S-1 Assumptions'!$K$31*(VLOOKUP(A20,[1]!TOX,25,FALSE)))+('S-1 Assumptions'!$L$68*(VLOOKUP(A20,[1]!TOX,27,FALSE))))*3))+(((('S-1 Assumptions'!$K$32*(VLOOKUP(A20,[1]!TOX,25,FALSE)))+('S-1 Assumptions'!$L$69*(VLOOKUP(A20,[1]!TOX,27,FALSE))))*3))+(((('S-1 Assumptions'!$K$33*(VLOOKUP(A20,[1]!TOX,25,FALSE)))+('S-1 Assumptions'!$L$70)*(VLOOKUP(A20,[1]!TOX,27,FALSE))))*1)))*(VLOOKUP(A20,[1]!TOX,12,FALSE))),0))</f>
        <v>186.00117038962077</v>
      </c>
      <c r="E20" s="162">
        <f>IF(ISERR(1/(VLOOKUP(A20,[1]!TOX,25,FALSE))),0,IF(VLOOKUP(A20,[1]!TOX,36,FALSE)="M",'[1]Target Risk'!$D$12/((((((('S-1 Assumptions'!$K$30*(VLOOKUP(A20,[1]!TOX,25,FALSE)))+('S-1 Assumptions'!$L$67*(VLOOKUP(A20,[1]!TOX,27,FALSE))))*10))+(((('S-1 Assumptions'!$K$31*(VLOOKUP(A20,[1]!TOX,25,FALSE)))+('S-1 Assumptions'!$L$68*(VLOOKUP(A20,[1]!TOX,27,FALSE))))*3))+(((('S-1 Assumptions'!$K$32*(VLOOKUP(A20,[1]!TOX,25,FALSE)))+('S-1 Assumptions'!$L$69*(VLOOKUP(A20,[1]!TOX,27,FALSE))))*3))+(((('S-1 Assumptions'!$K$33*(VLOOKUP(A20,[1]!TOX,25,FALSE)))+('S-1 Assumptions'!$L$70)*(VLOOKUP(A20,[1]!TOX,27,FALSE))))*1)))*(VLOOKUP(A20,[1]!TOX,12,FALSE))),('[1]Target Risk'!$D$12/((('S-1 Assumptions'!$K$26*(VLOOKUP(A20,[1]!TOX,25,FALSE)))+('S-1 Assumptions'!$L$59*(VLOOKUP(A20,[1]!TOX,27,FALSE))))*(VLOOKUP(A20,[1]!TOX,12,FALSE))))))</f>
        <v>186.00117038962077</v>
      </c>
      <c r="F20" s="308">
        <f>IF(B20=0,MIN(E20,(VLOOKUP(A20,[1]!TOX,71,FALSE))),IF(E20=0,MIN(B20,(VLOOKUP(A20,[1]!TOX,71,FALSE))),MIN(B20,E20,(VLOOKUP(A20,[1]!TOX,71,FALSE)))))</f>
        <v>186.00117038962077</v>
      </c>
      <c r="G20" s="162" t="str">
        <f>IF(F20=B20,"Noncancer Risk",IF(F20=E20,"Cancer Risk",(VLOOKUP(A20,[1]!TOX,72,FALSE))))</f>
        <v>Cancer Risk</v>
      </c>
      <c r="H20" s="309">
        <f>MAX(F20,(VLOOKUP(A20,[1]!TOX,50,FALSE)),(VLOOKUP(A20,[1]!TOX,39,FALSE)))</f>
        <v>186.00117038962077</v>
      </c>
      <c r="I20" s="310">
        <f t="shared" si="0"/>
        <v>200</v>
      </c>
      <c r="J20" s="165" t="str">
        <f>IF(H20=0,"Not Calculated",IF(H20=F20,G20,IF(H20=(VLOOKUP(A20,[1]!TOX,39,FALSE)),"Background","PQL")))</f>
        <v>Cancer Risk</v>
      </c>
    </row>
    <row r="21" spans="1:10" ht="12.5" x14ac:dyDescent="0.25">
      <c r="A21" s="50" t="s">
        <v>93</v>
      </c>
      <c r="B21" s="160">
        <f>IF(ISERR(1/+(VLOOKUP(A21,[1]!TOX,17,FALSE))),0,'[1]Target Risk'!$D$8*(VLOOKUP(A21,[1]!TOX,4,FALSE))/(('S-1 Assumptions'!$K$18*(VLOOKUP(A21,[1]!TOX,17,FALSE)))+('S-1 Assumptions'!$L$51*(VLOOKUP(A21,[1]!TOX,19,FALSE)))))</f>
        <v>100.53099169461966</v>
      </c>
      <c r="C21" s="161">
        <f>IF(ISERR(1/(VLOOKUP(A21,[1]!TOX,25,FALSE))),0, '[1]Target Risk'!$D$12/((('S-1 Assumptions'!$K$26*(VLOOKUP(A21,[1]!TOX,25,FALSE)))+('S-1 Assumptions'!$L$59*(VLOOKUP(A21,[1]!TOX,27,FALSE))))*(VLOOKUP(A21,[1]!TOX,12,FALSE))))</f>
        <v>0</v>
      </c>
      <c r="D21" s="161">
        <f>IF(ISERR(1/(VLOOKUP(A21,[1]!TOX,25,FALSE))),0,IF(VLOOKUP(A21,[1]!TOX,36,FALSE)="M",'[1]Target Risk'!$D$12/((((((('S-1 Assumptions'!$K$30*(VLOOKUP(A21,[1]!TOX,25,FALSE)))+('S-1 Assumptions'!$L$67*(VLOOKUP(A21,[1]!TOX,27,FALSE))))*10))+(((('S-1 Assumptions'!$K$31*(VLOOKUP(A21,[1]!TOX,25,FALSE)))+('S-1 Assumptions'!$L$68*(VLOOKUP(A21,[1]!TOX,27,FALSE))))*3))+(((('S-1 Assumptions'!$K$32*(VLOOKUP(A21,[1]!TOX,25,FALSE)))+('S-1 Assumptions'!$L$69*(VLOOKUP(A21,[1]!TOX,27,FALSE))))*3))+(((('S-1 Assumptions'!$K$33*(VLOOKUP(A21,[1]!TOX,25,FALSE)))+('S-1 Assumptions'!$L$70)*(VLOOKUP(A21,[1]!TOX,27,FALSE))))*1)))*(VLOOKUP(A21,[1]!TOX,12,FALSE))),0))</f>
        <v>0</v>
      </c>
      <c r="E21" s="162">
        <f>IF(ISERR(1/(VLOOKUP(A21,[1]!TOX,25,FALSE))),0,IF(VLOOKUP(A21,[1]!TOX,36,FALSE)="M",'[1]Target Risk'!$D$12/((((((('S-1 Assumptions'!$K$30*(VLOOKUP(A21,[1]!TOX,25,FALSE)))+('S-1 Assumptions'!$L$67*(VLOOKUP(A21,[1]!TOX,27,FALSE))))*10))+(((('S-1 Assumptions'!$K$31*(VLOOKUP(A21,[1]!TOX,25,FALSE)))+('S-1 Assumptions'!$L$68*(VLOOKUP(A21,[1]!TOX,27,FALSE))))*3))+(((('S-1 Assumptions'!$K$32*(VLOOKUP(A21,[1]!TOX,25,FALSE)))+('S-1 Assumptions'!$L$69*(VLOOKUP(A21,[1]!TOX,27,FALSE))))*3))+(((('S-1 Assumptions'!$K$33*(VLOOKUP(A21,[1]!TOX,25,FALSE)))+('S-1 Assumptions'!$L$70)*(VLOOKUP(A21,[1]!TOX,27,FALSE))))*1)))*(VLOOKUP(A21,[1]!TOX,12,FALSE))),('[1]Target Risk'!$D$12/((('S-1 Assumptions'!$K$26*(VLOOKUP(A21,[1]!TOX,25,FALSE)))+('S-1 Assumptions'!$L$59*(VLOOKUP(A21,[1]!TOX,27,FALSE))))*(VLOOKUP(A21,[1]!TOX,12,FALSE))))))</f>
        <v>0</v>
      </c>
      <c r="F21" s="308">
        <f>IF(B21=0,MIN(E21,(VLOOKUP(A21,[1]!TOX,71,FALSE))),IF(E21=0,MIN(B21,(VLOOKUP(A21,[1]!TOX,71,FALSE))),MIN(B21,E21,(VLOOKUP(A21,[1]!TOX,71,FALSE)))))</f>
        <v>100.53099169461966</v>
      </c>
      <c r="G21" s="162" t="str">
        <f>IF(F21=B21,"Noncancer Risk",IF(F21=E21,"Cancer Risk",(VLOOKUP(A21,[1]!TOX,72,FALSE))))</f>
        <v>Noncancer Risk</v>
      </c>
      <c r="H21" s="309">
        <f>MAX(F21,(VLOOKUP(A21,[1]!TOX,50,FALSE)),(VLOOKUP(A21,[1]!TOX,39,FALSE)))</f>
        <v>100.53099169461966</v>
      </c>
      <c r="I21" s="310">
        <f t="shared" si="0"/>
        <v>100</v>
      </c>
      <c r="J21" s="165" t="str">
        <f>IF(H21=0,"Not Calculated",IF(H21=F21,G21,IF(H21=(VLOOKUP(A21,[1]!TOX,39,FALSE)),"Background","PQL")))</f>
        <v>Noncancer Risk</v>
      </c>
    </row>
    <row r="22" spans="1:10" ht="12.5" x14ac:dyDescent="0.25">
      <c r="A22" s="50" t="s">
        <v>92</v>
      </c>
      <c r="B22" s="160">
        <f>IF(ISERR(1/+(VLOOKUP(A22,[1]!TOX,17,FALSE))),0,'[1]Target Risk'!$D$8*(VLOOKUP(A22,[1]!TOX,4,FALSE))/(('S-1 Assumptions'!$K$18*(VLOOKUP(A22,[1]!TOX,17,FALSE)))+('S-1 Assumptions'!$L$51*(VLOOKUP(A22,[1]!TOX,19,FALSE)))))</f>
        <v>2513.2747923654915</v>
      </c>
      <c r="C22" s="161">
        <f>IF(ISERR(1/(VLOOKUP(A22,[1]!TOX,25,FALSE))),0, '[1]Target Risk'!$D$12/((('S-1 Assumptions'!$K$26*(VLOOKUP(A22,[1]!TOX,25,FALSE)))+('S-1 Assumptions'!$L$59*(VLOOKUP(A22,[1]!TOX,27,FALSE))))*(VLOOKUP(A22,[1]!TOX,12,FALSE))))</f>
        <v>185.98069214656414</v>
      </c>
      <c r="D22" s="161">
        <f>IF(ISERR(1/(VLOOKUP(A22,[1]!TOX,25,FALSE))),0,IF(VLOOKUP(A22,[1]!TOX,36,FALSE)="M",'[1]Target Risk'!$D$12/((((((('S-1 Assumptions'!$K$30*(VLOOKUP(A22,[1]!TOX,25,FALSE)))+('S-1 Assumptions'!$L$67*(VLOOKUP(A22,[1]!TOX,27,FALSE))))*10))+(((('S-1 Assumptions'!$K$31*(VLOOKUP(A22,[1]!TOX,25,FALSE)))+('S-1 Assumptions'!$L$68*(VLOOKUP(A22,[1]!TOX,27,FALSE))))*3))+(((('S-1 Assumptions'!$K$32*(VLOOKUP(A22,[1]!TOX,25,FALSE)))+('S-1 Assumptions'!$L$69*(VLOOKUP(A22,[1]!TOX,27,FALSE))))*3))+(((('S-1 Assumptions'!$K$33*(VLOOKUP(A22,[1]!TOX,25,FALSE)))+('S-1 Assumptions'!$L$70)*(VLOOKUP(A22,[1]!TOX,27,FALSE))))*1)))*(VLOOKUP(A22,[1]!TOX,12,FALSE))),0))</f>
        <v>0</v>
      </c>
      <c r="E22" s="162">
        <f>IF(ISERR(1/(VLOOKUP(A22,[1]!TOX,25,FALSE))),0,IF(VLOOKUP(A22,[1]!TOX,36,FALSE)="M",'[1]Target Risk'!$D$12/((((((('S-1 Assumptions'!$K$30*(VLOOKUP(A22,[1]!TOX,25,FALSE)))+('S-1 Assumptions'!$L$67*(VLOOKUP(A22,[1]!TOX,27,FALSE))))*10))+(((('S-1 Assumptions'!$K$31*(VLOOKUP(A22,[1]!TOX,25,FALSE)))+('S-1 Assumptions'!$L$68*(VLOOKUP(A22,[1]!TOX,27,FALSE))))*3))+(((('S-1 Assumptions'!$K$32*(VLOOKUP(A22,[1]!TOX,25,FALSE)))+('S-1 Assumptions'!$L$69*(VLOOKUP(A22,[1]!TOX,27,FALSE))))*3))+(((('S-1 Assumptions'!$K$33*(VLOOKUP(A22,[1]!TOX,25,FALSE)))+('S-1 Assumptions'!$L$70)*(VLOOKUP(A22,[1]!TOX,27,FALSE))))*1)))*(VLOOKUP(A22,[1]!TOX,12,FALSE))),('[1]Target Risk'!$D$12/((('S-1 Assumptions'!$K$26*(VLOOKUP(A22,[1]!TOX,25,FALSE)))+('S-1 Assumptions'!$L$59*(VLOOKUP(A22,[1]!TOX,27,FALSE))))*(VLOOKUP(A22,[1]!TOX,12,FALSE))))))</f>
        <v>185.98069214656414</v>
      </c>
      <c r="F22" s="308">
        <f>IF(B22=0,MIN(E22,(VLOOKUP(A22,[1]!TOX,71,FALSE))),IF(E22=0,MIN(B22,(VLOOKUP(A22,[1]!TOX,71,FALSE))),MIN(B22,E22,(VLOOKUP(A22,[1]!TOX,71,FALSE)))))</f>
        <v>185.98069214656414</v>
      </c>
      <c r="G22" s="162" t="str">
        <f>IF(F22=B22,"Noncancer Risk",IF(F22=E22,"Cancer Risk",(VLOOKUP(A22,[1]!TOX,72,FALSE))))</f>
        <v>Cancer Risk</v>
      </c>
      <c r="H22" s="309">
        <f>MAX(F22,(VLOOKUP(A22,[1]!TOX,50,FALSE)),(VLOOKUP(A22,[1]!TOX,39,FALSE)))</f>
        <v>185.98069214656414</v>
      </c>
      <c r="I22" s="310">
        <f t="shared" si="0"/>
        <v>200</v>
      </c>
      <c r="J22" s="165" t="str">
        <f>IF(H22=0,"Not Calculated",IF(H22=F22,G22,IF(H22=(VLOOKUP(A22,[1]!TOX,39,FALSE)),"Background","PQL")))</f>
        <v>Cancer Risk</v>
      </c>
    </row>
    <row r="23" spans="1:10" ht="12.5" x14ac:dyDescent="0.25">
      <c r="A23" s="50" t="s">
        <v>91</v>
      </c>
      <c r="B23" s="160">
        <f>IF(ISERR(1/+(VLOOKUP(A23,[1]!TOX,17,FALSE))),0,'[1]Target Risk'!$D$8*(VLOOKUP(A23,[1]!TOX,4,FALSE))/(('S-1 Assumptions'!$K$18*(VLOOKUP(A23,[1]!TOX,17,FALSE)))+('S-1 Assumptions'!$L$51*(VLOOKUP(A23,[1]!TOX,19,FALSE)))))</f>
        <v>0</v>
      </c>
      <c r="C23" s="161">
        <f>IF(ISERR(1/(VLOOKUP(A23,[1]!TOX,25,FALSE))),0, '[1]Target Risk'!$D$12/((('S-1 Assumptions'!$K$26*(VLOOKUP(A23,[1]!TOX,25,FALSE)))+('S-1 Assumptions'!$L$59*(VLOOKUP(A23,[1]!TOX,27,FALSE))))*(VLOOKUP(A23,[1]!TOX,12,FALSE))))</f>
        <v>2.0887943343038908</v>
      </c>
      <c r="D23" s="161">
        <f>IF(ISERR(1/(VLOOKUP(A23,[1]!TOX,25,FALSE))),0,IF(VLOOKUP(A23,[1]!TOX,36,FALSE)="M",'[1]Target Risk'!$D$12/((((((('S-1 Assumptions'!$K$30*(VLOOKUP(A23,[1]!TOX,25,FALSE)))+('S-1 Assumptions'!$L$67*(VLOOKUP(A23,[1]!TOX,27,FALSE))))*10))+(((('S-1 Assumptions'!$K$31*(VLOOKUP(A23,[1]!TOX,25,FALSE)))+('S-1 Assumptions'!$L$68*(VLOOKUP(A23,[1]!TOX,27,FALSE))))*3))+(((('S-1 Assumptions'!$K$32*(VLOOKUP(A23,[1]!TOX,25,FALSE)))+('S-1 Assumptions'!$L$69*(VLOOKUP(A23,[1]!TOX,27,FALSE))))*3))+(((('S-1 Assumptions'!$K$33*(VLOOKUP(A23,[1]!TOX,25,FALSE)))+('S-1 Assumptions'!$L$70)*(VLOOKUP(A23,[1]!TOX,27,FALSE))))*1)))*(VLOOKUP(A23,[1]!TOX,12,FALSE))),0))</f>
        <v>0</v>
      </c>
      <c r="E23" s="162">
        <f>IF(ISERR(1/(VLOOKUP(A23,[1]!TOX,25,FALSE))),0,IF(VLOOKUP(A23,[1]!TOX,36,FALSE)="M",'[1]Target Risk'!$D$12/((((((('S-1 Assumptions'!$K$30*(VLOOKUP(A23,[1]!TOX,25,FALSE)))+('S-1 Assumptions'!$L$67*(VLOOKUP(A23,[1]!TOX,27,FALSE))))*10))+(((('S-1 Assumptions'!$K$31*(VLOOKUP(A23,[1]!TOX,25,FALSE)))+('S-1 Assumptions'!$L$68*(VLOOKUP(A23,[1]!TOX,27,FALSE))))*3))+(((('S-1 Assumptions'!$K$32*(VLOOKUP(A23,[1]!TOX,25,FALSE)))+('S-1 Assumptions'!$L$69*(VLOOKUP(A23,[1]!TOX,27,FALSE))))*3))+(((('S-1 Assumptions'!$K$33*(VLOOKUP(A23,[1]!TOX,25,FALSE)))+('S-1 Assumptions'!$L$70)*(VLOOKUP(A23,[1]!TOX,27,FALSE))))*1)))*(VLOOKUP(A23,[1]!TOX,12,FALSE))),('[1]Target Risk'!$D$12/((('S-1 Assumptions'!$K$26*(VLOOKUP(A23,[1]!TOX,25,FALSE)))+('S-1 Assumptions'!$L$59*(VLOOKUP(A23,[1]!TOX,27,FALSE))))*(VLOOKUP(A23,[1]!TOX,12,FALSE))))))</f>
        <v>2.0887943343038908</v>
      </c>
      <c r="F23" s="308">
        <f>IF(B23=0,MIN(E23,(VLOOKUP(A23,[1]!TOX,71,FALSE))),IF(E23=0,MIN(B23,(VLOOKUP(A23,[1]!TOX,71,FALSE))),MIN(B23,E23,(VLOOKUP(A23,[1]!TOX,71,FALSE)))))</f>
        <v>2.0887943343038908</v>
      </c>
      <c r="G23" s="162" t="str">
        <f>IF(F23=B23,"Noncancer Risk",IF(F23=E23,"Cancer Risk",(VLOOKUP(A23,[1]!TOX,72,FALSE))))</f>
        <v>Cancer Risk</v>
      </c>
      <c r="H23" s="309">
        <f>MAX(F23,(VLOOKUP(A23,[1]!TOX,50,FALSE)),(VLOOKUP(A23,[1]!TOX,39,FALSE)))</f>
        <v>2.0887943343038908</v>
      </c>
      <c r="I23" s="310">
        <f t="shared" si="0"/>
        <v>2</v>
      </c>
      <c r="J23" s="165" t="str">
        <f>IF(H23=0,"Not Calculated",IF(H23=F23,G23,IF(H23=(VLOOKUP(A23,[1]!TOX,39,FALSE)),"Background","PQL")))</f>
        <v>Cancer Risk</v>
      </c>
    </row>
    <row r="24" spans="1:10" ht="12.5" x14ac:dyDescent="0.25">
      <c r="A24" s="50" t="s">
        <v>90</v>
      </c>
      <c r="B24" s="160">
        <f>IF(ISERR(1/+(VLOOKUP(A24,[1]!TOX,17,FALSE))),0,'[1]Target Risk'!$D$8*(VLOOKUP(A24,[1]!TOX,4,FALSE))/(('S-1 Assumptions'!$K$18*(VLOOKUP(A24,[1]!TOX,17,FALSE)))+('S-1 Assumptions'!$L$51*(VLOOKUP(A24,[1]!TOX,19,FALSE)))))</f>
        <v>2955.1352536398613</v>
      </c>
      <c r="C24" s="161">
        <f>IF(ISERR(1/(VLOOKUP(A24,[1]!TOX,25,FALSE))),0, '[1]Target Risk'!$D$12/((('S-1 Assumptions'!$K$26*(VLOOKUP(A24,[1]!TOX,25,FALSE)))+('S-1 Assumptions'!$L$59*(VLOOKUP(A24,[1]!TOX,27,FALSE))))*(VLOOKUP(A24,[1]!TOX,12,FALSE))))</f>
        <v>32.823910967632571</v>
      </c>
      <c r="D24" s="161">
        <f>IF(ISERR(1/(VLOOKUP(A24,[1]!TOX,25,FALSE))),0,IF(VLOOKUP(A24,[1]!TOX,36,FALSE)="M",'[1]Target Risk'!$D$12/((((((('S-1 Assumptions'!$K$30*(VLOOKUP(A24,[1]!TOX,25,FALSE)))+('S-1 Assumptions'!$L$67*(VLOOKUP(A24,[1]!TOX,27,FALSE))))*10))+(((('S-1 Assumptions'!$K$31*(VLOOKUP(A24,[1]!TOX,25,FALSE)))+('S-1 Assumptions'!$L$68*(VLOOKUP(A24,[1]!TOX,27,FALSE))))*3))+(((('S-1 Assumptions'!$K$32*(VLOOKUP(A24,[1]!TOX,25,FALSE)))+('S-1 Assumptions'!$L$69*(VLOOKUP(A24,[1]!TOX,27,FALSE))))*3))+(((('S-1 Assumptions'!$K$33*(VLOOKUP(A24,[1]!TOX,25,FALSE)))+('S-1 Assumptions'!$L$70)*(VLOOKUP(A24,[1]!TOX,27,FALSE))))*1)))*(VLOOKUP(A24,[1]!TOX,12,FALSE))),0))</f>
        <v>0</v>
      </c>
      <c r="E24" s="162">
        <f>IF(ISERR(1/(VLOOKUP(A24,[1]!TOX,25,FALSE))),0,IF(VLOOKUP(A24,[1]!TOX,36,FALSE)="M",'[1]Target Risk'!$D$12/((((((('S-1 Assumptions'!$K$30*(VLOOKUP(A24,[1]!TOX,25,FALSE)))+('S-1 Assumptions'!$L$67*(VLOOKUP(A24,[1]!TOX,27,FALSE))))*10))+(((('S-1 Assumptions'!$K$31*(VLOOKUP(A24,[1]!TOX,25,FALSE)))+('S-1 Assumptions'!$L$68*(VLOOKUP(A24,[1]!TOX,27,FALSE))))*3))+(((('S-1 Assumptions'!$K$32*(VLOOKUP(A24,[1]!TOX,25,FALSE)))+('S-1 Assumptions'!$L$69*(VLOOKUP(A24,[1]!TOX,27,FALSE))))*3))+(((('S-1 Assumptions'!$K$33*(VLOOKUP(A24,[1]!TOX,25,FALSE)))+('S-1 Assumptions'!$L$70)*(VLOOKUP(A24,[1]!TOX,27,FALSE))))*1)))*(VLOOKUP(A24,[1]!TOX,12,FALSE))),('[1]Target Risk'!$D$12/((('S-1 Assumptions'!$K$26*(VLOOKUP(A24,[1]!TOX,25,FALSE)))+('S-1 Assumptions'!$L$59*(VLOOKUP(A24,[1]!TOX,27,FALSE))))*(VLOOKUP(A24,[1]!TOX,12,FALSE))))))</f>
        <v>32.823910967632571</v>
      </c>
      <c r="F24" s="308">
        <f>IF(B24=0,MIN(E24,(VLOOKUP(A24,[1]!TOX,71,FALSE))),IF(E24=0,MIN(B24,(VLOOKUP(A24,[1]!TOX,71,FALSE))),MIN(B24,E24,(VLOOKUP(A24,[1]!TOX,71,FALSE)))))</f>
        <v>32.823910967632571</v>
      </c>
      <c r="G24" s="162" t="str">
        <f>IF(F24=B24,"Noncancer Risk",IF(F24=E24,"Cancer Risk",(VLOOKUP(A24,[1]!TOX,72,FALSE))))</f>
        <v>Cancer Risk</v>
      </c>
      <c r="H24" s="309">
        <f>MAX(F24,(VLOOKUP(A24,[1]!TOX,50,FALSE)),(VLOOKUP(A24,[1]!TOX,39,FALSE)))</f>
        <v>32.823910967632571</v>
      </c>
      <c r="I24" s="310">
        <f t="shared" si="0"/>
        <v>30</v>
      </c>
      <c r="J24" s="165" t="str">
        <f>IF(H24=0,"Not Calculated",IF(H24=F24,G24,IF(H24=(VLOOKUP(A24,[1]!TOX,39,FALSE)),"Background","PQL")))</f>
        <v>Cancer Risk</v>
      </c>
    </row>
    <row r="25" spans="1:10" ht="12.5" x14ac:dyDescent="0.25">
      <c r="A25" s="50" t="s">
        <v>89</v>
      </c>
      <c r="B25" s="160">
        <f>IF(ISERR(1/+(VLOOKUP(A25,[1]!TOX,17,FALSE))),0,'[1]Target Risk'!$D$8*(VLOOKUP(A25,[1]!TOX,4,FALSE))/(('S-1 Assumptions'!$K$18*(VLOOKUP(A25,[1]!TOX,17,FALSE)))+('S-1 Assumptions'!$L$51*(VLOOKUP(A25,[1]!TOX,19,FALSE)))))</f>
        <v>1005.3099169461965</v>
      </c>
      <c r="C25" s="161">
        <f>IF(ISERR(1/(VLOOKUP(A25,[1]!TOX,25,FALSE))),0, '[1]Target Risk'!$D$12/((('S-1 Assumptions'!$K$26*(VLOOKUP(A25,[1]!TOX,25,FALSE)))+('S-1 Assumptions'!$L$59*(VLOOKUP(A25,[1]!TOX,27,FALSE))))*(VLOOKUP(A25,[1]!TOX,12,FALSE))))</f>
        <v>106.27468122660808</v>
      </c>
      <c r="D25" s="161">
        <f>IF(ISERR(1/(VLOOKUP(A25,[1]!TOX,25,FALSE))),0,IF(VLOOKUP(A25,[1]!TOX,36,FALSE)="M",'[1]Target Risk'!$D$12/((((((('S-1 Assumptions'!$K$30*(VLOOKUP(A25,[1]!TOX,25,FALSE)))+('S-1 Assumptions'!$L$67*(VLOOKUP(A25,[1]!TOX,27,FALSE))))*10))+(((('S-1 Assumptions'!$K$31*(VLOOKUP(A25,[1]!TOX,25,FALSE)))+('S-1 Assumptions'!$L$68*(VLOOKUP(A25,[1]!TOX,27,FALSE))))*3))+(((('S-1 Assumptions'!$K$32*(VLOOKUP(A25,[1]!TOX,25,FALSE)))+('S-1 Assumptions'!$L$69*(VLOOKUP(A25,[1]!TOX,27,FALSE))))*3))+(((('S-1 Assumptions'!$K$33*(VLOOKUP(A25,[1]!TOX,25,FALSE)))+('S-1 Assumptions'!$L$70)*(VLOOKUP(A25,[1]!TOX,27,FALSE))))*1)))*(VLOOKUP(A25,[1]!TOX,12,FALSE))),0))</f>
        <v>0</v>
      </c>
      <c r="E25" s="162">
        <f>IF(ISERR(1/(VLOOKUP(A25,[1]!TOX,25,FALSE))),0,IF(VLOOKUP(A25,[1]!TOX,36,FALSE)="M",'[1]Target Risk'!$D$12/((((((('S-1 Assumptions'!$K$30*(VLOOKUP(A25,[1]!TOX,25,FALSE)))+('S-1 Assumptions'!$L$67*(VLOOKUP(A25,[1]!TOX,27,FALSE))))*10))+(((('S-1 Assumptions'!$K$31*(VLOOKUP(A25,[1]!TOX,25,FALSE)))+('S-1 Assumptions'!$L$68*(VLOOKUP(A25,[1]!TOX,27,FALSE))))*3))+(((('S-1 Assumptions'!$K$32*(VLOOKUP(A25,[1]!TOX,25,FALSE)))+('S-1 Assumptions'!$L$69*(VLOOKUP(A25,[1]!TOX,27,FALSE))))*3))+(((('S-1 Assumptions'!$K$33*(VLOOKUP(A25,[1]!TOX,25,FALSE)))+('S-1 Assumptions'!$L$70)*(VLOOKUP(A25,[1]!TOX,27,FALSE))))*1)))*(VLOOKUP(A25,[1]!TOX,12,FALSE))),('[1]Target Risk'!$D$12/((('S-1 Assumptions'!$K$26*(VLOOKUP(A25,[1]!TOX,25,FALSE)))+('S-1 Assumptions'!$L$59*(VLOOKUP(A25,[1]!TOX,27,FALSE))))*(VLOOKUP(A25,[1]!TOX,12,FALSE))))))</f>
        <v>106.27468122660808</v>
      </c>
      <c r="F25" s="308">
        <f>IF(B25=0,MIN(E25,(VLOOKUP(A25,[1]!TOX,71,FALSE))),IF(E25=0,MIN(B25,(VLOOKUP(A25,[1]!TOX,71,FALSE))),MIN(B25,E25,(VLOOKUP(A25,[1]!TOX,71,FALSE)))))</f>
        <v>106.27468122660808</v>
      </c>
      <c r="G25" s="162" t="str">
        <f>IF(F25=B25,"Noncancer Risk",IF(F25=E25,"Cancer Risk",(VLOOKUP(A25,[1]!TOX,72,FALSE))))</f>
        <v>Cancer Risk</v>
      </c>
      <c r="H25" s="309">
        <f>MAX(F25,(VLOOKUP(A25,[1]!TOX,50,FALSE)),(VLOOKUP(A25,[1]!TOX,39,FALSE)))</f>
        <v>106.27468122660808</v>
      </c>
      <c r="I25" s="310">
        <f t="shared" si="0"/>
        <v>100</v>
      </c>
      <c r="J25" s="165" t="str">
        <f>IF(H25=0,"Not Calculated",IF(H25=F25,G25,IF(H25=(VLOOKUP(A25,[1]!TOX,39,FALSE)),"Background","PQL")))</f>
        <v>Cancer Risk</v>
      </c>
    </row>
    <row r="26" spans="1:10" ht="12.5" x14ac:dyDescent="0.25">
      <c r="A26" s="50" t="s">
        <v>88</v>
      </c>
      <c r="B26" s="160">
        <f>IF(ISERR(1/+(VLOOKUP(A26,[1]!TOX,17,FALSE))),0,'[1]Target Risk'!$D$8*(VLOOKUP(A26,[1]!TOX,4,FALSE))/(('S-1 Assumptions'!$K$18*(VLOOKUP(A26,[1]!TOX,17,FALSE)))+('S-1 Assumptions'!$L$51*(VLOOKUP(A26,[1]!TOX,19,FALSE)))))</f>
        <v>221.63514402298961</v>
      </c>
      <c r="C26" s="161">
        <f>IF(ISERR(1/(VLOOKUP(A26,[1]!TOX,25,FALSE))),0, '[1]Target Risk'!$D$12/((('S-1 Assumptions'!$K$26*(VLOOKUP(A26,[1]!TOX,25,FALSE)))+('S-1 Assumptions'!$L$59*(VLOOKUP(A26,[1]!TOX,27,FALSE))))*(VLOOKUP(A26,[1]!TOX,12,FALSE))))</f>
        <v>37.05925431829484</v>
      </c>
      <c r="D26" s="161">
        <f>IF(ISERR(1/(VLOOKUP(A26,[1]!TOX,25,FALSE))),0,IF(VLOOKUP(A26,[1]!TOX,36,FALSE)="M",'[1]Target Risk'!$D$12/((((((('S-1 Assumptions'!$K$30*(VLOOKUP(A26,[1]!TOX,25,FALSE)))+('S-1 Assumptions'!$L$67*(VLOOKUP(A26,[1]!TOX,27,FALSE))))*10))+(((('S-1 Assumptions'!$K$31*(VLOOKUP(A26,[1]!TOX,25,FALSE)))+('S-1 Assumptions'!$L$68*(VLOOKUP(A26,[1]!TOX,27,FALSE))))*3))+(((('S-1 Assumptions'!$K$32*(VLOOKUP(A26,[1]!TOX,25,FALSE)))+('S-1 Assumptions'!$L$69*(VLOOKUP(A26,[1]!TOX,27,FALSE))))*3))+(((('S-1 Assumptions'!$K$33*(VLOOKUP(A26,[1]!TOX,25,FALSE)))+('S-1 Assumptions'!$L$70)*(VLOOKUP(A26,[1]!TOX,27,FALSE))))*1)))*(VLOOKUP(A26,[1]!TOX,12,FALSE))),0))</f>
        <v>0</v>
      </c>
      <c r="E26" s="162">
        <f>IF(ISERR(1/(VLOOKUP(A26,[1]!TOX,25,FALSE))),0,IF(VLOOKUP(A26,[1]!TOX,36,FALSE)="M",'[1]Target Risk'!$D$12/((((((('S-1 Assumptions'!$K$30*(VLOOKUP(A26,[1]!TOX,25,FALSE)))+('S-1 Assumptions'!$L$67*(VLOOKUP(A26,[1]!TOX,27,FALSE))))*10))+(((('S-1 Assumptions'!$K$31*(VLOOKUP(A26,[1]!TOX,25,FALSE)))+('S-1 Assumptions'!$L$68*(VLOOKUP(A26,[1]!TOX,27,FALSE))))*3))+(((('S-1 Assumptions'!$K$32*(VLOOKUP(A26,[1]!TOX,25,FALSE)))+('S-1 Assumptions'!$L$69*(VLOOKUP(A26,[1]!TOX,27,FALSE))))*3))+(((('S-1 Assumptions'!$K$33*(VLOOKUP(A26,[1]!TOX,25,FALSE)))+('S-1 Assumptions'!$L$70)*(VLOOKUP(A26,[1]!TOX,27,FALSE))))*1)))*(VLOOKUP(A26,[1]!TOX,12,FALSE))),('[1]Target Risk'!$D$12/((('S-1 Assumptions'!$K$26*(VLOOKUP(A26,[1]!TOX,25,FALSE)))+('S-1 Assumptions'!$L$59*(VLOOKUP(A26,[1]!TOX,27,FALSE))))*(VLOOKUP(A26,[1]!TOX,12,FALSE))))))</f>
        <v>37.05925431829484</v>
      </c>
      <c r="F26" s="308">
        <f>IF(B26=0,MIN(E26,(VLOOKUP(A26,[1]!TOX,71,FALSE))),IF(E26=0,MIN(B26,(VLOOKUP(A26,[1]!TOX,71,FALSE))),MIN(B26,E26,(VLOOKUP(A26,[1]!TOX,71,FALSE)))))</f>
        <v>37.05925431829484</v>
      </c>
      <c r="G26" s="162" t="str">
        <f>IF(F26=B26,"Noncancer Risk",IF(F26=E26,"Cancer Risk",(VLOOKUP(A26,[1]!TOX,72,FALSE))))</f>
        <v>Cancer Risk</v>
      </c>
      <c r="H26" s="309">
        <f>MAX(F26,(VLOOKUP(A26,[1]!TOX,50,FALSE)),(VLOOKUP(A26,[1]!TOX,39,FALSE)))</f>
        <v>37.05925431829484</v>
      </c>
      <c r="I26" s="310">
        <f t="shared" si="0"/>
        <v>40</v>
      </c>
      <c r="J26" s="165" t="str">
        <f>IF(H26=0,"Not Calculated",IF(H26=F26,G26,IF(H26=(VLOOKUP(A26,[1]!TOX,39,FALSE)),"Background","PQL")))</f>
        <v>Cancer Risk</v>
      </c>
    </row>
    <row r="27" spans="1:10" ht="12.5" x14ac:dyDescent="0.25">
      <c r="A27" s="50" t="s">
        <v>87</v>
      </c>
      <c r="B27" s="160">
        <f>IF(ISERR(1/+(VLOOKUP(A27,[1]!TOX,17,FALSE))),0,'[1]Target Risk'!$D$8*(VLOOKUP(A27,[1]!TOX,4,FALSE))/(('S-1 Assumptions'!$K$18*(VLOOKUP(A27,[1]!TOX,17,FALSE)))+('S-1 Assumptions'!$L$51*(VLOOKUP(A27,[1]!TOX,19,FALSE)))))</f>
        <v>1477.5676268199306</v>
      </c>
      <c r="C27" s="161">
        <f>IF(ISERR(1/(VLOOKUP(A27,[1]!TOX,25,FALSE))),0, '[1]Target Risk'!$D$12/((('S-1 Assumptions'!$K$26*(VLOOKUP(A27,[1]!TOX,25,FALSE)))+('S-1 Assumptions'!$L$59*(VLOOKUP(A27,[1]!TOX,27,FALSE))))*(VLOOKUP(A27,[1]!TOX,12,FALSE))))</f>
        <v>290.84478072585819</v>
      </c>
      <c r="D27" s="161">
        <f>IF(ISERR(1/(VLOOKUP(A27,[1]!TOX,25,FALSE))),0,IF(VLOOKUP(A27,[1]!TOX,36,FALSE)="M",'[1]Target Risk'!$D$12/((((((('S-1 Assumptions'!$K$30*(VLOOKUP(A27,[1]!TOX,25,FALSE)))+('S-1 Assumptions'!$L$67*(VLOOKUP(A27,[1]!TOX,27,FALSE))))*10))+(((('S-1 Assumptions'!$K$31*(VLOOKUP(A27,[1]!TOX,25,FALSE)))+('S-1 Assumptions'!$L$68*(VLOOKUP(A27,[1]!TOX,27,FALSE))))*3))+(((('S-1 Assumptions'!$K$32*(VLOOKUP(A27,[1]!TOX,25,FALSE)))+('S-1 Assumptions'!$L$69*(VLOOKUP(A27,[1]!TOX,27,FALSE))))*3))+(((('S-1 Assumptions'!$K$33*(VLOOKUP(A27,[1]!TOX,25,FALSE)))+('S-1 Assumptions'!$L$70)*(VLOOKUP(A27,[1]!TOX,27,FALSE))))*1)))*(VLOOKUP(A27,[1]!TOX,12,FALSE))),0))</f>
        <v>0</v>
      </c>
      <c r="E27" s="162">
        <f>IF(ISERR(1/(VLOOKUP(A27,[1]!TOX,25,FALSE))),0,IF(VLOOKUP(A27,[1]!TOX,36,FALSE)="M",'[1]Target Risk'!$D$12/((((((('S-1 Assumptions'!$K$30*(VLOOKUP(A27,[1]!TOX,25,FALSE)))+('S-1 Assumptions'!$L$67*(VLOOKUP(A27,[1]!TOX,27,FALSE))))*10))+(((('S-1 Assumptions'!$K$31*(VLOOKUP(A27,[1]!TOX,25,FALSE)))+('S-1 Assumptions'!$L$68*(VLOOKUP(A27,[1]!TOX,27,FALSE))))*3))+(((('S-1 Assumptions'!$K$32*(VLOOKUP(A27,[1]!TOX,25,FALSE)))+('S-1 Assumptions'!$L$69*(VLOOKUP(A27,[1]!TOX,27,FALSE))))*3))+(((('S-1 Assumptions'!$K$33*(VLOOKUP(A27,[1]!TOX,25,FALSE)))+('S-1 Assumptions'!$L$70)*(VLOOKUP(A27,[1]!TOX,27,FALSE))))*1)))*(VLOOKUP(A27,[1]!TOX,12,FALSE))),('[1]Target Risk'!$D$12/((('S-1 Assumptions'!$K$26*(VLOOKUP(A27,[1]!TOX,25,FALSE)))+('S-1 Assumptions'!$L$59*(VLOOKUP(A27,[1]!TOX,27,FALSE))))*(VLOOKUP(A27,[1]!TOX,12,FALSE))))))</f>
        <v>290.84478072585819</v>
      </c>
      <c r="F27" s="308">
        <f>IF(B27=0,MIN(E27,(VLOOKUP(A27,[1]!TOX,71,FALSE))),IF(E27=0,MIN(B27,(VLOOKUP(A27,[1]!TOX,71,FALSE))),MIN(B27,E27,(VLOOKUP(A27,[1]!TOX,71,FALSE)))))</f>
        <v>290.84478072585819</v>
      </c>
      <c r="G27" s="162" t="str">
        <f>IF(F27=B27,"Noncancer Risk",IF(F27=E27,"Cancer Risk",(VLOOKUP(A27,[1]!TOX,72,FALSE))))</f>
        <v>Cancer Risk</v>
      </c>
      <c r="H27" s="309">
        <f>MAX(F27,(VLOOKUP(A27,[1]!TOX,50,FALSE)),(VLOOKUP(A27,[1]!TOX,39,FALSE)))</f>
        <v>290.84478072585819</v>
      </c>
      <c r="I27" s="310">
        <f t="shared" si="0"/>
        <v>300</v>
      </c>
      <c r="J27" s="165" t="str">
        <f>IF(H27=0,"Not Calculated",IF(H27=F27,G27,IF(H27=(VLOOKUP(A27,[1]!TOX,39,FALSE)),"Background","PQL")))</f>
        <v>Cancer Risk</v>
      </c>
    </row>
    <row r="28" spans="1:10" ht="12.5" x14ac:dyDescent="0.25">
      <c r="A28" s="50" t="s">
        <v>86</v>
      </c>
      <c r="B28" s="160">
        <f>IF(ISERR(1/+(VLOOKUP(A28,[1]!TOX,17,FALSE))),0,'[1]Target Risk'!$D$8*(VLOOKUP(A28,[1]!TOX,4,FALSE))/(('S-1 Assumptions'!$K$18*(VLOOKUP(A28,[1]!TOX,17,FALSE)))+('S-1 Assumptions'!$L$51*(VLOOKUP(A28,[1]!TOX,19,FALSE)))))</f>
        <v>103.42973387739515</v>
      </c>
      <c r="C28" s="161">
        <f>IF(ISERR(1/(VLOOKUP(A28,[1]!TOX,25,FALSE))),0, '[1]Target Risk'!$D$12/((('S-1 Assumptions'!$K$26*(VLOOKUP(A28,[1]!TOX,25,FALSE)))+('S-1 Assumptions'!$L$59*(VLOOKUP(A28,[1]!TOX,27,FALSE))))*(VLOOKUP(A28,[1]!TOX,12,FALSE))))</f>
        <v>0</v>
      </c>
      <c r="D28" s="161">
        <f>IF(ISERR(1/(VLOOKUP(A28,[1]!TOX,25,FALSE))),0,IF(VLOOKUP(A28,[1]!TOX,36,FALSE)="M",'[1]Target Risk'!$D$12/((((((('S-1 Assumptions'!$K$30*(VLOOKUP(A28,[1]!TOX,25,FALSE)))+('S-1 Assumptions'!$L$67*(VLOOKUP(A28,[1]!TOX,27,FALSE))))*10))+(((('S-1 Assumptions'!$K$31*(VLOOKUP(A28,[1]!TOX,25,FALSE)))+('S-1 Assumptions'!$L$68*(VLOOKUP(A28,[1]!TOX,27,FALSE))))*3))+(((('S-1 Assumptions'!$K$32*(VLOOKUP(A28,[1]!TOX,25,FALSE)))+('S-1 Assumptions'!$L$69*(VLOOKUP(A28,[1]!TOX,27,FALSE))))*3))+(((('S-1 Assumptions'!$K$33*(VLOOKUP(A28,[1]!TOX,25,FALSE)))+('S-1 Assumptions'!$L$70)*(VLOOKUP(A28,[1]!TOX,27,FALSE))))*1)))*(VLOOKUP(A28,[1]!TOX,12,FALSE))),0))</f>
        <v>0</v>
      </c>
      <c r="E28" s="162">
        <f>IF(ISERR(1/(VLOOKUP(A28,[1]!TOX,25,FALSE))),0,IF(VLOOKUP(A28,[1]!TOX,36,FALSE)="M",'[1]Target Risk'!$D$12/((((((('S-1 Assumptions'!$K$30*(VLOOKUP(A28,[1]!TOX,25,FALSE)))+('S-1 Assumptions'!$L$67*(VLOOKUP(A28,[1]!TOX,27,FALSE))))*10))+(((('S-1 Assumptions'!$K$31*(VLOOKUP(A28,[1]!TOX,25,FALSE)))+('S-1 Assumptions'!$L$68*(VLOOKUP(A28,[1]!TOX,27,FALSE))))*3))+(((('S-1 Assumptions'!$K$32*(VLOOKUP(A28,[1]!TOX,25,FALSE)))+('S-1 Assumptions'!$L$69*(VLOOKUP(A28,[1]!TOX,27,FALSE))))*3))+(((('S-1 Assumptions'!$K$33*(VLOOKUP(A28,[1]!TOX,25,FALSE)))+('S-1 Assumptions'!$L$70)*(VLOOKUP(A28,[1]!TOX,27,FALSE))))*1)))*(VLOOKUP(A28,[1]!TOX,12,FALSE))),('[1]Target Risk'!$D$12/((('S-1 Assumptions'!$K$26*(VLOOKUP(A28,[1]!TOX,25,FALSE)))+('S-1 Assumptions'!$L$59*(VLOOKUP(A28,[1]!TOX,27,FALSE))))*(VLOOKUP(A28,[1]!TOX,12,FALSE))))))</f>
        <v>0</v>
      </c>
      <c r="F28" s="308">
        <f>IF(B28=0,MIN(E28,(VLOOKUP(A28,[1]!TOX,71,FALSE))),IF(E28=0,MIN(B28,(VLOOKUP(A28,[1]!TOX,71,FALSE))),MIN(B28,E28,(VLOOKUP(A28,[1]!TOX,71,FALSE)))))</f>
        <v>103.42973387739515</v>
      </c>
      <c r="G28" s="162" t="str">
        <f>IF(F28=B28,"Noncancer Risk",IF(F28=E28,"Cancer Risk",(VLOOKUP(A28,[1]!TOX,72,FALSE))))</f>
        <v>Noncancer Risk</v>
      </c>
      <c r="H28" s="309">
        <f>MAX(F28,(VLOOKUP(A28,[1]!TOX,50,FALSE)),(VLOOKUP(A28,[1]!TOX,39,FALSE)))</f>
        <v>103.42973387739515</v>
      </c>
      <c r="I28" s="310">
        <f t="shared" si="0"/>
        <v>100</v>
      </c>
      <c r="J28" s="165" t="str">
        <f>IF(H28=0,"Not Calculated",IF(H28=F28,G28,IF(H28=(VLOOKUP(A28,[1]!TOX,39,FALSE)),"Background","PQL")))</f>
        <v>Noncancer Risk</v>
      </c>
    </row>
    <row r="29" spans="1:10" ht="12.5" x14ac:dyDescent="0.25">
      <c r="A29" s="50" t="s">
        <v>85</v>
      </c>
      <c r="B29" s="160">
        <f>IF(ISERR(1/+(VLOOKUP(A29,[1]!TOX,17,FALSE))),0,'[1]Target Risk'!$D$8*(VLOOKUP(A29,[1]!TOX,4,FALSE))/(('S-1 Assumptions'!$K$18*(VLOOKUP(A29,[1]!TOX,17,FALSE)))+('S-1 Assumptions'!$L$51*(VLOOKUP(A29,[1]!TOX,19,FALSE)))))</f>
        <v>79.192944084434046</v>
      </c>
      <c r="C29" s="161">
        <f>IF(ISERR(1/(VLOOKUP(A29,[1]!TOX,25,FALSE))),0, '[1]Target Risk'!$D$12/((('S-1 Assumptions'!$K$26*(VLOOKUP(A29,[1]!TOX,25,FALSE)))+('S-1 Assumptions'!$L$59*(VLOOKUP(A29,[1]!TOX,27,FALSE))))*(VLOOKUP(A29,[1]!TOX,12,FALSE))))</f>
        <v>0</v>
      </c>
      <c r="D29" s="161">
        <f>IF(ISERR(1/(VLOOKUP(A29,[1]!TOX,25,FALSE))),0,IF(VLOOKUP(A29,[1]!TOX,36,FALSE)="M",'[1]Target Risk'!$D$12/((((((('S-1 Assumptions'!$K$30*(VLOOKUP(A29,[1]!TOX,25,FALSE)))+('S-1 Assumptions'!$L$67*(VLOOKUP(A29,[1]!TOX,27,FALSE))))*10))+(((('S-1 Assumptions'!$K$31*(VLOOKUP(A29,[1]!TOX,25,FALSE)))+('S-1 Assumptions'!$L$68*(VLOOKUP(A29,[1]!TOX,27,FALSE))))*3))+(((('S-1 Assumptions'!$K$32*(VLOOKUP(A29,[1]!TOX,25,FALSE)))+('S-1 Assumptions'!$L$69*(VLOOKUP(A29,[1]!TOX,27,FALSE))))*3))+(((('S-1 Assumptions'!$K$33*(VLOOKUP(A29,[1]!TOX,25,FALSE)))+('S-1 Assumptions'!$L$70)*(VLOOKUP(A29,[1]!TOX,27,FALSE))))*1)))*(VLOOKUP(A29,[1]!TOX,12,FALSE))),0))</f>
        <v>0</v>
      </c>
      <c r="E29" s="162">
        <f>IF(ISERR(1/(VLOOKUP(A29,[1]!TOX,25,FALSE))),0,IF(VLOOKUP(A29,[1]!TOX,36,FALSE)="M",'[1]Target Risk'!$D$12/((((((('S-1 Assumptions'!$K$30*(VLOOKUP(A29,[1]!TOX,25,FALSE)))+('S-1 Assumptions'!$L$67*(VLOOKUP(A29,[1]!TOX,27,FALSE))))*10))+(((('S-1 Assumptions'!$K$31*(VLOOKUP(A29,[1]!TOX,25,FALSE)))+('S-1 Assumptions'!$L$68*(VLOOKUP(A29,[1]!TOX,27,FALSE))))*3))+(((('S-1 Assumptions'!$K$32*(VLOOKUP(A29,[1]!TOX,25,FALSE)))+('S-1 Assumptions'!$L$69*(VLOOKUP(A29,[1]!TOX,27,FALSE))))*3))+(((('S-1 Assumptions'!$K$33*(VLOOKUP(A29,[1]!TOX,25,FALSE)))+('S-1 Assumptions'!$L$70)*(VLOOKUP(A29,[1]!TOX,27,FALSE))))*1)))*(VLOOKUP(A29,[1]!TOX,12,FALSE))),('[1]Target Risk'!$D$12/((('S-1 Assumptions'!$K$26*(VLOOKUP(A29,[1]!TOX,25,FALSE)))+('S-1 Assumptions'!$L$59*(VLOOKUP(A29,[1]!TOX,27,FALSE))))*(VLOOKUP(A29,[1]!TOX,12,FALSE))))))</f>
        <v>0</v>
      </c>
      <c r="F29" s="308">
        <f>IF(B29=0,MIN(E29,(VLOOKUP(A29,[1]!TOX,71,FALSE))),IF(E29=0,MIN(B29,(VLOOKUP(A29,[1]!TOX,71,FALSE))),MIN(B29,E29,(VLOOKUP(A29,[1]!TOX,71,FALSE)))))</f>
        <v>79.192944084434046</v>
      </c>
      <c r="G29" s="162" t="str">
        <f>IF(F29=B29,"Noncancer Risk",IF(F29=E29,"Cancer Risk",(VLOOKUP(A29,[1]!TOX,72,FALSE))))</f>
        <v>Noncancer Risk</v>
      </c>
      <c r="H29" s="309">
        <f>MAX(F29,(VLOOKUP(A29,[1]!TOX,50,FALSE)),(VLOOKUP(A29,[1]!TOX,39,FALSE)))</f>
        <v>79.192944084434046</v>
      </c>
      <c r="I29" s="310">
        <f t="shared" si="0"/>
        <v>80</v>
      </c>
      <c r="J29" s="165" t="str">
        <f>IF(H29=0,"Not Calculated",IF(H29=F29,G29,IF(H29=(VLOOKUP(A29,[1]!TOX,39,FALSE)),"Background","PQL")))</f>
        <v>Noncancer Risk</v>
      </c>
    </row>
    <row r="30" spans="1:10" ht="12.5" x14ac:dyDescent="0.25">
      <c r="A30" s="50" t="s">
        <v>84</v>
      </c>
      <c r="B30" s="160">
        <f>IF(ISERR(1/+(VLOOKUP(A30,[1]!TOX,17,FALSE))),0,'[1]Target Risk'!$D$8*(VLOOKUP(A30,[1]!TOX,4,FALSE))/(('S-1 Assumptions'!$K$18*(VLOOKUP(A30,[1]!TOX,17,FALSE)))+('S-1 Assumptions'!$L$51*(VLOOKUP(A30,[1]!TOX,19,FALSE)))))</f>
        <v>295.51352536398616</v>
      </c>
      <c r="C30" s="161">
        <f>IF(ISERR(1/(VLOOKUP(A30,[1]!TOX,25,FALSE))),0, '[1]Target Risk'!$D$12/((('S-1 Assumptions'!$K$26*(VLOOKUP(A30,[1]!TOX,25,FALSE)))+('S-1 Assumptions'!$L$59*(VLOOKUP(A30,[1]!TOX,27,FALSE))))*(VLOOKUP(A30,[1]!TOX,12,FALSE))))</f>
        <v>32.823910967632571</v>
      </c>
      <c r="D30" s="161">
        <f>IF(ISERR(1/(VLOOKUP(A30,[1]!TOX,25,FALSE))),0,IF(VLOOKUP(A30,[1]!TOX,36,FALSE)="M",'[1]Target Risk'!$D$12/((((((('S-1 Assumptions'!$K$30*(VLOOKUP(A30,[1]!TOX,25,FALSE)))+('S-1 Assumptions'!$L$67*(VLOOKUP(A30,[1]!TOX,27,FALSE))))*10))+(((('S-1 Assumptions'!$K$31*(VLOOKUP(A30,[1]!TOX,25,FALSE)))+('S-1 Assumptions'!$L$68*(VLOOKUP(A30,[1]!TOX,27,FALSE))))*3))+(((('S-1 Assumptions'!$K$32*(VLOOKUP(A30,[1]!TOX,25,FALSE)))+('S-1 Assumptions'!$L$69*(VLOOKUP(A30,[1]!TOX,27,FALSE))))*3))+(((('S-1 Assumptions'!$K$33*(VLOOKUP(A30,[1]!TOX,25,FALSE)))+('S-1 Assumptions'!$L$70)*(VLOOKUP(A30,[1]!TOX,27,FALSE))))*1)))*(VLOOKUP(A30,[1]!TOX,12,FALSE))),0))</f>
        <v>0</v>
      </c>
      <c r="E30" s="162">
        <f>IF(ISERR(1/(VLOOKUP(A30,[1]!TOX,25,FALSE))),0,IF(VLOOKUP(A30,[1]!TOX,36,FALSE)="M",'[1]Target Risk'!$D$12/((((((('S-1 Assumptions'!$K$30*(VLOOKUP(A30,[1]!TOX,25,FALSE)))+('S-1 Assumptions'!$L$67*(VLOOKUP(A30,[1]!TOX,27,FALSE))))*10))+(((('S-1 Assumptions'!$K$31*(VLOOKUP(A30,[1]!TOX,25,FALSE)))+('S-1 Assumptions'!$L$68*(VLOOKUP(A30,[1]!TOX,27,FALSE))))*3))+(((('S-1 Assumptions'!$K$32*(VLOOKUP(A30,[1]!TOX,25,FALSE)))+('S-1 Assumptions'!$L$69*(VLOOKUP(A30,[1]!TOX,27,FALSE))))*3))+(((('S-1 Assumptions'!$K$33*(VLOOKUP(A30,[1]!TOX,25,FALSE)))+('S-1 Assumptions'!$L$70)*(VLOOKUP(A30,[1]!TOX,27,FALSE))))*1)))*(VLOOKUP(A30,[1]!TOX,12,FALSE))),('[1]Target Risk'!$D$12/((('S-1 Assumptions'!$K$26*(VLOOKUP(A30,[1]!TOX,25,FALSE)))+('S-1 Assumptions'!$L$59*(VLOOKUP(A30,[1]!TOX,27,FALSE))))*(VLOOKUP(A30,[1]!TOX,12,FALSE))))))</f>
        <v>32.823910967632571</v>
      </c>
      <c r="F30" s="308">
        <f>IF(B30=0,MIN(E30,(VLOOKUP(A30,[1]!TOX,71,FALSE))),IF(E30=0,MIN(B30,(VLOOKUP(A30,[1]!TOX,71,FALSE))),MIN(B30,E30,(VLOOKUP(A30,[1]!TOX,71,FALSE)))))</f>
        <v>32.823910967632571</v>
      </c>
      <c r="G30" s="162" t="str">
        <f>IF(F30=B30,"Noncancer Risk",IF(F30=E30,"Cancer Risk",(VLOOKUP(A30,[1]!TOX,72,FALSE))))</f>
        <v>Cancer Risk</v>
      </c>
      <c r="H30" s="309">
        <f>MAX(F30,(VLOOKUP(A30,[1]!TOX,50,FALSE)),(VLOOKUP(A30,[1]!TOX,39,FALSE)))</f>
        <v>32.823910967632571</v>
      </c>
      <c r="I30" s="310">
        <f t="shared" si="0"/>
        <v>30</v>
      </c>
      <c r="J30" s="165" t="str">
        <f>IF(H30=0,"Not Calculated",IF(H30=F30,G30,IF(H30=(VLOOKUP(A30,[1]!TOX,39,FALSE)),"Background","PQL")))</f>
        <v>Cancer Risk</v>
      </c>
    </row>
    <row r="31" spans="1:10" ht="12.5" x14ac:dyDescent="0.25">
      <c r="A31" s="50" t="s">
        <v>83</v>
      </c>
      <c r="B31" s="160">
        <f>IF(ISERR(1/+(VLOOKUP(A31,[1]!TOX,17,FALSE))),0,'[1]Target Risk'!$D$8*(VLOOKUP(A31,[1]!TOX,4,FALSE))/(('S-1 Assumptions'!$K$18*(VLOOKUP(A31,[1]!TOX,17,FALSE)))+('S-1 Assumptions'!$L$51*(VLOOKUP(A31,[1]!TOX,19,FALSE)))))</f>
        <v>34.616134957707828</v>
      </c>
      <c r="C31" s="161">
        <f>IF(ISERR(1/(VLOOKUP(A31,[1]!TOX,25,FALSE))),0, '[1]Target Risk'!$D$12/((('S-1 Assumptions'!$K$26*(VLOOKUP(A31,[1]!TOX,25,FALSE)))+('S-1 Assumptions'!$L$59*(VLOOKUP(A31,[1]!TOX,27,FALSE))))*(VLOOKUP(A31,[1]!TOX,12,FALSE))))</f>
        <v>6.0911549525580675</v>
      </c>
      <c r="D31" s="161">
        <f>IF(ISERR(1/(VLOOKUP(A31,[1]!TOX,25,FALSE))),0,IF(VLOOKUP(A31,[1]!TOX,36,FALSE)="M",'[1]Target Risk'!$D$12/((((((('S-1 Assumptions'!$K$30*(VLOOKUP(A31,[1]!TOX,25,FALSE)))+('S-1 Assumptions'!$L$67*(VLOOKUP(A31,[1]!TOX,27,FALSE))))*10))+(((('S-1 Assumptions'!$K$31*(VLOOKUP(A31,[1]!TOX,25,FALSE)))+('S-1 Assumptions'!$L$68*(VLOOKUP(A31,[1]!TOX,27,FALSE))))*3))+(((('S-1 Assumptions'!$K$32*(VLOOKUP(A31,[1]!TOX,25,FALSE)))+('S-1 Assumptions'!$L$69*(VLOOKUP(A31,[1]!TOX,27,FALSE))))*3))+(((('S-1 Assumptions'!$K$33*(VLOOKUP(A31,[1]!TOX,25,FALSE)))+('S-1 Assumptions'!$L$70)*(VLOOKUP(A31,[1]!TOX,27,FALSE))))*1)))*(VLOOKUP(A31,[1]!TOX,12,FALSE))),0))</f>
        <v>0</v>
      </c>
      <c r="E31" s="162">
        <f>IF(ISERR(1/(VLOOKUP(A31,[1]!TOX,25,FALSE))),0,IF(VLOOKUP(A31,[1]!TOX,36,FALSE)="M",'[1]Target Risk'!$D$12/((((((('S-1 Assumptions'!$K$30*(VLOOKUP(A31,[1]!TOX,25,FALSE)))+('S-1 Assumptions'!$L$67*(VLOOKUP(A31,[1]!TOX,27,FALSE))))*10))+(((('S-1 Assumptions'!$K$31*(VLOOKUP(A31,[1]!TOX,25,FALSE)))+('S-1 Assumptions'!$L$68*(VLOOKUP(A31,[1]!TOX,27,FALSE))))*3))+(((('S-1 Assumptions'!$K$32*(VLOOKUP(A31,[1]!TOX,25,FALSE)))+('S-1 Assumptions'!$L$69*(VLOOKUP(A31,[1]!TOX,27,FALSE))))*3))+(((('S-1 Assumptions'!$K$33*(VLOOKUP(A31,[1]!TOX,25,FALSE)))+('S-1 Assumptions'!$L$70)*(VLOOKUP(A31,[1]!TOX,27,FALSE))))*1)))*(VLOOKUP(A31,[1]!TOX,12,FALSE))),('[1]Target Risk'!$D$12/((('S-1 Assumptions'!$K$26*(VLOOKUP(A31,[1]!TOX,25,FALSE)))+('S-1 Assumptions'!$L$59*(VLOOKUP(A31,[1]!TOX,27,FALSE))))*(VLOOKUP(A31,[1]!TOX,12,FALSE))))))</f>
        <v>6.0911549525580675</v>
      </c>
      <c r="F31" s="308">
        <f>IF(B31=0,MIN(E31,(VLOOKUP(A31,[1]!TOX,71,FALSE))),IF(E31=0,MIN(B31,(VLOOKUP(A31,[1]!TOX,71,FALSE))),MIN(B31,E31,(VLOOKUP(A31,[1]!TOX,71,FALSE)))))</f>
        <v>6.0911549525580675</v>
      </c>
      <c r="G31" s="162" t="str">
        <f>IF(F31=B31,"Noncancer Risk",IF(F31=E31,"Cancer Risk",(VLOOKUP(A31,[1]!TOX,72,FALSE))))</f>
        <v>Cancer Risk</v>
      </c>
      <c r="H31" s="309">
        <f>MAX(F31,(VLOOKUP(A31,[1]!TOX,50,FALSE)),(VLOOKUP(A31,[1]!TOX,39,FALSE)))</f>
        <v>6.0911549525580675</v>
      </c>
      <c r="I31" s="310">
        <f t="shared" si="0"/>
        <v>6</v>
      </c>
      <c r="J31" s="165" t="str">
        <f>IF(H31=0,"Not Calculated",IF(H31=F31,G31,IF(H31=(VLOOKUP(A31,[1]!TOX,39,FALSE)),"Background","PQL")))</f>
        <v>Cancer Risk</v>
      </c>
    </row>
    <row r="32" spans="1:10" ht="12.5" x14ac:dyDescent="0.25">
      <c r="A32" s="50" t="s">
        <v>82</v>
      </c>
      <c r="B32" s="160">
        <f>IF(ISERR(1/+(VLOOKUP(A32,[1]!TOX,17,FALSE))),0,'[1]Target Risk'!$D$8*(VLOOKUP(A32,[1]!TOX,4,FALSE))/(('S-1 Assumptions'!$K$18*(VLOOKUP(A32,[1]!TOX,17,FALSE)))+('S-1 Assumptions'!$L$51*(VLOOKUP(A32,[1]!TOX,19,FALSE)))))</f>
        <v>25.132747923654915</v>
      </c>
      <c r="C32" s="161">
        <f>IF(ISERR(1/(VLOOKUP(A32,[1]!TOX,25,FALSE))),0, '[1]Target Risk'!$D$12/((('S-1 Assumptions'!$K$26*(VLOOKUP(A32,[1]!TOX,25,FALSE)))+('S-1 Assumptions'!$L$59*(VLOOKUP(A32,[1]!TOX,27,FALSE))))*(VLOOKUP(A32,[1]!TOX,12,FALSE))))</f>
        <v>7.4392276858625657</v>
      </c>
      <c r="D32" s="161">
        <f>IF(ISERR(1/(VLOOKUP(A32,[1]!TOX,25,FALSE))),0,IF(VLOOKUP(A32,[1]!TOX,36,FALSE)="M",'[1]Target Risk'!$D$12/((((((('S-1 Assumptions'!$K$30*(VLOOKUP(A32,[1]!TOX,25,FALSE)))+('S-1 Assumptions'!$L$67*(VLOOKUP(A32,[1]!TOX,27,FALSE))))*10))+(((('S-1 Assumptions'!$K$31*(VLOOKUP(A32,[1]!TOX,25,FALSE)))+('S-1 Assumptions'!$L$68*(VLOOKUP(A32,[1]!TOX,27,FALSE))))*3))+(((('S-1 Assumptions'!$K$32*(VLOOKUP(A32,[1]!TOX,25,FALSE)))+('S-1 Assumptions'!$L$69*(VLOOKUP(A32,[1]!TOX,27,FALSE))))*3))+(((('S-1 Assumptions'!$K$33*(VLOOKUP(A32,[1]!TOX,25,FALSE)))+('S-1 Assumptions'!$L$70)*(VLOOKUP(A32,[1]!TOX,27,FALSE))))*1)))*(VLOOKUP(A32,[1]!TOX,12,FALSE))),0))</f>
        <v>0</v>
      </c>
      <c r="E32" s="162">
        <f>IF(ISERR(1/(VLOOKUP(A32,[1]!TOX,25,FALSE))),0,IF(VLOOKUP(A32,[1]!TOX,36,FALSE)="M",'[1]Target Risk'!$D$12/((((((('S-1 Assumptions'!$K$30*(VLOOKUP(A32,[1]!TOX,25,FALSE)))+('S-1 Assumptions'!$L$67*(VLOOKUP(A32,[1]!TOX,27,FALSE))))*10))+(((('S-1 Assumptions'!$K$31*(VLOOKUP(A32,[1]!TOX,25,FALSE)))+('S-1 Assumptions'!$L$68*(VLOOKUP(A32,[1]!TOX,27,FALSE))))*3))+(((('S-1 Assumptions'!$K$32*(VLOOKUP(A32,[1]!TOX,25,FALSE)))+('S-1 Assumptions'!$L$69*(VLOOKUP(A32,[1]!TOX,27,FALSE))))*3))+(((('S-1 Assumptions'!$K$33*(VLOOKUP(A32,[1]!TOX,25,FALSE)))+('S-1 Assumptions'!$L$70)*(VLOOKUP(A32,[1]!TOX,27,FALSE))))*1)))*(VLOOKUP(A32,[1]!TOX,12,FALSE))),('[1]Target Risk'!$D$12/((('S-1 Assumptions'!$K$26*(VLOOKUP(A32,[1]!TOX,25,FALSE)))+('S-1 Assumptions'!$L$59*(VLOOKUP(A32,[1]!TOX,27,FALSE))))*(VLOOKUP(A32,[1]!TOX,12,FALSE))))))</f>
        <v>7.4392276858625657</v>
      </c>
      <c r="F32" s="308">
        <f>IF(B32=0,MIN(E32,(VLOOKUP(A32,[1]!TOX,71,FALSE))),IF(E32=0,MIN(B32,(VLOOKUP(A32,[1]!TOX,71,FALSE))),MIN(B32,E32,(VLOOKUP(A32,[1]!TOX,71,FALSE)))))</f>
        <v>7.4392276858625657</v>
      </c>
      <c r="G32" s="162" t="str">
        <f>IF(F32=B32,"Noncancer Risk",IF(F32=E32,"Cancer Risk",(VLOOKUP(A32,[1]!TOX,72,FALSE))))</f>
        <v>Cancer Risk</v>
      </c>
      <c r="H32" s="309">
        <f>MAX(F32,(VLOOKUP(A32,[1]!TOX,50,FALSE)),(VLOOKUP(A32,[1]!TOX,39,FALSE)))</f>
        <v>7.4392276858625657</v>
      </c>
      <c r="I32" s="310">
        <f t="shared" si="0"/>
        <v>7</v>
      </c>
      <c r="J32" s="165" t="str">
        <f>IF(H32=0,"Not Calculated",IF(H32=F32,G32,IF(H32=(VLOOKUP(A32,[1]!TOX,39,FALSE)),"Background","PQL")))</f>
        <v>Cancer Risk</v>
      </c>
    </row>
    <row r="33" spans="1:10" ht="12.5" x14ac:dyDescent="0.25">
      <c r="A33" s="50" t="s">
        <v>81</v>
      </c>
      <c r="B33" s="160">
        <f>IF(ISERR(1/+(VLOOKUP(A33,[1]!TOX,17,FALSE))),0,'[1]Target Risk'!$D$8*(VLOOKUP(A33,[1]!TOX,4,FALSE))/(('S-1 Assumptions'!$K$18*(VLOOKUP(A33,[1]!TOX,17,FALSE)))+('S-1 Assumptions'!$L$51*(VLOOKUP(A33,[1]!TOX,19,FALSE)))))</f>
        <v>1477.5676268199306</v>
      </c>
      <c r="C33" s="161">
        <f>IF(ISERR(1/(VLOOKUP(A33,[1]!TOX,25,FALSE))),0, '[1]Target Risk'!$D$12/((('S-1 Assumptions'!$K$26*(VLOOKUP(A33,[1]!TOX,25,FALSE)))+('S-1 Assumptions'!$L$59*(VLOOKUP(A33,[1]!TOX,27,FALSE))))*(VLOOKUP(A33,[1]!TOX,12,FALSE))))</f>
        <v>0</v>
      </c>
      <c r="D33" s="161">
        <f>IF(ISERR(1/(VLOOKUP(A33,[1]!TOX,25,FALSE))),0,IF(VLOOKUP(A33,[1]!TOX,36,FALSE)="M",'[1]Target Risk'!$D$12/((((((('S-1 Assumptions'!$K$30*(VLOOKUP(A33,[1]!TOX,25,FALSE)))+('S-1 Assumptions'!$L$67*(VLOOKUP(A33,[1]!TOX,27,FALSE))))*10))+(((('S-1 Assumptions'!$K$31*(VLOOKUP(A33,[1]!TOX,25,FALSE)))+('S-1 Assumptions'!$L$68*(VLOOKUP(A33,[1]!TOX,27,FALSE))))*3))+(((('S-1 Assumptions'!$K$32*(VLOOKUP(A33,[1]!TOX,25,FALSE)))+('S-1 Assumptions'!$L$69*(VLOOKUP(A33,[1]!TOX,27,FALSE))))*3))+(((('S-1 Assumptions'!$K$33*(VLOOKUP(A33,[1]!TOX,25,FALSE)))+('S-1 Assumptions'!$L$70)*(VLOOKUP(A33,[1]!TOX,27,FALSE))))*1)))*(VLOOKUP(A33,[1]!TOX,12,FALSE))),0))</f>
        <v>0</v>
      </c>
      <c r="E33" s="162">
        <f>IF(ISERR(1/(VLOOKUP(A33,[1]!TOX,25,FALSE))),0,IF(VLOOKUP(A33,[1]!TOX,36,FALSE)="M",'[1]Target Risk'!$D$12/((((((('S-1 Assumptions'!$K$30*(VLOOKUP(A33,[1]!TOX,25,FALSE)))+('S-1 Assumptions'!$L$67*(VLOOKUP(A33,[1]!TOX,27,FALSE))))*10))+(((('S-1 Assumptions'!$K$31*(VLOOKUP(A33,[1]!TOX,25,FALSE)))+('S-1 Assumptions'!$L$68*(VLOOKUP(A33,[1]!TOX,27,FALSE))))*3))+(((('S-1 Assumptions'!$K$32*(VLOOKUP(A33,[1]!TOX,25,FALSE)))+('S-1 Assumptions'!$L$69*(VLOOKUP(A33,[1]!TOX,27,FALSE))))*3))+(((('S-1 Assumptions'!$K$33*(VLOOKUP(A33,[1]!TOX,25,FALSE)))+('S-1 Assumptions'!$L$70)*(VLOOKUP(A33,[1]!TOX,27,FALSE))))*1)))*(VLOOKUP(A33,[1]!TOX,12,FALSE))),('[1]Target Risk'!$D$12/((('S-1 Assumptions'!$K$26*(VLOOKUP(A33,[1]!TOX,25,FALSE)))+('S-1 Assumptions'!$L$59*(VLOOKUP(A33,[1]!TOX,27,FALSE))))*(VLOOKUP(A33,[1]!TOX,12,FALSE))))))</f>
        <v>0</v>
      </c>
      <c r="F33" s="308">
        <f>IF(B33=0,MIN(E33,(VLOOKUP(A33,[1]!TOX,71,FALSE))),IF(E33=0,MIN(B33,(VLOOKUP(A33,[1]!TOX,71,FALSE))),MIN(B33,E33,(VLOOKUP(A33,[1]!TOX,71,FALSE)))))</f>
        <v>500</v>
      </c>
      <c r="G33" s="162" t="str">
        <f>IF(F33=B33,"Noncancer Risk",IF(F33=E33,"Cancer Risk",(VLOOKUP(A33,[1]!TOX,72,FALSE))))</f>
        <v>Ceiling (Medium)</v>
      </c>
      <c r="H33" s="309">
        <f>MAX(F33,(VLOOKUP(A33,[1]!TOX,50,FALSE)),(VLOOKUP(A33,[1]!TOX,39,FALSE)))</f>
        <v>500</v>
      </c>
      <c r="I33" s="310">
        <f t="shared" si="0"/>
        <v>500</v>
      </c>
      <c r="J33" s="165" t="str">
        <f>IF(H33=0,"Not Calculated",IF(H33=F33,G33,IF(H33=(VLOOKUP(A33,[1]!TOX,39,FALSE)),"Background","PQL")))</f>
        <v>Ceiling (Medium)</v>
      </c>
    </row>
    <row r="34" spans="1:10" ht="12.5" x14ac:dyDescent="0.25">
      <c r="A34" s="50" t="s">
        <v>80</v>
      </c>
      <c r="B34" s="160">
        <f>IF(ISERR(1/+(VLOOKUP(A34,[1]!TOX,17,FALSE))),0,'[1]Target Risk'!$D$8*(VLOOKUP(A34,[1]!TOX,4,FALSE))/(('S-1 Assumptions'!$K$18*(VLOOKUP(A34,[1]!TOX,17,FALSE)))+('S-1 Assumptions'!$L$51*(VLOOKUP(A34,[1]!TOX,19,FALSE)))))</f>
        <v>738.78381340996532</v>
      </c>
      <c r="C34" s="161">
        <f>IF(ISERR(1/(VLOOKUP(A34,[1]!TOX,25,FALSE))),0, '[1]Target Risk'!$D$12/((('S-1 Assumptions'!$K$26*(VLOOKUP(A34,[1]!TOX,25,FALSE)))+('S-1 Assumptions'!$L$59*(VLOOKUP(A34,[1]!TOX,27,FALSE))))*(VLOOKUP(A34,[1]!TOX,12,FALSE))))</f>
        <v>0</v>
      </c>
      <c r="D34" s="161">
        <f>IF(ISERR(1/(VLOOKUP(A34,[1]!TOX,25,FALSE))),0,IF(VLOOKUP(A34,[1]!TOX,36,FALSE)="M",'[1]Target Risk'!$D$12/((((((('S-1 Assumptions'!$K$30*(VLOOKUP(A34,[1]!TOX,25,FALSE)))+('S-1 Assumptions'!$L$67*(VLOOKUP(A34,[1]!TOX,27,FALSE))))*10))+(((('S-1 Assumptions'!$K$31*(VLOOKUP(A34,[1]!TOX,25,FALSE)))+('S-1 Assumptions'!$L$68*(VLOOKUP(A34,[1]!TOX,27,FALSE))))*3))+(((('S-1 Assumptions'!$K$32*(VLOOKUP(A34,[1]!TOX,25,FALSE)))+('S-1 Assumptions'!$L$69*(VLOOKUP(A34,[1]!TOX,27,FALSE))))*3))+(((('S-1 Assumptions'!$K$33*(VLOOKUP(A34,[1]!TOX,25,FALSE)))+('S-1 Assumptions'!$L$70)*(VLOOKUP(A34,[1]!TOX,27,FALSE))))*1)))*(VLOOKUP(A34,[1]!TOX,12,FALSE))),0))</f>
        <v>0</v>
      </c>
      <c r="E34" s="162">
        <f>IF(ISERR(1/(VLOOKUP(A34,[1]!TOX,25,FALSE))),0,IF(VLOOKUP(A34,[1]!TOX,36,FALSE)="M",'[1]Target Risk'!$D$12/((((((('S-1 Assumptions'!$K$30*(VLOOKUP(A34,[1]!TOX,25,FALSE)))+('S-1 Assumptions'!$L$67*(VLOOKUP(A34,[1]!TOX,27,FALSE))))*10))+(((('S-1 Assumptions'!$K$31*(VLOOKUP(A34,[1]!TOX,25,FALSE)))+('S-1 Assumptions'!$L$68*(VLOOKUP(A34,[1]!TOX,27,FALSE))))*3))+(((('S-1 Assumptions'!$K$32*(VLOOKUP(A34,[1]!TOX,25,FALSE)))+('S-1 Assumptions'!$L$69*(VLOOKUP(A34,[1]!TOX,27,FALSE))))*3))+(((('S-1 Assumptions'!$K$33*(VLOOKUP(A34,[1]!TOX,25,FALSE)))+('S-1 Assumptions'!$L$70)*(VLOOKUP(A34,[1]!TOX,27,FALSE))))*1)))*(VLOOKUP(A34,[1]!TOX,12,FALSE))),('[1]Target Risk'!$D$12/((('S-1 Assumptions'!$K$26*(VLOOKUP(A34,[1]!TOX,25,FALSE)))+('S-1 Assumptions'!$L$59*(VLOOKUP(A34,[1]!TOX,27,FALSE))))*(VLOOKUP(A34,[1]!TOX,12,FALSE))))))</f>
        <v>0</v>
      </c>
      <c r="F34" s="308">
        <f>IF(B34=0,MIN(E34,(VLOOKUP(A34,[1]!TOX,71,FALSE))),IF(E34=0,MIN(B34,(VLOOKUP(A34,[1]!TOX,71,FALSE))),MIN(B34,E34,(VLOOKUP(A34,[1]!TOX,71,FALSE)))))</f>
        <v>500</v>
      </c>
      <c r="G34" s="162" t="str">
        <f>IF(F34=B34,"Noncancer Risk",IF(F34=E34,"Cancer Risk",(VLOOKUP(A34,[1]!TOX,72,FALSE))))</f>
        <v>Ceiling (Medium)</v>
      </c>
      <c r="H34" s="309">
        <f>MAX(F34,(VLOOKUP(A34,[1]!TOX,50,FALSE)),(VLOOKUP(A34,[1]!TOX,39,FALSE)))</f>
        <v>500</v>
      </c>
      <c r="I34" s="310">
        <f t="shared" si="0"/>
        <v>500</v>
      </c>
      <c r="J34" s="165" t="str">
        <f>IF(H34=0,"Not Calculated",IF(H34=F34,G34,IF(H34=(VLOOKUP(A34,[1]!TOX,39,FALSE)),"Background","PQL")))</f>
        <v>Ceiling (Medium)</v>
      </c>
    </row>
    <row r="35" spans="1:10" ht="12.5" x14ac:dyDescent="0.25">
      <c r="A35" s="50" t="s">
        <v>79</v>
      </c>
      <c r="B35" s="160">
        <f>IF(ISERR(1/+(VLOOKUP(A35,[1]!TOX,17,FALSE))),0,'[1]Target Risk'!$D$8*(VLOOKUP(A35,[1]!TOX,4,FALSE))/(('S-1 Assumptions'!$K$18*(VLOOKUP(A35,[1]!TOX,17,FALSE)))+('S-1 Assumptions'!$L$51*(VLOOKUP(A35,[1]!TOX,19,FALSE)))))</f>
        <v>131.36530569439142</v>
      </c>
      <c r="C35" s="161">
        <f>IF(ISERR(1/(VLOOKUP(A35,[1]!TOX,25,FALSE))),0, '[1]Target Risk'!$D$12/((('S-1 Assumptions'!$K$26*(VLOOKUP(A35,[1]!TOX,25,FALSE)))+('S-1 Assumptions'!$L$59*(VLOOKUP(A35,[1]!TOX,27,FALSE))))*(VLOOKUP(A35,[1]!TOX,12,FALSE))))</f>
        <v>0</v>
      </c>
      <c r="D35" s="161">
        <f>IF(ISERR(1/(VLOOKUP(A35,[1]!TOX,25,FALSE))),0,IF(VLOOKUP(A35,[1]!TOX,36,FALSE)="M",'[1]Target Risk'!$D$12/((((((('S-1 Assumptions'!$K$30*(VLOOKUP(A35,[1]!TOX,25,FALSE)))+('S-1 Assumptions'!$L$67*(VLOOKUP(A35,[1]!TOX,27,FALSE))))*10))+(((('S-1 Assumptions'!$K$31*(VLOOKUP(A35,[1]!TOX,25,FALSE)))+('S-1 Assumptions'!$L$68*(VLOOKUP(A35,[1]!TOX,27,FALSE))))*3))+(((('S-1 Assumptions'!$K$32*(VLOOKUP(A35,[1]!TOX,25,FALSE)))+('S-1 Assumptions'!$L$69*(VLOOKUP(A35,[1]!TOX,27,FALSE))))*3))+(((('S-1 Assumptions'!$K$33*(VLOOKUP(A35,[1]!TOX,25,FALSE)))+('S-1 Assumptions'!$L$70)*(VLOOKUP(A35,[1]!TOX,27,FALSE))))*1)))*(VLOOKUP(A35,[1]!TOX,12,FALSE))),0))</f>
        <v>0</v>
      </c>
      <c r="E35" s="162">
        <f>IF(ISERR(1/(VLOOKUP(A35,[1]!TOX,25,FALSE))),0,IF(VLOOKUP(A35,[1]!TOX,36,FALSE)="M",'[1]Target Risk'!$D$12/((((((('S-1 Assumptions'!$K$30*(VLOOKUP(A35,[1]!TOX,25,FALSE)))+('S-1 Assumptions'!$L$67*(VLOOKUP(A35,[1]!TOX,27,FALSE))))*10))+(((('S-1 Assumptions'!$K$31*(VLOOKUP(A35,[1]!TOX,25,FALSE)))+('S-1 Assumptions'!$L$68*(VLOOKUP(A35,[1]!TOX,27,FALSE))))*3))+(((('S-1 Assumptions'!$K$32*(VLOOKUP(A35,[1]!TOX,25,FALSE)))+('S-1 Assumptions'!$L$69*(VLOOKUP(A35,[1]!TOX,27,FALSE))))*3))+(((('S-1 Assumptions'!$K$33*(VLOOKUP(A35,[1]!TOX,25,FALSE)))+('S-1 Assumptions'!$L$70)*(VLOOKUP(A35,[1]!TOX,27,FALSE))))*1)))*(VLOOKUP(A35,[1]!TOX,12,FALSE))),('[1]Target Risk'!$D$12/((('S-1 Assumptions'!$K$26*(VLOOKUP(A35,[1]!TOX,25,FALSE)))+('S-1 Assumptions'!$L$59*(VLOOKUP(A35,[1]!TOX,27,FALSE))))*(VLOOKUP(A35,[1]!TOX,12,FALSE))))))</f>
        <v>0</v>
      </c>
      <c r="F35" s="308">
        <f>IF(B35=0,MIN(E35,(VLOOKUP(A35,[1]!TOX,71,FALSE))),IF(E35=0,MIN(B35,(VLOOKUP(A35,[1]!TOX,71,FALSE))),MIN(B35,E35,(VLOOKUP(A35,[1]!TOX,71,FALSE)))))</f>
        <v>131.36530569439142</v>
      </c>
      <c r="G35" s="162" t="str">
        <f>IF(F35=B35,"Noncancer Risk",IF(F35=E35,"Cancer Risk",(VLOOKUP(A35,[1]!TOX,72,FALSE))))</f>
        <v>Noncancer Risk</v>
      </c>
      <c r="H35" s="309">
        <f>MAX(F35,(VLOOKUP(A35,[1]!TOX,50,FALSE)),(VLOOKUP(A35,[1]!TOX,39,FALSE)))</f>
        <v>131.36530569439142</v>
      </c>
      <c r="I35" s="310">
        <f t="shared" si="0"/>
        <v>100</v>
      </c>
      <c r="J35" s="165" t="str">
        <f>IF(H35=0,"Not Calculated",IF(H35=F35,G35,IF(H35=(VLOOKUP(A35,[1]!TOX,39,FALSE)),"Background","PQL")))</f>
        <v>Noncancer Risk</v>
      </c>
    </row>
    <row r="36" spans="1:10" ht="12.5" x14ac:dyDescent="0.25">
      <c r="A36" s="50" t="s">
        <v>78</v>
      </c>
      <c r="B36" s="160">
        <f>IF(ISERR(1/+(VLOOKUP(A36,[1]!TOX,17,FALSE))),0,'[1]Target Risk'!$D$8*(VLOOKUP(A36,[1]!TOX,4,FALSE))/(('S-1 Assumptions'!$K$18*(VLOOKUP(A36,[1]!TOX,17,FALSE)))+('S-1 Assumptions'!$L$51*(VLOOKUP(A36,[1]!TOX,19,FALSE)))))</f>
        <v>150.79648754192948</v>
      </c>
      <c r="C36" s="161">
        <f>IF(ISERR(1/(VLOOKUP(A36,[1]!TOX,25,FALSE))),0, '[1]Target Risk'!$D$12/((('S-1 Assumptions'!$K$26*(VLOOKUP(A36,[1]!TOX,25,FALSE)))+('S-1 Assumptions'!$L$59*(VLOOKUP(A36,[1]!TOX,27,FALSE))))*(VLOOKUP(A36,[1]!TOX,12,FALSE))))</f>
        <v>0</v>
      </c>
      <c r="D36" s="161">
        <f>IF(ISERR(1/(VLOOKUP(A36,[1]!TOX,25,FALSE))),0,IF(VLOOKUP(A36,[1]!TOX,36,FALSE)="M",'[1]Target Risk'!$D$12/((((((('S-1 Assumptions'!$K$30*(VLOOKUP(A36,[1]!TOX,25,FALSE)))+('S-1 Assumptions'!$L$67*(VLOOKUP(A36,[1]!TOX,27,FALSE))))*10))+(((('S-1 Assumptions'!$K$31*(VLOOKUP(A36,[1]!TOX,25,FALSE)))+('S-1 Assumptions'!$L$68*(VLOOKUP(A36,[1]!TOX,27,FALSE))))*3))+(((('S-1 Assumptions'!$K$32*(VLOOKUP(A36,[1]!TOX,25,FALSE)))+('S-1 Assumptions'!$L$69*(VLOOKUP(A36,[1]!TOX,27,FALSE))))*3))+(((('S-1 Assumptions'!$K$33*(VLOOKUP(A36,[1]!TOX,25,FALSE)))+('S-1 Assumptions'!$L$70)*(VLOOKUP(A36,[1]!TOX,27,FALSE))))*1)))*(VLOOKUP(A36,[1]!TOX,12,FALSE))),0))</f>
        <v>0</v>
      </c>
      <c r="E36" s="162">
        <f>IF(ISERR(1/(VLOOKUP(A36,[1]!TOX,25,FALSE))),0,IF(VLOOKUP(A36,[1]!TOX,36,FALSE)="M",'[1]Target Risk'!$D$12/((((((('S-1 Assumptions'!$K$30*(VLOOKUP(A36,[1]!TOX,25,FALSE)))+('S-1 Assumptions'!$L$67*(VLOOKUP(A36,[1]!TOX,27,FALSE))))*10))+(((('S-1 Assumptions'!$K$31*(VLOOKUP(A36,[1]!TOX,25,FALSE)))+('S-1 Assumptions'!$L$68*(VLOOKUP(A36,[1]!TOX,27,FALSE))))*3))+(((('S-1 Assumptions'!$K$32*(VLOOKUP(A36,[1]!TOX,25,FALSE)))+('S-1 Assumptions'!$L$69*(VLOOKUP(A36,[1]!TOX,27,FALSE))))*3))+(((('S-1 Assumptions'!$K$33*(VLOOKUP(A36,[1]!TOX,25,FALSE)))+('S-1 Assumptions'!$L$70)*(VLOOKUP(A36,[1]!TOX,27,FALSE))))*1)))*(VLOOKUP(A36,[1]!TOX,12,FALSE))),('[1]Target Risk'!$D$12/((('S-1 Assumptions'!$K$26*(VLOOKUP(A36,[1]!TOX,25,FALSE)))+('S-1 Assumptions'!$L$59*(VLOOKUP(A36,[1]!TOX,27,FALSE))))*(VLOOKUP(A36,[1]!TOX,12,FALSE))))))</f>
        <v>0</v>
      </c>
      <c r="F36" s="308">
        <f>IF(B36=0,MIN(E36,(VLOOKUP(A36,[1]!TOX,71,FALSE))),IF(E36=0,MIN(B36,(VLOOKUP(A36,[1]!TOX,71,FALSE))),MIN(B36,E36,(VLOOKUP(A36,[1]!TOX,71,FALSE)))))</f>
        <v>150.79648754192948</v>
      </c>
      <c r="G36" s="162" t="str">
        <f>IF(F36=B36,"Noncancer Risk",IF(F36=E36,"Cancer Risk",(VLOOKUP(A36,[1]!TOX,72,FALSE))))</f>
        <v>Noncancer Risk</v>
      </c>
      <c r="H36" s="309">
        <f>MAX(F36,(VLOOKUP(A36,[1]!TOX,50,FALSE)),(VLOOKUP(A36,[1]!TOX,39,FALSE)))</f>
        <v>150.79648754192948</v>
      </c>
      <c r="I36" s="310">
        <f>MIN(I37:I38)</f>
        <v>200</v>
      </c>
      <c r="J36" s="165" t="s">
        <v>244</v>
      </c>
    </row>
    <row r="37" spans="1:10" ht="12.5" x14ac:dyDescent="0.25">
      <c r="A37" s="50" t="s">
        <v>77</v>
      </c>
      <c r="B37" s="160">
        <f>IF(ISERR(1/+(VLOOKUP(A37,[1]!TOX,17,FALSE))),0,'[1]Target Risk'!$D$8*(VLOOKUP(A37,[1]!TOX,4,FALSE))/(('S-1 Assumptions'!$K$18*(VLOOKUP(A37,[1]!TOX,17,FALSE)))+('S-1 Assumptions'!$L$51*(VLOOKUP(A37,[1]!TOX,19,FALSE)))))</f>
        <v>75398.243770964749</v>
      </c>
      <c r="C37" s="161">
        <f>IF(ISERR(1/(VLOOKUP(A37,[1]!TOX,25,FALSE))),0, '[1]Target Risk'!$D$12/((('S-1 Assumptions'!$K$26*(VLOOKUP(A37,[1]!TOX,25,FALSE)))+('S-1 Assumptions'!$L$59*(VLOOKUP(A37,[1]!TOX,27,FALSE))))*(VLOOKUP(A37,[1]!TOX,12,FALSE))))</f>
        <v>0</v>
      </c>
      <c r="D37" s="161">
        <f>IF(ISERR(1/(VLOOKUP(A37,[1]!TOX,25,FALSE))),0,IF(VLOOKUP(A37,[1]!TOX,36,FALSE)="M",'[1]Target Risk'!$D$12/((((((('S-1 Assumptions'!$K$30*(VLOOKUP(A37,[1]!TOX,25,FALSE)))+('S-1 Assumptions'!$L$67*(VLOOKUP(A37,[1]!TOX,27,FALSE))))*10))+(((('S-1 Assumptions'!$K$31*(VLOOKUP(A37,[1]!TOX,25,FALSE)))+('S-1 Assumptions'!$L$68*(VLOOKUP(A37,[1]!TOX,27,FALSE))))*3))+(((('S-1 Assumptions'!$K$32*(VLOOKUP(A37,[1]!TOX,25,FALSE)))+('S-1 Assumptions'!$L$69*(VLOOKUP(A37,[1]!TOX,27,FALSE))))*3))+(((('S-1 Assumptions'!$K$33*(VLOOKUP(A37,[1]!TOX,25,FALSE)))+('S-1 Assumptions'!$L$70)*(VLOOKUP(A37,[1]!TOX,27,FALSE))))*1)))*(VLOOKUP(A37,[1]!TOX,12,FALSE))),0))</f>
        <v>0</v>
      </c>
      <c r="E37" s="162">
        <f>IF(ISERR(1/(VLOOKUP(A37,[1]!TOX,25,FALSE))),0,IF(VLOOKUP(A37,[1]!TOX,36,FALSE)="M",'[1]Target Risk'!$D$12/((((((('S-1 Assumptions'!$K$30*(VLOOKUP(A37,[1]!TOX,25,FALSE)))+('S-1 Assumptions'!$L$67*(VLOOKUP(A37,[1]!TOX,27,FALSE))))*10))+(((('S-1 Assumptions'!$K$31*(VLOOKUP(A37,[1]!TOX,25,FALSE)))+('S-1 Assumptions'!$L$68*(VLOOKUP(A37,[1]!TOX,27,FALSE))))*3))+(((('S-1 Assumptions'!$K$32*(VLOOKUP(A37,[1]!TOX,25,FALSE)))+('S-1 Assumptions'!$L$69*(VLOOKUP(A37,[1]!TOX,27,FALSE))))*3))+(((('S-1 Assumptions'!$K$33*(VLOOKUP(A37,[1]!TOX,25,FALSE)))+('S-1 Assumptions'!$L$70)*(VLOOKUP(A37,[1]!TOX,27,FALSE))))*1)))*(VLOOKUP(A37,[1]!TOX,12,FALSE))),('[1]Target Risk'!$D$12/((('S-1 Assumptions'!$K$26*(VLOOKUP(A37,[1]!TOX,25,FALSE)))+('S-1 Assumptions'!$L$59*(VLOOKUP(A37,[1]!TOX,27,FALSE))))*(VLOOKUP(A37,[1]!TOX,12,FALSE))))))</f>
        <v>0</v>
      </c>
      <c r="F37" s="308">
        <f>IF(B37=0,MIN(E37,(VLOOKUP(A37,[1]!TOX,71,FALSE))),IF(E37=0,MIN(B37,(VLOOKUP(A37,[1]!TOX,71,FALSE))),MIN(B37,E37,(VLOOKUP(A37,[1]!TOX,71,FALSE)))))</f>
        <v>1000</v>
      </c>
      <c r="G37" s="162" t="str">
        <f>IF(F37=B37,"Noncancer Risk",IF(F37=E37,"Cancer Risk",(VLOOKUP(A37,[1]!TOX,72,FALSE))))</f>
        <v>Ceiling (High)</v>
      </c>
      <c r="H37" s="309">
        <f>MAX(F37,(VLOOKUP(A37,[1]!TOX,50,FALSE)),(VLOOKUP(A37,[1]!TOX,39,FALSE)))</f>
        <v>1000</v>
      </c>
      <c r="I37" s="310">
        <f>IF(H37&lt;&gt;0,ROUND(H37,1-(1+INT(LOG10(ABS(H37))))),"")</f>
        <v>1000</v>
      </c>
      <c r="J37" s="165" t="str">
        <f>IF(H37=0,"Not Calculated",IF(H37=F37,G37,IF(H37=(VLOOKUP(A37,[1]!TOX,39,FALSE)),"Background","PQL")))</f>
        <v>Ceiling (High)</v>
      </c>
    </row>
    <row r="38" spans="1:10" ht="12.5" x14ac:dyDescent="0.25">
      <c r="A38" s="50" t="s">
        <v>76</v>
      </c>
      <c r="B38" s="160">
        <f>IF(ISERR(1/+(VLOOKUP(A38,[1]!TOX,17,FALSE))),0,'[1]Target Risk'!$D$8*(VLOOKUP(A38,[1]!TOX,4,FALSE))/(('S-1 Assumptions'!$K$18*(VLOOKUP(A38,[1]!TOX,17,FALSE)))+('S-1 Assumptions'!$L$51*(VLOOKUP(A38,[1]!TOX,19,FALSE)))))</f>
        <v>150.79648754192948</v>
      </c>
      <c r="C38" s="161">
        <f>IF(ISERR(1/(VLOOKUP(A38,[1]!TOX,25,FALSE))),0, '[1]Target Risk'!$D$12/((('S-1 Assumptions'!$K$26*(VLOOKUP(A38,[1]!TOX,25,FALSE)))+('S-1 Assumptions'!$L$59*(VLOOKUP(A38,[1]!TOX,27,FALSE))))*(VLOOKUP(A38,[1]!TOX,12,FALSE))))</f>
        <v>0</v>
      </c>
      <c r="D38" s="161">
        <f>IF(ISERR(1/(VLOOKUP(A38,[1]!TOX,25,FALSE))),0,IF(VLOOKUP(A38,[1]!TOX,36,FALSE)="M",'[1]Target Risk'!$D$12/((((((('S-1 Assumptions'!$K$30*(VLOOKUP(A38,[1]!TOX,25,FALSE)))+('S-1 Assumptions'!$L$67*(VLOOKUP(A38,[1]!TOX,27,FALSE))))*10))+(((('S-1 Assumptions'!$K$31*(VLOOKUP(A38,[1]!TOX,25,FALSE)))+('S-1 Assumptions'!$L$68*(VLOOKUP(A38,[1]!TOX,27,FALSE))))*3))+(((('S-1 Assumptions'!$K$32*(VLOOKUP(A38,[1]!TOX,25,FALSE)))+('S-1 Assumptions'!$L$69*(VLOOKUP(A38,[1]!TOX,27,FALSE))))*3))+(((('S-1 Assumptions'!$K$33*(VLOOKUP(A38,[1]!TOX,25,FALSE)))+('S-1 Assumptions'!$L$70)*(VLOOKUP(A38,[1]!TOX,27,FALSE))))*1)))*(VLOOKUP(A38,[1]!TOX,12,FALSE))),0))</f>
        <v>0</v>
      </c>
      <c r="E38" s="162">
        <f>IF(ISERR(1/(VLOOKUP(A38,[1]!TOX,25,FALSE))),0,IF(VLOOKUP(A38,[1]!TOX,36,FALSE)="M",'[1]Target Risk'!$D$12/((((((('S-1 Assumptions'!$K$30*(VLOOKUP(A38,[1]!TOX,25,FALSE)))+('S-1 Assumptions'!$L$67*(VLOOKUP(A38,[1]!TOX,27,FALSE))))*10))+(((('S-1 Assumptions'!$K$31*(VLOOKUP(A38,[1]!TOX,25,FALSE)))+('S-1 Assumptions'!$L$68*(VLOOKUP(A38,[1]!TOX,27,FALSE))))*3))+(((('S-1 Assumptions'!$K$32*(VLOOKUP(A38,[1]!TOX,25,FALSE)))+('S-1 Assumptions'!$L$69*(VLOOKUP(A38,[1]!TOX,27,FALSE))))*3))+(((('S-1 Assumptions'!$K$33*(VLOOKUP(A38,[1]!TOX,25,FALSE)))+('S-1 Assumptions'!$L$70)*(VLOOKUP(A38,[1]!TOX,27,FALSE))))*1)))*(VLOOKUP(A38,[1]!TOX,12,FALSE))),('[1]Target Risk'!$D$12/((('S-1 Assumptions'!$K$26*(VLOOKUP(A38,[1]!TOX,25,FALSE)))+('S-1 Assumptions'!$L$59*(VLOOKUP(A38,[1]!TOX,27,FALSE))))*(VLOOKUP(A38,[1]!TOX,12,FALSE))))))</f>
        <v>0</v>
      </c>
      <c r="F38" s="308">
        <f>IF(B38=0,MIN(E38,(VLOOKUP(A38,[1]!TOX,71,FALSE))),IF(E38=0,MIN(B38,(VLOOKUP(A38,[1]!TOX,71,FALSE))),MIN(B38,E38,(VLOOKUP(A38,[1]!TOX,71,FALSE)))))</f>
        <v>150.79648754192948</v>
      </c>
      <c r="G38" s="162" t="str">
        <f>IF(F38=B38,"Noncancer Risk",IF(F38=E38,"Cancer Risk",(VLOOKUP(A38,[1]!TOX,72,FALSE))))</f>
        <v>Noncancer Risk</v>
      </c>
      <c r="H38" s="309">
        <f>MAX(F38,(VLOOKUP(A38,[1]!TOX,50,FALSE)),(VLOOKUP(A38,[1]!TOX,39,FALSE)))</f>
        <v>150.79648754192948</v>
      </c>
      <c r="I38" s="310">
        <f>IF(H38&lt;&gt;0,ROUND(H38,1-(1+INT(LOG10(ABS(H38))))),"")</f>
        <v>200</v>
      </c>
      <c r="J38" s="165" t="str">
        <f>IF(H38=0,"Not Calculated",IF(H38=F38,G38,IF(H38=(VLOOKUP(A38,[1]!TOX,39,FALSE)),"Background","PQL")))</f>
        <v>Noncancer Risk</v>
      </c>
    </row>
    <row r="39" spans="1:10" ht="12.5" x14ac:dyDescent="0.25">
      <c r="A39" s="50" t="s">
        <v>75</v>
      </c>
      <c r="B39" s="160">
        <f>IF(ISERR(1/+(VLOOKUP(A39,[1]!TOX,17,FALSE))),0,'[1]Target Risk'!$D$8*(VLOOKUP(A39,[1]!TOX,4,FALSE))/(('S-1 Assumptions'!$K$18*(VLOOKUP(A39,[1]!TOX,17,FALSE)))+('S-1 Assumptions'!$L$51*(VLOOKUP(A39,[1]!TOX,19,FALSE)))))</f>
        <v>5928.9276878497549</v>
      </c>
      <c r="C39" s="348">
        <f>IF(ISERR(1/(VLOOKUP(A39,[1]!TOX,25,FALSE))),0, '[1]Target Risk'!$D$12/((('S-1 Assumptions'!$K$26*(VLOOKUP(A39,[1]!TOX,25,FALSE)))+('S-1 Assumptions'!$L$59*(VLOOKUP(A39,[1]!TOX,27,FALSE))))*(VLOOKUP(A39,[1]!TOX,12,FALSE))))</f>
        <v>595.97452250654544</v>
      </c>
      <c r="D39" s="161">
        <f>IF(ISERR(1/(VLOOKUP(A39,[1]!TOX,25,FALSE))),0,IF(VLOOKUP(A39,[1]!TOX,36,FALSE)="M",'[1]Target Risk'!$D$12/((((((('S-1 Assumptions'!$K$30*(VLOOKUP(A39,[1]!TOX,25,FALSE)))+('S-1 Assumptions'!$L$67*(VLOOKUP(A39,[1]!TOX,27,FALSE))))*10))+(((('S-1 Assumptions'!$K$31*(VLOOKUP(A39,[1]!TOX,25,FALSE)))+('S-1 Assumptions'!$L$68*(VLOOKUP(A39,[1]!TOX,27,FALSE))))*3))+(((('S-1 Assumptions'!$K$32*(VLOOKUP(A39,[1]!TOX,25,FALSE)))+('S-1 Assumptions'!$L$69*(VLOOKUP(A39,[1]!TOX,27,FALSE))))*3))+(((('S-1 Assumptions'!$K$33*(VLOOKUP(A39,[1]!TOX,25,FALSE)))+('S-1 Assumptions'!$L$70)*(VLOOKUP(A39,[1]!TOX,27,FALSE))))*1)))*(VLOOKUP(A39,[1]!TOX,12,FALSE))),0))</f>
        <v>186.00117038962077</v>
      </c>
      <c r="E39" s="162">
        <f>IF(ISERR(1/(VLOOKUP(A39,[1]!TOX,25,FALSE))),0,IF(VLOOKUP(A39,[1]!TOX,36,FALSE)="M",'[1]Target Risk'!$D$12/((((((('S-1 Assumptions'!$K$30*(VLOOKUP(A39,[1]!TOX,25,FALSE)))+('S-1 Assumptions'!$L$67*(VLOOKUP(A39,[1]!TOX,27,FALSE))))*10))+(((('S-1 Assumptions'!$K$31*(VLOOKUP(A39,[1]!TOX,25,FALSE)))+('S-1 Assumptions'!$L$68*(VLOOKUP(A39,[1]!TOX,27,FALSE))))*3))+(((('S-1 Assumptions'!$K$32*(VLOOKUP(A39,[1]!TOX,25,FALSE)))+('S-1 Assumptions'!$L$69*(VLOOKUP(A39,[1]!TOX,27,FALSE))))*3))+(((('S-1 Assumptions'!$K$33*(VLOOKUP(A39,[1]!TOX,25,FALSE)))+('S-1 Assumptions'!$L$70)*(VLOOKUP(A39,[1]!TOX,27,FALSE))))*1)))*(VLOOKUP(A39,[1]!TOX,12,FALSE))),('[1]Target Risk'!$D$12/((('S-1 Assumptions'!$K$26*(VLOOKUP(A39,[1]!TOX,25,FALSE)))+('S-1 Assumptions'!$L$59*(VLOOKUP(A39,[1]!TOX,27,FALSE))))*(VLOOKUP(A39,[1]!TOX,12,FALSE))))))</f>
        <v>186.00117038962077</v>
      </c>
      <c r="F39" s="308">
        <f>IF(B39=0,MIN(E39,(VLOOKUP(A39,[1]!TOX,71,FALSE))),IF(E39=0,MIN(B39,(VLOOKUP(A39,[1]!TOX,71,FALSE))),MIN(B39,E39,(VLOOKUP(A39,[1]!TOX,71,FALSE)))))</f>
        <v>186.00117038962077</v>
      </c>
      <c r="G39" s="162" t="str">
        <f>IF(F39=B39,"Noncancer Risk",IF(F39=E39,"Cancer Risk",(VLOOKUP(A39,[1]!TOX,72,FALSE))))</f>
        <v>Cancer Risk</v>
      </c>
      <c r="H39" s="309">
        <f>MAX(F39,(VLOOKUP(A39,[1]!TOX,50,FALSE)),(VLOOKUP(A39,[1]!TOX,39,FALSE)))</f>
        <v>186.00117038962077</v>
      </c>
      <c r="I39" s="310">
        <f t="shared" ref="I39:I80" si="1">IF(H39&lt;&gt;0,ROUND(H39,1-(1+INT(LOG10(ABS(H39))))),"")</f>
        <v>200</v>
      </c>
      <c r="J39" s="165" t="str">
        <f>IF(H39=0,"Not Calculated",IF(H39=F39,G39,IF(H39=(VLOOKUP(A39,[1]!TOX,39,FALSE)),"Background","PQL")))</f>
        <v>Cancer Risk</v>
      </c>
    </row>
    <row r="40" spans="1:10" ht="12.5" x14ac:dyDescent="0.25">
      <c r="A40" s="50" t="s">
        <v>74</v>
      </c>
      <c r="B40" s="160">
        <f>IF(ISERR(1/+(VLOOKUP(A40,[1]!TOX,17,FALSE))),0,'[1]Target Risk'!$D$8*(VLOOKUP(A40,[1]!TOX,4,FALSE))/(('S-1 Assumptions'!$K$18*(VLOOKUP(A40,[1]!TOX,17,FALSE)))+('S-1 Assumptions'!$L$51*(VLOOKUP(A40,[1]!TOX,19,FALSE)))))</f>
        <v>30.15929750838589</v>
      </c>
      <c r="C40" s="161">
        <f>IF(ISERR(1/(VLOOKUP(A40,[1]!TOX,25,FALSE))),0, '[1]Target Risk'!$D$12/((('S-1 Assumptions'!$K$26*(VLOOKUP(A40,[1]!TOX,25,FALSE)))+('S-1 Assumptions'!$L$59*(VLOOKUP(A40,[1]!TOX,27,FALSE))))*(VLOOKUP(A40,[1]!TOX,12,FALSE))))</f>
        <v>0</v>
      </c>
      <c r="D40" s="161">
        <f>IF(ISERR(1/(VLOOKUP(A40,[1]!TOX,25,FALSE))),0,IF(VLOOKUP(A40,[1]!TOX,36,FALSE)="M",'[1]Target Risk'!$D$12/((((((('S-1 Assumptions'!$K$30*(VLOOKUP(A40,[1]!TOX,25,FALSE)))+('S-1 Assumptions'!$L$67*(VLOOKUP(A40,[1]!TOX,27,FALSE))))*10))+(((('S-1 Assumptions'!$K$31*(VLOOKUP(A40,[1]!TOX,25,FALSE)))+('S-1 Assumptions'!$L$68*(VLOOKUP(A40,[1]!TOX,27,FALSE))))*3))+(((('S-1 Assumptions'!$K$32*(VLOOKUP(A40,[1]!TOX,25,FALSE)))+('S-1 Assumptions'!$L$69*(VLOOKUP(A40,[1]!TOX,27,FALSE))))*3))+(((('S-1 Assumptions'!$K$33*(VLOOKUP(A40,[1]!TOX,25,FALSE)))+('S-1 Assumptions'!$L$70)*(VLOOKUP(A40,[1]!TOX,27,FALSE))))*1)))*(VLOOKUP(A40,[1]!TOX,12,FALSE))),0))</f>
        <v>0</v>
      </c>
      <c r="E40" s="162">
        <f>IF(ISERR(1/(VLOOKUP(A40,[1]!TOX,25,FALSE))),0,IF(VLOOKUP(A40,[1]!TOX,36,FALSE)="M",'[1]Target Risk'!$D$12/((((((('S-1 Assumptions'!$K$30*(VLOOKUP(A40,[1]!TOX,25,FALSE)))+('S-1 Assumptions'!$L$67*(VLOOKUP(A40,[1]!TOX,27,FALSE))))*10))+(((('S-1 Assumptions'!$K$31*(VLOOKUP(A40,[1]!TOX,25,FALSE)))+('S-1 Assumptions'!$L$68*(VLOOKUP(A40,[1]!TOX,27,FALSE))))*3))+(((('S-1 Assumptions'!$K$32*(VLOOKUP(A40,[1]!TOX,25,FALSE)))+('S-1 Assumptions'!$L$69*(VLOOKUP(A40,[1]!TOX,27,FALSE))))*3))+(((('S-1 Assumptions'!$K$33*(VLOOKUP(A40,[1]!TOX,25,FALSE)))+('S-1 Assumptions'!$L$70)*(VLOOKUP(A40,[1]!TOX,27,FALSE))))*1)))*(VLOOKUP(A40,[1]!TOX,12,FALSE))),('[1]Target Risk'!$D$12/((('S-1 Assumptions'!$K$26*(VLOOKUP(A40,[1]!TOX,25,FALSE)))+('S-1 Assumptions'!$L$59*(VLOOKUP(A40,[1]!TOX,27,FALSE))))*(VLOOKUP(A40,[1]!TOX,12,FALSE))))))</f>
        <v>0</v>
      </c>
      <c r="F40" s="308">
        <f>IF(B40=0,MIN(E40,(VLOOKUP(A40,[1]!TOX,71,FALSE))),IF(E40=0,MIN(B40,(VLOOKUP(A40,[1]!TOX,71,FALSE))),MIN(B40,E40,(VLOOKUP(A40,[1]!TOX,71,FALSE)))))</f>
        <v>30.15929750838589</v>
      </c>
      <c r="G40" s="162" t="str">
        <f>IF(F40=B40,"Noncancer Risk",IF(F40=E40,"Cancer Risk",(VLOOKUP(A40,[1]!TOX,72,FALSE))))</f>
        <v>Noncancer Risk</v>
      </c>
      <c r="H40" s="309">
        <f>MAX(F40,(VLOOKUP(A40,[1]!TOX,50,FALSE)),(VLOOKUP(A40,[1]!TOX,39,FALSE)))</f>
        <v>30.15929750838589</v>
      </c>
      <c r="I40" s="310">
        <f t="shared" si="1"/>
        <v>30</v>
      </c>
      <c r="J40" s="165" t="str">
        <f>IF(H40=0,"Not Calculated",IF(H40=F40,G40,IF(H40=(VLOOKUP(A40,[1]!TOX,39,FALSE)),"Background","PQL")))</f>
        <v>Noncancer Risk</v>
      </c>
    </row>
    <row r="41" spans="1:10" ht="12.5" x14ac:dyDescent="0.25">
      <c r="A41" s="50" t="s">
        <v>73</v>
      </c>
      <c r="B41" s="160">
        <f>IF(ISERR(1/+(VLOOKUP(A41,[1]!TOX,17,FALSE))),0,'[1]Target Risk'!$D$8*(VLOOKUP(A41,[1]!TOX,4,FALSE))/(('S-1 Assumptions'!$K$18*(VLOOKUP(A41,[1]!TOX,17,FALSE)))+('S-1 Assumptions'!$L$51*(VLOOKUP(A41,[1]!TOX,19,FALSE)))))</f>
        <v>5928.9276878497549</v>
      </c>
      <c r="C41" s="348">
        <f>IF(ISERR(1/(VLOOKUP(A41,[1]!TOX,25,FALSE))),0, '[1]Target Risk'!$D$12/((('S-1 Assumptions'!$K$26*(VLOOKUP(A41,[1]!TOX,25,FALSE)))+('S-1 Assumptions'!$L$59*(VLOOKUP(A41,[1]!TOX,27,FALSE))))*(VLOOKUP(A41,[1]!TOX,12,FALSE))))</f>
        <v>5.959745225065455</v>
      </c>
      <c r="D41" s="161">
        <f>IF(ISERR(1/(VLOOKUP(A41,[1]!TOX,25,FALSE))),0,IF(VLOOKUP(A41,[1]!TOX,36,FALSE)="M",'[1]Target Risk'!$D$12/((((((('S-1 Assumptions'!$K$30*(VLOOKUP(A41,[1]!TOX,25,FALSE)))+('S-1 Assumptions'!$L$67*(VLOOKUP(A41,[1]!TOX,27,FALSE))))*10))+(((('S-1 Assumptions'!$K$31*(VLOOKUP(A41,[1]!TOX,25,FALSE)))+('S-1 Assumptions'!$L$68*(VLOOKUP(A41,[1]!TOX,27,FALSE))))*3))+(((('S-1 Assumptions'!$K$32*(VLOOKUP(A41,[1]!TOX,25,FALSE)))+('S-1 Assumptions'!$L$69*(VLOOKUP(A41,[1]!TOX,27,FALSE))))*3))+(((('S-1 Assumptions'!$K$33*(VLOOKUP(A41,[1]!TOX,25,FALSE)))+('S-1 Assumptions'!$L$70)*(VLOOKUP(A41,[1]!TOX,27,FALSE))))*1)))*(VLOOKUP(A41,[1]!TOX,12,FALSE))),0))</f>
        <v>1.8600117038962078</v>
      </c>
      <c r="E41" s="162">
        <f>IF(ISERR(1/(VLOOKUP(A41,[1]!TOX,25,FALSE))),0,IF(VLOOKUP(A41,[1]!TOX,36,FALSE)="M",'[1]Target Risk'!$D$12/((((((('S-1 Assumptions'!$K$30*(VLOOKUP(A41,[1]!TOX,25,FALSE)))+('S-1 Assumptions'!$L$67*(VLOOKUP(A41,[1]!TOX,27,FALSE))))*10))+(((('S-1 Assumptions'!$K$31*(VLOOKUP(A41,[1]!TOX,25,FALSE)))+('S-1 Assumptions'!$L$68*(VLOOKUP(A41,[1]!TOX,27,FALSE))))*3))+(((('S-1 Assumptions'!$K$32*(VLOOKUP(A41,[1]!TOX,25,FALSE)))+('S-1 Assumptions'!$L$69*(VLOOKUP(A41,[1]!TOX,27,FALSE))))*3))+(((('S-1 Assumptions'!$K$33*(VLOOKUP(A41,[1]!TOX,25,FALSE)))+('S-1 Assumptions'!$L$70)*(VLOOKUP(A41,[1]!TOX,27,FALSE))))*1)))*(VLOOKUP(A41,[1]!TOX,12,FALSE))),('[1]Target Risk'!$D$12/((('S-1 Assumptions'!$K$26*(VLOOKUP(A41,[1]!TOX,25,FALSE)))+('S-1 Assumptions'!$L$59*(VLOOKUP(A41,[1]!TOX,27,FALSE))))*(VLOOKUP(A41,[1]!TOX,12,FALSE))))))</f>
        <v>1.8600117038962078</v>
      </c>
      <c r="F41" s="308">
        <f>IF(B41=0,MIN(E41,(VLOOKUP(A41,[1]!TOX,71,FALSE))),IF(E41=0,MIN(B41,(VLOOKUP(A41,[1]!TOX,71,FALSE))),MIN(B41,E41,(VLOOKUP(A41,[1]!TOX,71,FALSE)))))</f>
        <v>1.8600117038962078</v>
      </c>
      <c r="G41" s="162" t="str">
        <f>IF(F41=B41,"Noncancer Risk",IF(F41=E41,"Cancer Risk",(VLOOKUP(A41,[1]!TOX,72,FALSE))))</f>
        <v>Cancer Risk</v>
      </c>
      <c r="H41" s="309">
        <f>MAX(F41,(VLOOKUP(A41,[1]!TOX,50,FALSE)),(VLOOKUP(A41,[1]!TOX,39,FALSE)))</f>
        <v>1.8600117038962078</v>
      </c>
      <c r="I41" s="310">
        <f t="shared" si="1"/>
        <v>2</v>
      </c>
      <c r="J41" s="165" t="str">
        <f>IF(H41=0,"Not Calculated",IF(H41=F41,G41,IF(H41=(VLOOKUP(A41,[1]!TOX,39,FALSE)),"Background","PQL")))</f>
        <v>Cancer Risk</v>
      </c>
    </row>
    <row r="42" spans="1:10" ht="12.5" x14ac:dyDescent="0.25">
      <c r="A42" s="50" t="s">
        <v>72</v>
      </c>
      <c r="B42" s="160">
        <f>IF(ISERR(1/+(VLOOKUP(A42,[1]!TOX,17,FALSE))),0,'[1]Target Risk'!$D$8*(VLOOKUP(A42,[1]!TOX,4,FALSE))/(('S-1 Assumptions'!$K$18*(VLOOKUP(A42,[1]!TOX,17,FALSE)))+('S-1 Assumptions'!$L$51*(VLOOKUP(A42,[1]!TOX,19,FALSE)))))</f>
        <v>1477.5676268199306</v>
      </c>
      <c r="C42" s="161">
        <f>IF(ISERR(1/(VLOOKUP(A42,[1]!TOX,25,FALSE))),0, '[1]Target Risk'!$D$12/((('S-1 Assumptions'!$K$26*(VLOOKUP(A42,[1]!TOX,25,FALSE)))+('S-1 Assumptions'!$L$59*(VLOOKUP(A42,[1]!TOX,27,FALSE))))*(VLOOKUP(A42,[1]!TOX,12,FALSE))))</f>
        <v>27.353259139693812</v>
      </c>
      <c r="D42" s="161">
        <f>IF(ISERR(1/(VLOOKUP(A42,[1]!TOX,25,FALSE))),0,IF(VLOOKUP(A42,[1]!TOX,36,FALSE)="M",'[1]Target Risk'!$D$12/((((((('S-1 Assumptions'!$K$30*(VLOOKUP(A42,[1]!TOX,25,FALSE)))+('S-1 Assumptions'!$L$67*(VLOOKUP(A42,[1]!TOX,27,FALSE))))*10))+(((('S-1 Assumptions'!$K$31*(VLOOKUP(A42,[1]!TOX,25,FALSE)))+('S-1 Assumptions'!$L$68*(VLOOKUP(A42,[1]!TOX,27,FALSE))))*3))+(((('S-1 Assumptions'!$K$32*(VLOOKUP(A42,[1]!TOX,25,FALSE)))+('S-1 Assumptions'!$L$69*(VLOOKUP(A42,[1]!TOX,27,FALSE))))*3))+(((('S-1 Assumptions'!$K$33*(VLOOKUP(A42,[1]!TOX,25,FALSE)))+('S-1 Assumptions'!$L$70)*(VLOOKUP(A42,[1]!TOX,27,FALSE))))*1)))*(VLOOKUP(A42,[1]!TOX,12,FALSE))),0))</f>
        <v>0</v>
      </c>
      <c r="E42" s="162">
        <f>IF(ISERR(1/(VLOOKUP(A42,[1]!TOX,25,FALSE))),0,IF(VLOOKUP(A42,[1]!TOX,36,FALSE)="M",'[1]Target Risk'!$D$12/((((((('S-1 Assumptions'!$K$30*(VLOOKUP(A42,[1]!TOX,25,FALSE)))+('S-1 Assumptions'!$L$67*(VLOOKUP(A42,[1]!TOX,27,FALSE))))*10))+(((('S-1 Assumptions'!$K$31*(VLOOKUP(A42,[1]!TOX,25,FALSE)))+('S-1 Assumptions'!$L$68*(VLOOKUP(A42,[1]!TOX,27,FALSE))))*3))+(((('S-1 Assumptions'!$K$32*(VLOOKUP(A42,[1]!TOX,25,FALSE)))+('S-1 Assumptions'!$L$69*(VLOOKUP(A42,[1]!TOX,27,FALSE))))*3))+(((('S-1 Assumptions'!$K$33*(VLOOKUP(A42,[1]!TOX,25,FALSE)))+('S-1 Assumptions'!$L$70)*(VLOOKUP(A42,[1]!TOX,27,FALSE))))*1)))*(VLOOKUP(A42,[1]!TOX,12,FALSE))),('[1]Target Risk'!$D$12/((('S-1 Assumptions'!$K$26*(VLOOKUP(A42,[1]!TOX,25,FALSE)))+('S-1 Assumptions'!$L$59*(VLOOKUP(A42,[1]!TOX,27,FALSE))))*(VLOOKUP(A42,[1]!TOX,12,FALSE))))))</f>
        <v>27.353259139693812</v>
      </c>
      <c r="F42" s="308">
        <f>IF(B42=0,MIN(E42,(VLOOKUP(A42,[1]!TOX,71,FALSE))),IF(E42=0,MIN(B42,(VLOOKUP(A42,[1]!TOX,71,FALSE))),MIN(B42,E42,(VLOOKUP(A42,[1]!TOX,71,FALSE)))))</f>
        <v>27.353259139693812</v>
      </c>
      <c r="G42" s="162" t="str">
        <f>IF(F42=B42,"Noncancer Risk",IF(F42=E42,"Cancer Risk",(VLOOKUP(A42,[1]!TOX,72,FALSE))))</f>
        <v>Cancer Risk</v>
      </c>
      <c r="H42" s="309">
        <f>MAX(F42,(VLOOKUP(A42,[1]!TOX,50,FALSE)),(VLOOKUP(A42,[1]!TOX,39,FALSE)))</f>
        <v>27.353259139693812</v>
      </c>
      <c r="I42" s="310">
        <f t="shared" si="1"/>
        <v>30</v>
      </c>
      <c r="J42" s="165" t="str">
        <f>IF(H42=0,"Not Calculated",IF(H42=F42,G42,IF(H42=(VLOOKUP(A42,[1]!TOX,39,FALSE)),"Background","PQL")))</f>
        <v>Cancer Risk</v>
      </c>
    </row>
    <row r="43" spans="1:10" ht="12.5" x14ac:dyDescent="0.25">
      <c r="A43" s="50" t="s">
        <v>71</v>
      </c>
      <c r="B43" s="160">
        <f>IF(ISERR(1/+(VLOOKUP(A43,[1]!TOX,17,FALSE))),0,'[1]Target Risk'!$D$8*(VLOOKUP(A43,[1]!TOX,4,FALSE))/(('S-1 Assumptions'!$K$18*(VLOOKUP(A43,[1]!TOX,17,FALSE)))+('S-1 Assumptions'!$L$51*(VLOOKUP(A43,[1]!TOX,19,FALSE)))))</f>
        <v>6649.0543206896873</v>
      </c>
      <c r="C43" s="161">
        <f>IF(ISERR(1/(VLOOKUP(A43,[1]!TOX,25,FALSE))),0, '[1]Target Risk'!$D$12/((('S-1 Assumptions'!$K$26*(VLOOKUP(A43,[1]!TOX,25,FALSE)))+('S-1 Assumptions'!$L$59*(VLOOKUP(A43,[1]!TOX,27,FALSE))))*(VLOOKUP(A43,[1]!TOX,12,FALSE))))</f>
        <v>0</v>
      </c>
      <c r="D43" s="161">
        <f>IF(ISERR(1/(VLOOKUP(A43,[1]!TOX,25,FALSE))),0,IF(VLOOKUP(A43,[1]!TOX,36,FALSE)="M",'[1]Target Risk'!$D$12/((((((('S-1 Assumptions'!$K$30*(VLOOKUP(A43,[1]!TOX,25,FALSE)))+('S-1 Assumptions'!$L$67*(VLOOKUP(A43,[1]!TOX,27,FALSE))))*10))+(((('S-1 Assumptions'!$K$31*(VLOOKUP(A43,[1]!TOX,25,FALSE)))+('S-1 Assumptions'!$L$68*(VLOOKUP(A43,[1]!TOX,27,FALSE))))*3))+(((('S-1 Assumptions'!$K$32*(VLOOKUP(A43,[1]!TOX,25,FALSE)))+('S-1 Assumptions'!$L$69*(VLOOKUP(A43,[1]!TOX,27,FALSE))))*3))+(((('S-1 Assumptions'!$K$33*(VLOOKUP(A43,[1]!TOX,25,FALSE)))+('S-1 Assumptions'!$L$70)*(VLOOKUP(A43,[1]!TOX,27,FALSE))))*1)))*(VLOOKUP(A43,[1]!TOX,12,FALSE))),0))</f>
        <v>0</v>
      </c>
      <c r="E43" s="162">
        <f>IF(ISERR(1/(VLOOKUP(A43,[1]!TOX,25,FALSE))),0,IF(VLOOKUP(A43,[1]!TOX,36,FALSE)="M",'[1]Target Risk'!$D$12/((((((('S-1 Assumptions'!$K$30*(VLOOKUP(A43,[1]!TOX,25,FALSE)))+('S-1 Assumptions'!$L$67*(VLOOKUP(A43,[1]!TOX,27,FALSE))))*10))+(((('S-1 Assumptions'!$K$31*(VLOOKUP(A43,[1]!TOX,25,FALSE)))+('S-1 Assumptions'!$L$68*(VLOOKUP(A43,[1]!TOX,27,FALSE))))*3))+(((('S-1 Assumptions'!$K$32*(VLOOKUP(A43,[1]!TOX,25,FALSE)))+('S-1 Assumptions'!$L$69*(VLOOKUP(A43,[1]!TOX,27,FALSE))))*3))+(((('S-1 Assumptions'!$K$33*(VLOOKUP(A43,[1]!TOX,25,FALSE)))+('S-1 Assumptions'!$L$70)*(VLOOKUP(A43,[1]!TOX,27,FALSE))))*1)))*(VLOOKUP(A43,[1]!TOX,12,FALSE))),('[1]Target Risk'!$D$12/((('S-1 Assumptions'!$K$26*(VLOOKUP(A43,[1]!TOX,25,FALSE)))+('S-1 Assumptions'!$L$59*(VLOOKUP(A43,[1]!TOX,27,FALSE))))*(VLOOKUP(A43,[1]!TOX,12,FALSE))))))</f>
        <v>0</v>
      </c>
      <c r="F43" s="308">
        <f>IF(B43=0,MIN(E43,(VLOOKUP(A43,[1]!TOX,71,FALSE))),IF(E43=0,MIN(B43,(VLOOKUP(A43,[1]!TOX,71,FALSE))),MIN(B43,E43,(VLOOKUP(A43,[1]!TOX,71,FALSE)))))</f>
        <v>1000</v>
      </c>
      <c r="G43" s="162" t="str">
        <f>IF(F43=B43,"Noncancer Risk",IF(F43=E43,"Cancer Risk",(VLOOKUP(A43,[1]!TOX,72,FALSE))))</f>
        <v>Ceiling (High)</v>
      </c>
      <c r="H43" s="309">
        <f>MAX(F43,(VLOOKUP(A43,[1]!TOX,50,FALSE)),(VLOOKUP(A43,[1]!TOX,39,FALSE)))</f>
        <v>1000</v>
      </c>
      <c r="I43" s="310">
        <f t="shared" si="1"/>
        <v>1000</v>
      </c>
      <c r="J43" s="165" t="str">
        <f>IF(H43=0,"Not Calculated",IF(H43=F43,G43,IF(H43=(VLOOKUP(A43,[1]!TOX,39,FALSE)),"Background","PQL")))</f>
        <v>Ceiling (High)</v>
      </c>
    </row>
    <row r="44" spans="1:10" ht="12.5" x14ac:dyDescent="0.25">
      <c r="A44" s="50" t="s">
        <v>70</v>
      </c>
      <c r="B44" s="160">
        <f>IF(ISERR(1/+(VLOOKUP(A44,[1]!TOX,17,FALSE))),0,'[1]Target Risk'!$D$8*(VLOOKUP(A44,[1]!TOX,4,FALSE))/(('S-1 Assumptions'!$K$18*(VLOOKUP(A44,[1]!TOX,17,FALSE)))+('S-1 Assumptions'!$L$51*(VLOOKUP(A44,[1]!TOX,19,FALSE)))))</f>
        <v>6649.0543206896873</v>
      </c>
      <c r="C44" s="161">
        <f>IF(ISERR(1/(VLOOKUP(A44,[1]!TOX,25,FALSE))),0, '[1]Target Risk'!$D$12/((('S-1 Assumptions'!$K$26*(VLOOKUP(A44,[1]!TOX,25,FALSE)))+('S-1 Assumptions'!$L$59*(VLOOKUP(A44,[1]!TOX,27,FALSE))))*(VLOOKUP(A44,[1]!TOX,12,FALSE))))</f>
        <v>0</v>
      </c>
      <c r="D44" s="161">
        <f>IF(ISERR(1/(VLOOKUP(A44,[1]!TOX,25,FALSE))),0,IF(VLOOKUP(A44,[1]!TOX,36,FALSE)="M",'[1]Target Risk'!$D$12/((((((('S-1 Assumptions'!$K$30*(VLOOKUP(A44,[1]!TOX,25,FALSE)))+('S-1 Assumptions'!$L$67*(VLOOKUP(A44,[1]!TOX,27,FALSE))))*10))+(((('S-1 Assumptions'!$K$31*(VLOOKUP(A44,[1]!TOX,25,FALSE)))+('S-1 Assumptions'!$L$68*(VLOOKUP(A44,[1]!TOX,27,FALSE))))*3))+(((('S-1 Assumptions'!$K$32*(VLOOKUP(A44,[1]!TOX,25,FALSE)))+('S-1 Assumptions'!$L$69*(VLOOKUP(A44,[1]!TOX,27,FALSE))))*3))+(((('S-1 Assumptions'!$K$33*(VLOOKUP(A44,[1]!TOX,25,FALSE)))+('S-1 Assumptions'!$L$70)*(VLOOKUP(A44,[1]!TOX,27,FALSE))))*1)))*(VLOOKUP(A44,[1]!TOX,12,FALSE))),0))</f>
        <v>0</v>
      </c>
      <c r="E44" s="162">
        <f>IF(ISERR(1/(VLOOKUP(A44,[1]!TOX,25,FALSE))),0,IF(VLOOKUP(A44,[1]!TOX,36,FALSE)="M",'[1]Target Risk'!$D$12/((((((('S-1 Assumptions'!$K$30*(VLOOKUP(A44,[1]!TOX,25,FALSE)))+('S-1 Assumptions'!$L$67*(VLOOKUP(A44,[1]!TOX,27,FALSE))))*10))+(((('S-1 Assumptions'!$K$31*(VLOOKUP(A44,[1]!TOX,25,FALSE)))+('S-1 Assumptions'!$L$68*(VLOOKUP(A44,[1]!TOX,27,FALSE))))*3))+(((('S-1 Assumptions'!$K$32*(VLOOKUP(A44,[1]!TOX,25,FALSE)))+('S-1 Assumptions'!$L$69*(VLOOKUP(A44,[1]!TOX,27,FALSE))))*3))+(((('S-1 Assumptions'!$K$33*(VLOOKUP(A44,[1]!TOX,25,FALSE)))+('S-1 Assumptions'!$L$70)*(VLOOKUP(A44,[1]!TOX,27,FALSE))))*1)))*(VLOOKUP(A44,[1]!TOX,12,FALSE))),('[1]Target Risk'!$D$12/((('S-1 Assumptions'!$K$26*(VLOOKUP(A44,[1]!TOX,25,FALSE)))+('S-1 Assumptions'!$L$59*(VLOOKUP(A44,[1]!TOX,27,FALSE))))*(VLOOKUP(A44,[1]!TOX,12,FALSE))))))</f>
        <v>0</v>
      </c>
      <c r="F44" s="308">
        <f>IF(B44=0,MIN(E44,(VLOOKUP(A44,[1]!TOX,71,FALSE))),IF(E44=0,MIN(B44,(VLOOKUP(A44,[1]!TOX,71,FALSE))),MIN(B44,E44,(VLOOKUP(A44,[1]!TOX,71,FALSE)))))</f>
        <v>100</v>
      </c>
      <c r="G44" s="162" t="str">
        <f>IF(F44=B44,"Noncancer Risk",IF(F44=E44,"Cancer Risk",(VLOOKUP(A44,[1]!TOX,72,FALSE))))</f>
        <v>Ceiling (Low)</v>
      </c>
      <c r="H44" s="309">
        <f>MAX(F44,(VLOOKUP(A44,[1]!TOX,50,FALSE)),(VLOOKUP(A44,[1]!TOX,39,FALSE)))</f>
        <v>100</v>
      </c>
      <c r="I44" s="310">
        <f t="shared" si="1"/>
        <v>100</v>
      </c>
      <c r="J44" s="165" t="str">
        <f>IF(H44=0,"Not Calculated",IF(H44=F44,G44,IF(H44=(VLOOKUP(A44,[1]!TOX,39,FALSE)),"Background","PQL")))</f>
        <v>Ceiling (Low)</v>
      </c>
    </row>
    <row r="45" spans="1:10" ht="12.5" x14ac:dyDescent="0.25">
      <c r="A45" s="50" t="s">
        <v>69</v>
      </c>
      <c r="B45" s="160">
        <f>IF(ISERR(1/+(VLOOKUP(A45,[1]!TOX,17,FALSE))),0,'[1]Target Risk'!$D$8*(VLOOKUP(A45,[1]!TOX,4,FALSE))/(('S-1 Assumptions'!$K$18*(VLOOKUP(A45,[1]!TOX,17,FALSE)))+('S-1 Assumptions'!$L$51*(VLOOKUP(A45,[1]!TOX,19,FALSE)))))</f>
        <v>6649.0543206896873</v>
      </c>
      <c r="C45" s="161">
        <f>IF(ISERR(1/(VLOOKUP(A45,[1]!TOX,25,FALSE))),0, '[1]Target Risk'!$D$12/((('S-1 Assumptions'!$K$26*(VLOOKUP(A45,[1]!TOX,25,FALSE)))+('S-1 Assumptions'!$L$59*(VLOOKUP(A45,[1]!TOX,27,FALSE))))*(VLOOKUP(A45,[1]!TOX,12,FALSE))))</f>
        <v>95.736406988928351</v>
      </c>
      <c r="D45" s="161">
        <f>IF(ISERR(1/(VLOOKUP(A45,[1]!TOX,25,FALSE))),0,IF(VLOOKUP(A45,[1]!TOX,36,FALSE)="M",'[1]Target Risk'!$D$12/((((((('S-1 Assumptions'!$K$30*(VLOOKUP(A45,[1]!TOX,25,FALSE)))+('S-1 Assumptions'!$L$67*(VLOOKUP(A45,[1]!TOX,27,FALSE))))*10))+(((('S-1 Assumptions'!$K$31*(VLOOKUP(A45,[1]!TOX,25,FALSE)))+('S-1 Assumptions'!$L$68*(VLOOKUP(A45,[1]!TOX,27,FALSE))))*3))+(((('S-1 Assumptions'!$K$32*(VLOOKUP(A45,[1]!TOX,25,FALSE)))+('S-1 Assumptions'!$L$69*(VLOOKUP(A45,[1]!TOX,27,FALSE))))*3))+(((('S-1 Assumptions'!$K$33*(VLOOKUP(A45,[1]!TOX,25,FALSE)))+('S-1 Assumptions'!$L$70)*(VLOOKUP(A45,[1]!TOX,27,FALSE))))*1)))*(VLOOKUP(A45,[1]!TOX,12,FALSE))),0))</f>
        <v>0</v>
      </c>
      <c r="E45" s="162">
        <f>IF(ISERR(1/(VLOOKUP(A45,[1]!TOX,25,FALSE))),0,IF(VLOOKUP(A45,[1]!TOX,36,FALSE)="M",'[1]Target Risk'!$D$12/((((((('S-1 Assumptions'!$K$30*(VLOOKUP(A45,[1]!TOX,25,FALSE)))+('S-1 Assumptions'!$L$67*(VLOOKUP(A45,[1]!TOX,27,FALSE))))*10))+(((('S-1 Assumptions'!$K$31*(VLOOKUP(A45,[1]!TOX,25,FALSE)))+('S-1 Assumptions'!$L$68*(VLOOKUP(A45,[1]!TOX,27,FALSE))))*3))+(((('S-1 Assumptions'!$K$32*(VLOOKUP(A45,[1]!TOX,25,FALSE)))+('S-1 Assumptions'!$L$69*(VLOOKUP(A45,[1]!TOX,27,FALSE))))*3))+(((('S-1 Assumptions'!$K$33*(VLOOKUP(A45,[1]!TOX,25,FALSE)))+('S-1 Assumptions'!$L$70)*(VLOOKUP(A45,[1]!TOX,27,FALSE))))*1)))*(VLOOKUP(A45,[1]!TOX,12,FALSE))),('[1]Target Risk'!$D$12/((('S-1 Assumptions'!$K$26*(VLOOKUP(A45,[1]!TOX,25,FALSE)))+('S-1 Assumptions'!$L$59*(VLOOKUP(A45,[1]!TOX,27,FALSE))))*(VLOOKUP(A45,[1]!TOX,12,FALSE))))))</f>
        <v>95.736406988928351</v>
      </c>
      <c r="F45" s="308">
        <f>IF(B45=0,MIN(E45,(VLOOKUP(A45,[1]!TOX,71,FALSE))),IF(E45=0,MIN(B45,(VLOOKUP(A45,[1]!TOX,71,FALSE))),MIN(B45,E45,(VLOOKUP(A45,[1]!TOX,71,FALSE)))))</f>
        <v>95.736406988928351</v>
      </c>
      <c r="G45" s="162" t="str">
        <f>IF(F45=B45,"Noncancer Risk",IF(F45=E45,"Cancer Risk",(VLOOKUP(A45,[1]!TOX,72,FALSE))))</f>
        <v>Cancer Risk</v>
      </c>
      <c r="H45" s="309">
        <f>MAX(F45,(VLOOKUP(A45,[1]!TOX,50,FALSE)),(VLOOKUP(A45,[1]!TOX,39,FALSE)))</f>
        <v>95.736406988928351</v>
      </c>
      <c r="I45" s="310">
        <f t="shared" si="1"/>
        <v>100</v>
      </c>
      <c r="J45" s="165" t="str">
        <f>IF(H45=0,"Not Calculated",IF(H45=F45,G45,IF(H45=(VLOOKUP(A45,[1]!TOX,39,FALSE)),"Background","PQL")))</f>
        <v>Cancer Risk</v>
      </c>
    </row>
    <row r="46" spans="1:10" ht="12.5" x14ac:dyDescent="0.25">
      <c r="A46" s="50" t="s">
        <v>68</v>
      </c>
      <c r="B46" s="160">
        <f>IF(ISERR(1/+(VLOOKUP(A46,[1]!TOX,17,FALSE))),0,'[1]Target Risk'!$D$8*(VLOOKUP(A46,[1]!TOX,4,FALSE))/(('S-1 Assumptions'!$K$18*(VLOOKUP(A46,[1]!TOX,17,FALSE)))+('S-1 Assumptions'!$L$51*(VLOOKUP(A46,[1]!TOX,19,FALSE)))))</f>
        <v>0</v>
      </c>
      <c r="C46" s="161">
        <f>IF(ISERR(1/(VLOOKUP(A46,[1]!TOX,25,FALSE))),0, '[1]Target Risk'!$D$12/((('S-1 Assumptions'!$K$26*(VLOOKUP(A46,[1]!TOX,25,FALSE)))+('S-1 Assumptions'!$L$59*(VLOOKUP(A46,[1]!TOX,27,FALSE))))*(VLOOKUP(A46,[1]!TOX,12,FALSE))))</f>
        <v>3.3063234159389179</v>
      </c>
      <c r="D46" s="161">
        <f>IF(ISERR(1/(VLOOKUP(A46,[1]!TOX,25,FALSE))),0,IF(VLOOKUP(A46,[1]!TOX,36,FALSE)="M",'[1]Target Risk'!$D$12/((((((('S-1 Assumptions'!$K$30*(VLOOKUP(A46,[1]!TOX,25,FALSE)))+('S-1 Assumptions'!$L$67*(VLOOKUP(A46,[1]!TOX,27,FALSE))))*10))+(((('S-1 Assumptions'!$K$31*(VLOOKUP(A46,[1]!TOX,25,FALSE)))+('S-1 Assumptions'!$L$68*(VLOOKUP(A46,[1]!TOX,27,FALSE))))*3))+(((('S-1 Assumptions'!$K$32*(VLOOKUP(A46,[1]!TOX,25,FALSE)))+('S-1 Assumptions'!$L$69*(VLOOKUP(A46,[1]!TOX,27,FALSE))))*3))+(((('S-1 Assumptions'!$K$33*(VLOOKUP(A46,[1]!TOX,25,FALSE)))+('S-1 Assumptions'!$L$70)*(VLOOKUP(A46,[1]!TOX,27,FALSE))))*1)))*(VLOOKUP(A46,[1]!TOX,12,FALSE))),0))</f>
        <v>0</v>
      </c>
      <c r="E46" s="162">
        <f>IF(ISERR(1/(VLOOKUP(A46,[1]!TOX,25,FALSE))),0,IF(VLOOKUP(A46,[1]!TOX,36,FALSE)="M",'[1]Target Risk'!$D$12/((((((('S-1 Assumptions'!$K$30*(VLOOKUP(A46,[1]!TOX,25,FALSE)))+('S-1 Assumptions'!$L$67*(VLOOKUP(A46,[1]!TOX,27,FALSE))))*10))+(((('S-1 Assumptions'!$K$31*(VLOOKUP(A46,[1]!TOX,25,FALSE)))+('S-1 Assumptions'!$L$68*(VLOOKUP(A46,[1]!TOX,27,FALSE))))*3))+(((('S-1 Assumptions'!$K$32*(VLOOKUP(A46,[1]!TOX,25,FALSE)))+('S-1 Assumptions'!$L$69*(VLOOKUP(A46,[1]!TOX,27,FALSE))))*3))+(((('S-1 Assumptions'!$K$33*(VLOOKUP(A46,[1]!TOX,25,FALSE)))+('S-1 Assumptions'!$L$70)*(VLOOKUP(A46,[1]!TOX,27,FALSE))))*1)))*(VLOOKUP(A46,[1]!TOX,12,FALSE))),('[1]Target Risk'!$D$12/((('S-1 Assumptions'!$K$26*(VLOOKUP(A46,[1]!TOX,25,FALSE)))+('S-1 Assumptions'!$L$59*(VLOOKUP(A46,[1]!TOX,27,FALSE))))*(VLOOKUP(A46,[1]!TOX,12,FALSE))))))</f>
        <v>3.3063234159389179</v>
      </c>
      <c r="F46" s="308">
        <f>IF(B46=0,MIN(E46,(VLOOKUP(A46,[1]!TOX,71,FALSE))),IF(E46=0,MIN(B46,(VLOOKUP(A46,[1]!TOX,71,FALSE))),MIN(B46,E46,(VLOOKUP(A46,[1]!TOX,71,FALSE)))))</f>
        <v>3.3063234159389179</v>
      </c>
      <c r="G46" s="162" t="str">
        <f>IF(F46=B46,"Noncancer Risk",IF(F46=E46,"Cancer Risk",(VLOOKUP(A46,[1]!TOX,72,FALSE))))</f>
        <v>Cancer Risk</v>
      </c>
      <c r="H46" s="309">
        <f>MAX(F46,(VLOOKUP(A46,[1]!TOX,50,FALSE)),(VLOOKUP(A46,[1]!TOX,39,FALSE)))</f>
        <v>3.3063234159389179</v>
      </c>
      <c r="I46" s="310">
        <f t="shared" si="1"/>
        <v>3</v>
      </c>
      <c r="J46" s="165" t="str">
        <f>IF(H46=0,"Not Calculated",IF(H46=F46,G46,IF(H46=(VLOOKUP(A46,[1]!TOX,39,FALSE)),"Background","PQL")))</f>
        <v>Cancer Risk</v>
      </c>
    </row>
    <row r="47" spans="1:10" ht="20" x14ac:dyDescent="0.25">
      <c r="A47" s="50" t="s">
        <v>67</v>
      </c>
      <c r="B47" s="160">
        <f>IF(ISERR(1/+(VLOOKUP(A47,[1]!TOX,17,FALSE))),0,'[1]Target Risk'!$D$8*(VLOOKUP(A47,[1]!TOX,4,FALSE))/(('S-1 Assumptions'!$K$18*(VLOOKUP(A47,[1]!TOX,17,FALSE)))+('S-1 Assumptions'!$L$51*(VLOOKUP(A47,[1]!TOX,19,FALSE)))))</f>
        <v>36.93919067049827</v>
      </c>
      <c r="C47" s="161">
        <f>IF(ISERR(1/(VLOOKUP(A47,[1]!TOX,25,FALSE))),0, '[1]Target Risk'!$D$12/((('S-1 Assumptions'!$K$26*(VLOOKUP(A47,[1]!TOX,25,FALSE)))+('S-1 Assumptions'!$L$59*(VLOOKUP(A47,[1]!TOX,27,FALSE))))*(VLOOKUP(A47,[1]!TOX,12,FALSE))))</f>
        <v>9.5736406988928344</v>
      </c>
      <c r="D47" s="161">
        <f>IF(ISERR(1/(VLOOKUP(A47,[1]!TOX,25,FALSE))),0,IF(VLOOKUP(A47,[1]!TOX,36,FALSE)="M",'[1]Target Risk'!$D$12/((((((('S-1 Assumptions'!$K$30*(VLOOKUP(A47,[1]!TOX,25,FALSE)))+('S-1 Assumptions'!$L$67*(VLOOKUP(A47,[1]!TOX,27,FALSE))))*10))+(((('S-1 Assumptions'!$K$31*(VLOOKUP(A47,[1]!TOX,25,FALSE)))+('S-1 Assumptions'!$L$68*(VLOOKUP(A47,[1]!TOX,27,FALSE))))*3))+(((('S-1 Assumptions'!$K$32*(VLOOKUP(A47,[1]!TOX,25,FALSE)))+('S-1 Assumptions'!$L$69*(VLOOKUP(A47,[1]!TOX,27,FALSE))))*3))+(((('S-1 Assumptions'!$K$33*(VLOOKUP(A47,[1]!TOX,25,FALSE)))+('S-1 Assumptions'!$L$70)*(VLOOKUP(A47,[1]!TOX,27,FALSE))))*1)))*(VLOOKUP(A47,[1]!TOX,12,FALSE))),0))</f>
        <v>0</v>
      </c>
      <c r="E47" s="162">
        <f>IF(ISERR(1/(VLOOKUP(A47,[1]!TOX,25,FALSE))),0,IF(VLOOKUP(A47,[1]!TOX,36,FALSE)="M",'[1]Target Risk'!$D$12/((((((('S-1 Assumptions'!$K$30*(VLOOKUP(A47,[1]!TOX,25,FALSE)))+('S-1 Assumptions'!$L$67*(VLOOKUP(A47,[1]!TOX,27,FALSE))))*10))+(((('S-1 Assumptions'!$K$31*(VLOOKUP(A47,[1]!TOX,25,FALSE)))+('S-1 Assumptions'!$L$68*(VLOOKUP(A47,[1]!TOX,27,FALSE))))*3))+(((('S-1 Assumptions'!$K$32*(VLOOKUP(A47,[1]!TOX,25,FALSE)))+('S-1 Assumptions'!$L$69*(VLOOKUP(A47,[1]!TOX,27,FALSE))))*3))+(((('S-1 Assumptions'!$K$33*(VLOOKUP(A47,[1]!TOX,25,FALSE)))+('S-1 Assumptions'!$L$70)*(VLOOKUP(A47,[1]!TOX,27,FALSE))))*1)))*(VLOOKUP(A47,[1]!TOX,12,FALSE))),('[1]Target Risk'!$D$12/((('S-1 Assumptions'!$K$26*(VLOOKUP(A47,[1]!TOX,25,FALSE)))+('S-1 Assumptions'!$L$59*(VLOOKUP(A47,[1]!TOX,27,FALSE))))*(VLOOKUP(A47,[1]!TOX,12,FALSE))))))</f>
        <v>9.5736406988928344</v>
      </c>
      <c r="F47" s="308">
        <f>IF(B47=0,MIN(E47,(VLOOKUP(A47,[1]!TOX,71,FALSE))),IF(E47=0,MIN(B47,(VLOOKUP(A47,[1]!TOX,71,FALSE))),MIN(B47,E47,(VLOOKUP(A47,[1]!TOX,71,FALSE)))))</f>
        <v>9.5736406988928344</v>
      </c>
      <c r="G47" s="162" t="str">
        <f>IF(F47=B47,"Noncancer Risk",IF(F47=E47,"Cancer Risk",(VLOOKUP(A47,[1]!TOX,72,FALSE))))</f>
        <v>Cancer Risk</v>
      </c>
      <c r="H47" s="309">
        <f>MAX(F47,(VLOOKUP(A47,[1]!TOX,50,FALSE)),(VLOOKUP(A47,[1]!TOX,39,FALSE)))</f>
        <v>9.5736406988928344</v>
      </c>
      <c r="I47" s="310">
        <f t="shared" si="1"/>
        <v>10</v>
      </c>
      <c r="J47" s="165" t="str">
        <f>IF(H47=0,"Not Calculated",IF(H47=F47,G47,IF(H47=(VLOOKUP(A47,[1]!TOX,39,FALSE)),"Background","PQL")))</f>
        <v>Cancer Risk</v>
      </c>
    </row>
    <row r="48" spans="1:10" ht="20" x14ac:dyDescent="0.25">
      <c r="A48" s="50" t="s">
        <v>66</v>
      </c>
      <c r="B48" s="160">
        <f>IF(ISERR(1/+(VLOOKUP(A48,[1]!TOX,17,FALSE))),0,'[1]Target Risk'!$D$8*(VLOOKUP(A48,[1]!TOX,4,FALSE))/(('S-1 Assumptions'!$K$18*(VLOOKUP(A48,[1]!TOX,17,FALSE)))+('S-1 Assumptions'!$L$51*(VLOOKUP(A48,[1]!TOX,19,FALSE)))))</f>
        <v>36.93919067049827</v>
      </c>
      <c r="C48" s="161">
        <f>IF(ISERR(1/(VLOOKUP(A48,[1]!TOX,25,FALSE))),0, '[1]Target Risk'!$D$12/((('S-1 Assumptions'!$K$26*(VLOOKUP(A48,[1]!TOX,25,FALSE)))+('S-1 Assumptions'!$L$59*(VLOOKUP(A48,[1]!TOX,27,FALSE))))*(VLOOKUP(A48,[1]!TOX,12,FALSE))))</f>
        <v>6.7578640227478823</v>
      </c>
      <c r="D48" s="161">
        <f>IF(ISERR(1/(VLOOKUP(A48,[1]!TOX,25,FALSE))),0,IF(VLOOKUP(A48,[1]!TOX,36,FALSE)="M",'[1]Target Risk'!$D$12/((((((('S-1 Assumptions'!$K$30*(VLOOKUP(A48,[1]!TOX,25,FALSE)))+('S-1 Assumptions'!$L$67*(VLOOKUP(A48,[1]!TOX,27,FALSE))))*10))+(((('S-1 Assumptions'!$K$31*(VLOOKUP(A48,[1]!TOX,25,FALSE)))+('S-1 Assumptions'!$L$68*(VLOOKUP(A48,[1]!TOX,27,FALSE))))*3))+(((('S-1 Assumptions'!$K$32*(VLOOKUP(A48,[1]!TOX,25,FALSE)))+('S-1 Assumptions'!$L$69*(VLOOKUP(A48,[1]!TOX,27,FALSE))))*3))+(((('S-1 Assumptions'!$K$33*(VLOOKUP(A48,[1]!TOX,25,FALSE)))+('S-1 Assumptions'!$L$70)*(VLOOKUP(A48,[1]!TOX,27,FALSE))))*1)))*(VLOOKUP(A48,[1]!TOX,12,FALSE))),0))</f>
        <v>0</v>
      </c>
      <c r="E48" s="162">
        <f>IF(ISERR(1/(VLOOKUP(A48,[1]!TOX,25,FALSE))),0,IF(VLOOKUP(A48,[1]!TOX,36,FALSE)="M",'[1]Target Risk'!$D$12/((((((('S-1 Assumptions'!$K$30*(VLOOKUP(A48,[1]!TOX,25,FALSE)))+('S-1 Assumptions'!$L$67*(VLOOKUP(A48,[1]!TOX,27,FALSE))))*10))+(((('S-1 Assumptions'!$K$31*(VLOOKUP(A48,[1]!TOX,25,FALSE)))+('S-1 Assumptions'!$L$68*(VLOOKUP(A48,[1]!TOX,27,FALSE))))*3))+(((('S-1 Assumptions'!$K$32*(VLOOKUP(A48,[1]!TOX,25,FALSE)))+('S-1 Assumptions'!$L$69*(VLOOKUP(A48,[1]!TOX,27,FALSE))))*3))+(((('S-1 Assumptions'!$K$33*(VLOOKUP(A48,[1]!TOX,25,FALSE)))+('S-1 Assumptions'!$L$70)*(VLOOKUP(A48,[1]!TOX,27,FALSE))))*1)))*(VLOOKUP(A48,[1]!TOX,12,FALSE))),('[1]Target Risk'!$D$12/((('S-1 Assumptions'!$K$26*(VLOOKUP(A48,[1]!TOX,25,FALSE)))+('S-1 Assumptions'!$L$59*(VLOOKUP(A48,[1]!TOX,27,FALSE))))*(VLOOKUP(A48,[1]!TOX,12,FALSE))))))</f>
        <v>6.7578640227478823</v>
      </c>
      <c r="F48" s="308">
        <f>IF(B48=0,MIN(E48,(VLOOKUP(A48,[1]!TOX,71,FALSE))),IF(E48=0,MIN(B48,(VLOOKUP(A48,[1]!TOX,71,FALSE))),MIN(B48,E48,(VLOOKUP(A48,[1]!TOX,71,FALSE)))))</f>
        <v>6.7578640227478823</v>
      </c>
      <c r="G48" s="162" t="str">
        <f>IF(F48=B48,"Noncancer Risk",IF(F48=E48,"Cancer Risk",(VLOOKUP(A48,[1]!TOX,72,FALSE))))</f>
        <v>Cancer Risk</v>
      </c>
      <c r="H48" s="309">
        <f>MAX(F48,(VLOOKUP(A48,[1]!TOX,50,FALSE)),(VLOOKUP(A48,[1]!TOX,39,FALSE)))</f>
        <v>6.7578640227478823</v>
      </c>
      <c r="I48" s="310">
        <f t="shared" si="1"/>
        <v>7</v>
      </c>
      <c r="J48" s="165" t="str">
        <f>IF(H48=0,"Not Calculated",IF(H48=F48,G48,IF(H48=(VLOOKUP(A48,[1]!TOX,39,FALSE)),"Background","PQL")))</f>
        <v>Cancer Risk</v>
      </c>
    </row>
    <row r="49" spans="1:10" ht="20" x14ac:dyDescent="0.25">
      <c r="A49" s="50" t="s">
        <v>65</v>
      </c>
      <c r="B49" s="160">
        <f>IF(ISERR(1/+(VLOOKUP(A49,[1]!TOX,17,FALSE))),0,'[1]Target Risk'!$D$8*(VLOOKUP(A49,[1]!TOX,4,FALSE))/(('S-1 Assumptions'!$K$18*(VLOOKUP(A49,[1]!TOX,17,FALSE)))+('S-1 Assumptions'!$L$51*(VLOOKUP(A49,[1]!TOX,19,FALSE)))))</f>
        <v>36.93919067049827</v>
      </c>
      <c r="C49" s="161">
        <f>IF(ISERR(1/(VLOOKUP(A49,[1]!TOX,25,FALSE))),0, '[1]Target Risk'!$D$12/((('S-1 Assumptions'!$K$26*(VLOOKUP(A49,[1]!TOX,25,FALSE)))+('S-1 Assumptions'!$L$59*(VLOOKUP(A49,[1]!TOX,27,FALSE))))*(VLOOKUP(A49,[1]!TOX,12,FALSE))))</f>
        <v>6.7578640227478823</v>
      </c>
      <c r="D49" s="161">
        <f>IF(ISERR(1/(VLOOKUP(A49,[1]!TOX,25,FALSE))),0,IF(VLOOKUP(A49,[1]!TOX,36,FALSE)="M",'[1]Target Risk'!$D$12/((((((('S-1 Assumptions'!$K$30*(VLOOKUP(A49,[1]!TOX,25,FALSE)))+('S-1 Assumptions'!$L$67*(VLOOKUP(A49,[1]!TOX,27,FALSE))))*10))+(((('S-1 Assumptions'!$K$31*(VLOOKUP(A49,[1]!TOX,25,FALSE)))+('S-1 Assumptions'!$L$68*(VLOOKUP(A49,[1]!TOX,27,FALSE))))*3))+(((('S-1 Assumptions'!$K$32*(VLOOKUP(A49,[1]!TOX,25,FALSE)))+('S-1 Assumptions'!$L$69*(VLOOKUP(A49,[1]!TOX,27,FALSE))))*3))+(((('S-1 Assumptions'!$K$33*(VLOOKUP(A49,[1]!TOX,25,FALSE)))+('S-1 Assumptions'!$L$70)*(VLOOKUP(A49,[1]!TOX,27,FALSE))))*1)))*(VLOOKUP(A49,[1]!TOX,12,FALSE))),0))</f>
        <v>0</v>
      </c>
      <c r="E49" s="162">
        <f>IF(ISERR(1/(VLOOKUP(A49,[1]!TOX,25,FALSE))),0,IF(VLOOKUP(A49,[1]!TOX,36,FALSE)="M",'[1]Target Risk'!$D$12/((((((('S-1 Assumptions'!$K$30*(VLOOKUP(A49,[1]!TOX,25,FALSE)))+('S-1 Assumptions'!$L$67*(VLOOKUP(A49,[1]!TOX,27,FALSE))))*10))+(((('S-1 Assumptions'!$K$31*(VLOOKUP(A49,[1]!TOX,25,FALSE)))+('S-1 Assumptions'!$L$68*(VLOOKUP(A49,[1]!TOX,27,FALSE))))*3))+(((('S-1 Assumptions'!$K$32*(VLOOKUP(A49,[1]!TOX,25,FALSE)))+('S-1 Assumptions'!$L$69*(VLOOKUP(A49,[1]!TOX,27,FALSE))))*3))+(((('S-1 Assumptions'!$K$33*(VLOOKUP(A49,[1]!TOX,25,FALSE)))+('S-1 Assumptions'!$L$70)*(VLOOKUP(A49,[1]!TOX,27,FALSE))))*1)))*(VLOOKUP(A49,[1]!TOX,12,FALSE))),('[1]Target Risk'!$D$12/((('S-1 Assumptions'!$K$26*(VLOOKUP(A49,[1]!TOX,25,FALSE)))+('S-1 Assumptions'!$L$59*(VLOOKUP(A49,[1]!TOX,27,FALSE))))*(VLOOKUP(A49,[1]!TOX,12,FALSE))))))</f>
        <v>6.7578640227478823</v>
      </c>
      <c r="F49" s="308">
        <f>IF(B49=0,MIN(E49,(VLOOKUP(A49,[1]!TOX,71,FALSE))),IF(E49=0,MIN(B49,(VLOOKUP(A49,[1]!TOX,71,FALSE))),MIN(B49,E49,(VLOOKUP(A49,[1]!TOX,71,FALSE)))))</f>
        <v>6.7578640227478823</v>
      </c>
      <c r="G49" s="162" t="str">
        <f>IF(F49=B49,"Noncancer Risk",IF(F49=E49,"Cancer Risk",(VLOOKUP(A49,[1]!TOX,72,FALSE))))</f>
        <v>Cancer Risk</v>
      </c>
      <c r="H49" s="309">
        <f>MAX(F49,(VLOOKUP(A49,[1]!TOX,50,FALSE)),(VLOOKUP(A49,[1]!TOX,39,FALSE)))</f>
        <v>6.7578640227478823</v>
      </c>
      <c r="I49" s="310">
        <f t="shared" si="1"/>
        <v>7</v>
      </c>
      <c r="J49" s="165" t="str">
        <f>IF(H49=0,"Not Calculated",IF(H49=F49,G49,IF(H49=(VLOOKUP(A49,[1]!TOX,39,FALSE)),"Background","PQL")))</f>
        <v>Cancer Risk</v>
      </c>
    </row>
    <row r="50" spans="1:10" ht="12.5" x14ac:dyDescent="0.25">
      <c r="A50" s="50" t="s">
        <v>64</v>
      </c>
      <c r="B50" s="160">
        <f>IF(ISERR(1/+(VLOOKUP(A50,[1]!TOX,17,FALSE))),0,'[1]Target Risk'!$D$8*(VLOOKUP(A50,[1]!TOX,4,FALSE))/(('S-1 Assumptions'!$K$18*(VLOOKUP(A50,[1]!TOX,17,FALSE)))+('S-1 Assumptions'!$L$51*(VLOOKUP(A50,[1]!TOX,19,FALSE)))))</f>
        <v>14775.67626819931</v>
      </c>
      <c r="C50" s="161">
        <f>IF(ISERR(1/(VLOOKUP(A50,[1]!TOX,25,FALSE))),0, '[1]Target Risk'!$D$12/((('S-1 Assumptions'!$K$26*(VLOOKUP(A50,[1]!TOX,25,FALSE)))+('S-1 Assumptions'!$L$59*(VLOOKUP(A50,[1]!TOX,27,FALSE))))*(VLOOKUP(A50,[1]!TOX,12,FALSE))))</f>
        <v>0</v>
      </c>
      <c r="D50" s="161">
        <f>IF(ISERR(1/(VLOOKUP(A50,[1]!TOX,25,FALSE))),0,IF(VLOOKUP(A50,[1]!TOX,36,FALSE)="M",'[1]Target Risk'!$D$12/((((((('S-1 Assumptions'!$K$30*(VLOOKUP(A50,[1]!TOX,25,FALSE)))+('S-1 Assumptions'!$L$67*(VLOOKUP(A50,[1]!TOX,27,FALSE))))*10))+(((('S-1 Assumptions'!$K$31*(VLOOKUP(A50,[1]!TOX,25,FALSE)))+('S-1 Assumptions'!$L$68*(VLOOKUP(A50,[1]!TOX,27,FALSE))))*3))+(((('S-1 Assumptions'!$K$32*(VLOOKUP(A50,[1]!TOX,25,FALSE)))+('S-1 Assumptions'!$L$69*(VLOOKUP(A50,[1]!TOX,27,FALSE))))*3))+(((('S-1 Assumptions'!$K$33*(VLOOKUP(A50,[1]!TOX,25,FALSE)))+('S-1 Assumptions'!$L$70)*(VLOOKUP(A50,[1]!TOX,27,FALSE))))*1)))*(VLOOKUP(A50,[1]!TOX,12,FALSE))),0))</f>
        <v>0</v>
      </c>
      <c r="E50" s="162">
        <f>IF(ISERR(1/(VLOOKUP(A50,[1]!TOX,25,FALSE))),0,IF(VLOOKUP(A50,[1]!TOX,36,FALSE)="M",'[1]Target Risk'!$D$12/((((((('S-1 Assumptions'!$K$30*(VLOOKUP(A50,[1]!TOX,25,FALSE)))+('S-1 Assumptions'!$L$67*(VLOOKUP(A50,[1]!TOX,27,FALSE))))*10))+(((('S-1 Assumptions'!$K$31*(VLOOKUP(A50,[1]!TOX,25,FALSE)))+('S-1 Assumptions'!$L$68*(VLOOKUP(A50,[1]!TOX,27,FALSE))))*3))+(((('S-1 Assumptions'!$K$32*(VLOOKUP(A50,[1]!TOX,25,FALSE)))+('S-1 Assumptions'!$L$69*(VLOOKUP(A50,[1]!TOX,27,FALSE))))*3))+(((('S-1 Assumptions'!$K$33*(VLOOKUP(A50,[1]!TOX,25,FALSE)))+('S-1 Assumptions'!$L$70)*(VLOOKUP(A50,[1]!TOX,27,FALSE))))*1)))*(VLOOKUP(A50,[1]!TOX,12,FALSE))),('[1]Target Risk'!$D$12/((('S-1 Assumptions'!$K$26*(VLOOKUP(A50,[1]!TOX,25,FALSE)))+('S-1 Assumptions'!$L$59*(VLOOKUP(A50,[1]!TOX,27,FALSE))))*(VLOOKUP(A50,[1]!TOX,12,FALSE))))))</f>
        <v>0</v>
      </c>
      <c r="F50" s="308">
        <f>IF(B50=0,MIN(E50,(VLOOKUP(A50,[1]!TOX,71,FALSE))),IF(E50=0,MIN(B50,(VLOOKUP(A50,[1]!TOX,71,FALSE))),MIN(B50,E50,(VLOOKUP(A50,[1]!TOX,71,FALSE)))))</f>
        <v>500</v>
      </c>
      <c r="G50" s="162" t="str">
        <f>IF(F50=B50,"Noncancer Risk",IF(F50=E50,"Cancer Risk",(VLOOKUP(A50,[1]!TOX,72,FALSE))))</f>
        <v>Ceiling (Medium)</v>
      </c>
      <c r="H50" s="309">
        <f>MAX(F50,(VLOOKUP(A50,[1]!TOX,50,FALSE)),(VLOOKUP(A50,[1]!TOX,39,FALSE)))</f>
        <v>500</v>
      </c>
      <c r="I50" s="310">
        <f t="shared" si="1"/>
        <v>500</v>
      </c>
      <c r="J50" s="165" t="str">
        <f>IF(H50=0,"Not Calculated",IF(H50=F50,G50,IF(H50=(VLOOKUP(A50,[1]!TOX,39,FALSE)),"Background","PQL")))</f>
        <v>Ceiling (Medium)</v>
      </c>
    </row>
    <row r="51" spans="1:10" ht="12.5" x14ac:dyDescent="0.25">
      <c r="A51" s="50" t="s">
        <v>63</v>
      </c>
      <c r="B51" s="160">
        <f>IF(ISERR(1/+(VLOOKUP(A51,[1]!TOX,17,FALSE))),0,'[1]Target Risk'!$D$8*(VLOOKUP(A51,[1]!TOX,4,FALSE))/(('S-1 Assumptions'!$K$18*(VLOOKUP(A51,[1]!TOX,17,FALSE)))+('S-1 Assumptions'!$L$51*(VLOOKUP(A51,[1]!TOX,19,FALSE)))))</f>
        <v>1477.5676268199306</v>
      </c>
      <c r="C51" s="161">
        <f>IF(ISERR(1/(VLOOKUP(A51,[1]!TOX,25,FALSE))),0, '[1]Target Risk'!$D$12/((('S-1 Assumptions'!$K$26*(VLOOKUP(A51,[1]!TOX,25,FALSE)))+('S-1 Assumptions'!$L$59*(VLOOKUP(A51,[1]!TOX,27,FALSE))))*(VLOOKUP(A51,[1]!TOX,12,FALSE))))</f>
        <v>25.249162282794288</v>
      </c>
      <c r="D51" s="161">
        <f>IF(ISERR(1/(VLOOKUP(A51,[1]!TOX,25,FALSE))),0,IF(VLOOKUP(A51,[1]!TOX,36,FALSE)="M",'[1]Target Risk'!$D$12/((((((('S-1 Assumptions'!$K$30*(VLOOKUP(A51,[1]!TOX,25,FALSE)))+('S-1 Assumptions'!$L$67*(VLOOKUP(A51,[1]!TOX,27,FALSE))))*10))+(((('S-1 Assumptions'!$K$31*(VLOOKUP(A51,[1]!TOX,25,FALSE)))+('S-1 Assumptions'!$L$68*(VLOOKUP(A51,[1]!TOX,27,FALSE))))*3))+(((('S-1 Assumptions'!$K$32*(VLOOKUP(A51,[1]!TOX,25,FALSE)))+('S-1 Assumptions'!$L$69*(VLOOKUP(A51,[1]!TOX,27,FALSE))))*3))+(((('S-1 Assumptions'!$K$33*(VLOOKUP(A51,[1]!TOX,25,FALSE)))+('S-1 Assumptions'!$L$70)*(VLOOKUP(A51,[1]!TOX,27,FALSE))))*1)))*(VLOOKUP(A51,[1]!TOX,12,FALSE))),0))</f>
        <v>0</v>
      </c>
      <c r="E51" s="162">
        <f>IF(ISERR(1/(VLOOKUP(A51,[1]!TOX,25,FALSE))),0,IF(VLOOKUP(A51,[1]!TOX,36,FALSE)="M",'[1]Target Risk'!$D$12/((((((('S-1 Assumptions'!$K$30*(VLOOKUP(A51,[1]!TOX,25,FALSE)))+('S-1 Assumptions'!$L$67*(VLOOKUP(A51,[1]!TOX,27,FALSE))))*10))+(((('S-1 Assumptions'!$K$31*(VLOOKUP(A51,[1]!TOX,25,FALSE)))+('S-1 Assumptions'!$L$68*(VLOOKUP(A51,[1]!TOX,27,FALSE))))*3))+(((('S-1 Assumptions'!$K$32*(VLOOKUP(A51,[1]!TOX,25,FALSE)))+('S-1 Assumptions'!$L$69*(VLOOKUP(A51,[1]!TOX,27,FALSE))))*3))+(((('S-1 Assumptions'!$K$33*(VLOOKUP(A51,[1]!TOX,25,FALSE)))+('S-1 Assumptions'!$L$70)*(VLOOKUP(A51,[1]!TOX,27,FALSE))))*1)))*(VLOOKUP(A51,[1]!TOX,12,FALSE))),('[1]Target Risk'!$D$12/((('S-1 Assumptions'!$K$26*(VLOOKUP(A51,[1]!TOX,25,FALSE)))+('S-1 Assumptions'!$L$59*(VLOOKUP(A51,[1]!TOX,27,FALSE))))*(VLOOKUP(A51,[1]!TOX,12,FALSE))))))</f>
        <v>25.249162282794288</v>
      </c>
      <c r="F51" s="308">
        <f>IF(B51=0,MIN(E51,(VLOOKUP(A51,[1]!TOX,71,FALSE))),IF(E51=0,MIN(B51,(VLOOKUP(A51,[1]!TOX,71,FALSE))),MIN(B51,E51,(VLOOKUP(A51,[1]!TOX,71,FALSE)))))</f>
        <v>25.249162282794288</v>
      </c>
      <c r="G51" s="162" t="str">
        <f>IF(F51=B51,"Noncancer Risk",IF(F51=E51,"Cancer Risk",(VLOOKUP(A51,[1]!TOX,72,FALSE))))</f>
        <v>Cancer Risk</v>
      </c>
      <c r="H51" s="309">
        <f>MAX(F51,(VLOOKUP(A51,[1]!TOX,50,FALSE)),(VLOOKUP(A51,[1]!TOX,39,FALSE)))</f>
        <v>25.249162282794288</v>
      </c>
      <c r="I51" s="310">
        <f t="shared" si="1"/>
        <v>30</v>
      </c>
      <c r="J51" s="165" t="str">
        <f>IF(H51=0,"Not Calculated",IF(H51=F51,G51,IF(H51=(VLOOKUP(A51,[1]!TOX,39,FALSE)),"Background","PQL")))</f>
        <v>Cancer Risk</v>
      </c>
    </row>
    <row r="52" spans="1:10" ht="12.5" x14ac:dyDescent="0.25">
      <c r="A52" s="50" t="s">
        <v>62</v>
      </c>
      <c r="B52" s="160">
        <f>IF(ISERR(1/+(VLOOKUP(A52,[1]!TOX,17,FALSE))),0,'[1]Target Risk'!$D$8*(VLOOKUP(A52,[1]!TOX,4,FALSE))/(('S-1 Assumptions'!$K$18*(VLOOKUP(A52,[1]!TOX,17,FALSE)))+('S-1 Assumptions'!$L$51*(VLOOKUP(A52,[1]!TOX,19,FALSE)))))</f>
        <v>3693.9190670498274</v>
      </c>
      <c r="C52" s="161">
        <f>IF(ISERR(1/(VLOOKUP(A52,[1]!TOX,25,FALSE))),0, '[1]Target Risk'!$D$12/((('S-1 Assumptions'!$K$26*(VLOOKUP(A52,[1]!TOX,25,FALSE)))+('S-1 Assumptions'!$L$59*(VLOOKUP(A52,[1]!TOX,27,FALSE))))*(VLOOKUP(A52,[1]!TOX,12,FALSE))))</f>
        <v>0</v>
      </c>
      <c r="D52" s="161">
        <f>IF(ISERR(1/(VLOOKUP(A52,[1]!TOX,25,FALSE))),0,IF(VLOOKUP(A52,[1]!TOX,36,FALSE)="M",'[1]Target Risk'!$D$12/((((((('S-1 Assumptions'!$K$30*(VLOOKUP(A52,[1]!TOX,25,FALSE)))+('S-1 Assumptions'!$L$67*(VLOOKUP(A52,[1]!TOX,27,FALSE))))*10))+(((('S-1 Assumptions'!$K$31*(VLOOKUP(A52,[1]!TOX,25,FALSE)))+('S-1 Assumptions'!$L$68*(VLOOKUP(A52,[1]!TOX,27,FALSE))))*3))+(((('S-1 Assumptions'!$K$32*(VLOOKUP(A52,[1]!TOX,25,FALSE)))+('S-1 Assumptions'!$L$69*(VLOOKUP(A52,[1]!TOX,27,FALSE))))*3))+(((('S-1 Assumptions'!$K$33*(VLOOKUP(A52,[1]!TOX,25,FALSE)))+('S-1 Assumptions'!$L$70)*(VLOOKUP(A52,[1]!TOX,27,FALSE))))*1)))*(VLOOKUP(A52,[1]!TOX,12,FALSE))),0))</f>
        <v>0</v>
      </c>
      <c r="E52" s="162">
        <f>IF(ISERR(1/(VLOOKUP(A52,[1]!TOX,25,FALSE))),0,IF(VLOOKUP(A52,[1]!TOX,36,FALSE)="M",'[1]Target Risk'!$D$12/((((((('S-1 Assumptions'!$K$30*(VLOOKUP(A52,[1]!TOX,25,FALSE)))+('S-1 Assumptions'!$L$67*(VLOOKUP(A52,[1]!TOX,27,FALSE))))*10))+(((('S-1 Assumptions'!$K$31*(VLOOKUP(A52,[1]!TOX,25,FALSE)))+('S-1 Assumptions'!$L$68*(VLOOKUP(A52,[1]!TOX,27,FALSE))))*3))+(((('S-1 Assumptions'!$K$32*(VLOOKUP(A52,[1]!TOX,25,FALSE)))+('S-1 Assumptions'!$L$69*(VLOOKUP(A52,[1]!TOX,27,FALSE))))*3))+(((('S-1 Assumptions'!$K$33*(VLOOKUP(A52,[1]!TOX,25,FALSE)))+('S-1 Assumptions'!$L$70)*(VLOOKUP(A52,[1]!TOX,27,FALSE))))*1)))*(VLOOKUP(A52,[1]!TOX,12,FALSE))),('[1]Target Risk'!$D$12/((('S-1 Assumptions'!$K$26*(VLOOKUP(A52,[1]!TOX,25,FALSE)))+('S-1 Assumptions'!$L$59*(VLOOKUP(A52,[1]!TOX,27,FALSE))))*(VLOOKUP(A52,[1]!TOX,12,FALSE))))))</f>
        <v>0</v>
      </c>
      <c r="F52" s="308">
        <f>IF(B52=0,MIN(E52,(VLOOKUP(A52,[1]!TOX,71,FALSE))),IF(E52=0,MIN(B52,(VLOOKUP(A52,[1]!TOX,71,FALSE))),MIN(B52,E52,(VLOOKUP(A52,[1]!TOX,71,FALSE)))))</f>
        <v>500</v>
      </c>
      <c r="G52" s="162" t="str">
        <f>IF(F52=B52,"Noncancer Risk",IF(F52=E52,"Cancer Risk",(VLOOKUP(A52,[1]!TOX,72,FALSE))))</f>
        <v>Ceiling (Medium)</v>
      </c>
      <c r="H52" s="309">
        <f>MAX(F52,(VLOOKUP(A52,[1]!TOX,50,FALSE)),(VLOOKUP(A52,[1]!TOX,39,FALSE)))</f>
        <v>500</v>
      </c>
      <c r="I52" s="310">
        <f t="shared" si="1"/>
        <v>500</v>
      </c>
      <c r="J52" s="165" t="str">
        <f>IF(H52=0,"Not Calculated",IF(H52=F52,G52,IF(H52=(VLOOKUP(A52,[1]!TOX,39,FALSE)),"Background","PQL")))</f>
        <v>Ceiling (Medium)</v>
      </c>
    </row>
    <row r="53" spans="1:10" ht="12.5" x14ac:dyDescent="0.25">
      <c r="A53" s="50" t="s">
        <v>61</v>
      </c>
      <c r="B53" s="160">
        <f>IF(ISERR(1/+(VLOOKUP(A53,[1]!TOX,17,FALSE))),0,'[1]Target Risk'!$D$8*(VLOOKUP(A53,[1]!TOX,4,FALSE))/(('S-1 Assumptions'!$K$18*(VLOOKUP(A53,[1]!TOX,17,FALSE)))+('S-1 Assumptions'!$L$51*(VLOOKUP(A53,[1]!TOX,19,FALSE)))))</f>
        <v>147.75676268199308</v>
      </c>
      <c r="C53" s="161">
        <f>IF(ISERR(1/(VLOOKUP(A53,[1]!TOX,25,FALSE))),0, '[1]Target Risk'!$D$12/((('S-1 Assumptions'!$K$26*(VLOOKUP(A53,[1]!TOX,25,FALSE)))+('S-1 Assumptions'!$L$59*(VLOOKUP(A53,[1]!TOX,27,FALSE))))*(VLOOKUP(A53,[1]!TOX,12,FALSE))))</f>
        <v>0</v>
      </c>
      <c r="D53" s="161">
        <f>IF(ISERR(1/(VLOOKUP(A53,[1]!TOX,25,FALSE))),0,IF(VLOOKUP(A53,[1]!TOX,36,FALSE)="M",'[1]Target Risk'!$D$12/((((((('S-1 Assumptions'!$K$30*(VLOOKUP(A53,[1]!TOX,25,FALSE)))+('S-1 Assumptions'!$L$67*(VLOOKUP(A53,[1]!TOX,27,FALSE))))*10))+(((('S-1 Assumptions'!$K$31*(VLOOKUP(A53,[1]!TOX,25,FALSE)))+('S-1 Assumptions'!$L$68*(VLOOKUP(A53,[1]!TOX,27,FALSE))))*3))+(((('S-1 Assumptions'!$K$32*(VLOOKUP(A53,[1]!TOX,25,FALSE)))+('S-1 Assumptions'!$L$69*(VLOOKUP(A53,[1]!TOX,27,FALSE))))*3))+(((('S-1 Assumptions'!$K$33*(VLOOKUP(A53,[1]!TOX,25,FALSE)))+('S-1 Assumptions'!$L$70)*(VLOOKUP(A53,[1]!TOX,27,FALSE))))*1)))*(VLOOKUP(A53,[1]!TOX,12,FALSE))),0))</f>
        <v>0</v>
      </c>
      <c r="E53" s="162">
        <f>IF(ISERR(1/(VLOOKUP(A53,[1]!TOX,25,FALSE))),0,IF(VLOOKUP(A53,[1]!TOX,36,FALSE)="M",'[1]Target Risk'!$D$12/((((((('S-1 Assumptions'!$K$30*(VLOOKUP(A53,[1]!TOX,25,FALSE)))+('S-1 Assumptions'!$L$67*(VLOOKUP(A53,[1]!TOX,27,FALSE))))*10))+(((('S-1 Assumptions'!$K$31*(VLOOKUP(A53,[1]!TOX,25,FALSE)))+('S-1 Assumptions'!$L$68*(VLOOKUP(A53,[1]!TOX,27,FALSE))))*3))+(((('S-1 Assumptions'!$K$32*(VLOOKUP(A53,[1]!TOX,25,FALSE)))+('S-1 Assumptions'!$L$69*(VLOOKUP(A53,[1]!TOX,27,FALSE))))*3))+(((('S-1 Assumptions'!$K$33*(VLOOKUP(A53,[1]!TOX,25,FALSE)))+('S-1 Assumptions'!$L$70)*(VLOOKUP(A53,[1]!TOX,27,FALSE))))*1)))*(VLOOKUP(A53,[1]!TOX,12,FALSE))),('[1]Target Risk'!$D$12/((('S-1 Assumptions'!$K$26*(VLOOKUP(A53,[1]!TOX,25,FALSE)))+('S-1 Assumptions'!$L$59*(VLOOKUP(A53,[1]!TOX,27,FALSE))))*(VLOOKUP(A53,[1]!TOX,12,FALSE))))))</f>
        <v>0</v>
      </c>
      <c r="F53" s="308">
        <f>IF(B53=0,MIN(E53,(VLOOKUP(A53,[1]!TOX,71,FALSE))),IF(E53=0,MIN(B53,(VLOOKUP(A53,[1]!TOX,71,FALSE))),MIN(B53,E53,(VLOOKUP(A53,[1]!TOX,71,FALSE)))))</f>
        <v>100</v>
      </c>
      <c r="G53" s="162" t="str">
        <f>IF(F53=B53,"Noncancer Risk",IF(F53=E53,"Cancer Risk",(VLOOKUP(A53,[1]!TOX,72,FALSE))))</f>
        <v>Ceiling (Low)</v>
      </c>
      <c r="H53" s="309">
        <f>MAX(F53,(VLOOKUP(A53,[1]!TOX,50,FALSE)),(VLOOKUP(A53,[1]!TOX,39,FALSE)))</f>
        <v>100</v>
      </c>
      <c r="I53" s="310">
        <f t="shared" si="1"/>
        <v>100</v>
      </c>
      <c r="J53" s="165" t="str">
        <f>IF(H53=0,"Not Calculated",IF(H53=F53,G53,IF(H53=(VLOOKUP(A53,[1]!TOX,39,FALSE)),"Background","PQL")))</f>
        <v>Ceiling (Low)</v>
      </c>
    </row>
    <row r="54" spans="1:10" ht="12.5" x14ac:dyDescent="0.25">
      <c r="A54" s="50" t="s">
        <v>60</v>
      </c>
      <c r="B54" s="160">
        <f>IF(ISERR(1/+(VLOOKUP(A54,[1]!TOX,17,FALSE))),0,'[1]Target Risk'!$D$8*(VLOOKUP(A54,[1]!TOX,4,FALSE))/(('S-1 Assumptions'!$K$18*(VLOOKUP(A54,[1]!TOX,17,FALSE)))+('S-1 Assumptions'!$L$51*(VLOOKUP(A54,[1]!TOX,19,FALSE)))))</f>
        <v>1477.5676268199306</v>
      </c>
      <c r="C54" s="161">
        <f>IF(ISERR(1/(VLOOKUP(A54,[1]!TOX,25,FALSE))),0, '[1]Target Risk'!$D$12/((('S-1 Assumptions'!$K$26*(VLOOKUP(A54,[1]!TOX,25,FALSE)))+('S-1 Assumptions'!$L$59*(VLOOKUP(A54,[1]!TOX,27,FALSE))))*(VLOOKUP(A54,[1]!TOX,12,FALSE))))</f>
        <v>0</v>
      </c>
      <c r="D54" s="161">
        <f>IF(ISERR(1/(VLOOKUP(A54,[1]!TOX,25,FALSE))),0,IF(VLOOKUP(A54,[1]!TOX,36,FALSE)="M",'[1]Target Risk'!$D$12/((((((('S-1 Assumptions'!$K$30*(VLOOKUP(A54,[1]!TOX,25,FALSE)))+('S-1 Assumptions'!$L$67*(VLOOKUP(A54,[1]!TOX,27,FALSE))))*10))+(((('S-1 Assumptions'!$K$31*(VLOOKUP(A54,[1]!TOX,25,FALSE)))+('S-1 Assumptions'!$L$68*(VLOOKUP(A54,[1]!TOX,27,FALSE))))*3))+(((('S-1 Assumptions'!$K$32*(VLOOKUP(A54,[1]!TOX,25,FALSE)))+('S-1 Assumptions'!$L$69*(VLOOKUP(A54,[1]!TOX,27,FALSE))))*3))+(((('S-1 Assumptions'!$K$33*(VLOOKUP(A54,[1]!TOX,25,FALSE)))+('S-1 Assumptions'!$L$70)*(VLOOKUP(A54,[1]!TOX,27,FALSE))))*1)))*(VLOOKUP(A54,[1]!TOX,12,FALSE))),0))</f>
        <v>0</v>
      </c>
      <c r="E54" s="162">
        <f>IF(ISERR(1/(VLOOKUP(A54,[1]!TOX,25,FALSE))),0,IF(VLOOKUP(A54,[1]!TOX,36,FALSE)="M",'[1]Target Risk'!$D$12/((((((('S-1 Assumptions'!$K$30*(VLOOKUP(A54,[1]!TOX,25,FALSE)))+('S-1 Assumptions'!$L$67*(VLOOKUP(A54,[1]!TOX,27,FALSE))))*10))+(((('S-1 Assumptions'!$K$31*(VLOOKUP(A54,[1]!TOX,25,FALSE)))+('S-1 Assumptions'!$L$68*(VLOOKUP(A54,[1]!TOX,27,FALSE))))*3))+(((('S-1 Assumptions'!$K$32*(VLOOKUP(A54,[1]!TOX,25,FALSE)))+('S-1 Assumptions'!$L$69*(VLOOKUP(A54,[1]!TOX,27,FALSE))))*3))+(((('S-1 Assumptions'!$K$33*(VLOOKUP(A54,[1]!TOX,25,FALSE)))+('S-1 Assumptions'!$L$70)*(VLOOKUP(A54,[1]!TOX,27,FALSE))))*1)))*(VLOOKUP(A54,[1]!TOX,12,FALSE))),('[1]Target Risk'!$D$12/((('S-1 Assumptions'!$K$26*(VLOOKUP(A54,[1]!TOX,25,FALSE)))+('S-1 Assumptions'!$L$59*(VLOOKUP(A54,[1]!TOX,27,FALSE))))*(VLOOKUP(A54,[1]!TOX,12,FALSE))))))</f>
        <v>0</v>
      </c>
      <c r="F54" s="308">
        <f>IF(B54=0,MIN(E54,(VLOOKUP(A54,[1]!TOX,71,FALSE))),IF(E54=0,MIN(B54,(VLOOKUP(A54,[1]!TOX,71,FALSE))),MIN(B54,E54,(VLOOKUP(A54,[1]!TOX,71,FALSE)))))</f>
        <v>500</v>
      </c>
      <c r="G54" s="162" t="str">
        <f>IF(F54=B54,"Noncancer Risk",IF(F54=E54,"Cancer Risk",(VLOOKUP(A54,[1]!TOX,72,FALSE))))</f>
        <v>Ceiling (Medium)</v>
      </c>
      <c r="H54" s="309">
        <f>MAX(F54,(VLOOKUP(A54,[1]!TOX,50,FALSE)),(VLOOKUP(A54,[1]!TOX,39,FALSE)))</f>
        <v>500</v>
      </c>
      <c r="I54" s="310">
        <f t="shared" si="1"/>
        <v>500</v>
      </c>
      <c r="J54" s="165" t="str">
        <f>IF(H54=0,"Not Calculated",IF(H54=F54,G54,IF(H54=(VLOOKUP(A54,[1]!TOX,39,FALSE)),"Background","PQL")))</f>
        <v>Ceiling (Medium)</v>
      </c>
    </row>
    <row r="55" spans="1:10" ht="12.5" x14ac:dyDescent="0.25">
      <c r="A55" s="50" t="s">
        <v>59</v>
      </c>
      <c r="B55" s="160">
        <f>IF(ISERR(1/+(VLOOKUP(A55,[1]!TOX,17,FALSE))),0,'[1]Target Risk'!$D$8*(VLOOKUP(A55,[1]!TOX,4,FALSE))/(('S-1 Assumptions'!$K$18*(VLOOKUP(A55,[1]!TOX,17,FALSE)))+('S-1 Assumptions'!$L$51*(VLOOKUP(A55,[1]!TOX,19,FALSE)))))</f>
        <v>443.27028804597921</v>
      </c>
      <c r="C55" s="348">
        <f>IF(ISERR(1/(VLOOKUP(A55,[1]!TOX,25,FALSE))),0, '[1]Target Risk'!$D$12/((('S-1 Assumptions'!$K$26*(VLOOKUP(A55,[1]!TOX,25,FALSE)))+('S-1 Assumptions'!$L$59*(VLOOKUP(A55,[1]!TOX,27,FALSE))))*(VLOOKUP(A55,[1]!TOX,12,FALSE))))</f>
        <v>1148.8368838671402</v>
      </c>
      <c r="D55" s="161">
        <f>IF(ISERR(1/(VLOOKUP(A55,[1]!TOX,25,FALSE))),0,IF(VLOOKUP(A55,[1]!TOX,36,FALSE)="M",'[1]Target Risk'!$D$12/((((((('S-1 Assumptions'!$K$30*(VLOOKUP(A55,[1]!TOX,25,FALSE)))+('S-1 Assumptions'!$L$67*(VLOOKUP(A55,[1]!TOX,27,FALSE))))*10))+(((('S-1 Assumptions'!$K$31*(VLOOKUP(A55,[1]!TOX,25,FALSE)))+('S-1 Assumptions'!$L$68*(VLOOKUP(A55,[1]!TOX,27,FALSE))))*3))+(((('S-1 Assumptions'!$K$32*(VLOOKUP(A55,[1]!TOX,25,FALSE)))+('S-1 Assumptions'!$L$69*(VLOOKUP(A55,[1]!TOX,27,FALSE))))*3))+(((('S-1 Assumptions'!$K$33*(VLOOKUP(A55,[1]!TOX,25,FALSE)))+('S-1 Assumptions'!$L$70)*(VLOOKUP(A55,[1]!TOX,27,FALSE))))*1)))*(VLOOKUP(A55,[1]!TOX,12,FALSE))),0))</f>
        <v>345.83112414894799</v>
      </c>
      <c r="E55" s="162">
        <f>IF(ISERR(1/(VLOOKUP(A55,[1]!TOX,25,FALSE))),0,IF(VLOOKUP(A55,[1]!TOX,36,FALSE)="M",'[1]Target Risk'!$D$12/((((((('S-1 Assumptions'!$K$30*(VLOOKUP(A55,[1]!TOX,25,FALSE)))+('S-1 Assumptions'!$L$67*(VLOOKUP(A55,[1]!TOX,27,FALSE))))*10))+(((('S-1 Assumptions'!$K$31*(VLOOKUP(A55,[1]!TOX,25,FALSE)))+('S-1 Assumptions'!$L$68*(VLOOKUP(A55,[1]!TOX,27,FALSE))))*3))+(((('S-1 Assumptions'!$K$32*(VLOOKUP(A55,[1]!TOX,25,FALSE)))+('S-1 Assumptions'!$L$69*(VLOOKUP(A55,[1]!TOX,27,FALSE))))*3))+(((('S-1 Assumptions'!$K$33*(VLOOKUP(A55,[1]!TOX,25,FALSE)))+('S-1 Assumptions'!$L$70)*(VLOOKUP(A55,[1]!TOX,27,FALSE))))*1)))*(VLOOKUP(A55,[1]!TOX,12,FALSE))),('[1]Target Risk'!$D$12/((('S-1 Assumptions'!$K$26*(VLOOKUP(A55,[1]!TOX,25,FALSE)))+('S-1 Assumptions'!$L$59*(VLOOKUP(A55,[1]!TOX,27,FALSE))))*(VLOOKUP(A55,[1]!TOX,12,FALSE))))))</f>
        <v>345.83112414894799</v>
      </c>
      <c r="F55" s="308">
        <f>IF(B55=0,MIN(E55,(VLOOKUP(A55,[1]!TOX,71,FALSE))),IF(E55=0,MIN(B55,(VLOOKUP(A55,[1]!TOX,71,FALSE))),MIN(B55,E55,(VLOOKUP(A55,[1]!TOX,71,FALSE)))))</f>
        <v>345.83112414894799</v>
      </c>
      <c r="G55" s="162" t="str">
        <f>IF(F55=B55,"Noncancer Risk",IF(F55=E55,"Cancer Risk",(VLOOKUP(A55,[1]!TOX,72,FALSE))))</f>
        <v>Cancer Risk</v>
      </c>
      <c r="H55" s="309">
        <f>MAX(F55,(VLOOKUP(A55,[1]!TOX,50,FALSE)),(VLOOKUP(A55,[1]!TOX,39,FALSE)))</f>
        <v>345.83112414894799</v>
      </c>
      <c r="I55" s="310">
        <f t="shared" si="1"/>
        <v>300</v>
      </c>
      <c r="J55" s="165" t="str">
        <f>IF(H55=0,"Not Calculated",IF(H55=F55,G55,IF(H55=(VLOOKUP(A55,[1]!TOX,39,FALSE)),"Background","PQL")))</f>
        <v>Cancer Risk</v>
      </c>
    </row>
    <row r="56" spans="1:10" ht="12.5" x14ac:dyDescent="0.25">
      <c r="A56" s="50" t="s">
        <v>58</v>
      </c>
      <c r="B56" s="160">
        <f>IF(ISERR(1/+(VLOOKUP(A56,[1]!TOX,17,FALSE))),0,'[1]Target Risk'!$D$8*(VLOOKUP(A56,[1]!TOX,4,FALSE))/(('S-1 Assumptions'!$K$18*(VLOOKUP(A56,[1]!TOX,17,FALSE)))+('S-1 Assumptions'!$L$51*(VLOOKUP(A56,[1]!TOX,19,FALSE)))))</f>
        <v>78.819183416634857</v>
      </c>
      <c r="C56" s="161">
        <f>IF(ISERR(1/(VLOOKUP(A56,[1]!TOX,25,FALSE))),0, '[1]Target Risk'!$D$12/((('S-1 Assumptions'!$K$26*(VLOOKUP(A56,[1]!TOX,25,FALSE)))+('S-1 Assumptions'!$L$59*(VLOOKUP(A56,[1]!TOX,27,FALSE))))*(VLOOKUP(A56,[1]!TOX,12,FALSE))))</f>
        <v>0</v>
      </c>
      <c r="D56" s="161">
        <f>IF(ISERR(1/(VLOOKUP(A56,[1]!TOX,25,FALSE))),0,IF(VLOOKUP(A56,[1]!TOX,36,FALSE)="M",'[1]Target Risk'!$D$12/((((((('S-1 Assumptions'!$K$30*(VLOOKUP(A56,[1]!TOX,25,FALSE)))+('S-1 Assumptions'!$L$67*(VLOOKUP(A56,[1]!TOX,27,FALSE))))*10))+(((('S-1 Assumptions'!$K$31*(VLOOKUP(A56,[1]!TOX,25,FALSE)))+('S-1 Assumptions'!$L$68*(VLOOKUP(A56,[1]!TOX,27,FALSE))))*3))+(((('S-1 Assumptions'!$K$32*(VLOOKUP(A56,[1]!TOX,25,FALSE)))+('S-1 Assumptions'!$L$69*(VLOOKUP(A56,[1]!TOX,27,FALSE))))*3))+(((('S-1 Assumptions'!$K$33*(VLOOKUP(A56,[1]!TOX,25,FALSE)))+('S-1 Assumptions'!$L$70)*(VLOOKUP(A56,[1]!TOX,27,FALSE))))*1)))*(VLOOKUP(A56,[1]!TOX,12,FALSE))),0))</f>
        <v>0</v>
      </c>
      <c r="E56" s="162">
        <f>IF(ISERR(1/(VLOOKUP(A56,[1]!TOX,25,FALSE))),0,IF(VLOOKUP(A56,[1]!TOX,36,FALSE)="M",'[1]Target Risk'!$D$12/((((((('S-1 Assumptions'!$K$30*(VLOOKUP(A56,[1]!TOX,25,FALSE)))+('S-1 Assumptions'!$L$67*(VLOOKUP(A56,[1]!TOX,27,FALSE))))*10))+(((('S-1 Assumptions'!$K$31*(VLOOKUP(A56,[1]!TOX,25,FALSE)))+('S-1 Assumptions'!$L$68*(VLOOKUP(A56,[1]!TOX,27,FALSE))))*3))+(((('S-1 Assumptions'!$K$32*(VLOOKUP(A56,[1]!TOX,25,FALSE)))+('S-1 Assumptions'!$L$69*(VLOOKUP(A56,[1]!TOX,27,FALSE))))*3))+(((('S-1 Assumptions'!$K$33*(VLOOKUP(A56,[1]!TOX,25,FALSE)))+('S-1 Assumptions'!$L$70)*(VLOOKUP(A56,[1]!TOX,27,FALSE))))*1)))*(VLOOKUP(A56,[1]!TOX,12,FALSE))),('[1]Target Risk'!$D$12/((('S-1 Assumptions'!$K$26*(VLOOKUP(A56,[1]!TOX,25,FALSE)))+('S-1 Assumptions'!$L$59*(VLOOKUP(A56,[1]!TOX,27,FALSE))))*(VLOOKUP(A56,[1]!TOX,12,FALSE))))))</f>
        <v>0</v>
      </c>
      <c r="F56" s="308">
        <f>IF(B56=0,MIN(E56,(VLOOKUP(A56,[1]!TOX,71,FALSE))),IF(E56=0,MIN(B56,(VLOOKUP(A56,[1]!TOX,71,FALSE))),MIN(B56,E56,(VLOOKUP(A56,[1]!TOX,71,FALSE)))))</f>
        <v>78.819183416634857</v>
      </c>
      <c r="G56" s="162" t="str">
        <f>IF(F56=B56,"Noncancer Risk",IF(F56=E56,"Cancer Risk",(VLOOKUP(A56,[1]!TOX,72,FALSE))))</f>
        <v>Noncancer Risk</v>
      </c>
      <c r="H56" s="309">
        <f>MAX(F56,(VLOOKUP(A56,[1]!TOX,50,FALSE)),(VLOOKUP(A56,[1]!TOX,39,FALSE)))</f>
        <v>78.819183416634857</v>
      </c>
      <c r="I56" s="310">
        <f t="shared" si="1"/>
        <v>80</v>
      </c>
      <c r="J56" s="165" t="str">
        <f>IF(H56=0,"Not Calculated",IF(H56=F56,G56,IF(H56=(VLOOKUP(A56,[1]!TOX,39,FALSE)),"Background","PQL")))</f>
        <v>Noncancer Risk</v>
      </c>
    </row>
    <row r="57" spans="1:10" ht="12.5" x14ac:dyDescent="0.25">
      <c r="A57" s="50" t="s">
        <v>57</v>
      </c>
      <c r="B57" s="160">
        <f>IF(ISERR(1/+(VLOOKUP(A57,[1]!TOX,17,FALSE))),0,'[1]Target Risk'!$D$8*(VLOOKUP(A57,[1]!TOX,4,FALSE))/(('S-1 Assumptions'!$K$18*(VLOOKUP(A57,[1]!TOX,17,FALSE)))+('S-1 Assumptions'!$L$51*(VLOOKUP(A57,[1]!TOX,19,FALSE)))))</f>
        <v>2955.1352536398613</v>
      </c>
      <c r="C57" s="161">
        <f>IF(ISERR(1/(VLOOKUP(A57,[1]!TOX,25,FALSE))),0, '[1]Target Risk'!$D$12/((('S-1 Assumptions'!$K$26*(VLOOKUP(A57,[1]!TOX,25,FALSE)))+('S-1 Assumptions'!$L$59*(VLOOKUP(A57,[1]!TOX,27,FALSE))))*(VLOOKUP(A57,[1]!TOX,12,FALSE))))</f>
        <v>62.099291019845417</v>
      </c>
      <c r="D57" s="161">
        <f>IF(ISERR(1/(VLOOKUP(A57,[1]!TOX,25,FALSE))),0,IF(VLOOKUP(A57,[1]!TOX,36,FALSE)="M",'[1]Target Risk'!$D$12/((((((('S-1 Assumptions'!$K$30*(VLOOKUP(A57,[1]!TOX,25,FALSE)))+('S-1 Assumptions'!$L$67*(VLOOKUP(A57,[1]!TOX,27,FALSE))))*10))+(((('S-1 Assumptions'!$K$31*(VLOOKUP(A57,[1]!TOX,25,FALSE)))+('S-1 Assumptions'!$L$68*(VLOOKUP(A57,[1]!TOX,27,FALSE))))*3))+(((('S-1 Assumptions'!$K$32*(VLOOKUP(A57,[1]!TOX,25,FALSE)))+('S-1 Assumptions'!$L$69*(VLOOKUP(A57,[1]!TOX,27,FALSE))))*3))+(((('S-1 Assumptions'!$K$33*(VLOOKUP(A57,[1]!TOX,25,FALSE)))+('S-1 Assumptions'!$L$70)*(VLOOKUP(A57,[1]!TOX,27,FALSE))))*1)))*(VLOOKUP(A57,[1]!TOX,12,FALSE))),0))</f>
        <v>0</v>
      </c>
      <c r="E57" s="162">
        <f>IF(ISERR(1/(VLOOKUP(A57,[1]!TOX,25,FALSE))),0,IF(VLOOKUP(A57,[1]!TOX,36,FALSE)="M",'[1]Target Risk'!$D$12/((((((('S-1 Assumptions'!$K$30*(VLOOKUP(A57,[1]!TOX,25,FALSE)))+('S-1 Assumptions'!$L$67*(VLOOKUP(A57,[1]!TOX,27,FALSE))))*10))+(((('S-1 Assumptions'!$K$31*(VLOOKUP(A57,[1]!TOX,25,FALSE)))+('S-1 Assumptions'!$L$68*(VLOOKUP(A57,[1]!TOX,27,FALSE))))*3))+(((('S-1 Assumptions'!$K$32*(VLOOKUP(A57,[1]!TOX,25,FALSE)))+('S-1 Assumptions'!$L$69*(VLOOKUP(A57,[1]!TOX,27,FALSE))))*3))+(((('S-1 Assumptions'!$K$33*(VLOOKUP(A57,[1]!TOX,25,FALSE)))+('S-1 Assumptions'!$L$70)*(VLOOKUP(A57,[1]!TOX,27,FALSE))))*1)))*(VLOOKUP(A57,[1]!TOX,12,FALSE))),('[1]Target Risk'!$D$12/((('S-1 Assumptions'!$K$26*(VLOOKUP(A57,[1]!TOX,25,FALSE)))+('S-1 Assumptions'!$L$59*(VLOOKUP(A57,[1]!TOX,27,FALSE))))*(VLOOKUP(A57,[1]!TOX,12,FALSE))))))</f>
        <v>62.099291019845417</v>
      </c>
      <c r="F57" s="308">
        <f>IF(B57=0,MIN(E57,(VLOOKUP(A57,[1]!TOX,71,FALSE))),IF(E57=0,MIN(B57,(VLOOKUP(A57,[1]!TOX,71,FALSE))),MIN(B57,E57,(VLOOKUP(A57,[1]!TOX,71,FALSE)))))</f>
        <v>62.099291019845417</v>
      </c>
      <c r="G57" s="162" t="str">
        <f>IF(F57=B57,"Noncancer Risk",IF(F57=E57,"Cancer Risk",(VLOOKUP(A57,[1]!TOX,72,FALSE))))</f>
        <v>Cancer Risk</v>
      </c>
      <c r="H57" s="309">
        <f>MAX(F57,(VLOOKUP(A57,[1]!TOX,50,FALSE)),(VLOOKUP(A57,[1]!TOX,39,FALSE)))</f>
        <v>62.099291019845417</v>
      </c>
      <c r="I57" s="310">
        <f t="shared" si="1"/>
        <v>60</v>
      </c>
      <c r="J57" s="165" t="str">
        <f>IF(H57=0,"Not Calculated",IF(H57=F57,G57,IF(H57=(VLOOKUP(A57,[1]!TOX,39,FALSE)),"Background","PQL")))</f>
        <v>Cancer Risk</v>
      </c>
    </row>
    <row r="58" spans="1:10" ht="12.5" x14ac:dyDescent="0.25">
      <c r="A58" s="50" t="s">
        <v>56</v>
      </c>
      <c r="B58" s="160">
        <f>IF(ISERR(1/+(VLOOKUP(A58,[1]!TOX,17,FALSE))),0,'[1]Target Risk'!$D$8*(VLOOKUP(A58,[1]!TOX,4,FALSE))/(('S-1 Assumptions'!$K$18*(VLOOKUP(A58,[1]!TOX,17,FALSE)))+('S-1 Assumptions'!$L$51*(VLOOKUP(A58,[1]!TOX,19,FALSE)))))</f>
        <v>2216.3514402298961</v>
      </c>
      <c r="C58" s="161">
        <f>IF(ISERR(1/(VLOOKUP(A58,[1]!TOX,25,FALSE))),0, '[1]Target Risk'!$D$12/((('S-1 Assumptions'!$K$26*(VLOOKUP(A58,[1]!TOX,25,FALSE)))+('S-1 Assumptions'!$L$59*(VLOOKUP(A58,[1]!TOX,27,FALSE))))*(VLOOKUP(A58,[1]!TOX,12,FALSE))))</f>
        <v>22.9767376773428</v>
      </c>
      <c r="D58" s="161">
        <f>IF(ISERR(1/(VLOOKUP(A58,[1]!TOX,25,FALSE))),0,IF(VLOOKUP(A58,[1]!TOX,36,FALSE)="M",'[1]Target Risk'!$D$12/((((((('S-1 Assumptions'!$K$30*(VLOOKUP(A58,[1]!TOX,25,FALSE)))+('S-1 Assumptions'!$L$67*(VLOOKUP(A58,[1]!TOX,27,FALSE))))*10))+(((('S-1 Assumptions'!$K$31*(VLOOKUP(A58,[1]!TOX,25,FALSE)))+('S-1 Assumptions'!$L$68*(VLOOKUP(A58,[1]!TOX,27,FALSE))))*3))+(((('S-1 Assumptions'!$K$32*(VLOOKUP(A58,[1]!TOX,25,FALSE)))+('S-1 Assumptions'!$L$69*(VLOOKUP(A58,[1]!TOX,27,FALSE))))*3))+(((('S-1 Assumptions'!$K$33*(VLOOKUP(A58,[1]!TOX,25,FALSE)))+('S-1 Assumptions'!$L$70)*(VLOOKUP(A58,[1]!TOX,27,FALSE))))*1)))*(VLOOKUP(A58,[1]!TOX,12,FALSE))),0))</f>
        <v>0</v>
      </c>
      <c r="E58" s="162">
        <f>IF(ISERR(1/(VLOOKUP(A58,[1]!TOX,25,FALSE))),0,IF(VLOOKUP(A58,[1]!TOX,36,FALSE)="M",'[1]Target Risk'!$D$12/((((((('S-1 Assumptions'!$K$30*(VLOOKUP(A58,[1]!TOX,25,FALSE)))+('S-1 Assumptions'!$L$67*(VLOOKUP(A58,[1]!TOX,27,FALSE))))*10))+(((('S-1 Assumptions'!$K$31*(VLOOKUP(A58,[1]!TOX,25,FALSE)))+('S-1 Assumptions'!$L$68*(VLOOKUP(A58,[1]!TOX,27,FALSE))))*3))+(((('S-1 Assumptions'!$K$32*(VLOOKUP(A58,[1]!TOX,25,FALSE)))+('S-1 Assumptions'!$L$69*(VLOOKUP(A58,[1]!TOX,27,FALSE))))*3))+(((('S-1 Assumptions'!$K$33*(VLOOKUP(A58,[1]!TOX,25,FALSE)))+('S-1 Assumptions'!$L$70)*(VLOOKUP(A58,[1]!TOX,27,FALSE))))*1)))*(VLOOKUP(A58,[1]!TOX,12,FALSE))),('[1]Target Risk'!$D$12/((('S-1 Assumptions'!$K$26*(VLOOKUP(A58,[1]!TOX,25,FALSE)))+('S-1 Assumptions'!$L$59*(VLOOKUP(A58,[1]!TOX,27,FALSE))))*(VLOOKUP(A58,[1]!TOX,12,FALSE))))))</f>
        <v>22.9767376773428</v>
      </c>
      <c r="F58" s="308">
        <f>IF(B58=0,MIN(E58,(VLOOKUP(A58,[1]!TOX,71,FALSE))),IF(E58=0,MIN(B58,(VLOOKUP(A58,[1]!TOX,71,FALSE))),MIN(B58,E58,(VLOOKUP(A58,[1]!TOX,71,FALSE)))))</f>
        <v>22.9767376773428</v>
      </c>
      <c r="G58" s="162" t="str">
        <f>IF(F58=B58,"Noncancer Risk",IF(F58=E58,"Cancer Risk",(VLOOKUP(A58,[1]!TOX,72,FALSE))))</f>
        <v>Cancer Risk</v>
      </c>
      <c r="H58" s="309">
        <f>MAX(F58,(VLOOKUP(A58,[1]!TOX,50,FALSE)),(VLOOKUP(A58,[1]!TOX,39,FALSE)))</f>
        <v>22.9767376773428</v>
      </c>
      <c r="I58" s="310">
        <f t="shared" si="1"/>
        <v>20</v>
      </c>
      <c r="J58" s="165" t="str">
        <f>IF(H58=0,"Not Calculated",IF(H58=F58,G58,IF(H58=(VLOOKUP(A58,[1]!TOX,39,FALSE)),"Background","PQL")))</f>
        <v>Cancer Risk</v>
      </c>
    </row>
    <row r="59" spans="1:10" ht="12.5" x14ac:dyDescent="0.25">
      <c r="A59" s="50" t="s">
        <v>55</v>
      </c>
      <c r="B59" s="160">
        <f>IF(ISERR(1/+(VLOOKUP(A59,[1]!TOX,17,FALSE))),0,'[1]Target Risk'!$D$8*(VLOOKUP(A59,[1]!TOX,4,FALSE))/(('S-1 Assumptions'!$K$18*(VLOOKUP(A59,[1]!TOX,17,FALSE)))+('S-1 Assumptions'!$L$51*(VLOOKUP(A59,[1]!TOX,19,FALSE)))))</f>
        <v>2.5132747923654915</v>
      </c>
      <c r="C59" s="161">
        <f>IF(ISERR(1/(VLOOKUP(A59,[1]!TOX,25,FALSE))),0, '[1]Target Risk'!$D$12/((('S-1 Assumptions'!$K$26*(VLOOKUP(A59,[1]!TOX,25,FALSE)))+('S-1 Assumptions'!$L$59*(VLOOKUP(A59,[1]!TOX,27,FALSE))))*(VLOOKUP(A59,[1]!TOX,12,FALSE))))</f>
        <v>9.2990346073282076E-2</v>
      </c>
      <c r="D59" s="161">
        <f>IF(ISERR(1/(VLOOKUP(A59,[1]!TOX,25,FALSE))),0,IF(VLOOKUP(A59,[1]!TOX,36,FALSE)="M",'[1]Target Risk'!$D$12/((((((('S-1 Assumptions'!$K$30*(VLOOKUP(A59,[1]!TOX,25,FALSE)))+('S-1 Assumptions'!$L$67*(VLOOKUP(A59,[1]!TOX,27,FALSE))))*10))+(((('S-1 Assumptions'!$K$31*(VLOOKUP(A59,[1]!TOX,25,FALSE)))+('S-1 Assumptions'!$L$68*(VLOOKUP(A59,[1]!TOX,27,FALSE))))*3))+(((('S-1 Assumptions'!$K$32*(VLOOKUP(A59,[1]!TOX,25,FALSE)))+('S-1 Assumptions'!$L$69*(VLOOKUP(A59,[1]!TOX,27,FALSE))))*3))+(((('S-1 Assumptions'!$K$33*(VLOOKUP(A59,[1]!TOX,25,FALSE)))+('S-1 Assumptions'!$L$70)*(VLOOKUP(A59,[1]!TOX,27,FALSE))))*1)))*(VLOOKUP(A59,[1]!TOX,12,FALSE))),0))</f>
        <v>0</v>
      </c>
      <c r="E59" s="162">
        <f>IF(ISERR(1/(VLOOKUP(A59,[1]!TOX,25,FALSE))),0,IF(VLOOKUP(A59,[1]!TOX,36,FALSE)="M",'[1]Target Risk'!$D$12/((((((('S-1 Assumptions'!$K$30*(VLOOKUP(A59,[1]!TOX,25,FALSE)))+('S-1 Assumptions'!$L$67*(VLOOKUP(A59,[1]!TOX,27,FALSE))))*10))+(((('S-1 Assumptions'!$K$31*(VLOOKUP(A59,[1]!TOX,25,FALSE)))+('S-1 Assumptions'!$L$68*(VLOOKUP(A59,[1]!TOX,27,FALSE))))*3))+(((('S-1 Assumptions'!$K$32*(VLOOKUP(A59,[1]!TOX,25,FALSE)))+('S-1 Assumptions'!$L$69*(VLOOKUP(A59,[1]!TOX,27,FALSE))))*3))+(((('S-1 Assumptions'!$K$33*(VLOOKUP(A59,[1]!TOX,25,FALSE)))+('S-1 Assumptions'!$L$70)*(VLOOKUP(A59,[1]!TOX,27,FALSE))))*1)))*(VLOOKUP(A59,[1]!TOX,12,FALSE))),('[1]Target Risk'!$D$12/((('S-1 Assumptions'!$K$26*(VLOOKUP(A59,[1]!TOX,25,FALSE)))+('S-1 Assumptions'!$L$59*(VLOOKUP(A59,[1]!TOX,27,FALSE))))*(VLOOKUP(A59,[1]!TOX,12,FALSE))))))</f>
        <v>9.2990346073282076E-2</v>
      </c>
      <c r="F59" s="308">
        <f>IF(B59=0,MIN(E59,(VLOOKUP(A59,[1]!TOX,71,FALSE))),IF(E59=0,MIN(B59,(VLOOKUP(A59,[1]!TOX,71,FALSE))),MIN(B59,E59,(VLOOKUP(A59,[1]!TOX,71,FALSE)))))</f>
        <v>9.2990346073282076E-2</v>
      </c>
      <c r="G59" s="162" t="str">
        <f>IF(F59=B59,"Noncancer Risk",IF(F59=E59,"Cancer Risk",(VLOOKUP(A59,[1]!TOX,72,FALSE))))</f>
        <v>Cancer Risk</v>
      </c>
      <c r="H59" s="309">
        <f>MAX(F59,(VLOOKUP(A59,[1]!TOX,50,FALSE)),(VLOOKUP(A59,[1]!TOX,39,FALSE)))</f>
        <v>9.2990346073282076E-2</v>
      </c>
      <c r="I59" s="310">
        <f t="shared" si="1"/>
        <v>0.09</v>
      </c>
      <c r="J59" s="165" t="str">
        <f>IF(H59=0,"Not Calculated",IF(H59=F59,G59,IF(H59=(VLOOKUP(A59,[1]!TOX,39,FALSE)),"Background","PQL")))</f>
        <v>Cancer Risk</v>
      </c>
    </row>
    <row r="60" spans="1:10" ht="12.5" x14ac:dyDescent="0.25">
      <c r="A60" s="50" t="s">
        <v>54</v>
      </c>
      <c r="B60" s="160">
        <f>IF(ISERR(1/+(VLOOKUP(A60,[1]!TOX,17,FALSE))),0,'[1]Target Risk'!$D$8*(VLOOKUP(A60,[1]!TOX,4,FALSE))/(('S-1 Assumptions'!$K$18*(VLOOKUP(A60,[1]!TOX,17,FALSE)))+('S-1 Assumptions'!$L$51*(VLOOKUP(A60,[1]!TOX,19,FALSE)))))</f>
        <v>40212.396677847864</v>
      </c>
      <c r="C60" s="161">
        <f>IF(ISERR(1/(VLOOKUP(A60,[1]!TOX,25,FALSE))),0, '[1]Target Risk'!$D$12/((('S-1 Assumptions'!$K$26*(VLOOKUP(A60,[1]!TOX,25,FALSE)))+('S-1 Assumptions'!$L$59*(VLOOKUP(A60,[1]!TOX,27,FALSE))))*(VLOOKUP(A60,[1]!TOX,12,FALSE))))</f>
        <v>0</v>
      </c>
      <c r="D60" s="161">
        <f>IF(ISERR(1/(VLOOKUP(A60,[1]!TOX,25,FALSE))),0,IF(VLOOKUP(A60,[1]!TOX,36,FALSE)="M",'[1]Target Risk'!$D$12/((((((('S-1 Assumptions'!$K$30*(VLOOKUP(A60,[1]!TOX,25,FALSE)))+('S-1 Assumptions'!$L$67*(VLOOKUP(A60,[1]!TOX,27,FALSE))))*10))+(((('S-1 Assumptions'!$K$31*(VLOOKUP(A60,[1]!TOX,25,FALSE)))+('S-1 Assumptions'!$L$68*(VLOOKUP(A60,[1]!TOX,27,FALSE))))*3))+(((('S-1 Assumptions'!$K$32*(VLOOKUP(A60,[1]!TOX,25,FALSE)))+('S-1 Assumptions'!$L$69*(VLOOKUP(A60,[1]!TOX,27,FALSE))))*3))+(((('S-1 Assumptions'!$K$33*(VLOOKUP(A60,[1]!TOX,25,FALSE)))+('S-1 Assumptions'!$L$70)*(VLOOKUP(A60,[1]!TOX,27,FALSE))))*1)))*(VLOOKUP(A60,[1]!TOX,12,FALSE))),0))</f>
        <v>0</v>
      </c>
      <c r="E60" s="162">
        <f>IF(ISERR(1/(VLOOKUP(A60,[1]!TOX,25,FALSE))),0,IF(VLOOKUP(A60,[1]!TOX,36,FALSE)="M",'[1]Target Risk'!$D$12/((((((('S-1 Assumptions'!$K$30*(VLOOKUP(A60,[1]!TOX,25,FALSE)))+('S-1 Assumptions'!$L$67*(VLOOKUP(A60,[1]!TOX,27,FALSE))))*10))+(((('S-1 Assumptions'!$K$31*(VLOOKUP(A60,[1]!TOX,25,FALSE)))+('S-1 Assumptions'!$L$68*(VLOOKUP(A60,[1]!TOX,27,FALSE))))*3))+(((('S-1 Assumptions'!$K$32*(VLOOKUP(A60,[1]!TOX,25,FALSE)))+('S-1 Assumptions'!$L$69*(VLOOKUP(A60,[1]!TOX,27,FALSE))))*3))+(((('S-1 Assumptions'!$K$33*(VLOOKUP(A60,[1]!TOX,25,FALSE)))+('S-1 Assumptions'!$L$70)*(VLOOKUP(A60,[1]!TOX,27,FALSE))))*1)))*(VLOOKUP(A60,[1]!TOX,12,FALSE))),('[1]Target Risk'!$D$12/((('S-1 Assumptions'!$K$26*(VLOOKUP(A60,[1]!TOX,25,FALSE)))+('S-1 Assumptions'!$L$59*(VLOOKUP(A60,[1]!TOX,27,FALSE))))*(VLOOKUP(A60,[1]!TOX,12,FALSE))))))</f>
        <v>0</v>
      </c>
      <c r="F60" s="308">
        <f>IF(B60=0,MIN(E60,(VLOOKUP(A60,[1]!TOX,71,FALSE))),IF(E60=0,MIN(B60,(VLOOKUP(A60,[1]!TOX,71,FALSE))),MIN(B60,E60,(VLOOKUP(A60,[1]!TOX,71,FALSE)))))</f>
        <v>1000</v>
      </c>
      <c r="G60" s="162" t="str">
        <f>IF(F60=B60,"Noncancer Risk",IF(F60=E60,"Cancer Risk",(VLOOKUP(A60,[1]!TOX,72,FALSE))))</f>
        <v>Ceiling (High)</v>
      </c>
      <c r="H60" s="309">
        <f>MAX(F60,(VLOOKUP(A60,[1]!TOX,50,FALSE)),(VLOOKUP(A60,[1]!TOX,39,FALSE)))</f>
        <v>1000</v>
      </c>
      <c r="I60" s="310">
        <f t="shared" si="1"/>
        <v>1000</v>
      </c>
      <c r="J60" s="165" t="str">
        <f>IF(H60=0,"Not Calculated",IF(H60=F60,G60,IF(H60=(VLOOKUP(A60,[1]!TOX,39,FALSE)),"Background","PQL")))</f>
        <v>Ceiling (High)</v>
      </c>
    </row>
    <row r="61" spans="1:10" ht="12.5" x14ac:dyDescent="0.25">
      <c r="A61" s="50" t="s">
        <v>53</v>
      </c>
      <c r="B61" s="160">
        <f>IF(ISERR(1/+(VLOOKUP(A61,[1]!TOX,17,FALSE))),0,'[1]Target Risk'!$D$8*(VLOOKUP(A61,[1]!TOX,4,FALSE))/(('S-1 Assumptions'!$K$18*(VLOOKUP(A61,[1]!TOX,17,FALSE)))+('S-1 Assumptions'!$L$51*(VLOOKUP(A61,[1]!TOX,19,FALSE)))))</f>
        <v>5026.549584730983</v>
      </c>
      <c r="C61" s="161">
        <f>IF(ISERR(1/(VLOOKUP(A61,[1]!TOX,25,FALSE))),0, '[1]Target Risk'!$D$12/((('S-1 Assumptions'!$K$26*(VLOOKUP(A61,[1]!TOX,25,FALSE)))+('S-1 Assumptions'!$L$59*(VLOOKUP(A61,[1]!TOX,27,FALSE))))*(VLOOKUP(A61,[1]!TOX,12,FALSE))))</f>
        <v>0</v>
      </c>
      <c r="D61" s="161">
        <f>IF(ISERR(1/(VLOOKUP(A61,[1]!TOX,25,FALSE))),0,IF(VLOOKUP(A61,[1]!TOX,36,FALSE)="M",'[1]Target Risk'!$D$12/((((((('S-1 Assumptions'!$K$30*(VLOOKUP(A61,[1]!TOX,25,FALSE)))+('S-1 Assumptions'!$L$67*(VLOOKUP(A61,[1]!TOX,27,FALSE))))*10))+(((('S-1 Assumptions'!$K$31*(VLOOKUP(A61,[1]!TOX,25,FALSE)))+('S-1 Assumptions'!$L$68*(VLOOKUP(A61,[1]!TOX,27,FALSE))))*3))+(((('S-1 Assumptions'!$K$32*(VLOOKUP(A61,[1]!TOX,25,FALSE)))+('S-1 Assumptions'!$L$69*(VLOOKUP(A61,[1]!TOX,27,FALSE))))*3))+(((('S-1 Assumptions'!$K$33*(VLOOKUP(A61,[1]!TOX,25,FALSE)))+('S-1 Assumptions'!$L$70)*(VLOOKUP(A61,[1]!TOX,27,FALSE))))*1)))*(VLOOKUP(A61,[1]!TOX,12,FALSE))),0))</f>
        <v>0</v>
      </c>
      <c r="E61" s="162">
        <f>IF(ISERR(1/(VLOOKUP(A61,[1]!TOX,25,FALSE))),0,IF(VLOOKUP(A61,[1]!TOX,36,FALSE)="M",'[1]Target Risk'!$D$12/((((((('S-1 Assumptions'!$K$30*(VLOOKUP(A61,[1]!TOX,25,FALSE)))+('S-1 Assumptions'!$L$67*(VLOOKUP(A61,[1]!TOX,27,FALSE))))*10))+(((('S-1 Assumptions'!$K$31*(VLOOKUP(A61,[1]!TOX,25,FALSE)))+('S-1 Assumptions'!$L$68*(VLOOKUP(A61,[1]!TOX,27,FALSE))))*3))+(((('S-1 Assumptions'!$K$32*(VLOOKUP(A61,[1]!TOX,25,FALSE)))+('S-1 Assumptions'!$L$69*(VLOOKUP(A61,[1]!TOX,27,FALSE))))*3))+(((('S-1 Assumptions'!$K$33*(VLOOKUP(A61,[1]!TOX,25,FALSE)))+('S-1 Assumptions'!$L$70)*(VLOOKUP(A61,[1]!TOX,27,FALSE))))*1)))*(VLOOKUP(A61,[1]!TOX,12,FALSE))),('[1]Target Risk'!$D$12/((('S-1 Assumptions'!$K$26*(VLOOKUP(A61,[1]!TOX,25,FALSE)))+('S-1 Assumptions'!$L$59*(VLOOKUP(A61,[1]!TOX,27,FALSE))))*(VLOOKUP(A61,[1]!TOX,12,FALSE))))))</f>
        <v>0</v>
      </c>
      <c r="F61" s="308">
        <f>IF(B61=0,MIN(E61,(VLOOKUP(A61,[1]!TOX,71,FALSE))),IF(E61=0,MIN(B61,(VLOOKUP(A61,[1]!TOX,71,FALSE))),MIN(B61,E61,(VLOOKUP(A61,[1]!TOX,71,FALSE)))))</f>
        <v>1000</v>
      </c>
      <c r="G61" s="162" t="str">
        <f>IF(F61=B61,"Noncancer Risk",IF(F61=E61,"Cancer Risk",(VLOOKUP(A61,[1]!TOX,72,FALSE))))</f>
        <v>Ceiling (High)</v>
      </c>
      <c r="H61" s="309">
        <f>MAX(F61,(VLOOKUP(A61,[1]!TOX,50,FALSE)),(VLOOKUP(A61,[1]!TOX,39,FALSE)))</f>
        <v>1000</v>
      </c>
      <c r="I61" s="310">
        <f t="shared" si="1"/>
        <v>1000</v>
      </c>
      <c r="J61" s="165" t="str">
        <f>IF(H61=0,"Not Calculated",IF(H61=F61,G61,IF(H61=(VLOOKUP(A61,[1]!TOX,39,FALSE)),"Background","PQL")))</f>
        <v>Ceiling (High)</v>
      </c>
    </row>
    <row r="62" spans="1:10" ht="12.5" x14ac:dyDescent="0.25">
      <c r="A62" s="50" t="s">
        <v>52</v>
      </c>
      <c r="B62" s="160">
        <f>IF(ISERR(1/+(VLOOKUP(A62,[1]!TOX,17,FALSE))),0,'[1]Target Risk'!$D$8*(VLOOKUP(A62,[1]!TOX,4,FALSE))/(('S-1 Assumptions'!$K$18*(VLOOKUP(A62,[1]!TOX,17,FALSE)))+('S-1 Assumptions'!$L$51*(VLOOKUP(A62,[1]!TOX,19,FALSE)))))</f>
        <v>525.46122277756569</v>
      </c>
      <c r="C62" s="161">
        <f>IF(ISERR(1/(VLOOKUP(A62,[1]!TOX,25,FALSE))),0, '[1]Target Risk'!$D$12/((('S-1 Assumptions'!$K$26*(VLOOKUP(A62,[1]!TOX,25,FALSE)))+('S-1 Assumptions'!$L$59*(VLOOKUP(A62,[1]!TOX,27,FALSE))))*(VLOOKUP(A62,[1]!TOX,12,FALSE))))</f>
        <v>0</v>
      </c>
      <c r="D62" s="161">
        <f>IF(ISERR(1/(VLOOKUP(A62,[1]!TOX,25,FALSE))),0,IF(VLOOKUP(A62,[1]!TOX,36,FALSE)="M",'[1]Target Risk'!$D$12/((((((('S-1 Assumptions'!$K$30*(VLOOKUP(A62,[1]!TOX,25,FALSE)))+('S-1 Assumptions'!$L$67*(VLOOKUP(A62,[1]!TOX,27,FALSE))))*10))+(((('S-1 Assumptions'!$K$31*(VLOOKUP(A62,[1]!TOX,25,FALSE)))+('S-1 Assumptions'!$L$68*(VLOOKUP(A62,[1]!TOX,27,FALSE))))*3))+(((('S-1 Assumptions'!$K$32*(VLOOKUP(A62,[1]!TOX,25,FALSE)))+('S-1 Assumptions'!$L$69*(VLOOKUP(A62,[1]!TOX,27,FALSE))))*3))+(((('S-1 Assumptions'!$K$33*(VLOOKUP(A62,[1]!TOX,25,FALSE)))+('S-1 Assumptions'!$L$70)*(VLOOKUP(A62,[1]!TOX,27,FALSE))))*1)))*(VLOOKUP(A62,[1]!TOX,12,FALSE))),0))</f>
        <v>0</v>
      </c>
      <c r="E62" s="162">
        <f>IF(ISERR(1/(VLOOKUP(A62,[1]!TOX,25,FALSE))),0,IF(VLOOKUP(A62,[1]!TOX,36,FALSE)="M",'[1]Target Risk'!$D$12/((((((('S-1 Assumptions'!$K$30*(VLOOKUP(A62,[1]!TOX,25,FALSE)))+('S-1 Assumptions'!$L$67*(VLOOKUP(A62,[1]!TOX,27,FALSE))))*10))+(((('S-1 Assumptions'!$K$31*(VLOOKUP(A62,[1]!TOX,25,FALSE)))+('S-1 Assumptions'!$L$68*(VLOOKUP(A62,[1]!TOX,27,FALSE))))*3))+(((('S-1 Assumptions'!$K$32*(VLOOKUP(A62,[1]!TOX,25,FALSE)))+('S-1 Assumptions'!$L$69*(VLOOKUP(A62,[1]!TOX,27,FALSE))))*3))+(((('S-1 Assumptions'!$K$33*(VLOOKUP(A62,[1]!TOX,25,FALSE)))+('S-1 Assumptions'!$L$70)*(VLOOKUP(A62,[1]!TOX,27,FALSE))))*1)))*(VLOOKUP(A62,[1]!TOX,12,FALSE))),('[1]Target Risk'!$D$12/((('S-1 Assumptions'!$K$26*(VLOOKUP(A62,[1]!TOX,25,FALSE)))+('S-1 Assumptions'!$L$59*(VLOOKUP(A62,[1]!TOX,27,FALSE))))*(VLOOKUP(A62,[1]!TOX,12,FALSE))))))</f>
        <v>0</v>
      </c>
      <c r="F62" s="308">
        <f>IF(B62=0,MIN(E62,(VLOOKUP(A62,[1]!TOX,71,FALSE))),IF(E62=0,MIN(B62,(VLOOKUP(A62,[1]!TOX,71,FALSE))),MIN(B62,E62,(VLOOKUP(A62,[1]!TOX,71,FALSE)))))</f>
        <v>525.46122277756569</v>
      </c>
      <c r="G62" s="162" t="str">
        <f>IF(F62=B62,"Noncancer Risk",IF(F62=E62,"Cancer Risk",(VLOOKUP(A62,[1]!TOX,72,FALSE))))</f>
        <v>Noncancer Risk</v>
      </c>
      <c r="H62" s="309">
        <f>MAX(F62,(VLOOKUP(A62,[1]!TOX,50,FALSE)),(VLOOKUP(A62,[1]!TOX,39,FALSE)))</f>
        <v>525.46122277756569</v>
      </c>
      <c r="I62" s="310">
        <f t="shared" si="1"/>
        <v>500</v>
      </c>
      <c r="J62" s="165" t="str">
        <f>IF(H62=0,"Not Calculated",IF(H62=F62,G62,IF(H62=(VLOOKUP(A62,[1]!TOX,39,FALSE)),"Background","PQL")))</f>
        <v>Noncancer Risk</v>
      </c>
    </row>
    <row r="63" spans="1:10" ht="12.5" x14ac:dyDescent="0.25">
      <c r="A63" s="50" t="s">
        <v>51</v>
      </c>
      <c r="B63" s="160">
        <f>IF(ISERR(1/+(VLOOKUP(A63,[1]!TOX,17,FALSE))),0,'[1]Target Risk'!$D$8*(VLOOKUP(A63,[1]!TOX,4,FALSE))/(('S-1 Assumptions'!$K$18*(VLOOKUP(A63,[1]!TOX,17,FALSE)))+('S-1 Assumptions'!$L$51*(VLOOKUP(A63,[1]!TOX,19,FALSE)))))</f>
        <v>52.546122277756567</v>
      </c>
      <c r="C63" s="161">
        <f>IF(ISERR(1/(VLOOKUP(A63,[1]!TOX,25,FALSE))),0, '[1]Target Risk'!$D$12/((('S-1 Assumptions'!$K$26*(VLOOKUP(A63,[1]!TOX,25,FALSE)))+('S-1 Assumptions'!$L$59*(VLOOKUP(A63,[1]!TOX,27,FALSE))))*(VLOOKUP(A63,[1]!TOX,12,FALSE))))</f>
        <v>0</v>
      </c>
      <c r="D63" s="161">
        <f>IF(ISERR(1/(VLOOKUP(A63,[1]!TOX,25,FALSE))),0,IF(VLOOKUP(A63,[1]!TOX,36,FALSE)="M",'[1]Target Risk'!$D$12/((((((('S-1 Assumptions'!$K$30*(VLOOKUP(A63,[1]!TOX,25,FALSE)))+('S-1 Assumptions'!$L$67*(VLOOKUP(A63,[1]!TOX,27,FALSE))))*10))+(((('S-1 Assumptions'!$K$31*(VLOOKUP(A63,[1]!TOX,25,FALSE)))+('S-1 Assumptions'!$L$68*(VLOOKUP(A63,[1]!TOX,27,FALSE))))*3))+(((('S-1 Assumptions'!$K$32*(VLOOKUP(A63,[1]!TOX,25,FALSE)))+('S-1 Assumptions'!$L$69*(VLOOKUP(A63,[1]!TOX,27,FALSE))))*3))+(((('S-1 Assumptions'!$K$33*(VLOOKUP(A63,[1]!TOX,25,FALSE)))+('S-1 Assumptions'!$L$70)*(VLOOKUP(A63,[1]!TOX,27,FALSE))))*1)))*(VLOOKUP(A63,[1]!TOX,12,FALSE))),0))</f>
        <v>0</v>
      </c>
      <c r="E63" s="162">
        <f>IF(ISERR(1/(VLOOKUP(A63,[1]!TOX,25,FALSE))),0,IF(VLOOKUP(A63,[1]!TOX,36,FALSE)="M",'[1]Target Risk'!$D$12/((((((('S-1 Assumptions'!$K$30*(VLOOKUP(A63,[1]!TOX,25,FALSE)))+('S-1 Assumptions'!$L$67*(VLOOKUP(A63,[1]!TOX,27,FALSE))))*10))+(((('S-1 Assumptions'!$K$31*(VLOOKUP(A63,[1]!TOX,25,FALSE)))+('S-1 Assumptions'!$L$68*(VLOOKUP(A63,[1]!TOX,27,FALSE))))*3))+(((('S-1 Assumptions'!$K$32*(VLOOKUP(A63,[1]!TOX,25,FALSE)))+('S-1 Assumptions'!$L$69*(VLOOKUP(A63,[1]!TOX,27,FALSE))))*3))+(((('S-1 Assumptions'!$K$33*(VLOOKUP(A63,[1]!TOX,25,FALSE)))+('S-1 Assumptions'!$L$70)*(VLOOKUP(A63,[1]!TOX,27,FALSE))))*1)))*(VLOOKUP(A63,[1]!TOX,12,FALSE))),('[1]Target Risk'!$D$12/((('S-1 Assumptions'!$K$26*(VLOOKUP(A63,[1]!TOX,25,FALSE)))+('S-1 Assumptions'!$L$59*(VLOOKUP(A63,[1]!TOX,27,FALSE))))*(VLOOKUP(A63,[1]!TOX,12,FALSE))))))</f>
        <v>0</v>
      </c>
      <c r="F63" s="308">
        <f>IF(B63=0,MIN(E63,(VLOOKUP(A63,[1]!TOX,71,FALSE))),IF(E63=0,MIN(B63,(VLOOKUP(A63,[1]!TOX,71,FALSE))),MIN(B63,E63,(VLOOKUP(A63,[1]!TOX,71,FALSE)))))</f>
        <v>52.546122277756567</v>
      </c>
      <c r="G63" s="162" t="str">
        <f>IF(F63=B63,"Noncancer Risk",IF(F63=E63,"Cancer Risk",(VLOOKUP(A63,[1]!TOX,72,FALSE))))</f>
        <v>Noncancer Risk</v>
      </c>
      <c r="H63" s="309">
        <f>MAX(F63,(VLOOKUP(A63,[1]!TOX,50,FALSE)),(VLOOKUP(A63,[1]!TOX,39,FALSE)))</f>
        <v>52.546122277756567</v>
      </c>
      <c r="I63" s="310">
        <f t="shared" si="1"/>
        <v>50</v>
      </c>
      <c r="J63" s="165" t="str">
        <f>IF(H63=0,"Not Calculated",IF(H63=F63,G63,IF(H63=(VLOOKUP(A63,[1]!TOX,39,FALSE)),"Background","PQL")))</f>
        <v>Noncancer Risk</v>
      </c>
    </row>
    <row r="64" spans="1:10" ht="12.5" x14ac:dyDescent="0.25">
      <c r="A64" s="50" t="s">
        <v>50</v>
      </c>
      <c r="B64" s="160">
        <f>IF(ISERR(1/+(VLOOKUP(A64,[1]!TOX,17,FALSE))),0,'[1]Target Risk'!$D$8*(VLOOKUP(A64,[1]!TOX,4,FALSE))/(('S-1 Assumptions'!$K$18*(VLOOKUP(A64,[1]!TOX,17,FALSE)))+('S-1 Assumptions'!$L$51*(VLOOKUP(A64,[1]!TOX,19,FALSE)))))</f>
        <v>1005.3099169461965</v>
      </c>
      <c r="C64" s="161">
        <f>IF(ISERR(1/(VLOOKUP(A64,[1]!TOX,25,FALSE))),0, '[1]Target Risk'!$D$12/((('S-1 Assumptions'!$K$26*(VLOOKUP(A64,[1]!TOX,25,FALSE)))+('S-1 Assumptions'!$L$59*(VLOOKUP(A64,[1]!TOX,27,FALSE))))*(VLOOKUP(A64,[1]!TOX,12,FALSE))))</f>
        <v>2.1880081429007547</v>
      </c>
      <c r="D64" s="161">
        <f>IF(ISERR(1/(VLOOKUP(A64,[1]!TOX,25,FALSE))),0,IF(VLOOKUP(A64,[1]!TOX,36,FALSE)="M",'[1]Target Risk'!$D$12/((((((('S-1 Assumptions'!$K$30*(VLOOKUP(A64,[1]!TOX,25,FALSE)))+('S-1 Assumptions'!$L$67*(VLOOKUP(A64,[1]!TOX,27,FALSE))))*10))+(((('S-1 Assumptions'!$K$31*(VLOOKUP(A64,[1]!TOX,25,FALSE)))+('S-1 Assumptions'!$L$68*(VLOOKUP(A64,[1]!TOX,27,FALSE))))*3))+(((('S-1 Assumptions'!$K$32*(VLOOKUP(A64,[1]!TOX,25,FALSE)))+('S-1 Assumptions'!$L$69*(VLOOKUP(A64,[1]!TOX,27,FALSE))))*3))+(((('S-1 Assumptions'!$K$33*(VLOOKUP(A64,[1]!TOX,25,FALSE)))+('S-1 Assumptions'!$L$70)*(VLOOKUP(A64,[1]!TOX,27,FALSE))))*1)))*(VLOOKUP(A64,[1]!TOX,12,FALSE))),0))</f>
        <v>0</v>
      </c>
      <c r="E64" s="162">
        <f>IF(ISERR(1/(VLOOKUP(A64,[1]!TOX,25,FALSE))),0,IF(VLOOKUP(A64,[1]!TOX,36,FALSE)="M",'[1]Target Risk'!$D$12/((((((('S-1 Assumptions'!$K$30*(VLOOKUP(A64,[1]!TOX,25,FALSE)))+('S-1 Assumptions'!$L$67*(VLOOKUP(A64,[1]!TOX,27,FALSE))))*10))+(((('S-1 Assumptions'!$K$31*(VLOOKUP(A64,[1]!TOX,25,FALSE)))+('S-1 Assumptions'!$L$68*(VLOOKUP(A64,[1]!TOX,27,FALSE))))*3))+(((('S-1 Assumptions'!$K$32*(VLOOKUP(A64,[1]!TOX,25,FALSE)))+('S-1 Assumptions'!$L$69*(VLOOKUP(A64,[1]!TOX,27,FALSE))))*3))+(((('S-1 Assumptions'!$K$33*(VLOOKUP(A64,[1]!TOX,25,FALSE)))+('S-1 Assumptions'!$L$70)*(VLOOKUP(A64,[1]!TOX,27,FALSE))))*1)))*(VLOOKUP(A64,[1]!TOX,12,FALSE))),('[1]Target Risk'!$D$12/((('S-1 Assumptions'!$K$26*(VLOOKUP(A64,[1]!TOX,25,FALSE)))+('S-1 Assumptions'!$L$59*(VLOOKUP(A64,[1]!TOX,27,FALSE))))*(VLOOKUP(A64,[1]!TOX,12,FALSE))))))</f>
        <v>2.1880081429007547</v>
      </c>
      <c r="F64" s="308">
        <f>IF(B64=0,MIN(E64,(VLOOKUP(A64,[1]!TOX,71,FALSE))),IF(E64=0,MIN(B64,(VLOOKUP(A64,[1]!TOX,71,FALSE))),MIN(B64,E64,(VLOOKUP(A64,[1]!TOX,71,FALSE)))))</f>
        <v>2.1880081429007547</v>
      </c>
      <c r="G64" s="162" t="str">
        <f>IF(F64=B64,"Noncancer Risk",IF(F64=E64,"Cancer Risk",(VLOOKUP(A64,[1]!TOX,72,FALSE))))</f>
        <v>Cancer Risk</v>
      </c>
      <c r="H64" s="309">
        <f>MAX(F64,(VLOOKUP(A64,[1]!TOX,50,FALSE)),(VLOOKUP(A64,[1]!TOX,39,FALSE)))</f>
        <v>2.1880081429007547</v>
      </c>
      <c r="I64" s="310">
        <f t="shared" si="1"/>
        <v>2</v>
      </c>
      <c r="J64" s="165" t="str">
        <f>IF(H64=0,"Not Calculated",IF(H64=F64,G64,IF(H64=(VLOOKUP(A64,[1]!TOX,39,FALSE)),"Background","PQL")))</f>
        <v>Cancer Risk</v>
      </c>
    </row>
    <row r="65" spans="1:10" ht="12.5" x14ac:dyDescent="0.25">
      <c r="A65" s="50" t="s">
        <v>49</v>
      </c>
      <c r="B65" s="160">
        <f>IF(ISERR(1/+(VLOOKUP(A65,[1]!TOX,17,FALSE))),0,'[1]Target Risk'!$D$8*(VLOOKUP(A65,[1]!TOX,4,FALSE))/(('S-1 Assumptions'!$K$18*(VLOOKUP(A65,[1]!TOX,17,FALSE)))+('S-1 Assumptions'!$L$51*(VLOOKUP(A65,[1]!TOX,19,FALSE)))))</f>
        <v>2216.3514402298961</v>
      </c>
      <c r="C65" s="161">
        <f>IF(ISERR(1/(VLOOKUP(A65,[1]!TOX,25,FALSE))),0, '[1]Target Risk'!$D$12/((('S-1 Assumptions'!$K$26*(VLOOKUP(A65,[1]!TOX,25,FALSE)))+('S-1 Assumptions'!$L$59*(VLOOKUP(A65,[1]!TOX,27,FALSE))))*(VLOOKUP(A65,[1]!TOX,12,FALSE))))</f>
        <v>22.9767376773428</v>
      </c>
      <c r="D65" s="161">
        <f>IF(ISERR(1/(VLOOKUP(A65,[1]!TOX,25,FALSE))),0,IF(VLOOKUP(A65,[1]!TOX,36,FALSE)="M",'[1]Target Risk'!$D$12/((((((('S-1 Assumptions'!$K$30*(VLOOKUP(A65,[1]!TOX,25,FALSE)))+('S-1 Assumptions'!$L$67*(VLOOKUP(A65,[1]!TOX,27,FALSE))))*10))+(((('S-1 Assumptions'!$K$31*(VLOOKUP(A65,[1]!TOX,25,FALSE)))+('S-1 Assumptions'!$L$68*(VLOOKUP(A65,[1]!TOX,27,FALSE))))*3))+(((('S-1 Assumptions'!$K$32*(VLOOKUP(A65,[1]!TOX,25,FALSE)))+('S-1 Assumptions'!$L$69*(VLOOKUP(A65,[1]!TOX,27,FALSE))))*3))+(((('S-1 Assumptions'!$K$33*(VLOOKUP(A65,[1]!TOX,25,FALSE)))+('S-1 Assumptions'!$L$70)*(VLOOKUP(A65,[1]!TOX,27,FALSE))))*1)))*(VLOOKUP(A65,[1]!TOX,12,FALSE))),0))</f>
        <v>0</v>
      </c>
      <c r="E65" s="162">
        <f>IF(ISERR(1/(VLOOKUP(A65,[1]!TOX,25,FALSE))),0,IF(VLOOKUP(A65,[1]!TOX,36,FALSE)="M",'[1]Target Risk'!$D$12/((((((('S-1 Assumptions'!$K$30*(VLOOKUP(A65,[1]!TOX,25,FALSE)))+('S-1 Assumptions'!$L$67*(VLOOKUP(A65,[1]!TOX,27,FALSE))))*10))+(((('S-1 Assumptions'!$K$31*(VLOOKUP(A65,[1]!TOX,25,FALSE)))+('S-1 Assumptions'!$L$68*(VLOOKUP(A65,[1]!TOX,27,FALSE))))*3))+(((('S-1 Assumptions'!$K$32*(VLOOKUP(A65,[1]!TOX,25,FALSE)))+('S-1 Assumptions'!$L$69*(VLOOKUP(A65,[1]!TOX,27,FALSE))))*3))+(((('S-1 Assumptions'!$K$33*(VLOOKUP(A65,[1]!TOX,25,FALSE)))+('S-1 Assumptions'!$L$70)*(VLOOKUP(A65,[1]!TOX,27,FALSE))))*1)))*(VLOOKUP(A65,[1]!TOX,12,FALSE))),('[1]Target Risk'!$D$12/((('S-1 Assumptions'!$K$26*(VLOOKUP(A65,[1]!TOX,25,FALSE)))+('S-1 Assumptions'!$L$59*(VLOOKUP(A65,[1]!TOX,27,FALSE))))*(VLOOKUP(A65,[1]!TOX,12,FALSE))))))</f>
        <v>22.9767376773428</v>
      </c>
      <c r="F65" s="308">
        <f>IF(B65=0,MIN(E65,(VLOOKUP(A65,[1]!TOX,71,FALSE))),IF(E65=0,MIN(B65,(VLOOKUP(A65,[1]!TOX,71,FALSE))),MIN(B65,E65,(VLOOKUP(A65,[1]!TOX,71,FALSE)))))</f>
        <v>22.9767376773428</v>
      </c>
      <c r="G65" s="162" t="str">
        <f>IF(F65=B65,"Noncancer Risk",IF(F65=E65,"Cancer Risk",(VLOOKUP(A65,[1]!TOX,72,FALSE))))</f>
        <v>Cancer Risk</v>
      </c>
      <c r="H65" s="309">
        <f>MAX(F65,(VLOOKUP(A65,[1]!TOX,50,FALSE)),(VLOOKUP(A65,[1]!TOX,39,FALSE)))</f>
        <v>22.9767376773428</v>
      </c>
      <c r="I65" s="310">
        <f t="shared" si="1"/>
        <v>20</v>
      </c>
      <c r="J65" s="165" t="str">
        <f>IF(H65=0,"Not Calculated",IF(H65=F65,G65,IF(H65=(VLOOKUP(A65,[1]!TOX,39,FALSE)),"Background","PQL")))</f>
        <v>Cancer Risk</v>
      </c>
    </row>
    <row r="66" spans="1:10" ht="12.5" x14ac:dyDescent="0.25">
      <c r="A66" s="50" t="s">
        <v>48</v>
      </c>
      <c r="B66" s="160">
        <f>IF(ISERR(1/+(VLOOKUP(A66,[1]!TOX,17,FALSE))),0,'[1]Target Risk'!$D$8*(VLOOKUP(A66,[1]!TOX,4,FALSE))/(('S-1 Assumptions'!$K$18*(VLOOKUP(A66,[1]!TOX,17,FALSE)))+('S-1 Assumptions'!$L$51*(VLOOKUP(A66,[1]!TOX,19,FALSE)))))</f>
        <v>301.59297508385896</v>
      </c>
      <c r="C66" s="161">
        <f>IF(ISERR(1/(VLOOKUP(A66,[1]!TOX,25,FALSE))),0, '[1]Target Risk'!$D$12/((('S-1 Assumptions'!$K$26*(VLOOKUP(A66,[1]!TOX,25,FALSE)))+('S-1 Assumptions'!$L$59*(VLOOKUP(A66,[1]!TOX,27,FALSE))))*(VLOOKUP(A66,[1]!TOX,12,FALSE))))</f>
        <v>0</v>
      </c>
      <c r="D66" s="161">
        <f>IF(ISERR(1/(VLOOKUP(A66,[1]!TOX,25,FALSE))),0,IF(VLOOKUP(A66,[1]!TOX,36,FALSE)="M",'[1]Target Risk'!$D$12/((((((('S-1 Assumptions'!$K$30*(VLOOKUP(A66,[1]!TOX,25,FALSE)))+('S-1 Assumptions'!$L$67*(VLOOKUP(A66,[1]!TOX,27,FALSE))))*10))+(((('S-1 Assumptions'!$K$31*(VLOOKUP(A66,[1]!TOX,25,FALSE)))+('S-1 Assumptions'!$L$68*(VLOOKUP(A66,[1]!TOX,27,FALSE))))*3))+(((('S-1 Assumptions'!$K$32*(VLOOKUP(A66,[1]!TOX,25,FALSE)))+('S-1 Assumptions'!$L$69*(VLOOKUP(A66,[1]!TOX,27,FALSE))))*3))+(((('S-1 Assumptions'!$K$33*(VLOOKUP(A66,[1]!TOX,25,FALSE)))+('S-1 Assumptions'!$L$70)*(VLOOKUP(A66,[1]!TOX,27,FALSE))))*1)))*(VLOOKUP(A66,[1]!TOX,12,FALSE))),0))</f>
        <v>0</v>
      </c>
      <c r="E66" s="162">
        <f>IF(ISERR(1/(VLOOKUP(A66,[1]!TOX,25,FALSE))),0,IF(VLOOKUP(A66,[1]!TOX,36,FALSE)="M",'[1]Target Risk'!$D$12/((((((('S-1 Assumptions'!$K$30*(VLOOKUP(A66,[1]!TOX,25,FALSE)))+('S-1 Assumptions'!$L$67*(VLOOKUP(A66,[1]!TOX,27,FALSE))))*10))+(((('S-1 Assumptions'!$K$31*(VLOOKUP(A66,[1]!TOX,25,FALSE)))+('S-1 Assumptions'!$L$68*(VLOOKUP(A66,[1]!TOX,27,FALSE))))*3))+(((('S-1 Assumptions'!$K$32*(VLOOKUP(A66,[1]!TOX,25,FALSE)))+('S-1 Assumptions'!$L$69*(VLOOKUP(A66,[1]!TOX,27,FALSE))))*3))+(((('S-1 Assumptions'!$K$33*(VLOOKUP(A66,[1]!TOX,25,FALSE)))+('S-1 Assumptions'!$L$70)*(VLOOKUP(A66,[1]!TOX,27,FALSE))))*1)))*(VLOOKUP(A66,[1]!TOX,12,FALSE))),('[1]Target Risk'!$D$12/((('S-1 Assumptions'!$K$26*(VLOOKUP(A66,[1]!TOX,25,FALSE)))+('S-1 Assumptions'!$L$59*(VLOOKUP(A66,[1]!TOX,27,FALSE))))*(VLOOKUP(A66,[1]!TOX,12,FALSE))))))</f>
        <v>0</v>
      </c>
      <c r="F66" s="308">
        <f>IF(B66=0,MIN(E66,(VLOOKUP(A66,[1]!TOX,71,FALSE))),IF(E66=0,MIN(B66,(VLOOKUP(A66,[1]!TOX,71,FALSE))),MIN(B66,E66,(VLOOKUP(A66,[1]!TOX,71,FALSE)))))</f>
        <v>301.59297508385896</v>
      </c>
      <c r="G66" s="162" t="str">
        <f>IF(F66=B66,"Noncancer Risk",IF(F66=E66,"Cancer Risk",(VLOOKUP(A66,[1]!TOX,72,FALSE))))</f>
        <v>Noncancer Risk</v>
      </c>
      <c r="H66" s="309">
        <f>MAX(F66,(VLOOKUP(A66,[1]!TOX,50,FALSE)),(VLOOKUP(A66,[1]!TOX,39,FALSE)))</f>
        <v>301.59297508385896</v>
      </c>
      <c r="I66" s="310">
        <f t="shared" si="1"/>
        <v>300</v>
      </c>
      <c r="J66" s="165" t="str">
        <f>IF(H66=0,"Not Calculated",IF(H66=F66,G66,IF(H66=(VLOOKUP(A66,[1]!TOX,39,FALSE)),"Background","PQL")))</f>
        <v>Noncancer Risk</v>
      </c>
    </row>
    <row r="67" spans="1:10" ht="12.5" x14ac:dyDescent="0.25">
      <c r="A67" s="50" t="s">
        <v>47</v>
      </c>
      <c r="B67" s="160">
        <f>IF(ISERR(1/+(VLOOKUP(A67,[1]!TOX,17,FALSE))),0,'[1]Target Risk'!$D$8*(VLOOKUP(A67,[1]!TOX,4,FALSE))/(('S-1 Assumptions'!$K$18*(VLOOKUP(A67,[1]!TOX,17,FALSE)))+('S-1 Assumptions'!$L$51*(VLOOKUP(A67,[1]!TOX,19,FALSE)))))</f>
        <v>15.079648754192945</v>
      </c>
      <c r="C67" s="161">
        <f>IF(ISERR(1/(VLOOKUP(A67,[1]!TOX,25,FALSE))),0, '[1]Target Risk'!$D$12/((('S-1 Assumptions'!$K$26*(VLOOKUP(A67,[1]!TOX,25,FALSE)))+('S-1 Assumptions'!$L$59*(VLOOKUP(A67,[1]!TOX,27,FALSE))))*(VLOOKUP(A67,[1]!TOX,12,FALSE))))</f>
        <v>0</v>
      </c>
      <c r="D67" s="161">
        <f>IF(ISERR(1/(VLOOKUP(A67,[1]!TOX,25,FALSE))),0,IF(VLOOKUP(A67,[1]!TOX,36,FALSE)="M",'[1]Target Risk'!$D$12/((((((('S-1 Assumptions'!$K$30*(VLOOKUP(A67,[1]!TOX,25,FALSE)))+('S-1 Assumptions'!$L$67*(VLOOKUP(A67,[1]!TOX,27,FALSE))))*10))+(((('S-1 Assumptions'!$K$31*(VLOOKUP(A67,[1]!TOX,25,FALSE)))+('S-1 Assumptions'!$L$68*(VLOOKUP(A67,[1]!TOX,27,FALSE))))*3))+(((('S-1 Assumptions'!$K$32*(VLOOKUP(A67,[1]!TOX,25,FALSE)))+('S-1 Assumptions'!$L$69*(VLOOKUP(A67,[1]!TOX,27,FALSE))))*3))+(((('S-1 Assumptions'!$K$33*(VLOOKUP(A67,[1]!TOX,25,FALSE)))+('S-1 Assumptions'!$L$70)*(VLOOKUP(A67,[1]!TOX,27,FALSE))))*1)))*(VLOOKUP(A67,[1]!TOX,12,FALSE))),0))</f>
        <v>0</v>
      </c>
      <c r="E67" s="162">
        <f>IF(ISERR(1/(VLOOKUP(A67,[1]!TOX,25,FALSE))),0,IF(VLOOKUP(A67,[1]!TOX,36,FALSE)="M",'[1]Target Risk'!$D$12/((((((('S-1 Assumptions'!$K$30*(VLOOKUP(A67,[1]!TOX,25,FALSE)))+('S-1 Assumptions'!$L$67*(VLOOKUP(A67,[1]!TOX,27,FALSE))))*10))+(((('S-1 Assumptions'!$K$31*(VLOOKUP(A67,[1]!TOX,25,FALSE)))+('S-1 Assumptions'!$L$68*(VLOOKUP(A67,[1]!TOX,27,FALSE))))*3))+(((('S-1 Assumptions'!$K$32*(VLOOKUP(A67,[1]!TOX,25,FALSE)))+('S-1 Assumptions'!$L$69*(VLOOKUP(A67,[1]!TOX,27,FALSE))))*3))+(((('S-1 Assumptions'!$K$33*(VLOOKUP(A67,[1]!TOX,25,FALSE)))+('S-1 Assumptions'!$L$70)*(VLOOKUP(A67,[1]!TOX,27,FALSE))))*1)))*(VLOOKUP(A67,[1]!TOX,12,FALSE))),('[1]Target Risk'!$D$12/((('S-1 Assumptions'!$K$26*(VLOOKUP(A67,[1]!TOX,25,FALSE)))+('S-1 Assumptions'!$L$59*(VLOOKUP(A67,[1]!TOX,27,FALSE))))*(VLOOKUP(A67,[1]!TOX,12,FALSE))))))</f>
        <v>0</v>
      </c>
      <c r="F67" s="308">
        <f>IF(B67=0,MIN(E67,(VLOOKUP(A67,[1]!TOX,71,FALSE))),IF(E67=0,MIN(B67,(VLOOKUP(A67,[1]!TOX,71,FALSE))),MIN(B67,E67,(VLOOKUP(A67,[1]!TOX,71,FALSE)))))</f>
        <v>15.079648754192945</v>
      </c>
      <c r="G67" s="162" t="str">
        <f>IF(F67=B67,"Noncancer Risk",IF(F67=E67,"Cancer Risk",(VLOOKUP(A67,[1]!TOX,72,FALSE))))</f>
        <v>Noncancer Risk</v>
      </c>
      <c r="H67" s="309">
        <f>MAX(F67,(VLOOKUP(A67,[1]!TOX,50,FALSE)),(VLOOKUP(A67,[1]!TOX,39,FALSE)))</f>
        <v>15.079648754192945</v>
      </c>
      <c r="I67" s="310">
        <f t="shared" si="1"/>
        <v>20</v>
      </c>
      <c r="J67" s="165" t="str">
        <f>IF(H67=0,"Not Calculated",IF(H67=F67,G67,IF(H67=(VLOOKUP(A67,[1]!TOX,39,FALSE)),"Background","PQL")))</f>
        <v>Noncancer Risk</v>
      </c>
    </row>
    <row r="68" spans="1:10" ht="12.5" x14ac:dyDescent="0.25">
      <c r="A68" s="50" t="s">
        <v>46</v>
      </c>
      <c r="B68" s="160">
        <f>IF(ISERR(1/+(VLOOKUP(A68,[1]!TOX,17,FALSE))),0,'[1]Target Risk'!$D$8*(VLOOKUP(A68,[1]!TOX,4,FALSE))/(('S-1 Assumptions'!$K$18*(VLOOKUP(A68,[1]!TOX,17,FALSE)))+('S-1 Assumptions'!$L$51*(VLOOKUP(A68,[1]!TOX,19,FALSE)))))</f>
        <v>3693.9190670498274</v>
      </c>
      <c r="C68" s="161">
        <f>IF(ISERR(1/(VLOOKUP(A68,[1]!TOX,25,FALSE))),0, '[1]Target Risk'!$D$12/((('S-1 Assumptions'!$K$26*(VLOOKUP(A68,[1]!TOX,25,FALSE)))+('S-1 Assumptions'!$L$59*(VLOOKUP(A68,[1]!TOX,27,FALSE))))*(VLOOKUP(A68,[1]!TOX,12,FALSE))))</f>
        <v>0</v>
      </c>
      <c r="D68" s="161">
        <f>IF(ISERR(1/(VLOOKUP(A68,[1]!TOX,25,FALSE))),0,IF(VLOOKUP(A68,[1]!TOX,36,FALSE)="M",'[1]Target Risk'!$D$12/((((((('S-1 Assumptions'!$K$30*(VLOOKUP(A68,[1]!TOX,25,FALSE)))+('S-1 Assumptions'!$L$67*(VLOOKUP(A68,[1]!TOX,27,FALSE))))*10))+(((('S-1 Assumptions'!$K$31*(VLOOKUP(A68,[1]!TOX,25,FALSE)))+('S-1 Assumptions'!$L$68*(VLOOKUP(A68,[1]!TOX,27,FALSE))))*3))+(((('S-1 Assumptions'!$K$32*(VLOOKUP(A68,[1]!TOX,25,FALSE)))+('S-1 Assumptions'!$L$69*(VLOOKUP(A68,[1]!TOX,27,FALSE))))*3))+(((('S-1 Assumptions'!$K$33*(VLOOKUP(A68,[1]!TOX,25,FALSE)))+('S-1 Assumptions'!$L$70)*(VLOOKUP(A68,[1]!TOX,27,FALSE))))*1)))*(VLOOKUP(A68,[1]!TOX,12,FALSE))),0))</f>
        <v>0</v>
      </c>
      <c r="E68" s="162">
        <f>IF(ISERR(1/(VLOOKUP(A68,[1]!TOX,25,FALSE))),0,IF(VLOOKUP(A68,[1]!TOX,36,FALSE)="M",'[1]Target Risk'!$D$12/((((((('S-1 Assumptions'!$K$30*(VLOOKUP(A68,[1]!TOX,25,FALSE)))+('S-1 Assumptions'!$L$67*(VLOOKUP(A68,[1]!TOX,27,FALSE))))*10))+(((('S-1 Assumptions'!$K$31*(VLOOKUP(A68,[1]!TOX,25,FALSE)))+('S-1 Assumptions'!$L$68*(VLOOKUP(A68,[1]!TOX,27,FALSE))))*3))+(((('S-1 Assumptions'!$K$32*(VLOOKUP(A68,[1]!TOX,25,FALSE)))+('S-1 Assumptions'!$L$69*(VLOOKUP(A68,[1]!TOX,27,FALSE))))*3))+(((('S-1 Assumptions'!$K$33*(VLOOKUP(A68,[1]!TOX,25,FALSE)))+('S-1 Assumptions'!$L$70)*(VLOOKUP(A68,[1]!TOX,27,FALSE))))*1)))*(VLOOKUP(A68,[1]!TOX,12,FALSE))),('[1]Target Risk'!$D$12/((('S-1 Assumptions'!$K$26*(VLOOKUP(A68,[1]!TOX,25,FALSE)))+('S-1 Assumptions'!$L$59*(VLOOKUP(A68,[1]!TOX,27,FALSE))))*(VLOOKUP(A68,[1]!TOX,12,FALSE))))))</f>
        <v>0</v>
      </c>
      <c r="F68" s="308">
        <f>IF(B68=0,MIN(E68,(VLOOKUP(A68,[1]!TOX,71,FALSE))),IF(E68=0,MIN(B68,(VLOOKUP(A68,[1]!TOX,71,FALSE))),MIN(B68,E68,(VLOOKUP(A68,[1]!TOX,71,FALSE)))))</f>
        <v>500</v>
      </c>
      <c r="G68" s="162" t="str">
        <f>IF(F68=B68,"Noncancer Risk",IF(F68=E68,"Cancer Risk",(VLOOKUP(A68,[1]!TOX,72,FALSE))))</f>
        <v>Ceiling (Medium)</v>
      </c>
      <c r="H68" s="309">
        <f>MAX(F68,(VLOOKUP(A68,[1]!TOX,50,FALSE)),(VLOOKUP(A68,[1]!TOX,39,FALSE)))</f>
        <v>500</v>
      </c>
      <c r="I68" s="310">
        <f t="shared" si="1"/>
        <v>500</v>
      </c>
      <c r="J68" s="165" t="str">
        <f>IF(H68=0,"Not Calculated",IF(H68=F68,G68,IF(H68=(VLOOKUP(A68,[1]!TOX,39,FALSE)),"Background","PQL")))</f>
        <v>Ceiling (Medium)</v>
      </c>
    </row>
    <row r="69" spans="1:10" ht="12.5" x14ac:dyDescent="0.25">
      <c r="A69" s="50" t="s">
        <v>45</v>
      </c>
      <c r="B69" s="160">
        <f>IF(ISERR(1/+(VLOOKUP(A69,[1]!TOX,17,FALSE))),0,'[1]Target Risk'!$D$8*(VLOOKUP(A69,[1]!TOX,4,FALSE))/(('S-1 Assumptions'!$K$18*(VLOOKUP(A69,[1]!TOX,17,FALSE)))+('S-1 Assumptions'!$L$51*(VLOOKUP(A69,[1]!TOX,19,FALSE)))))</f>
        <v>664.90543206896882</v>
      </c>
      <c r="C69" s="161">
        <f>IF(ISERR(1/(VLOOKUP(A69,[1]!TOX,25,FALSE))),0, '[1]Target Risk'!$D$12/((('S-1 Assumptions'!$K$26*(VLOOKUP(A69,[1]!TOX,25,FALSE)))+('S-1 Assumptions'!$L$59*(VLOOKUP(A69,[1]!TOX,27,FALSE))))*(VLOOKUP(A69,[1]!TOX,12,FALSE))))</f>
        <v>1.1488368838671401</v>
      </c>
      <c r="D69" s="161">
        <f>IF(ISERR(1/(VLOOKUP(A69,[1]!TOX,25,FALSE))),0,IF(VLOOKUP(A69,[1]!TOX,36,FALSE)="M",'[1]Target Risk'!$D$12/((((((('S-1 Assumptions'!$K$30*(VLOOKUP(A69,[1]!TOX,25,FALSE)))+('S-1 Assumptions'!$L$67*(VLOOKUP(A69,[1]!TOX,27,FALSE))))*10))+(((('S-1 Assumptions'!$K$31*(VLOOKUP(A69,[1]!TOX,25,FALSE)))+('S-1 Assumptions'!$L$68*(VLOOKUP(A69,[1]!TOX,27,FALSE))))*3))+(((('S-1 Assumptions'!$K$32*(VLOOKUP(A69,[1]!TOX,25,FALSE)))+('S-1 Assumptions'!$L$69*(VLOOKUP(A69,[1]!TOX,27,FALSE))))*3))+(((('S-1 Assumptions'!$K$33*(VLOOKUP(A69,[1]!TOX,25,FALSE)))+('S-1 Assumptions'!$L$70)*(VLOOKUP(A69,[1]!TOX,27,FALSE))))*1)))*(VLOOKUP(A69,[1]!TOX,12,FALSE))),0))</f>
        <v>0</v>
      </c>
      <c r="E69" s="162">
        <f>IF(ISERR(1/(VLOOKUP(A69,[1]!TOX,25,FALSE))),0,IF(VLOOKUP(A69,[1]!TOX,36,FALSE)="M",'[1]Target Risk'!$D$12/((((((('S-1 Assumptions'!$K$30*(VLOOKUP(A69,[1]!TOX,25,FALSE)))+('S-1 Assumptions'!$L$67*(VLOOKUP(A69,[1]!TOX,27,FALSE))))*10))+(((('S-1 Assumptions'!$K$31*(VLOOKUP(A69,[1]!TOX,25,FALSE)))+('S-1 Assumptions'!$L$68*(VLOOKUP(A69,[1]!TOX,27,FALSE))))*3))+(((('S-1 Assumptions'!$K$32*(VLOOKUP(A69,[1]!TOX,25,FALSE)))+('S-1 Assumptions'!$L$69*(VLOOKUP(A69,[1]!TOX,27,FALSE))))*3))+(((('S-1 Assumptions'!$K$33*(VLOOKUP(A69,[1]!TOX,25,FALSE)))+('S-1 Assumptions'!$L$70)*(VLOOKUP(A69,[1]!TOX,27,FALSE))))*1)))*(VLOOKUP(A69,[1]!TOX,12,FALSE))),('[1]Target Risk'!$D$12/((('S-1 Assumptions'!$K$26*(VLOOKUP(A69,[1]!TOX,25,FALSE)))+('S-1 Assumptions'!$L$59*(VLOOKUP(A69,[1]!TOX,27,FALSE))))*(VLOOKUP(A69,[1]!TOX,12,FALSE))))))</f>
        <v>1.1488368838671401</v>
      </c>
      <c r="F69" s="308">
        <f>IF(B69=0,MIN(E69,(VLOOKUP(A69,[1]!TOX,71,FALSE))),IF(E69=0,MIN(B69,(VLOOKUP(A69,[1]!TOX,71,FALSE))),MIN(B69,E69,(VLOOKUP(A69,[1]!TOX,71,FALSE)))))</f>
        <v>1.1488368838671401</v>
      </c>
      <c r="G69" s="162" t="str">
        <f>IF(F69=B69,"Noncancer Risk",IF(F69=E69,"Cancer Risk",(VLOOKUP(A69,[1]!TOX,72,FALSE))))</f>
        <v>Cancer Risk</v>
      </c>
      <c r="H69" s="309">
        <f>MAX(F69,(VLOOKUP(A69,[1]!TOX,50,FALSE)),(VLOOKUP(A69,[1]!TOX,39,FALSE)))</f>
        <v>1.1488368838671401</v>
      </c>
      <c r="I69" s="310">
        <f t="shared" si="1"/>
        <v>1</v>
      </c>
      <c r="J69" s="165" t="str">
        <f>IF(H69=0,"Not Calculated",IF(H69=F69,G69,IF(H69=(VLOOKUP(A69,[1]!TOX,39,FALSE)),"Background","PQL")))</f>
        <v>Cancer Risk</v>
      </c>
    </row>
    <row r="70" spans="1:10" ht="12.5" x14ac:dyDescent="0.25">
      <c r="A70" s="50" t="s">
        <v>44</v>
      </c>
      <c r="B70" s="160">
        <f>IF(ISERR(1/+(VLOOKUP(A70,[1]!TOX,17,FALSE))),0,'[1]Target Risk'!$D$8*(VLOOKUP(A70,[1]!TOX,4,FALSE))/(('S-1 Assumptions'!$K$18*(VLOOKUP(A70,[1]!TOX,17,FALSE)))+('S-1 Assumptions'!$L$51*(VLOOKUP(A70,[1]!TOX,19,FALSE)))))</f>
        <v>3244.9327417095442</v>
      </c>
      <c r="C70" s="161">
        <f>IF(ISERR(1/(VLOOKUP(A70,[1]!TOX,25,FALSE))),0, '[1]Target Risk'!$D$12/((('S-1 Assumptions'!$K$26*(VLOOKUP(A70,[1]!TOX,25,FALSE)))+('S-1 Assumptions'!$L$59*(VLOOKUP(A70,[1]!TOX,27,FALSE))))*(VLOOKUP(A70,[1]!TOX,12,FALSE))))</f>
        <v>0</v>
      </c>
      <c r="D70" s="161">
        <f>IF(ISERR(1/(VLOOKUP(A70,[1]!TOX,25,FALSE))),0,IF(VLOOKUP(A70,[1]!TOX,36,FALSE)="M",'[1]Target Risk'!$D$12/((((((('S-1 Assumptions'!$K$30*(VLOOKUP(A70,[1]!TOX,25,FALSE)))+('S-1 Assumptions'!$L$67*(VLOOKUP(A70,[1]!TOX,27,FALSE))))*10))+(((('S-1 Assumptions'!$K$31*(VLOOKUP(A70,[1]!TOX,25,FALSE)))+('S-1 Assumptions'!$L$68*(VLOOKUP(A70,[1]!TOX,27,FALSE))))*3))+(((('S-1 Assumptions'!$K$32*(VLOOKUP(A70,[1]!TOX,25,FALSE)))+('S-1 Assumptions'!$L$69*(VLOOKUP(A70,[1]!TOX,27,FALSE))))*3))+(((('S-1 Assumptions'!$K$33*(VLOOKUP(A70,[1]!TOX,25,FALSE)))+('S-1 Assumptions'!$L$70)*(VLOOKUP(A70,[1]!TOX,27,FALSE))))*1)))*(VLOOKUP(A70,[1]!TOX,12,FALSE))),0))</f>
        <v>0</v>
      </c>
      <c r="E70" s="162">
        <f>IF(ISERR(1/(VLOOKUP(A70,[1]!TOX,25,FALSE))),0,IF(VLOOKUP(A70,[1]!TOX,36,FALSE)="M",'[1]Target Risk'!$D$12/((((((('S-1 Assumptions'!$K$30*(VLOOKUP(A70,[1]!TOX,25,FALSE)))+('S-1 Assumptions'!$L$67*(VLOOKUP(A70,[1]!TOX,27,FALSE))))*10))+(((('S-1 Assumptions'!$K$31*(VLOOKUP(A70,[1]!TOX,25,FALSE)))+('S-1 Assumptions'!$L$68*(VLOOKUP(A70,[1]!TOX,27,FALSE))))*3))+(((('S-1 Assumptions'!$K$32*(VLOOKUP(A70,[1]!TOX,25,FALSE)))+('S-1 Assumptions'!$L$69*(VLOOKUP(A70,[1]!TOX,27,FALSE))))*3))+(((('S-1 Assumptions'!$K$33*(VLOOKUP(A70,[1]!TOX,25,FALSE)))+('S-1 Assumptions'!$L$70)*(VLOOKUP(A70,[1]!TOX,27,FALSE))))*1)))*(VLOOKUP(A70,[1]!TOX,12,FALSE))),('[1]Target Risk'!$D$12/((('S-1 Assumptions'!$K$26*(VLOOKUP(A70,[1]!TOX,25,FALSE)))+('S-1 Assumptions'!$L$59*(VLOOKUP(A70,[1]!TOX,27,FALSE))))*(VLOOKUP(A70,[1]!TOX,12,FALSE))))))</f>
        <v>0</v>
      </c>
      <c r="F70" s="308">
        <f>IF(B70=0,MIN(E70,(VLOOKUP(A70,[1]!TOX,71,FALSE))),IF(E70=0,MIN(B70,(VLOOKUP(A70,[1]!TOX,71,FALSE))),MIN(B70,E70,(VLOOKUP(A70,[1]!TOX,71,FALSE)))))</f>
        <v>1000</v>
      </c>
      <c r="G70" s="162" t="str">
        <f>IF(F70=B70,"Noncancer Risk",IF(F70=E70,"Cancer Risk",(VLOOKUP(A70,[1]!TOX,72,FALSE))))</f>
        <v>Ceiling (High)</v>
      </c>
      <c r="H70" s="309">
        <f>MAX(F70,(VLOOKUP(A70,[1]!TOX,50,FALSE)),(VLOOKUP(A70,[1]!TOX,39,FALSE)))</f>
        <v>1000</v>
      </c>
      <c r="I70" s="310">
        <f t="shared" si="1"/>
        <v>1000</v>
      </c>
      <c r="J70" s="165" t="str">
        <f>IF(H70=0,"Not Calculated",IF(H70=F70,G70,IF(H70=(VLOOKUP(A70,[1]!TOX,39,FALSE)),"Background","PQL")))</f>
        <v>Ceiling (High)</v>
      </c>
    </row>
    <row r="71" spans="1:10" ht="12.5" x14ac:dyDescent="0.25">
      <c r="A71" s="50" t="s">
        <v>43</v>
      </c>
      <c r="B71" s="160">
        <f>IF(ISERR(1/+(VLOOKUP(A71,[1]!TOX,17,FALSE))),0,'[1]Target Risk'!$D$8*(VLOOKUP(A71,[1]!TOX,4,FALSE))/(('S-1 Assumptions'!$K$18*(VLOOKUP(A71,[1]!TOX,17,FALSE)))+('S-1 Assumptions'!$L$51*(VLOOKUP(A71,[1]!TOX,19,FALSE)))))</f>
        <v>3244.9327417095442</v>
      </c>
      <c r="C71" s="161">
        <f>IF(ISERR(1/(VLOOKUP(A71,[1]!TOX,25,FALSE))),0, '[1]Target Risk'!$D$12/((('S-1 Assumptions'!$K$26*(VLOOKUP(A71,[1]!TOX,25,FALSE)))+('S-1 Assumptions'!$L$59*(VLOOKUP(A71,[1]!TOX,27,FALSE))))*(VLOOKUP(A71,[1]!TOX,12,FALSE))))</f>
        <v>0</v>
      </c>
      <c r="D71" s="161">
        <f>IF(ISERR(1/(VLOOKUP(A71,[1]!TOX,25,FALSE))),0,IF(VLOOKUP(A71,[1]!TOX,36,FALSE)="M",'[1]Target Risk'!$D$12/((((((('S-1 Assumptions'!$K$30*(VLOOKUP(A71,[1]!TOX,25,FALSE)))+('S-1 Assumptions'!$L$67*(VLOOKUP(A71,[1]!TOX,27,FALSE))))*10))+(((('S-1 Assumptions'!$K$31*(VLOOKUP(A71,[1]!TOX,25,FALSE)))+('S-1 Assumptions'!$L$68*(VLOOKUP(A71,[1]!TOX,27,FALSE))))*3))+(((('S-1 Assumptions'!$K$32*(VLOOKUP(A71,[1]!TOX,25,FALSE)))+('S-1 Assumptions'!$L$69*(VLOOKUP(A71,[1]!TOX,27,FALSE))))*3))+(((('S-1 Assumptions'!$K$33*(VLOOKUP(A71,[1]!TOX,25,FALSE)))+('S-1 Assumptions'!$L$70)*(VLOOKUP(A71,[1]!TOX,27,FALSE))))*1)))*(VLOOKUP(A71,[1]!TOX,12,FALSE))),0))</f>
        <v>0</v>
      </c>
      <c r="E71" s="162">
        <f>IF(ISERR(1/(VLOOKUP(A71,[1]!TOX,25,FALSE))),0,IF(VLOOKUP(A71,[1]!TOX,36,FALSE)="M",'[1]Target Risk'!$D$12/((((((('S-1 Assumptions'!$K$30*(VLOOKUP(A71,[1]!TOX,25,FALSE)))+('S-1 Assumptions'!$L$67*(VLOOKUP(A71,[1]!TOX,27,FALSE))))*10))+(((('S-1 Assumptions'!$K$31*(VLOOKUP(A71,[1]!TOX,25,FALSE)))+('S-1 Assumptions'!$L$68*(VLOOKUP(A71,[1]!TOX,27,FALSE))))*3))+(((('S-1 Assumptions'!$K$32*(VLOOKUP(A71,[1]!TOX,25,FALSE)))+('S-1 Assumptions'!$L$69*(VLOOKUP(A71,[1]!TOX,27,FALSE))))*3))+(((('S-1 Assumptions'!$K$33*(VLOOKUP(A71,[1]!TOX,25,FALSE)))+('S-1 Assumptions'!$L$70)*(VLOOKUP(A71,[1]!TOX,27,FALSE))))*1)))*(VLOOKUP(A71,[1]!TOX,12,FALSE))),('[1]Target Risk'!$D$12/((('S-1 Assumptions'!$K$26*(VLOOKUP(A71,[1]!TOX,25,FALSE)))+('S-1 Assumptions'!$L$59*(VLOOKUP(A71,[1]!TOX,27,FALSE))))*(VLOOKUP(A71,[1]!TOX,12,FALSE))))))</f>
        <v>0</v>
      </c>
      <c r="F71" s="308">
        <f>IF(B71=0,MIN(E71,(VLOOKUP(A71,[1]!TOX,71,FALSE))),IF(E71=0,MIN(B71,(VLOOKUP(A71,[1]!TOX,71,FALSE))),MIN(B71,E71,(VLOOKUP(A71,[1]!TOX,71,FALSE)))))</f>
        <v>1000</v>
      </c>
      <c r="G71" s="162" t="str">
        <f>IF(F71=B71,"Noncancer Risk",IF(F71=E71,"Cancer Risk",(VLOOKUP(A71,[1]!TOX,72,FALSE))))</f>
        <v>Ceiling (High)</v>
      </c>
      <c r="H71" s="309">
        <f>MAX(F71,(VLOOKUP(A71,[1]!TOX,50,FALSE)),(VLOOKUP(A71,[1]!TOX,39,FALSE)))</f>
        <v>1000</v>
      </c>
      <c r="I71" s="310">
        <f t="shared" si="1"/>
        <v>1000</v>
      </c>
      <c r="J71" s="165" t="str">
        <f>IF(H71=0,"Not Calculated",IF(H71=F71,G71,IF(H71=(VLOOKUP(A71,[1]!TOX,39,FALSE)),"Background","PQL")))</f>
        <v>Ceiling (High)</v>
      </c>
    </row>
    <row r="72" spans="1:10" ht="12.5" x14ac:dyDescent="0.25">
      <c r="A72" s="50" t="s">
        <v>42</v>
      </c>
      <c r="B72" s="160">
        <f>IF(ISERR(1/+(VLOOKUP(A72,[1]!TOX,17,FALSE))),0,'[1]Target Risk'!$D$8*(VLOOKUP(A72,[1]!TOX,4,FALSE))/(('S-1 Assumptions'!$K$18*(VLOOKUP(A72,[1]!TOX,17,FALSE)))+('S-1 Assumptions'!$L$51*(VLOOKUP(A72,[1]!TOX,19,FALSE)))))</f>
        <v>25.132747923654915</v>
      </c>
      <c r="C72" s="161">
        <f>IF(ISERR(1/(VLOOKUP(A72,[1]!TOX,25,FALSE))),0, '[1]Target Risk'!$D$12/((('S-1 Assumptions'!$K$26*(VLOOKUP(A72,[1]!TOX,25,FALSE)))+('S-1 Assumptions'!$L$59*(VLOOKUP(A72,[1]!TOX,27,FALSE))))*(VLOOKUP(A72,[1]!TOX,12,FALSE))))</f>
        <v>0.33063234159389182</v>
      </c>
      <c r="D72" s="161">
        <f>IF(ISERR(1/(VLOOKUP(A72,[1]!TOX,25,FALSE))),0,IF(VLOOKUP(A72,[1]!TOX,36,FALSE)="M",'[1]Target Risk'!$D$12/((((((('S-1 Assumptions'!$K$30*(VLOOKUP(A72,[1]!TOX,25,FALSE)))+('S-1 Assumptions'!$L$67*(VLOOKUP(A72,[1]!TOX,27,FALSE))))*10))+(((('S-1 Assumptions'!$K$31*(VLOOKUP(A72,[1]!TOX,25,FALSE)))+('S-1 Assumptions'!$L$68*(VLOOKUP(A72,[1]!TOX,27,FALSE))))*3))+(((('S-1 Assumptions'!$K$32*(VLOOKUP(A72,[1]!TOX,25,FALSE)))+('S-1 Assumptions'!$L$69*(VLOOKUP(A72,[1]!TOX,27,FALSE))))*3))+(((('S-1 Assumptions'!$K$33*(VLOOKUP(A72,[1]!TOX,25,FALSE)))+('S-1 Assumptions'!$L$70)*(VLOOKUP(A72,[1]!TOX,27,FALSE))))*1)))*(VLOOKUP(A72,[1]!TOX,12,FALSE))),0))</f>
        <v>0</v>
      </c>
      <c r="E72" s="162">
        <f>IF(ISERR(1/(VLOOKUP(A72,[1]!TOX,25,FALSE))),0,IF(VLOOKUP(A72,[1]!TOX,36,FALSE)="M",'[1]Target Risk'!$D$12/((((((('S-1 Assumptions'!$K$30*(VLOOKUP(A72,[1]!TOX,25,FALSE)))+('S-1 Assumptions'!$L$67*(VLOOKUP(A72,[1]!TOX,27,FALSE))))*10))+(((('S-1 Assumptions'!$K$31*(VLOOKUP(A72,[1]!TOX,25,FALSE)))+('S-1 Assumptions'!$L$68*(VLOOKUP(A72,[1]!TOX,27,FALSE))))*3))+(((('S-1 Assumptions'!$K$32*(VLOOKUP(A72,[1]!TOX,25,FALSE)))+('S-1 Assumptions'!$L$69*(VLOOKUP(A72,[1]!TOX,27,FALSE))))*3))+(((('S-1 Assumptions'!$K$33*(VLOOKUP(A72,[1]!TOX,25,FALSE)))+('S-1 Assumptions'!$L$70)*(VLOOKUP(A72,[1]!TOX,27,FALSE))))*1)))*(VLOOKUP(A72,[1]!TOX,12,FALSE))),('[1]Target Risk'!$D$12/((('S-1 Assumptions'!$K$26*(VLOOKUP(A72,[1]!TOX,25,FALSE)))+('S-1 Assumptions'!$L$59*(VLOOKUP(A72,[1]!TOX,27,FALSE))))*(VLOOKUP(A72,[1]!TOX,12,FALSE))))))</f>
        <v>0.33063234159389182</v>
      </c>
      <c r="F72" s="308">
        <f>IF(B72=0,MIN(E72,(VLOOKUP(A72,[1]!TOX,71,FALSE))),IF(E72=0,MIN(B72,(VLOOKUP(A72,[1]!TOX,71,FALSE))),MIN(B72,E72,(VLOOKUP(A72,[1]!TOX,71,FALSE)))))</f>
        <v>0.33063234159389182</v>
      </c>
      <c r="G72" s="162" t="str">
        <f>IF(F72=B72,"Noncancer Risk",IF(F72=E72,"Cancer Risk",(VLOOKUP(A72,[1]!TOX,72,FALSE))))</f>
        <v>Cancer Risk</v>
      </c>
      <c r="H72" s="309">
        <f>MAX(F72,(VLOOKUP(A72,[1]!TOX,50,FALSE)),(VLOOKUP(A72,[1]!TOX,39,FALSE)))</f>
        <v>0.33063234159389182</v>
      </c>
      <c r="I72" s="310">
        <f t="shared" si="1"/>
        <v>0.3</v>
      </c>
      <c r="J72" s="165" t="str">
        <f>IF(H72=0,"Not Calculated",IF(H72=F72,G72,IF(H72=(VLOOKUP(A72,[1]!TOX,39,FALSE)),"Background","PQL")))</f>
        <v>Cancer Risk</v>
      </c>
    </row>
    <row r="73" spans="1:10" ht="12.5" x14ac:dyDescent="0.25">
      <c r="A73" s="50" t="s">
        <v>41</v>
      </c>
      <c r="B73" s="160">
        <f>IF(ISERR(1/+(VLOOKUP(A73,[1]!TOX,17,FALSE))),0,'[1]Target Risk'!$D$8*(VLOOKUP(A73,[1]!TOX,4,FALSE))/(('S-1 Assumptions'!$K$18*(VLOOKUP(A73,[1]!TOX,17,FALSE)))+('S-1 Assumptions'!$L$51*(VLOOKUP(A73,[1]!TOX,19,FALSE)))))</f>
        <v>0.65345144601502769</v>
      </c>
      <c r="C73" s="161">
        <f>IF(ISERR(1/(VLOOKUP(A73,[1]!TOX,25,FALSE))),0, '[1]Target Risk'!$D$12/((('S-1 Assumptions'!$K$26*(VLOOKUP(A73,[1]!TOX,25,FALSE)))+('S-1 Assumptions'!$L$59*(VLOOKUP(A73,[1]!TOX,27,FALSE))))*(VLOOKUP(A73,[1]!TOX,12,FALSE))))</f>
        <v>0.16349950957939707</v>
      </c>
      <c r="D73" s="161">
        <f>IF(ISERR(1/(VLOOKUP(A73,[1]!TOX,25,FALSE))),0,IF(VLOOKUP(A73,[1]!TOX,36,FALSE)="M",'[1]Target Risk'!$D$12/((((((('S-1 Assumptions'!$K$30*(VLOOKUP(A73,[1]!TOX,25,FALSE)))+('S-1 Assumptions'!$L$67*(VLOOKUP(A73,[1]!TOX,27,FALSE))))*10))+(((('S-1 Assumptions'!$K$31*(VLOOKUP(A73,[1]!TOX,25,FALSE)))+('S-1 Assumptions'!$L$68*(VLOOKUP(A73,[1]!TOX,27,FALSE))))*3))+(((('S-1 Assumptions'!$K$32*(VLOOKUP(A73,[1]!TOX,25,FALSE)))+('S-1 Assumptions'!$L$69*(VLOOKUP(A73,[1]!TOX,27,FALSE))))*3))+(((('S-1 Assumptions'!$K$33*(VLOOKUP(A73,[1]!TOX,25,FALSE)))+('S-1 Assumptions'!$L$70)*(VLOOKUP(A73,[1]!TOX,27,FALSE))))*1)))*(VLOOKUP(A73,[1]!TOX,12,FALSE))),0))</f>
        <v>0</v>
      </c>
      <c r="E73" s="162">
        <f>IF(ISERR(1/(VLOOKUP(A73,[1]!TOX,25,FALSE))),0,IF(VLOOKUP(A73,[1]!TOX,36,FALSE)="M",'[1]Target Risk'!$D$12/((((((('S-1 Assumptions'!$K$30*(VLOOKUP(A73,[1]!TOX,25,FALSE)))+('S-1 Assumptions'!$L$67*(VLOOKUP(A73,[1]!TOX,27,FALSE))))*10))+(((('S-1 Assumptions'!$K$31*(VLOOKUP(A73,[1]!TOX,25,FALSE)))+('S-1 Assumptions'!$L$68*(VLOOKUP(A73,[1]!TOX,27,FALSE))))*3))+(((('S-1 Assumptions'!$K$32*(VLOOKUP(A73,[1]!TOX,25,FALSE)))+('S-1 Assumptions'!$L$69*(VLOOKUP(A73,[1]!TOX,27,FALSE))))*3))+(((('S-1 Assumptions'!$K$33*(VLOOKUP(A73,[1]!TOX,25,FALSE)))+('S-1 Assumptions'!$L$70)*(VLOOKUP(A73,[1]!TOX,27,FALSE))))*1)))*(VLOOKUP(A73,[1]!TOX,12,FALSE))),('[1]Target Risk'!$D$12/((('S-1 Assumptions'!$K$26*(VLOOKUP(A73,[1]!TOX,25,FALSE)))+('S-1 Assumptions'!$L$59*(VLOOKUP(A73,[1]!TOX,27,FALSE))))*(VLOOKUP(A73,[1]!TOX,12,FALSE))))))</f>
        <v>0.16349950957939707</v>
      </c>
      <c r="F73" s="308">
        <f>IF(B73=0,MIN(E73,(VLOOKUP(A73,[1]!TOX,71,FALSE))),IF(E73=0,MIN(B73,(VLOOKUP(A73,[1]!TOX,71,FALSE))),MIN(B73,E73,(VLOOKUP(A73,[1]!TOX,71,FALSE)))))</f>
        <v>0.16349950957939707</v>
      </c>
      <c r="G73" s="162" t="str">
        <f>IF(F73=B73,"Noncancer Risk",IF(F73=E73,"Cancer Risk",(VLOOKUP(A73,[1]!TOX,72,FALSE))))</f>
        <v>Cancer Risk</v>
      </c>
      <c r="H73" s="309">
        <f>MAX(F73,(VLOOKUP(A73,[1]!TOX,50,FALSE)),(VLOOKUP(A73,[1]!TOX,39,FALSE)))</f>
        <v>0.16349950957939707</v>
      </c>
      <c r="I73" s="310">
        <f t="shared" si="1"/>
        <v>0.2</v>
      </c>
      <c r="J73" s="165" t="str">
        <f>IF(H73=0,"Not Calculated",IF(H73=F73,G73,IF(H73=(VLOOKUP(A73,[1]!TOX,39,FALSE)),"Background","PQL")))</f>
        <v>Cancer Risk</v>
      </c>
    </row>
    <row r="74" spans="1:10" ht="12.5" x14ac:dyDescent="0.25">
      <c r="A74" s="50" t="s">
        <v>40</v>
      </c>
      <c r="B74" s="160">
        <f>IF(ISERR(1/+(VLOOKUP(A74,[1]!TOX,17,FALSE))),0,'[1]Target Risk'!$D$8*(VLOOKUP(A74,[1]!TOX,4,FALSE))/(('S-1 Assumptions'!$K$18*(VLOOKUP(A74,[1]!TOX,17,FALSE)))+('S-1 Assumptions'!$L$51*(VLOOKUP(A74,[1]!TOX,19,FALSE)))))</f>
        <v>0.50265495847309827</v>
      </c>
      <c r="C74" s="161">
        <f>IF(ISERR(1/(VLOOKUP(A74,[1]!TOX,25,FALSE))),0, '[1]Target Risk'!$D$12/((('S-1 Assumptions'!$K$26*(VLOOKUP(A74,[1]!TOX,25,FALSE)))+('S-1 Assumptions'!$L$59*(VLOOKUP(A74,[1]!TOX,27,FALSE))))*(VLOOKUP(A74,[1]!TOX,12,FALSE))))</f>
        <v>0.92990346073282071</v>
      </c>
      <c r="D74" s="161">
        <f>IF(ISERR(1/(VLOOKUP(A74,[1]!TOX,25,FALSE))),0,IF(VLOOKUP(A74,[1]!TOX,36,FALSE)="M",'[1]Target Risk'!$D$12/((((((('S-1 Assumptions'!$K$30*(VLOOKUP(A74,[1]!TOX,25,FALSE)))+('S-1 Assumptions'!$L$67*(VLOOKUP(A74,[1]!TOX,27,FALSE))))*10))+(((('S-1 Assumptions'!$K$31*(VLOOKUP(A74,[1]!TOX,25,FALSE)))+('S-1 Assumptions'!$L$68*(VLOOKUP(A74,[1]!TOX,27,FALSE))))*3))+(((('S-1 Assumptions'!$K$32*(VLOOKUP(A74,[1]!TOX,25,FALSE)))+('S-1 Assumptions'!$L$69*(VLOOKUP(A74,[1]!TOX,27,FALSE))))*3))+(((('S-1 Assumptions'!$K$33*(VLOOKUP(A74,[1]!TOX,25,FALSE)))+('S-1 Assumptions'!$L$70)*(VLOOKUP(A74,[1]!TOX,27,FALSE))))*1)))*(VLOOKUP(A74,[1]!TOX,12,FALSE))),0))</f>
        <v>0</v>
      </c>
      <c r="E74" s="162">
        <f>IF(ISERR(1/(VLOOKUP(A74,[1]!TOX,25,FALSE))),0,IF(VLOOKUP(A74,[1]!TOX,36,FALSE)="M",'[1]Target Risk'!$D$12/((((((('S-1 Assumptions'!$K$30*(VLOOKUP(A74,[1]!TOX,25,FALSE)))+('S-1 Assumptions'!$L$67*(VLOOKUP(A74,[1]!TOX,27,FALSE))))*10))+(((('S-1 Assumptions'!$K$31*(VLOOKUP(A74,[1]!TOX,25,FALSE)))+('S-1 Assumptions'!$L$68*(VLOOKUP(A74,[1]!TOX,27,FALSE))))*3))+(((('S-1 Assumptions'!$K$32*(VLOOKUP(A74,[1]!TOX,25,FALSE)))+('S-1 Assumptions'!$L$69*(VLOOKUP(A74,[1]!TOX,27,FALSE))))*3))+(((('S-1 Assumptions'!$K$33*(VLOOKUP(A74,[1]!TOX,25,FALSE)))+('S-1 Assumptions'!$L$70)*(VLOOKUP(A74,[1]!TOX,27,FALSE))))*1)))*(VLOOKUP(A74,[1]!TOX,12,FALSE))),('[1]Target Risk'!$D$12/((('S-1 Assumptions'!$K$26*(VLOOKUP(A74,[1]!TOX,25,FALSE)))+('S-1 Assumptions'!$L$59*(VLOOKUP(A74,[1]!TOX,27,FALSE))))*(VLOOKUP(A74,[1]!TOX,12,FALSE))))))</f>
        <v>0.92990346073282071</v>
      </c>
      <c r="F74" s="308">
        <f>IF(B74=0,MIN(E74,(VLOOKUP(A74,[1]!TOX,71,FALSE))),IF(E74=0,MIN(B74,(VLOOKUP(A74,[1]!TOX,71,FALSE))),MIN(B74,E74,(VLOOKUP(A74,[1]!TOX,71,FALSE)))))</f>
        <v>0.50265495847309827</v>
      </c>
      <c r="G74" s="162" t="str">
        <f>IF(F74=B74,"Noncancer Risk",IF(F74=E74,"Cancer Risk",(VLOOKUP(A74,[1]!TOX,72,FALSE))))</f>
        <v>Noncancer Risk</v>
      </c>
      <c r="H74" s="309">
        <f>MAX(F74,(VLOOKUP(A74,[1]!TOX,50,FALSE)),(VLOOKUP(A74,[1]!TOX,39,FALSE)))</f>
        <v>0.66</v>
      </c>
      <c r="I74" s="310">
        <f t="shared" si="1"/>
        <v>0.7</v>
      </c>
      <c r="J74" s="165" t="str">
        <f>IF(H74=0,"Not Calculated",IF(H74=F74,G74,IF(H74=(VLOOKUP(A74,[1]!TOX,39,FALSE)),"Background","PQL")))</f>
        <v>PQL</v>
      </c>
    </row>
    <row r="75" spans="1:10" ht="12.5" x14ac:dyDescent="0.25">
      <c r="A75" s="50" t="s">
        <v>39</v>
      </c>
      <c r="B75" s="160">
        <f>IF(ISERR(1/+(VLOOKUP(A75,[1]!TOX,17,FALSE))),0,'[1]Target Risk'!$D$8*(VLOOKUP(A75,[1]!TOX,4,FALSE))/(('S-1 Assumptions'!$K$18*(VLOOKUP(A75,[1]!TOX,17,FALSE)))+('S-1 Assumptions'!$L$51*(VLOOKUP(A75,[1]!TOX,19,FALSE)))))</f>
        <v>73.87838134099654</v>
      </c>
      <c r="C75" s="161">
        <f>IF(ISERR(1/(VLOOKUP(A75,[1]!TOX,25,FALSE))),0, '[1]Target Risk'!$D$12/((('S-1 Assumptions'!$K$26*(VLOOKUP(A75,[1]!TOX,25,FALSE)))+('S-1 Assumptions'!$L$59*(VLOOKUP(A75,[1]!TOX,27,FALSE))))*(VLOOKUP(A75,[1]!TOX,12,FALSE))))</f>
        <v>29.457355996593332</v>
      </c>
      <c r="D75" s="161">
        <f>IF(ISERR(1/(VLOOKUP(A75,[1]!TOX,25,FALSE))),0,IF(VLOOKUP(A75,[1]!TOX,36,FALSE)="M",'[1]Target Risk'!$D$12/((((((('S-1 Assumptions'!$K$30*(VLOOKUP(A75,[1]!TOX,25,FALSE)))+('S-1 Assumptions'!$L$67*(VLOOKUP(A75,[1]!TOX,27,FALSE))))*10))+(((('S-1 Assumptions'!$K$31*(VLOOKUP(A75,[1]!TOX,25,FALSE)))+('S-1 Assumptions'!$L$68*(VLOOKUP(A75,[1]!TOX,27,FALSE))))*3))+(((('S-1 Assumptions'!$K$32*(VLOOKUP(A75,[1]!TOX,25,FALSE)))+('S-1 Assumptions'!$L$69*(VLOOKUP(A75,[1]!TOX,27,FALSE))))*3))+(((('S-1 Assumptions'!$K$33*(VLOOKUP(A75,[1]!TOX,25,FALSE)))+('S-1 Assumptions'!$L$70)*(VLOOKUP(A75,[1]!TOX,27,FALSE))))*1)))*(VLOOKUP(A75,[1]!TOX,12,FALSE))),0))</f>
        <v>0</v>
      </c>
      <c r="E75" s="162">
        <f>IF(ISERR(1/(VLOOKUP(A75,[1]!TOX,25,FALSE))),0,IF(VLOOKUP(A75,[1]!TOX,36,FALSE)="M",'[1]Target Risk'!$D$12/((((((('S-1 Assumptions'!$K$30*(VLOOKUP(A75,[1]!TOX,25,FALSE)))+('S-1 Assumptions'!$L$67*(VLOOKUP(A75,[1]!TOX,27,FALSE))))*10))+(((('S-1 Assumptions'!$K$31*(VLOOKUP(A75,[1]!TOX,25,FALSE)))+('S-1 Assumptions'!$L$68*(VLOOKUP(A75,[1]!TOX,27,FALSE))))*3))+(((('S-1 Assumptions'!$K$32*(VLOOKUP(A75,[1]!TOX,25,FALSE)))+('S-1 Assumptions'!$L$69*(VLOOKUP(A75,[1]!TOX,27,FALSE))))*3))+(((('S-1 Assumptions'!$K$33*(VLOOKUP(A75,[1]!TOX,25,FALSE)))+('S-1 Assumptions'!$L$70)*(VLOOKUP(A75,[1]!TOX,27,FALSE))))*1)))*(VLOOKUP(A75,[1]!TOX,12,FALSE))),('[1]Target Risk'!$D$12/((('S-1 Assumptions'!$K$26*(VLOOKUP(A75,[1]!TOX,25,FALSE)))+('S-1 Assumptions'!$L$59*(VLOOKUP(A75,[1]!TOX,27,FALSE))))*(VLOOKUP(A75,[1]!TOX,12,FALSE))))))</f>
        <v>29.457355996593332</v>
      </c>
      <c r="F75" s="308">
        <f>IF(B75=0,MIN(E75,(VLOOKUP(A75,[1]!TOX,71,FALSE))),IF(E75=0,MIN(B75,(VLOOKUP(A75,[1]!TOX,71,FALSE))),MIN(B75,E75,(VLOOKUP(A75,[1]!TOX,71,FALSE)))))</f>
        <v>29.457355996593332</v>
      </c>
      <c r="G75" s="162" t="str">
        <f>IF(F75=B75,"Noncancer Risk",IF(F75=E75,"Cancer Risk",(VLOOKUP(A75,[1]!TOX,72,FALSE))))</f>
        <v>Cancer Risk</v>
      </c>
      <c r="H75" s="309">
        <f>MAX(F75,(VLOOKUP(A75,[1]!TOX,50,FALSE)),(VLOOKUP(A75,[1]!TOX,39,FALSE)))</f>
        <v>29.457355996593332</v>
      </c>
      <c r="I75" s="310">
        <f t="shared" si="1"/>
        <v>30</v>
      </c>
      <c r="J75" s="165" t="str">
        <f>IF(H75=0,"Not Calculated",IF(H75=F75,G75,IF(H75=(VLOOKUP(A75,[1]!TOX,39,FALSE)),"Background","PQL")))</f>
        <v>Cancer Risk</v>
      </c>
    </row>
    <row r="76" spans="1:10" ht="20" x14ac:dyDescent="0.25">
      <c r="A76" s="50" t="s">
        <v>38</v>
      </c>
      <c r="B76" s="160">
        <f>IF(ISERR(1/+(VLOOKUP(A76,[1]!TOX,17,FALSE))),0,'[1]Target Risk'!$D$8*(VLOOKUP(A76,[1]!TOX,4,FALSE))/(('S-1 Assumptions'!$K$18*(VLOOKUP(A76,[1]!TOX,17,FALSE)))+('S-1 Assumptions'!$L$51*(VLOOKUP(A76,[1]!TOX,19,FALSE)))))</f>
        <v>20.769680974624695</v>
      </c>
      <c r="C76" s="161">
        <f>IF(ISERR(1/(VLOOKUP(A76,[1]!TOX,25,FALSE))),0, '[1]Target Risk'!$D$12/((('S-1 Assumptions'!$K$26*(VLOOKUP(A76,[1]!TOX,25,FALSE)))+('S-1 Assumptions'!$L$59*(VLOOKUP(A76,[1]!TOX,27,FALSE))))*(VLOOKUP(A76,[1]!TOX,12,FALSE))))</f>
        <v>1.6399263333810179</v>
      </c>
      <c r="D76" s="161">
        <f>IF(ISERR(1/(VLOOKUP(A76,[1]!TOX,25,FALSE))),0,IF(VLOOKUP(A76,[1]!TOX,36,FALSE)="M",'[1]Target Risk'!$D$12/((((((('S-1 Assumptions'!$K$30*(VLOOKUP(A76,[1]!TOX,25,FALSE)))+('S-1 Assumptions'!$L$67*(VLOOKUP(A76,[1]!TOX,27,FALSE))))*10))+(((('S-1 Assumptions'!$K$31*(VLOOKUP(A76,[1]!TOX,25,FALSE)))+('S-1 Assumptions'!$L$68*(VLOOKUP(A76,[1]!TOX,27,FALSE))))*3))+(((('S-1 Assumptions'!$K$32*(VLOOKUP(A76,[1]!TOX,25,FALSE)))+('S-1 Assumptions'!$L$69*(VLOOKUP(A76,[1]!TOX,27,FALSE))))*3))+(((('S-1 Assumptions'!$K$33*(VLOOKUP(A76,[1]!TOX,25,FALSE)))+('S-1 Assumptions'!$L$70)*(VLOOKUP(A76,[1]!TOX,27,FALSE))))*1)))*(VLOOKUP(A76,[1]!TOX,12,FALSE))),0))</f>
        <v>0</v>
      </c>
      <c r="E76" s="162">
        <f>IF(ISERR(1/(VLOOKUP(A76,[1]!TOX,25,FALSE))),0,IF(VLOOKUP(A76,[1]!TOX,36,FALSE)="M",'[1]Target Risk'!$D$12/((((((('S-1 Assumptions'!$K$30*(VLOOKUP(A76,[1]!TOX,25,FALSE)))+('S-1 Assumptions'!$L$67*(VLOOKUP(A76,[1]!TOX,27,FALSE))))*10))+(((('S-1 Assumptions'!$K$31*(VLOOKUP(A76,[1]!TOX,25,FALSE)))+('S-1 Assumptions'!$L$68*(VLOOKUP(A76,[1]!TOX,27,FALSE))))*3))+(((('S-1 Assumptions'!$K$32*(VLOOKUP(A76,[1]!TOX,25,FALSE)))+('S-1 Assumptions'!$L$69*(VLOOKUP(A76,[1]!TOX,27,FALSE))))*3))+(((('S-1 Assumptions'!$K$33*(VLOOKUP(A76,[1]!TOX,25,FALSE)))+('S-1 Assumptions'!$L$70)*(VLOOKUP(A76,[1]!TOX,27,FALSE))))*1)))*(VLOOKUP(A76,[1]!TOX,12,FALSE))),('[1]Target Risk'!$D$12/((('S-1 Assumptions'!$K$26*(VLOOKUP(A76,[1]!TOX,25,FALSE)))+('S-1 Assumptions'!$L$59*(VLOOKUP(A76,[1]!TOX,27,FALSE))))*(VLOOKUP(A76,[1]!TOX,12,FALSE))))))</f>
        <v>1.6399263333810179</v>
      </c>
      <c r="F76" s="308">
        <f>IF(B76=0,MIN(E76,(VLOOKUP(A76,[1]!TOX,71,FALSE))),IF(E76=0,MIN(B76,(VLOOKUP(A76,[1]!TOX,71,FALSE))),MIN(B76,E76,(VLOOKUP(A76,[1]!TOX,71,FALSE)))))</f>
        <v>1.6399263333810179</v>
      </c>
      <c r="G76" s="162" t="str">
        <f>IF(F76=B76,"Noncancer Risk",IF(F76=E76,"Cancer Risk",(VLOOKUP(A76,[1]!TOX,72,FALSE))))</f>
        <v>Cancer Risk</v>
      </c>
      <c r="H76" s="309">
        <f>MAX(F76,(VLOOKUP(A76,[1]!TOX,50,FALSE)),(VLOOKUP(A76,[1]!TOX,39,FALSE)))</f>
        <v>1.6399263333810179</v>
      </c>
      <c r="I76" s="310">
        <f t="shared" si="1"/>
        <v>2</v>
      </c>
      <c r="J76" s="165" t="str">
        <f>IF(H76=0,"Not Calculated",IF(H76=F76,G76,IF(H76=(VLOOKUP(A76,[1]!TOX,39,FALSE)),"Background","PQL")))</f>
        <v>Cancer Risk</v>
      </c>
    </row>
    <row r="77" spans="1:10" ht="12.5" x14ac:dyDescent="0.25">
      <c r="A77" s="50" t="s">
        <v>37</v>
      </c>
      <c r="B77" s="160">
        <f>IF(ISERR(1/+(VLOOKUP(A77,[1]!TOX,17,FALSE))),0,'[1]Target Risk'!$D$8*(VLOOKUP(A77,[1]!TOX,4,FALSE))/(('S-1 Assumptions'!$K$18*(VLOOKUP(A77,[1]!TOX,17,FALSE)))+('S-1 Assumptions'!$L$51*(VLOOKUP(A77,[1]!TOX,19,FALSE)))))</f>
        <v>51.714866938697575</v>
      </c>
      <c r="C77" s="161">
        <f>IF(ISERR(1/(VLOOKUP(A77,[1]!TOX,25,FALSE))),0, '[1]Target Risk'!$D$12/((('S-1 Assumptions'!$K$26*(VLOOKUP(A77,[1]!TOX,25,FALSE)))+('S-1 Assumptions'!$L$59*(VLOOKUP(A77,[1]!TOX,27,FALSE))))*(VLOOKUP(A77,[1]!TOX,12,FALSE))))</f>
        <v>57.441844193357007</v>
      </c>
      <c r="D77" s="161">
        <f>IF(ISERR(1/(VLOOKUP(A77,[1]!TOX,25,FALSE))),0,IF(VLOOKUP(A77,[1]!TOX,36,FALSE)="M",'[1]Target Risk'!$D$12/((((((('S-1 Assumptions'!$K$30*(VLOOKUP(A77,[1]!TOX,25,FALSE)))+('S-1 Assumptions'!$L$67*(VLOOKUP(A77,[1]!TOX,27,FALSE))))*10))+(((('S-1 Assumptions'!$K$31*(VLOOKUP(A77,[1]!TOX,25,FALSE)))+('S-1 Assumptions'!$L$68*(VLOOKUP(A77,[1]!TOX,27,FALSE))))*3))+(((('S-1 Assumptions'!$K$32*(VLOOKUP(A77,[1]!TOX,25,FALSE)))+('S-1 Assumptions'!$L$69*(VLOOKUP(A77,[1]!TOX,27,FALSE))))*3))+(((('S-1 Assumptions'!$K$33*(VLOOKUP(A77,[1]!TOX,25,FALSE)))+('S-1 Assumptions'!$L$70)*(VLOOKUP(A77,[1]!TOX,27,FALSE))))*1)))*(VLOOKUP(A77,[1]!TOX,12,FALSE))),0))</f>
        <v>0</v>
      </c>
      <c r="E77" s="162">
        <f>IF(ISERR(1/(VLOOKUP(A77,[1]!TOX,25,FALSE))),0,IF(VLOOKUP(A77,[1]!TOX,36,FALSE)="M",'[1]Target Risk'!$D$12/((((((('S-1 Assumptions'!$K$30*(VLOOKUP(A77,[1]!TOX,25,FALSE)))+('S-1 Assumptions'!$L$67*(VLOOKUP(A77,[1]!TOX,27,FALSE))))*10))+(((('S-1 Assumptions'!$K$31*(VLOOKUP(A77,[1]!TOX,25,FALSE)))+('S-1 Assumptions'!$L$68*(VLOOKUP(A77,[1]!TOX,27,FALSE))))*3))+(((('S-1 Assumptions'!$K$32*(VLOOKUP(A77,[1]!TOX,25,FALSE)))+('S-1 Assumptions'!$L$69*(VLOOKUP(A77,[1]!TOX,27,FALSE))))*3))+(((('S-1 Assumptions'!$K$33*(VLOOKUP(A77,[1]!TOX,25,FALSE)))+('S-1 Assumptions'!$L$70)*(VLOOKUP(A77,[1]!TOX,27,FALSE))))*1)))*(VLOOKUP(A77,[1]!TOX,12,FALSE))),('[1]Target Risk'!$D$12/((('S-1 Assumptions'!$K$26*(VLOOKUP(A77,[1]!TOX,25,FALSE)))+('S-1 Assumptions'!$L$59*(VLOOKUP(A77,[1]!TOX,27,FALSE))))*(VLOOKUP(A77,[1]!TOX,12,FALSE))))))</f>
        <v>57.441844193357007</v>
      </c>
      <c r="F77" s="308">
        <f>IF(B77=0,MIN(E77,(VLOOKUP(A77,[1]!TOX,71,FALSE))),IF(E77=0,MIN(B77,(VLOOKUP(A77,[1]!TOX,71,FALSE))),MIN(B77,E77,(VLOOKUP(A77,[1]!TOX,71,FALSE)))))</f>
        <v>51.714866938697575</v>
      </c>
      <c r="G77" s="162" t="str">
        <f>IF(F77=B77,"Noncancer Risk",IF(F77=E77,"Cancer Risk",(VLOOKUP(A77,[1]!TOX,72,FALSE))))</f>
        <v>Noncancer Risk</v>
      </c>
      <c r="H77" s="309">
        <f>MAX(F77,(VLOOKUP(A77,[1]!TOX,50,FALSE)),(VLOOKUP(A77,[1]!TOX,39,FALSE)))</f>
        <v>51.714866938697575</v>
      </c>
      <c r="I77" s="310">
        <f t="shared" si="1"/>
        <v>50</v>
      </c>
      <c r="J77" s="165" t="str">
        <f>IF(H77=0,"Not Calculated",IF(H77=F77,G77,IF(H77=(VLOOKUP(A77,[1]!TOX,39,FALSE)),"Background","PQL")))</f>
        <v>Noncancer Risk</v>
      </c>
    </row>
    <row r="78" spans="1:10" ht="12.5" x14ac:dyDescent="0.25">
      <c r="A78" s="50" t="s">
        <v>36</v>
      </c>
      <c r="B78" s="160">
        <f>IF(ISERR(1/+(VLOOKUP(A78,[1]!TOX,17,FALSE))),0,'[1]Target Risk'!$D$8*(VLOOKUP(A78,[1]!TOX,4,FALSE))/(('S-1 Assumptions'!$K$18*(VLOOKUP(A78,[1]!TOX,17,FALSE)))+('S-1 Assumptions'!$L$51*(VLOOKUP(A78,[1]!TOX,19,FALSE)))))</f>
        <v>3693.9190670498274</v>
      </c>
      <c r="C78" s="161">
        <f>IF(ISERR(1/(VLOOKUP(A78,[1]!TOX,25,FALSE))),0, '[1]Target Risk'!$D$12/((('S-1 Assumptions'!$K$26*(VLOOKUP(A78,[1]!TOX,25,FALSE)))+('S-1 Assumptions'!$L$59*(VLOOKUP(A78,[1]!TOX,27,FALSE))))*(VLOOKUP(A78,[1]!TOX,12,FALSE))))</f>
        <v>0</v>
      </c>
      <c r="D78" s="161">
        <f>IF(ISERR(1/(VLOOKUP(A78,[1]!TOX,25,FALSE))),0,IF(VLOOKUP(A78,[1]!TOX,36,FALSE)="M",'[1]Target Risk'!$D$12/((((((('S-1 Assumptions'!$K$30*(VLOOKUP(A78,[1]!TOX,25,FALSE)))+('S-1 Assumptions'!$L$67*(VLOOKUP(A78,[1]!TOX,27,FALSE))))*10))+(((('S-1 Assumptions'!$K$31*(VLOOKUP(A78,[1]!TOX,25,FALSE)))+('S-1 Assumptions'!$L$68*(VLOOKUP(A78,[1]!TOX,27,FALSE))))*3))+(((('S-1 Assumptions'!$K$32*(VLOOKUP(A78,[1]!TOX,25,FALSE)))+('S-1 Assumptions'!$L$69*(VLOOKUP(A78,[1]!TOX,27,FALSE))))*3))+(((('S-1 Assumptions'!$K$33*(VLOOKUP(A78,[1]!TOX,25,FALSE)))+('S-1 Assumptions'!$L$70)*(VLOOKUP(A78,[1]!TOX,27,FALSE))))*1)))*(VLOOKUP(A78,[1]!TOX,12,FALSE))),0))</f>
        <v>0</v>
      </c>
      <c r="E78" s="162">
        <f>IF(ISERR(1/(VLOOKUP(A78,[1]!TOX,25,FALSE))),0,IF(VLOOKUP(A78,[1]!TOX,36,FALSE)="M",'[1]Target Risk'!$D$12/((((((('S-1 Assumptions'!$K$30*(VLOOKUP(A78,[1]!TOX,25,FALSE)))+('S-1 Assumptions'!$L$67*(VLOOKUP(A78,[1]!TOX,27,FALSE))))*10))+(((('S-1 Assumptions'!$K$31*(VLOOKUP(A78,[1]!TOX,25,FALSE)))+('S-1 Assumptions'!$L$68*(VLOOKUP(A78,[1]!TOX,27,FALSE))))*3))+(((('S-1 Assumptions'!$K$32*(VLOOKUP(A78,[1]!TOX,25,FALSE)))+('S-1 Assumptions'!$L$69*(VLOOKUP(A78,[1]!TOX,27,FALSE))))*3))+(((('S-1 Assumptions'!$K$33*(VLOOKUP(A78,[1]!TOX,25,FALSE)))+('S-1 Assumptions'!$L$70)*(VLOOKUP(A78,[1]!TOX,27,FALSE))))*1)))*(VLOOKUP(A78,[1]!TOX,12,FALSE))),('[1]Target Risk'!$D$12/((('S-1 Assumptions'!$K$26*(VLOOKUP(A78,[1]!TOX,25,FALSE)))+('S-1 Assumptions'!$L$59*(VLOOKUP(A78,[1]!TOX,27,FALSE))))*(VLOOKUP(A78,[1]!TOX,12,FALSE))))))</f>
        <v>0</v>
      </c>
      <c r="F78" s="308">
        <f>IF(B78=0,MIN(E78,(VLOOKUP(A78,[1]!TOX,71,FALSE))),IF(E78=0,MIN(B78,(VLOOKUP(A78,[1]!TOX,71,FALSE))),MIN(B78,E78,(VLOOKUP(A78,[1]!TOX,71,FALSE)))))</f>
        <v>1000</v>
      </c>
      <c r="G78" s="162" t="str">
        <f>IF(F78=B78,"Noncancer Risk",IF(F78=E78,"Cancer Risk",(VLOOKUP(A78,[1]!TOX,72,FALSE))))</f>
        <v>Ceiling (High)</v>
      </c>
      <c r="H78" s="309">
        <f>MAX(F78,(VLOOKUP(A78,[1]!TOX,50,FALSE)),(VLOOKUP(A78,[1]!TOX,39,FALSE)))</f>
        <v>1000</v>
      </c>
      <c r="I78" s="310">
        <f t="shared" si="1"/>
        <v>1000</v>
      </c>
      <c r="J78" s="165" t="str">
        <f>IF(H78=0,"Not Calculated",IF(H78=F78,G78,IF(H78=(VLOOKUP(A78,[1]!TOX,39,FALSE)),"Background","PQL")))</f>
        <v>Ceiling (High)</v>
      </c>
    </row>
    <row r="79" spans="1:10" ht="12.5" x14ac:dyDescent="0.25">
      <c r="A79" s="50" t="s">
        <v>35</v>
      </c>
      <c r="B79" s="160">
        <f>IF(ISERR(1/+(VLOOKUP(A79,[1]!TOX,17,FALSE))),0,'[1]Target Risk'!$D$8*(VLOOKUP(A79,[1]!TOX,4,FALSE))/(('S-1 Assumptions'!$K$18*(VLOOKUP(A79,[1]!TOX,17,FALSE)))+('S-1 Assumptions'!$L$51*(VLOOKUP(A79,[1]!TOX,19,FALSE)))))</f>
        <v>5928.9276878497549</v>
      </c>
      <c r="C79" s="348">
        <f>IF(ISERR(1/(VLOOKUP(A79,[1]!TOX,25,FALSE))),0, '[1]Target Risk'!$D$12/((('S-1 Assumptions'!$K$26*(VLOOKUP(A79,[1]!TOX,25,FALSE)))+('S-1 Assumptions'!$L$59*(VLOOKUP(A79,[1]!TOX,27,FALSE))))*(VLOOKUP(A79,[1]!TOX,12,FALSE))))</f>
        <v>59.597452250654541</v>
      </c>
      <c r="D79" s="161">
        <f>IF(ISERR(1/(VLOOKUP(A79,[1]!TOX,25,FALSE))),0,IF(VLOOKUP(A79,[1]!TOX,36,FALSE)="M",'[1]Target Risk'!$D$12/((((((('S-1 Assumptions'!$K$30*(VLOOKUP(A79,[1]!TOX,25,FALSE)))+('S-1 Assumptions'!$L$67*(VLOOKUP(A79,[1]!TOX,27,FALSE))))*10))+(((('S-1 Assumptions'!$K$31*(VLOOKUP(A79,[1]!TOX,25,FALSE)))+('S-1 Assumptions'!$L$68*(VLOOKUP(A79,[1]!TOX,27,FALSE))))*3))+(((('S-1 Assumptions'!$K$32*(VLOOKUP(A79,[1]!TOX,25,FALSE)))+('S-1 Assumptions'!$L$69*(VLOOKUP(A79,[1]!TOX,27,FALSE))))*3))+(((('S-1 Assumptions'!$K$33*(VLOOKUP(A79,[1]!TOX,25,FALSE)))+('S-1 Assumptions'!$L$70)*(VLOOKUP(A79,[1]!TOX,27,FALSE))))*1)))*(VLOOKUP(A79,[1]!TOX,12,FALSE))),0))</f>
        <v>18.600117038962075</v>
      </c>
      <c r="E79" s="162">
        <f>IF(ISERR(1/(VLOOKUP(A79,[1]!TOX,25,FALSE))),0,IF(VLOOKUP(A79,[1]!TOX,36,FALSE)="M",'[1]Target Risk'!$D$12/((((((('S-1 Assumptions'!$K$30*(VLOOKUP(A79,[1]!TOX,25,FALSE)))+('S-1 Assumptions'!$L$67*(VLOOKUP(A79,[1]!TOX,27,FALSE))))*10))+(((('S-1 Assumptions'!$K$31*(VLOOKUP(A79,[1]!TOX,25,FALSE)))+('S-1 Assumptions'!$L$68*(VLOOKUP(A79,[1]!TOX,27,FALSE))))*3))+(((('S-1 Assumptions'!$K$32*(VLOOKUP(A79,[1]!TOX,25,FALSE)))+('S-1 Assumptions'!$L$69*(VLOOKUP(A79,[1]!TOX,27,FALSE))))*3))+(((('S-1 Assumptions'!$K$33*(VLOOKUP(A79,[1]!TOX,25,FALSE)))+('S-1 Assumptions'!$L$70)*(VLOOKUP(A79,[1]!TOX,27,FALSE))))*1)))*(VLOOKUP(A79,[1]!TOX,12,FALSE))),('[1]Target Risk'!$D$12/((('S-1 Assumptions'!$K$26*(VLOOKUP(A79,[1]!TOX,25,FALSE)))+('S-1 Assumptions'!$L$59*(VLOOKUP(A79,[1]!TOX,27,FALSE))))*(VLOOKUP(A79,[1]!TOX,12,FALSE))))))</f>
        <v>18.600117038962075</v>
      </c>
      <c r="F79" s="308">
        <f>IF(B79=0,MIN(E79,(VLOOKUP(A79,[1]!TOX,71,FALSE))),IF(E79=0,MIN(B79,(VLOOKUP(A79,[1]!TOX,71,FALSE))),MIN(B79,E79,(VLOOKUP(A79,[1]!TOX,71,FALSE)))))</f>
        <v>18.600117038962075</v>
      </c>
      <c r="G79" s="162" t="str">
        <f>IF(F79=B79,"Noncancer Risk",IF(F79=E79,"Cancer Risk",(VLOOKUP(A79,[1]!TOX,72,FALSE))))</f>
        <v>Cancer Risk</v>
      </c>
      <c r="H79" s="309">
        <f>MAX(F79,(VLOOKUP(A79,[1]!TOX,50,FALSE)),(VLOOKUP(A79,[1]!TOX,39,FALSE)))</f>
        <v>18.600117038962075</v>
      </c>
      <c r="I79" s="310">
        <f t="shared" si="1"/>
        <v>20</v>
      </c>
      <c r="J79" s="165" t="str">
        <f>IF(H79=0,"Not Calculated",IF(H79=F79,G79,IF(H79=(VLOOKUP(A79,[1]!TOX,39,FALSE)),"Background","PQL")))</f>
        <v>Cancer Risk</v>
      </c>
    </row>
    <row r="80" spans="1:10" ht="12.5" x14ac:dyDescent="0.25">
      <c r="A80" s="50" t="s">
        <v>34</v>
      </c>
      <c r="B80" s="160">
        <f>IF(ISERR(1/+(VLOOKUP(A80,[1]!TOX,17,FALSE))),0,'[1]Target Risk'!$D$8*(VLOOKUP(A80,[1]!TOX,4,FALSE))/(('S-1 Assumptions'!$K$18*(VLOOKUP(A80,[1]!TOX,17,FALSE)))+('S-1 Assumptions'!$L$51*(VLOOKUP(A80,[1]!TOX,19,FALSE)))))</f>
        <v>126.04311073351529</v>
      </c>
      <c r="C80" s="161">
        <f>IF(ISERR(1/(VLOOKUP(A80,[1]!TOX,25,FALSE))),0, '[1]Target Risk'!$D$12/((('S-1 Assumptions'!$K$26*(VLOOKUP(A80,[1]!TOX,25,FALSE)))+('S-1 Assumptions'!$L$59*(VLOOKUP(A80,[1]!TOX,27,FALSE))))*(VLOOKUP(A80,[1]!TOX,12,FALSE))))</f>
        <v>0</v>
      </c>
      <c r="D80" s="161">
        <f>IF(ISERR(1/(VLOOKUP(A80,[1]!TOX,25,FALSE))),0,IF(VLOOKUP(A80,[1]!TOX,36,FALSE)="M",'[1]Target Risk'!$D$12/((((((('S-1 Assumptions'!$K$30*(VLOOKUP(A80,[1]!TOX,25,FALSE)))+('S-1 Assumptions'!$L$67*(VLOOKUP(A80,[1]!TOX,27,FALSE))))*10))+(((('S-1 Assumptions'!$K$31*(VLOOKUP(A80,[1]!TOX,25,FALSE)))+('S-1 Assumptions'!$L$68*(VLOOKUP(A80,[1]!TOX,27,FALSE))))*3))+(((('S-1 Assumptions'!$K$32*(VLOOKUP(A80,[1]!TOX,25,FALSE)))+('S-1 Assumptions'!$L$69*(VLOOKUP(A80,[1]!TOX,27,FALSE))))*3))+(((('S-1 Assumptions'!$K$33*(VLOOKUP(A80,[1]!TOX,25,FALSE)))+('S-1 Assumptions'!$L$70)*(VLOOKUP(A80,[1]!TOX,27,FALSE))))*1)))*(VLOOKUP(A80,[1]!TOX,12,FALSE))),0))</f>
        <v>0</v>
      </c>
      <c r="E80" s="162">
        <f>IF(ISERR(1/(VLOOKUP(A80,[1]!TOX,25,FALSE))),0,IF(VLOOKUP(A80,[1]!TOX,36,FALSE)="M",'[1]Target Risk'!$D$12/((((((('S-1 Assumptions'!$K$30*(VLOOKUP(A80,[1]!TOX,25,FALSE)))+('S-1 Assumptions'!$L$67*(VLOOKUP(A80,[1]!TOX,27,FALSE))))*10))+(((('S-1 Assumptions'!$K$31*(VLOOKUP(A80,[1]!TOX,25,FALSE)))+('S-1 Assumptions'!$L$68*(VLOOKUP(A80,[1]!TOX,27,FALSE))))*3))+(((('S-1 Assumptions'!$K$32*(VLOOKUP(A80,[1]!TOX,25,FALSE)))+('S-1 Assumptions'!$L$69*(VLOOKUP(A80,[1]!TOX,27,FALSE))))*3))+(((('S-1 Assumptions'!$K$33*(VLOOKUP(A80,[1]!TOX,25,FALSE)))+('S-1 Assumptions'!$L$70)*(VLOOKUP(A80,[1]!TOX,27,FALSE))))*1)))*(VLOOKUP(A80,[1]!TOX,12,FALSE))),('[1]Target Risk'!$D$12/((('S-1 Assumptions'!$K$26*(VLOOKUP(A80,[1]!TOX,25,FALSE)))+('S-1 Assumptions'!$L$59*(VLOOKUP(A80,[1]!TOX,27,FALSE))))*(VLOOKUP(A80,[1]!TOX,12,FALSE))))))</f>
        <v>0</v>
      </c>
      <c r="F80" s="308">
        <f>IF(B80=0,MIN(E80,(VLOOKUP(A80,[1]!TOX,71,FALSE))),IF(E80=0,MIN(B80,(VLOOKUP(A80,[1]!TOX,71,FALSE))),MIN(B80,E80,(VLOOKUP(A80,[1]!TOX,71,FALSE)))))</f>
        <v>126.04311073351529</v>
      </c>
      <c r="G80" s="162" t="str">
        <f>IF(F80=B80,"Noncancer Risk",IF(F80=E80,"Cancer Risk",(VLOOKUP(A80,[1]!TOX,72,FALSE))))</f>
        <v>Noncancer Risk</v>
      </c>
      <c r="H80" s="309">
        <f>MAX(F80,(VLOOKUP(A80,[1]!TOX,50,FALSE)),(VLOOKUP(A80,[1]!TOX,39,FALSE)))</f>
        <v>200</v>
      </c>
      <c r="I80" s="310">
        <f t="shared" si="1"/>
        <v>200</v>
      </c>
      <c r="J80" s="165" t="str">
        <f>IF(H80=0,"Not Calculated",IF(H80=F80,G80,IF(H80=(VLOOKUP(A80,[1]!TOX,39,FALSE)),"Background","PQL")))</f>
        <v>Background</v>
      </c>
    </row>
    <row r="81" spans="1:10" ht="12.5" x14ac:dyDescent="0.25">
      <c r="A81" s="50" t="s">
        <v>33</v>
      </c>
      <c r="B81" s="160">
        <f>IF(ISERR(1/+(VLOOKUP(A81,[1]!TOX,17,FALSE))),0,'[1]Target Risk'!$D$8*(VLOOKUP(A81,[1]!TOX,4,FALSE))/(('S-1 Assumptions'!$K$18*(VLOOKUP(A81,[1]!TOX,17,FALSE)))+('S-1 Assumptions'!$L$51*(VLOOKUP(A81,[1]!TOX,19,FALSE)))))</f>
        <v>20.705304582275613</v>
      </c>
      <c r="C81" s="161">
        <f>IF(ISERR(1/(VLOOKUP(A81,[1]!TOX,25,FALSE))),0, '[1]Target Risk'!$D$12/((('S-1 Assumptions'!$K$26*(VLOOKUP(A81,[1]!TOX,25,FALSE)))+('S-1 Assumptions'!$L$59*(VLOOKUP(A81,[1]!TOX,27,FALSE))))*(VLOOKUP(A81,[1]!TOX,12,FALSE))))</f>
        <v>0</v>
      </c>
      <c r="D81" s="161">
        <f>IF(ISERR(1/(VLOOKUP(A81,[1]!TOX,25,FALSE))),0,IF(VLOOKUP(A81,[1]!TOX,36,FALSE)="M",'[1]Target Risk'!$D$12/((((((('S-1 Assumptions'!$K$30*(VLOOKUP(A81,[1]!TOX,25,FALSE)))+('S-1 Assumptions'!$L$67*(VLOOKUP(A81,[1]!TOX,27,FALSE))))*10))+(((('S-1 Assumptions'!$K$31*(VLOOKUP(A81,[1]!TOX,25,FALSE)))+('S-1 Assumptions'!$L$68*(VLOOKUP(A81,[1]!TOX,27,FALSE))))*3))+(((('S-1 Assumptions'!$K$32*(VLOOKUP(A81,[1]!TOX,25,FALSE)))+('S-1 Assumptions'!$L$69*(VLOOKUP(A81,[1]!TOX,27,FALSE))))*3))+(((('S-1 Assumptions'!$K$33*(VLOOKUP(A81,[1]!TOX,25,FALSE)))+('S-1 Assumptions'!$L$70)*(VLOOKUP(A81,[1]!TOX,27,FALSE))))*1)))*(VLOOKUP(A81,[1]!TOX,12,FALSE))),0))</f>
        <v>0</v>
      </c>
      <c r="E81" s="162">
        <f>IF(ISERR(1/(VLOOKUP(A81,[1]!TOX,25,FALSE))),0,IF(VLOOKUP(A81,[1]!TOX,36,FALSE)="M",'[1]Target Risk'!$D$12/((((((('S-1 Assumptions'!$K$30*(VLOOKUP(A81,[1]!TOX,25,FALSE)))+('S-1 Assumptions'!$L$67*(VLOOKUP(A81,[1]!TOX,27,FALSE))))*10))+(((('S-1 Assumptions'!$K$31*(VLOOKUP(A81,[1]!TOX,25,FALSE)))+('S-1 Assumptions'!$L$68*(VLOOKUP(A81,[1]!TOX,27,FALSE))))*3))+(((('S-1 Assumptions'!$K$32*(VLOOKUP(A81,[1]!TOX,25,FALSE)))+('S-1 Assumptions'!$L$69*(VLOOKUP(A81,[1]!TOX,27,FALSE))))*3))+(((('S-1 Assumptions'!$K$33*(VLOOKUP(A81,[1]!TOX,25,FALSE)))+('S-1 Assumptions'!$L$70)*(VLOOKUP(A81,[1]!TOX,27,FALSE))))*1)))*(VLOOKUP(A81,[1]!TOX,12,FALSE))),('[1]Target Risk'!$D$12/((('S-1 Assumptions'!$K$26*(VLOOKUP(A81,[1]!TOX,25,FALSE)))+('S-1 Assumptions'!$L$59*(VLOOKUP(A81,[1]!TOX,27,FALSE))))*(VLOOKUP(A81,[1]!TOX,12,FALSE))))))</f>
        <v>0</v>
      </c>
      <c r="F81" s="308">
        <f>IF(B81=0,MIN(E81,(VLOOKUP(A81,[1]!TOX,71,FALSE))),IF(E81=0,MIN(B81,(VLOOKUP(A81,[1]!TOX,71,FALSE))),MIN(B81,E81,(VLOOKUP(A81,[1]!TOX,71,FALSE)))))</f>
        <v>20.705304582275613</v>
      </c>
      <c r="G81" s="162" t="str">
        <f>IF(F81=B81,"Noncancer Risk",IF(F81=E81,"Cancer Risk",(VLOOKUP(A81,[1]!TOX,72,FALSE))))</f>
        <v>Noncancer Risk</v>
      </c>
      <c r="H81" s="309">
        <f>MAX(F81,(VLOOKUP(A81,[1]!TOX,50,FALSE)),(VLOOKUP(A81,[1]!TOX,39,FALSE)))</f>
        <v>20.705304582275613</v>
      </c>
      <c r="I81" s="310">
        <f>IF(H81&lt;&gt;0,ROUND(H81,1-(1+INT(LOG10(ABS(H81))))),"")</f>
        <v>20</v>
      </c>
      <c r="J81" s="165" t="str">
        <f>IF(H81=0,"Not Calculated",IF(H81=F81,G81,IF(H81=(VLOOKUP(A81,[1]!TOX,39,FALSE)),"Background","PQL")))</f>
        <v>Noncancer Risk</v>
      </c>
    </row>
    <row r="82" spans="1:10" ht="12.5" x14ac:dyDescent="0.25">
      <c r="A82" s="50" t="s">
        <v>32</v>
      </c>
      <c r="B82" s="160">
        <f>IF(ISERR(1/+(VLOOKUP(A82,[1]!TOX,17,FALSE))),0,'[1]Target Risk'!$D$8*(VLOOKUP(A82,[1]!TOX,4,FALSE))/(('S-1 Assumptions'!$K$18*(VLOOKUP(A82,[1]!TOX,17,FALSE)))+('S-1 Assumptions'!$L$51*(VLOOKUP(A82,[1]!TOX,19,FALSE)))))</f>
        <v>251.32747923654912</v>
      </c>
      <c r="C82" s="161">
        <f>IF(ISERR(1/(VLOOKUP(A82,[1]!TOX,25,FALSE))),0, '[1]Target Risk'!$D$12/((('S-1 Assumptions'!$K$26*(VLOOKUP(A82,[1]!TOX,25,FALSE)))+('S-1 Assumptions'!$L$59*(VLOOKUP(A82,[1]!TOX,27,FALSE))))*(VLOOKUP(A82,[1]!TOX,12,FALSE))))</f>
        <v>0</v>
      </c>
      <c r="D82" s="161">
        <f>IF(ISERR(1/(VLOOKUP(A82,[1]!TOX,25,FALSE))),0,IF(VLOOKUP(A82,[1]!TOX,36,FALSE)="M",'[1]Target Risk'!$D$12/((((((('S-1 Assumptions'!$K$30*(VLOOKUP(A82,[1]!TOX,25,FALSE)))+('S-1 Assumptions'!$L$67*(VLOOKUP(A82,[1]!TOX,27,FALSE))))*10))+(((('S-1 Assumptions'!$K$31*(VLOOKUP(A82,[1]!TOX,25,FALSE)))+('S-1 Assumptions'!$L$68*(VLOOKUP(A82,[1]!TOX,27,FALSE))))*3))+(((('S-1 Assumptions'!$K$32*(VLOOKUP(A82,[1]!TOX,25,FALSE)))+('S-1 Assumptions'!$L$69*(VLOOKUP(A82,[1]!TOX,27,FALSE))))*3))+(((('S-1 Assumptions'!$K$33*(VLOOKUP(A82,[1]!TOX,25,FALSE)))+('S-1 Assumptions'!$L$70)*(VLOOKUP(A82,[1]!TOX,27,FALSE))))*1)))*(VLOOKUP(A82,[1]!TOX,12,FALSE))),0))</f>
        <v>0</v>
      </c>
      <c r="E82" s="162">
        <f>IF(ISERR(1/(VLOOKUP(A82,[1]!TOX,25,FALSE))),0,IF(VLOOKUP(A82,[1]!TOX,36,FALSE)="M",'[1]Target Risk'!$D$12/((((((('S-1 Assumptions'!$K$30*(VLOOKUP(A82,[1]!TOX,25,FALSE)))+('S-1 Assumptions'!$L$67*(VLOOKUP(A82,[1]!TOX,27,FALSE))))*10))+(((('S-1 Assumptions'!$K$31*(VLOOKUP(A82,[1]!TOX,25,FALSE)))+('S-1 Assumptions'!$L$68*(VLOOKUP(A82,[1]!TOX,27,FALSE))))*3))+(((('S-1 Assumptions'!$K$32*(VLOOKUP(A82,[1]!TOX,25,FALSE)))+('S-1 Assumptions'!$L$69*(VLOOKUP(A82,[1]!TOX,27,FALSE))))*3))+(((('S-1 Assumptions'!$K$33*(VLOOKUP(A82,[1]!TOX,25,FALSE)))+('S-1 Assumptions'!$L$70)*(VLOOKUP(A82,[1]!TOX,27,FALSE))))*1)))*(VLOOKUP(A82,[1]!TOX,12,FALSE))),('[1]Target Risk'!$D$12/((('S-1 Assumptions'!$K$26*(VLOOKUP(A82,[1]!TOX,25,FALSE)))+('S-1 Assumptions'!$L$59*(VLOOKUP(A82,[1]!TOX,27,FALSE))))*(VLOOKUP(A82,[1]!TOX,12,FALSE))))))</f>
        <v>0</v>
      </c>
      <c r="F82" s="308">
        <f>IF(B82=0,MIN(E82,(VLOOKUP(A82,[1]!TOX,71,FALSE))),IF(E82=0,MIN(B82,(VLOOKUP(A82,[1]!TOX,71,FALSE))),MIN(B82,E82,(VLOOKUP(A82,[1]!TOX,71,FALSE)))))</f>
        <v>251.32747923654912</v>
      </c>
      <c r="G82" s="162" t="str">
        <f>IF(F82=B82,"Noncancer Risk",IF(F82=E82,"Cancer Risk",(VLOOKUP(A82,[1]!TOX,72,FALSE))))</f>
        <v>Noncancer Risk</v>
      </c>
      <c r="H82" s="309">
        <f>MAX(F82,(VLOOKUP(A82,[1]!TOX,50,FALSE)),(VLOOKUP(A82,[1]!TOX,39,FALSE)))</f>
        <v>251.32747923654912</v>
      </c>
      <c r="I82" s="310">
        <f t="shared" ref="I82:I97" si="2">IF(H82&lt;&gt;0,ROUND(H82,1-(1+INT(LOG10(ABS(H82))))),"")</f>
        <v>300</v>
      </c>
      <c r="J82" s="165" t="str">
        <f>IF(H82=0,"Not Calculated",IF(H82=F82,G82,IF(H82=(VLOOKUP(A82,[1]!TOX,39,FALSE)),"Background","PQL")))</f>
        <v>Noncancer Risk</v>
      </c>
    </row>
    <row r="83" spans="1:10" ht="12.5" x14ac:dyDescent="0.25">
      <c r="A83" s="50" t="s">
        <v>31</v>
      </c>
      <c r="B83" s="160">
        <f>IF(ISERR(1/+(VLOOKUP(A83,[1]!TOX,17,FALSE))),0,'[1]Target Risk'!$D$8*(VLOOKUP(A83,[1]!TOX,4,FALSE))/(('S-1 Assumptions'!$K$18*(VLOOKUP(A83,[1]!TOX,17,FALSE)))+('S-1 Assumptions'!$L$51*(VLOOKUP(A83,[1]!TOX,19,FALSE)))))</f>
        <v>44327.028804597918</v>
      </c>
      <c r="C83" s="161">
        <f>IF(ISERR(1/(VLOOKUP(A83,[1]!TOX,25,FALSE))),0, '[1]Target Risk'!$D$12/((('S-1 Assumptions'!$K$26*(VLOOKUP(A83,[1]!TOX,25,FALSE)))+('S-1 Assumptions'!$L$59*(VLOOKUP(A83,[1]!TOX,27,FALSE))))*(VLOOKUP(A83,[1]!TOX,12,FALSE))))</f>
        <v>0</v>
      </c>
      <c r="D83" s="161">
        <f>IF(ISERR(1/(VLOOKUP(A83,[1]!TOX,25,FALSE))),0,IF(VLOOKUP(A83,[1]!TOX,36,FALSE)="M",'[1]Target Risk'!$D$12/((((((('S-1 Assumptions'!$K$30*(VLOOKUP(A83,[1]!TOX,25,FALSE)))+('S-1 Assumptions'!$L$67*(VLOOKUP(A83,[1]!TOX,27,FALSE))))*10))+(((('S-1 Assumptions'!$K$31*(VLOOKUP(A83,[1]!TOX,25,FALSE)))+('S-1 Assumptions'!$L$68*(VLOOKUP(A83,[1]!TOX,27,FALSE))))*3))+(((('S-1 Assumptions'!$K$32*(VLOOKUP(A83,[1]!TOX,25,FALSE)))+('S-1 Assumptions'!$L$69*(VLOOKUP(A83,[1]!TOX,27,FALSE))))*3))+(((('S-1 Assumptions'!$K$33*(VLOOKUP(A83,[1]!TOX,25,FALSE)))+('S-1 Assumptions'!$L$70)*(VLOOKUP(A83,[1]!TOX,27,FALSE))))*1)))*(VLOOKUP(A83,[1]!TOX,12,FALSE))),0))</f>
        <v>0</v>
      </c>
      <c r="E83" s="162">
        <f>IF(ISERR(1/(VLOOKUP(A83,[1]!TOX,25,FALSE))),0,IF(VLOOKUP(A83,[1]!TOX,36,FALSE)="M",'[1]Target Risk'!$D$12/((((((('S-1 Assumptions'!$K$30*(VLOOKUP(A83,[1]!TOX,25,FALSE)))+('S-1 Assumptions'!$L$67*(VLOOKUP(A83,[1]!TOX,27,FALSE))))*10))+(((('S-1 Assumptions'!$K$31*(VLOOKUP(A83,[1]!TOX,25,FALSE)))+('S-1 Assumptions'!$L$68*(VLOOKUP(A83,[1]!TOX,27,FALSE))))*3))+(((('S-1 Assumptions'!$K$32*(VLOOKUP(A83,[1]!TOX,25,FALSE)))+('S-1 Assumptions'!$L$69*(VLOOKUP(A83,[1]!TOX,27,FALSE))))*3))+(((('S-1 Assumptions'!$K$33*(VLOOKUP(A83,[1]!TOX,25,FALSE)))+('S-1 Assumptions'!$L$70)*(VLOOKUP(A83,[1]!TOX,27,FALSE))))*1)))*(VLOOKUP(A83,[1]!TOX,12,FALSE))),('[1]Target Risk'!$D$12/((('S-1 Assumptions'!$K$26*(VLOOKUP(A83,[1]!TOX,25,FALSE)))+('S-1 Assumptions'!$L$59*(VLOOKUP(A83,[1]!TOX,27,FALSE))))*(VLOOKUP(A83,[1]!TOX,12,FALSE))))))</f>
        <v>0</v>
      </c>
      <c r="F83" s="308">
        <f>IF(B83=0,MIN(E83,(VLOOKUP(A83,[1]!TOX,71,FALSE))),IF(E83=0,MIN(B83,(VLOOKUP(A83,[1]!TOX,71,FALSE))),MIN(B83,E83,(VLOOKUP(A83,[1]!TOX,71,FALSE)))))</f>
        <v>500</v>
      </c>
      <c r="G83" s="162" t="str">
        <f>IF(F83=B83,"Noncancer Risk",IF(F83=E83,"Cancer Risk",(VLOOKUP(A83,[1]!TOX,72,FALSE))))</f>
        <v>Ceiling (Medium)</v>
      </c>
      <c r="H83" s="309">
        <f>MAX(F83,(VLOOKUP(A83,[1]!TOX,50,FALSE)),(VLOOKUP(A83,[1]!TOX,39,FALSE)))</f>
        <v>500</v>
      </c>
      <c r="I83" s="310">
        <f t="shared" si="2"/>
        <v>500</v>
      </c>
      <c r="J83" s="165" t="str">
        <f>IF(H83=0,"Not Calculated",IF(H83=F83,G83,IF(H83=(VLOOKUP(A83,[1]!TOX,39,FALSE)),"Background","PQL")))</f>
        <v>Ceiling (Medium)</v>
      </c>
    </row>
    <row r="84" spans="1:10" ht="12.5" x14ac:dyDescent="0.25">
      <c r="A84" s="50" t="s">
        <v>30</v>
      </c>
      <c r="B84" s="160">
        <f>IF(ISERR(1/+(VLOOKUP(A84,[1]!TOX,17,FALSE))),0,'[1]Target Risk'!$D$8*(VLOOKUP(A84,[1]!TOX,4,FALSE))/(('S-1 Assumptions'!$K$18*(VLOOKUP(A84,[1]!TOX,17,FALSE)))+('S-1 Assumptions'!$L$51*(VLOOKUP(A84,[1]!TOX,19,FALSE)))))</f>
        <v>5910.2705072797226</v>
      </c>
      <c r="C84" s="161">
        <f>IF(ISERR(1/(VLOOKUP(A84,[1]!TOX,25,FALSE))),0, '[1]Target Risk'!$D$12/((('S-1 Assumptions'!$K$26*(VLOOKUP(A84,[1]!TOX,25,FALSE)))+('S-1 Assumptions'!$L$59*(VLOOKUP(A84,[1]!TOX,27,FALSE))))*(VLOOKUP(A84,[1]!TOX,12,FALSE))))</f>
        <v>0</v>
      </c>
      <c r="D84" s="161">
        <f>IF(ISERR(1/(VLOOKUP(A84,[1]!TOX,25,FALSE))),0,IF(VLOOKUP(A84,[1]!TOX,36,FALSE)="M",'[1]Target Risk'!$D$12/((((((('S-1 Assumptions'!$K$30*(VLOOKUP(A84,[1]!TOX,25,FALSE)))+('S-1 Assumptions'!$L$67*(VLOOKUP(A84,[1]!TOX,27,FALSE))))*10))+(((('S-1 Assumptions'!$K$31*(VLOOKUP(A84,[1]!TOX,25,FALSE)))+('S-1 Assumptions'!$L$68*(VLOOKUP(A84,[1]!TOX,27,FALSE))))*3))+(((('S-1 Assumptions'!$K$32*(VLOOKUP(A84,[1]!TOX,25,FALSE)))+('S-1 Assumptions'!$L$69*(VLOOKUP(A84,[1]!TOX,27,FALSE))))*3))+(((('S-1 Assumptions'!$K$33*(VLOOKUP(A84,[1]!TOX,25,FALSE)))+('S-1 Assumptions'!$L$70)*(VLOOKUP(A84,[1]!TOX,27,FALSE))))*1)))*(VLOOKUP(A84,[1]!TOX,12,FALSE))),0))</f>
        <v>0</v>
      </c>
      <c r="E84" s="162">
        <f>IF(ISERR(1/(VLOOKUP(A84,[1]!TOX,25,FALSE))),0,IF(VLOOKUP(A84,[1]!TOX,36,FALSE)="M",'[1]Target Risk'!$D$12/((((((('S-1 Assumptions'!$K$30*(VLOOKUP(A84,[1]!TOX,25,FALSE)))+('S-1 Assumptions'!$L$67*(VLOOKUP(A84,[1]!TOX,27,FALSE))))*10))+(((('S-1 Assumptions'!$K$31*(VLOOKUP(A84,[1]!TOX,25,FALSE)))+('S-1 Assumptions'!$L$68*(VLOOKUP(A84,[1]!TOX,27,FALSE))))*3))+(((('S-1 Assumptions'!$K$32*(VLOOKUP(A84,[1]!TOX,25,FALSE)))+('S-1 Assumptions'!$L$69*(VLOOKUP(A84,[1]!TOX,27,FALSE))))*3))+(((('S-1 Assumptions'!$K$33*(VLOOKUP(A84,[1]!TOX,25,FALSE)))+('S-1 Assumptions'!$L$70)*(VLOOKUP(A84,[1]!TOX,27,FALSE))))*1)))*(VLOOKUP(A84,[1]!TOX,12,FALSE))),('[1]Target Risk'!$D$12/((('S-1 Assumptions'!$K$26*(VLOOKUP(A84,[1]!TOX,25,FALSE)))+('S-1 Assumptions'!$L$59*(VLOOKUP(A84,[1]!TOX,27,FALSE))))*(VLOOKUP(A84,[1]!TOX,12,FALSE))))))</f>
        <v>0</v>
      </c>
      <c r="F84" s="308">
        <f>IF(B84=0,MIN(E84,(VLOOKUP(A84,[1]!TOX,71,FALSE))),IF(E84=0,MIN(B84,(VLOOKUP(A84,[1]!TOX,71,FALSE))),MIN(B84,E84,(VLOOKUP(A84,[1]!TOX,71,FALSE)))))</f>
        <v>500</v>
      </c>
      <c r="G84" s="162" t="str">
        <f>IF(F84=B84,"Noncancer Risk",IF(F84=E84,"Cancer Risk",(VLOOKUP(A84,[1]!TOX,72,FALSE))))</f>
        <v>Ceiling (Medium)</v>
      </c>
      <c r="H84" s="309">
        <f>MAX(F84,(VLOOKUP(A84,[1]!TOX,50,FALSE)),(VLOOKUP(A84,[1]!TOX,39,FALSE)))</f>
        <v>500</v>
      </c>
      <c r="I84" s="310">
        <f t="shared" si="2"/>
        <v>500</v>
      </c>
      <c r="J84" s="165" t="str">
        <f>IF(H84=0,"Not Calculated",IF(H84=F84,G84,IF(H84=(VLOOKUP(A84,[1]!TOX,39,FALSE)),"Background","PQL")))</f>
        <v>Ceiling (Medium)</v>
      </c>
    </row>
    <row r="85" spans="1:10" ht="12.5" x14ac:dyDescent="0.25">
      <c r="A85" s="50" t="s">
        <v>29</v>
      </c>
      <c r="B85" s="160">
        <f>IF(ISERR(1/+(VLOOKUP(A85,[1]!TOX,17,FALSE))),0,'[1]Target Risk'!$D$8*(VLOOKUP(A85,[1]!TOX,4,FALSE))/(('S-1 Assumptions'!$K$18*(VLOOKUP(A85,[1]!TOX,17,FALSE)))+('S-1 Assumptions'!$L$51*(VLOOKUP(A85,[1]!TOX,19,FALSE)))))</f>
        <v>5.0265495847309829</v>
      </c>
      <c r="C85" s="161">
        <f>IF(ISERR(1/(VLOOKUP(A85,[1]!TOX,25,FALSE))),0, '[1]Target Risk'!$D$12/((('S-1 Assumptions'!$K$26*(VLOOKUP(A85,[1]!TOX,25,FALSE)))+('S-1 Assumptions'!$L$59*(VLOOKUP(A85,[1]!TOX,27,FALSE))))*(VLOOKUP(A85,[1]!TOX,12,FALSE))))</f>
        <v>0</v>
      </c>
      <c r="D85" s="161">
        <f>IF(ISERR(1/(VLOOKUP(A85,[1]!TOX,25,FALSE))),0,IF(VLOOKUP(A85,[1]!TOX,36,FALSE)="M",'[1]Target Risk'!$D$12/((((((('S-1 Assumptions'!$K$30*(VLOOKUP(A85,[1]!TOX,25,FALSE)))+('S-1 Assumptions'!$L$67*(VLOOKUP(A85,[1]!TOX,27,FALSE))))*10))+(((('S-1 Assumptions'!$K$31*(VLOOKUP(A85,[1]!TOX,25,FALSE)))+('S-1 Assumptions'!$L$68*(VLOOKUP(A85,[1]!TOX,27,FALSE))))*3))+(((('S-1 Assumptions'!$K$32*(VLOOKUP(A85,[1]!TOX,25,FALSE)))+('S-1 Assumptions'!$L$69*(VLOOKUP(A85,[1]!TOX,27,FALSE))))*3))+(((('S-1 Assumptions'!$K$33*(VLOOKUP(A85,[1]!TOX,25,FALSE)))+('S-1 Assumptions'!$L$70)*(VLOOKUP(A85,[1]!TOX,27,FALSE))))*1)))*(VLOOKUP(A85,[1]!TOX,12,FALSE))),0))</f>
        <v>0</v>
      </c>
      <c r="E85" s="162">
        <f>IF(ISERR(1/(VLOOKUP(A85,[1]!TOX,25,FALSE))),0,IF(VLOOKUP(A85,[1]!TOX,36,FALSE)="M",'[1]Target Risk'!$D$12/((((((('S-1 Assumptions'!$K$30*(VLOOKUP(A85,[1]!TOX,25,FALSE)))+('S-1 Assumptions'!$L$67*(VLOOKUP(A85,[1]!TOX,27,FALSE))))*10))+(((('S-1 Assumptions'!$K$31*(VLOOKUP(A85,[1]!TOX,25,FALSE)))+('S-1 Assumptions'!$L$68*(VLOOKUP(A85,[1]!TOX,27,FALSE))))*3))+(((('S-1 Assumptions'!$K$32*(VLOOKUP(A85,[1]!TOX,25,FALSE)))+('S-1 Assumptions'!$L$69*(VLOOKUP(A85,[1]!TOX,27,FALSE))))*3))+(((('S-1 Assumptions'!$K$33*(VLOOKUP(A85,[1]!TOX,25,FALSE)))+('S-1 Assumptions'!$L$70)*(VLOOKUP(A85,[1]!TOX,27,FALSE))))*1)))*(VLOOKUP(A85,[1]!TOX,12,FALSE))),('[1]Target Risk'!$D$12/((('S-1 Assumptions'!$K$26*(VLOOKUP(A85,[1]!TOX,25,FALSE)))+('S-1 Assumptions'!$L$59*(VLOOKUP(A85,[1]!TOX,27,FALSE))))*(VLOOKUP(A85,[1]!TOX,12,FALSE))))))</f>
        <v>0</v>
      </c>
      <c r="F85" s="308">
        <f>IF(B85=0,MIN(E85,(VLOOKUP(A85,[1]!TOX,71,FALSE))),IF(E85=0,MIN(B85,(VLOOKUP(A85,[1]!TOX,71,FALSE))),MIN(B85,E85,(VLOOKUP(A85,[1]!TOX,71,FALSE)))))</f>
        <v>5.0265495847309829</v>
      </c>
      <c r="G85" s="162" t="str">
        <f>IF(F85=B85,"Noncancer Risk",IF(F85=E85,"Cancer Risk",(VLOOKUP(A85,[1]!TOX,72,FALSE))))</f>
        <v>Noncancer Risk</v>
      </c>
      <c r="H85" s="309">
        <f>MAX(F85,(VLOOKUP(A85,[1]!TOX,50,FALSE)),(VLOOKUP(A85,[1]!TOX,39,FALSE)))</f>
        <v>5.0265495847309829</v>
      </c>
      <c r="I85" s="310">
        <f t="shared" si="2"/>
        <v>5</v>
      </c>
      <c r="J85" s="165" t="str">
        <f>IF(H85=0,"Not Calculated",IF(H85=F85,G85,IF(H85=(VLOOKUP(A85,[1]!TOX,39,FALSE)),"Background","PQL")))</f>
        <v>Noncancer Risk</v>
      </c>
    </row>
    <row r="86" spans="1:10" ht="12.5" x14ac:dyDescent="0.25">
      <c r="A86" s="50" t="s">
        <v>28</v>
      </c>
      <c r="B86" s="160">
        <f>IF(ISERR(1/+(VLOOKUP(A86,[1]!TOX,17,FALSE))),0,'[1]Target Risk'!$D$8*(VLOOKUP(A86,[1]!TOX,4,FALSE))/(('S-1 Assumptions'!$K$18*(VLOOKUP(A86,[1]!TOX,17,FALSE)))+('S-1 Assumptions'!$L$51*(VLOOKUP(A86,[1]!TOX,19,FALSE)))))</f>
        <v>7387.8381340996548</v>
      </c>
      <c r="C86" s="161">
        <f>IF(ISERR(1/(VLOOKUP(A86,[1]!TOX,25,FALSE))),0, '[1]Target Risk'!$D$12/((('S-1 Assumptions'!$K$26*(VLOOKUP(A86,[1]!TOX,25,FALSE)))+('S-1 Assumptions'!$L$59*(VLOOKUP(A86,[1]!TOX,27,FALSE))))*(VLOOKUP(A86,[1]!TOX,12,FALSE))))</f>
        <v>0</v>
      </c>
      <c r="D86" s="161">
        <f>IF(ISERR(1/(VLOOKUP(A86,[1]!TOX,25,FALSE))),0,IF(VLOOKUP(A86,[1]!TOX,36,FALSE)="M",'[1]Target Risk'!$D$12/((((((('S-1 Assumptions'!$K$30*(VLOOKUP(A86,[1]!TOX,25,FALSE)))+('S-1 Assumptions'!$L$67*(VLOOKUP(A86,[1]!TOX,27,FALSE))))*10))+(((('S-1 Assumptions'!$K$31*(VLOOKUP(A86,[1]!TOX,25,FALSE)))+('S-1 Assumptions'!$L$68*(VLOOKUP(A86,[1]!TOX,27,FALSE))))*3))+(((('S-1 Assumptions'!$K$32*(VLOOKUP(A86,[1]!TOX,25,FALSE)))+('S-1 Assumptions'!$L$69*(VLOOKUP(A86,[1]!TOX,27,FALSE))))*3))+(((('S-1 Assumptions'!$K$33*(VLOOKUP(A86,[1]!TOX,25,FALSE)))+('S-1 Assumptions'!$L$70)*(VLOOKUP(A86,[1]!TOX,27,FALSE))))*1)))*(VLOOKUP(A86,[1]!TOX,12,FALSE))),0))</f>
        <v>0</v>
      </c>
      <c r="E86" s="162">
        <f>IF(ISERR(1/(VLOOKUP(A86,[1]!TOX,25,FALSE))),0,IF(VLOOKUP(A86,[1]!TOX,36,FALSE)="M",'[1]Target Risk'!$D$12/((((((('S-1 Assumptions'!$K$30*(VLOOKUP(A86,[1]!TOX,25,FALSE)))+('S-1 Assumptions'!$L$67*(VLOOKUP(A86,[1]!TOX,27,FALSE))))*10))+(((('S-1 Assumptions'!$K$31*(VLOOKUP(A86,[1]!TOX,25,FALSE)))+('S-1 Assumptions'!$L$68*(VLOOKUP(A86,[1]!TOX,27,FALSE))))*3))+(((('S-1 Assumptions'!$K$32*(VLOOKUP(A86,[1]!TOX,25,FALSE)))+('S-1 Assumptions'!$L$69*(VLOOKUP(A86,[1]!TOX,27,FALSE))))*3))+(((('S-1 Assumptions'!$K$33*(VLOOKUP(A86,[1]!TOX,25,FALSE)))+('S-1 Assumptions'!$L$70)*(VLOOKUP(A86,[1]!TOX,27,FALSE))))*1)))*(VLOOKUP(A86,[1]!TOX,12,FALSE))),('[1]Target Risk'!$D$12/((('S-1 Assumptions'!$K$26*(VLOOKUP(A86,[1]!TOX,25,FALSE)))+('S-1 Assumptions'!$L$59*(VLOOKUP(A86,[1]!TOX,27,FALSE))))*(VLOOKUP(A86,[1]!TOX,12,FALSE))))))</f>
        <v>0</v>
      </c>
      <c r="F86" s="308">
        <f>IF(B86=0,MIN(E86,(VLOOKUP(A86,[1]!TOX,71,FALSE))),IF(E86=0,MIN(B86,(VLOOKUP(A86,[1]!TOX,71,FALSE))),MIN(B86,E86,(VLOOKUP(A86,[1]!TOX,71,FALSE)))))</f>
        <v>100</v>
      </c>
      <c r="G86" s="162" t="str">
        <f>IF(F86=B86,"Noncancer Risk",IF(F86=E86,"Cancer Risk",(VLOOKUP(A86,[1]!TOX,72,FALSE))))</f>
        <v>Ceiling (Low)</v>
      </c>
      <c r="H86" s="309">
        <f>MAX(F86,(VLOOKUP(A86,[1]!TOX,50,FALSE)),(VLOOKUP(A86,[1]!TOX,39,FALSE)))</f>
        <v>100</v>
      </c>
      <c r="I86" s="310">
        <f t="shared" si="2"/>
        <v>100</v>
      </c>
      <c r="J86" s="165" t="str">
        <f>IF(H86=0,"Not Calculated",IF(H86=F86,G86,IF(H86=(VLOOKUP(A86,[1]!TOX,39,FALSE)),"Background","PQL")))</f>
        <v>Ceiling (Low)</v>
      </c>
    </row>
    <row r="87" spans="1:10" ht="12.5" x14ac:dyDescent="0.25">
      <c r="A87" s="50" t="s">
        <v>27</v>
      </c>
      <c r="B87" s="160">
        <f>IF(ISERR(1/+(VLOOKUP(A87,[1]!TOX,17,FALSE))),0,'[1]Target Risk'!$D$8*(VLOOKUP(A87,[1]!TOX,4,FALSE))/(('S-1 Assumptions'!$K$18*(VLOOKUP(A87,[1]!TOX,17,FALSE)))+('S-1 Assumptions'!$L$51*(VLOOKUP(A87,[1]!TOX,19,FALSE)))))</f>
        <v>324.49327417095441</v>
      </c>
      <c r="C87" s="161">
        <f>IF(ISERR(1/(VLOOKUP(A87,[1]!TOX,25,FALSE))),0, '[1]Target Risk'!$D$12/((('S-1 Assumptions'!$K$26*(VLOOKUP(A87,[1]!TOX,25,FALSE)))+('S-1 Assumptions'!$L$59*(VLOOKUP(A87,[1]!TOX,27,FALSE))))*(VLOOKUP(A87,[1]!TOX,12,FALSE))))</f>
        <v>0</v>
      </c>
      <c r="D87" s="161">
        <f>IF(ISERR(1/(VLOOKUP(A87,[1]!TOX,25,FALSE))),0,IF(VLOOKUP(A87,[1]!TOX,36,FALSE)="M",'[1]Target Risk'!$D$12/((((((('S-1 Assumptions'!$K$30*(VLOOKUP(A87,[1]!TOX,25,FALSE)))+('S-1 Assumptions'!$L$67*(VLOOKUP(A87,[1]!TOX,27,FALSE))))*10))+(((('S-1 Assumptions'!$K$31*(VLOOKUP(A87,[1]!TOX,25,FALSE)))+('S-1 Assumptions'!$L$68*(VLOOKUP(A87,[1]!TOX,27,FALSE))))*3))+(((('S-1 Assumptions'!$K$32*(VLOOKUP(A87,[1]!TOX,25,FALSE)))+('S-1 Assumptions'!$L$69*(VLOOKUP(A87,[1]!TOX,27,FALSE))))*3))+(((('S-1 Assumptions'!$K$33*(VLOOKUP(A87,[1]!TOX,25,FALSE)))+('S-1 Assumptions'!$L$70)*(VLOOKUP(A87,[1]!TOX,27,FALSE))))*1)))*(VLOOKUP(A87,[1]!TOX,12,FALSE))),0))</f>
        <v>0</v>
      </c>
      <c r="E87" s="162">
        <f>IF(ISERR(1/(VLOOKUP(A87,[1]!TOX,25,FALSE))),0,IF(VLOOKUP(A87,[1]!TOX,36,FALSE)="M",'[1]Target Risk'!$D$12/((((((('S-1 Assumptions'!$K$30*(VLOOKUP(A87,[1]!TOX,25,FALSE)))+('S-1 Assumptions'!$L$67*(VLOOKUP(A87,[1]!TOX,27,FALSE))))*10))+(((('S-1 Assumptions'!$K$31*(VLOOKUP(A87,[1]!TOX,25,FALSE)))+('S-1 Assumptions'!$L$68*(VLOOKUP(A87,[1]!TOX,27,FALSE))))*3))+(((('S-1 Assumptions'!$K$32*(VLOOKUP(A87,[1]!TOX,25,FALSE)))+('S-1 Assumptions'!$L$69*(VLOOKUP(A87,[1]!TOX,27,FALSE))))*3))+(((('S-1 Assumptions'!$K$33*(VLOOKUP(A87,[1]!TOX,25,FALSE)))+('S-1 Assumptions'!$L$70)*(VLOOKUP(A87,[1]!TOX,27,FALSE))))*1)))*(VLOOKUP(A87,[1]!TOX,12,FALSE))),('[1]Target Risk'!$D$12/((('S-1 Assumptions'!$K$26*(VLOOKUP(A87,[1]!TOX,25,FALSE)))+('S-1 Assumptions'!$L$59*(VLOOKUP(A87,[1]!TOX,27,FALSE))))*(VLOOKUP(A87,[1]!TOX,12,FALSE))))))</f>
        <v>0</v>
      </c>
      <c r="F87" s="308">
        <f>IF(B87=0,MIN(E87,(VLOOKUP(A87,[1]!TOX,71,FALSE))),IF(E87=0,MIN(B87,(VLOOKUP(A87,[1]!TOX,71,FALSE))),MIN(B87,E87,(VLOOKUP(A87,[1]!TOX,71,FALSE)))))</f>
        <v>324.49327417095441</v>
      </c>
      <c r="G87" s="162" t="str">
        <f>IF(F87=B87,"Noncancer Risk",IF(F87=E87,"Cancer Risk",(VLOOKUP(A87,[1]!TOX,72,FALSE))))</f>
        <v>Noncancer Risk</v>
      </c>
      <c r="H87" s="309">
        <f>MAX(F87,(VLOOKUP(A87,[1]!TOX,50,FALSE)),(VLOOKUP(A87,[1]!TOX,39,FALSE)))</f>
        <v>324.49327417095441</v>
      </c>
      <c r="I87" s="310">
        <f t="shared" si="2"/>
        <v>300</v>
      </c>
      <c r="J87" s="165" t="str">
        <f>IF(H87=0,"Not Calculated",IF(H87=F87,G87,IF(H87=(VLOOKUP(A87,[1]!TOX,39,FALSE)),"Background","PQL")))</f>
        <v>Noncancer Risk</v>
      </c>
    </row>
    <row r="88" spans="1:10" ht="12.5" x14ac:dyDescent="0.25">
      <c r="A88" s="50" t="s">
        <v>26</v>
      </c>
      <c r="B88" s="160">
        <f>IF(ISERR(1/+(VLOOKUP(A88,[1]!TOX,17,FALSE))),0,'[1]Target Risk'!$D$8*(VLOOKUP(A88,[1]!TOX,4,FALSE))/(('S-1 Assumptions'!$K$18*(VLOOKUP(A88,[1]!TOX,17,FALSE)))+('S-1 Assumptions'!$L$51*(VLOOKUP(A88,[1]!TOX,19,FALSE)))))</f>
        <v>1622.4663708547721</v>
      </c>
      <c r="C88" s="161">
        <f>IF(ISERR(1/(VLOOKUP(A88,[1]!TOX,25,FALSE))),0, '[1]Target Risk'!$D$12/((('S-1 Assumptions'!$K$26*(VLOOKUP(A88,[1]!TOX,25,FALSE)))+('S-1 Assumptions'!$L$59*(VLOOKUP(A88,[1]!TOX,27,FALSE))))*(VLOOKUP(A88,[1]!TOX,12,FALSE))))</f>
        <v>0</v>
      </c>
      <c r="D88" s="161">
        <f>IF(ISERR(1/(VLOOKUP(A88,[1]!TOX,25,FALSE))),0,IF(VLOOKUP(A88,[1]!TOX,36,FALSE)="M",'[1]Target Risk'!$D$12/((((((('S-1 Assumptions'!$K$30*(VLOOKUP(A88,[1]!TOX,25,FALSE)))+('S-1 Assumptions'!$L$67*(VLOOKUP(A88,[1]!TOX,27,FALSE))))*10))+(((('S-1 Assumptions'!$K$31*(VLOOKUP(A88,[1]!TOX,25,FALSE)))+('S-1 Assumptions'!$L$68*(VLOOKUP(A88,[1]!TOX,27,FALSE))))*3))+(((('S-1 Assumptions'!$K$32*(VLOOKUP(A88,[1]!TOX,25,FALSE)))+('S-1 Assumptions'!$L$69*(VLOOKUP(A88,[1]!TOX,27,FALSE))))*3))+(((('S-1 Assumptions'!$K$33*(VLOOKUP(A88,[1]!TOX,25,FALSE)))+('S-1 Assumptions'!$L$70)*(VLOOKUP(A88,[1]!TOX,27,FALSE))))*1)))*(VLOOKUP(A88,[1]!TOX,12,FALSE))),0))</f>
        <v>0</v>
      </c>
      <c r="E88" s="162">
        <f>IF(ISERR(1/(VLOOKUP(A88,[1]!TOX,25,FALSE))),0,IF(VLOOKUP(A88,[1]!TOX,36,FALSE)="M",'[1]Target Risk'!$D$12/((((((('S-1 Assumptions'!$K$30*(VLOOKUP(A88,[1]!TOX,25,FALSE)))+('S-1 Assumptions'!$L$67*(VLOOKUP(A88,[1]!TOX,27,FALSE))))*10))+(((('S-1 Assumptions'!$K$31*(VLOOKUP(A88,[1]!TOX,25,FALSE)))+('S-1 Assumptions'!$L$68*(VLOOKUP(A88,[1]!TOX,27,FALSE))))*3))+(((('S-1 Assumptions'!$K$32*(VLOOKUP(A88,[1]!TOX,25,FALSE)))+('S-1 Assumptions'!$L$69*(VLOOKUP(A88,[1]!TOX,27,FALSE))))*3))+(((('S-1 Assumptions'!$K$33*(VLOOKUP(A88,[1]!TOX,25,FALSE)))+('S-1 Assumptions'!$L$70)*(VLOOKUP(A88,[1]!TOX,27,FALSE))))*1)))*(VLOOKUP(A88,[1]!TOX,12,FALSE))),('[1]Target Risk'!$D$12/((('S-1 Assumptions'!$K$26*(VLOOKUP(A88,[1]!TOX,25,FALSE)))+('S-1 Assumptions'!$L$59*(VLOOKUP(A88,[1]!TOX,27,FALSE))))*(VLOOKUP(A88,[1]!TOX,12,FALSE))))))</f>
        <v>0</v>
      </c>
      <c r="F88" s="308">
        <f>IF(B88=0,MIN(E88,(VLOOKUP(A88,[1]!TOX,71,FALSE))),IF(E88=0,MIN(B88,(VLOOKUP(A88,[1]!TOX,71,FALSE))),MIN(B88,E88,(VLOOKUP(A88,[1]!TOX,71,FALSE)))))</f>
        <v>500</v>
      </c>
      <c r="G88" s="162" t="str">
        <f>IF(F88=B88,"Noncancer Risk",IF(F88=E88,"Cancer Risk",(VLOOKUP(A88,[1]!TOX,72,FALSE))))</f>
        <v>Ceiling (Medium)</v>
      </c>
      <c r="H88" s="309">
        <f>MAX(F88,(VLOOKUP(A88,[1]!TOX,50,FALSE)),(VLOOKUP(A88,[1]!TOX,39,FALSE)))</f>
        <v>500</v>
      </c>
      <c r="I88" s="310">
        <f t="shared" si="2"/>
        <v>500</v>
      </c>
      <c r="J88" s="165" t="str">
        <f>IF(H88=0,"Not Calculated",IF(H88=F88,G88,IF(H88=(VLOOKUP(A88,[1]!TOX,39,FALSE)),"Background","PQL")))</f>
        <v>Ceiling (Medium)</v>
      </c>
    </row>
    <row r="89" spans="1:10" ht="12.5" x14ac:dyDescent="0.25">
      <c r="A89" s="50" t="s">
        <v>25</v>
      </c>
      <c r="B89" s="160">
        <f>IF(ISERR(1/+(VLOOKUP(A89,[1]!TOX,17,FALSE))),0,'[1]Target Risk'!$D$8*(VLOOKUP(A89,[1]!TOX,4,FALSE))/(('S-1 Assumptions'!$K$18*(VLOOKUP(A89,[1]!TOX,17,FALSE)))+('S-1 Assumptions'!$L$51*(VLOOKUP(A89,[1]!TOX,19,FALSE)))))</f>
        <v>690.17681940918715</v>
      </c>
      <c r="C89" s="161">
        <f>IF(ISERR(1/(VLOOKUP(A89,[1]!TOX,25,FALSE))),0, '[1]Target Risk'!$D$12/((('S-1 Assumptions'!$K$26*(VLOOKUP(A89,[1]!TOX,25,FALSE)))+('S-1 Assumptions'!$L$59*(VLOOKUP(A89,[1]!TOX,27,FALSE))))*(VLOOKUP(A89,[1]!TOX,12,FALSE))))</f>
        <v>0</v>
      </c>
      <c r="D89" s="161">
        <f>IF(ISERR(1/(VLOOKUP(A89,[1]!TOX,25,FALSE))),0,IF(VLOOKUP(A89,[1]!TOX,36,FALSE)="M",'[1]Target Risk'!$D$12/((((((('S-1 Assumptions'!$K$30*(VLOOKUP(A89,[1]!TOX,25,FALSE)))+('S-1 Assumptions'!$L$67*(VLOOKUP(A89,[1]!TOX,27,FALSE))))*10))+(((('S-1 Assumptions'!$K$31*(VLOOKUP(A89,[1]!TOX,25,FALSE)))+('S-1 Assumptions'!$L$68*(VLOOKUP(A89,[1]!TOX,27,FALSE))))*3))+(((('S-1 Assumptions'!$K$32*(VLOOKUP(A89,[1]!TOX,25,FALSE)))+('S-1 Assumptions'!$L$69*(VLOOKUP(A89,[1]!TOX,27,FALSE))))*3))+(((('S-1 Assumptions'!$K$33*(VLOOKUP(A89,[1]!TOX,25,FALSE)))+('S-1 Assumptions'!$L$70)*(VLOOKUP(A89,[1]!TOX,27,FALSE))))*1)))*(VLOOKUP(A89,[1]!TOX,12,FALSE))),0))</f>
        <v>0</v>
      </c>
      <c r="E89" s="162">
        <f>IF(ISERR(1/(VLOOKUP(A89,[1]!TOX,25,FALSE))),0,IF(VLOOKUP(A89,[1]!TOX,36,FALSE)="M",'[1]Target Risk'!$D$12/((((((('S-1 Assumptions'!$K$30*(VLOOKUP(A89,[1]!TOX,25,FALSE)))+('S-1 Assumptions'!$L$67*(VLOOKUP(A89,[1]!TOX,27,FALSE))))*10))+(((('S-1 Assumptions'!$K$31*(VLOOKUP(A89,[1]!TOX,25,FALSE)))+('S-1 Assumptions'!$L$68*(VLOOKUP(A89,[1]!TOX,27,FALSE))))*3))+(((('S-1 Assumptions'!$K$32*(VLOOKUP(A89,[1]!TOX,25,FALSE)))+('S-1 Assumptions'!$L$69*(VLOOKUP(A89,[1]!TOX,27,FALSE))))*3))+(((('S-1 Assumptions'!$K$33*(VLOOKUP(A89,[1]!TOX,25,FALSE)))+('S-1 Assumptions'!$L$70)*(VLOOKUP(A89,[1]!TOX,27,FALSE))))*1)))*(VLOOKUP(A89,[1]!TOX,12,FALSE))),('[1]Target Risk'!$D$12/((('S-1 Assumptions'!$K$26*(VLOOKUP(A89,[1]!TOX,25,FALSE)))+('S-1 Assumptions'!$L$59*(VLOOKUP(A89,[1]!TOX,27,FALSE))))*(VLOOKUP(A89,[1]!TOX,12,FALSE))))))</f>
        <v>0</v>
      </c>
      <c r="F89" s="308">
        <f>IF(B89=0,MIN(E89,(VLOOKUP(A89,[1]!TOX,71,FALSE))),IF(E89=0,MIN(B89,(VLOOKUP(A89,[1]!TOX,71,FALSE))),MIN(B89,E89,(VLOOKUP(A89,[1]!TOX,71,FALSE)))))</f>
        <v>690.17681940918715</v>
      </c>
      <c r="G89" s="162" t="str">
        <f>IF(F89=B89,"Noncancer Risk",IF(F89=E89,"Cancer Risk",(VLOOKUP(A89,[1]!TOX,72,FALSE))))</f>
        <v>Noncancer Risk</v>
      </c>
      <c r="H89" s="309">
        <f>MAX(F89,(VLOOKUP(A89,[1]!TOX,50,FALSE)),(VLOOKUP(A89,[1]!TOX,39,FALSE)))</f>
        <v>690.17681940918715</v>
      </c>
      <c r="I89" s="310">
        <f t="shared" si="2"/>
        <v>700</v>
      </c>
      <c r="J89" s="165" t="str">
        <f>IF(H89=0,"Not Calculated",IF(H89=F89,G89,IF(H89=(VLOOKUP(A89,[1]!TOX,39,FALSE)),"Background","PQL")))</f>
        <v>Noncancer Risk</v>
      </c>
    </row>
    <row r="90" spans="1:10" ht="12.5" x14ac:dyDescent="0.25">
      <c r="A90" s="50" t="s">
        <v>24</v>
      </c>
      <c r="B90" s="160">
        <f>IF(ISERR(1/+(VLOOKUP(A90,[1]!TOX,17,FALSE))),0,'[1]Target Risk'!$D$8*(VLOOKUP(A90,[1]!TOX,4,FALSE))/(('S-1 Assumptions'!$K$18*(VLOOKUP(A90,[1]!TOX,17,FALSE)))+('S-1 Assumptions'!$L$51*(VLOOKUP(A90,[1]!TOX,19,FALSE)))))</f>
        <v>131.36530569439142</v>
      </c>
      <c r="C90" s="161">
        <f>IF(ISERR(1/(VLOOKUP(A90,[1]!TOX,25,FALSE))),0, '[1]Target Risk'!$D$12/((('S-1 Assumptions'!$K$26*(VLOOKUP(A90,[1]!TOX,25,FALSE)))+('S-1 Assumptions'!$L$59*(VLOOKUP(A90,[1]!TOX,27,FALSE))))*(VLOOKUP(A90,[1]!TOX,12,FALSE))))</f>
        <v>1.853305245333384</v>
      </c>
      <c r="D90" s="161">
        <f>IF(ISERR(1/(VLOOKUP(A90,[1]!TOX,25,FALSE))),0,IF(VLOOKUP(A90,[1]!TOX,36,FALSE)="M",'[1]Target Risk'!$D$12/((((((('S-1 Assumptions'!$K$30*(VLOOKUP(A90,[1]!TOX,25,FALSE)))+('S-1 Assumptions'!$L$67*(VLOOKUP(A90,[1]!TOX,27,FALSE))))*10))+(((('S-1 Assumptions'!$K$31*(VLOOKUP(A90,[1]!TOX,25,FALSE)))+('S-1 Assumptions'!$L$68*(VLOOKUP(A90,[1]!TOX,27,FALSE))))*3))+(((('S-1 Assumptions'!$K$32*(VLOOKUP(A90,[1]!TOX,25,FALSE)))+('S-1 Assumptions'!$L$69*(VLOOKUP(A90,[1]!TOX,27,FALSE))))*3))+(((('S-1 Assumptions'!$K$33*(VLOOKUP(A90,[1]!TOX,25,FALSE)))+('S-1 Assumptions'!$L$70)*(VLOOKUP(A90,[1]!TOX,27,FALSE))))*1)))*(VLOOKUP(A90,[1]!TOX,12,FALSE))),0))</f>
        <v>0</v>
      </c>
      <c r="E90" s="162">
        <f>IF(ISERR(1/(VLOOKUP(A90,[1]!TOX,25,FALSE))),0,IF(VLOOKUP(A90,[1]!TOX,36,FALSE)="M",'[1]Target Risk'!$D$12/((((((('S-1 Assumptions'!$K$30*(VLOOKUP(A90,[1]!TOX,25,FALSE)))+('S-1 Assumptions'!$L$67*(VLOOKUP(A90,[1]!TOX,27,FALSE))))*10))+(((('S-1 Assumptions'!$K$31*(VLOOKUP(A90,[1]!TOX,25,FALSE)))+('S-1 Assumptions'!$L$68*(VLOOKUP(A90,[1]!TOX,27,FALSE))))*3))+(((('S-1 Assumptions'!$K$32*(VLOOKUP(A90,[1]!TOX,25,FALSE)))+('S-1 Assumptions'!$L$69*(VLOOKUP(A90,[1]!TOX,27,FALSE))))*3))+(((('S-1 Assumptions'!$K$33*(VLOOKUP(A90,[1]!TOX,25,FALSE)))+('S-1 Assumptions'!$L$70)*(VLOOKUP(A90,[1]!TOX,27,FALSE))))*1)))*(VLOOKUP(A90,[1]!TOX,12,FALSE))),('[1]Target Risk'!$D$12/((('S-1 Assumptions'!$K$26*(VLOOKUP(A90,[1]!TOX,25,FALSE)))+('S-1 Assumptions'!$L$59*(VLOOKUP(A90,[1]!TOX,27,FALSE))))*(VLOOKUP(A90,[1]!TOX,12,FALSE))))))</f>
        <v>1.853305245333384</v>
      </c>
      <c r="F90" s="308">
        <f>IF(B90=0,MIN(E90,(VLOOKUP(A90,[1]!TOX,71,FALSE))),IF(E90=0,MIN(B90,(VLOOKUP(A90,[1]!TOX,71,FALSE))),MIN(B90,E90,(VLOOKUP(A90,[1]!TOX,71,FALSE)))))</f>
        <v>1.853305245333384</v>
      </c>
      <c r="G90" s="162" t="str">
        <f>IF(F90=B90,"Noncancer Risk",IF(F90=E90,"Cancer Risk",(VLOOKUP(A90,[1]!TOX,72,FALSE))))</f>
        <v>Cancer Risk</v>
      </c>
      <c r="H90" s="309">
        <f>MAX(F90,(VLOOKUP(A90,[1]!TOX,50,FALSE)),(VLOOKUP(A90,[1]!TOX,39,FALSE)))</f>
        <v>3.3</v>
      </c>
      <c r="I90" s="310">
        <f t="shared" si="2"/>
        <v>3</v>
      </c>
      <c r="J90" s="165" t="str">
        <f>IF(H90=0,"Not Calculated",IF(H90=F90,G90,IF(H90=(VLOOKUP(A90,[1]!TOX,39,FALSE)),"Background","PQL")))</f>
        <v>PQL</v>
      </c>
    </row>
    <row r="91" spans="1:10" ht="20" x14ac:dyDescent="0.25">
      <c r="A91" s="64" t="s">
        <v>328</v>
      </c>
      <c r="B91" s="160">
        <f>IF(ISERR(1/+(VLOOKUP(A91,[1]!TOX,17,FALSE))),0,'[1]Target Risk'!$D$8*(VLOOKUP(A91,[1]!TOX,4,FALSE))/(('S-1 Assumptions'!$K$18*(VLOOKUP(A91,[1]!TOX,17,FALSE)))+('S-1 Assumptions'!$L$51*(VLOOKUP(A91,[1]!TOX,19,FALSE)))))</f>
        <v>0.25132747923654913</v>
      </c>
      <c r="C91" s="161">
        <f>IF(ISERR(1/(VLOOKUP(A91,[1]!TOX,25,FALSE))),0, '[1]Target Risk'!$D$12/((('S-1 Assumptions'!$K$26*(VLOOKUP(A91,[1]!TOX,25,FALSE)))+('S-1 Assumptions'!$L$59*(VLOOKUP(A91,[1]!TOX,27,FALSE))))*(VLOOKUP(A91,[1]!TOX,12,FALSE))))</f>
        <v>0</v>
      </c>
      <c r="D91" s="161">
        <f>IF(ISERR(1/(VLOOKUP(A91,[1]!TOX,25,FALSE))),0,IF(VLOOKUP(A91,[1]!TOX,36,FALSE)="M",'[1]Target Risk'!$D$12/((((((('S-1 Assumptions'!$K$30*(VLOOKUP(A91,[1]!TOX,25,FALSE)))+('S-1 Assumptions'!$L$67*(VLOOKUP(A91,[1]!TOX,27,FALSE))))*10))+(((('S-1 Assumptions'!$K$31*(VLOOKUP(A91,[1]!TOX,25,FALSE)))+('S-1 Assumptions'!$L$68*(VLOOKUP(A91,[1]!TOX,27,FALSE))))*3))+(((('S-1 Assumptions'!$K$32*(VLOOKUP(A91,[1]!TOX,25,FALSE)))+('S-1 Assumptions'!$L$69*(VLOOKUP(A91,[1]!TOX,27,FALSE))))*3))+(((('S-1 Assumptions'!$K$33*(VLOOKUP(A91,[1]!TOX,25,FALSE)))+('S-1 Assumptions'!$L$70)*(VLOOKUP(A91,[1]!TOX,27,FALSE))))*1)))*(VLOOKUP(A91,[1]!TOX,12,FALSE))),0))</f>
        <v>0</v>
      </c>
      <c r="E91" s="162">
        <f>IF(ISERR(1/(VLOOKUP(A91,[1]!TOX,25,FALSE))),0,IF(VLOOKUP(A91,[1]!TOX,36,FALSE)="M",'[1]Target Risk'!$D$12/((((((('S-1 Assumptions'!$K$30*(VLOOKUP(A91,[1]!TOX,25,FALSE)))+('S-1 Assumptions'!$L$67*(VLOOKUP(A91,[1]!TOX,27,FALSE))))*10))+(((('S-1 Assumptions'!$K$31*(VLOOKUP(A91,[1]!TOX,25,FALSE)))+('S-1 Assumptions'!$L$68*(VLOOKUP(A91,[1]!TOX,27,FALSE))))*3))+(((('S-1 Assumptions'!$K$32*(VLOOKUP(A91,[1]!TOX,25,FALSE)))+('S-1 Assumptions'!$L$69*(VLOOKUP(A91,[1]!TOX,27,FALSE))))*3))+(((('S-1 Assumptions'!$K$33*(VLOOKUP(A91,[1]!TOX,25,FALSE)))+('S-1 Assumptions'!$L$70)*(VLOOKUP(A91,[1]!TOX,27,FALSE))))*1)))*(VLOOKUP(A91,[1]!TOX,12,FALSE))),('[1]Target Risk'!$D$12/((('S-1 Assumptions'!$K$26*(VLOOKUP(A91,[1]!TOX,25,FALSE)))+('S-1 Assumptions'!$L$59*(VLOOKUP(A91,[1]!TOX,27,FALSE))))*(VLOOKUP(A91,[1]!TOX,12,FALSE))))))</f>
        <v>0</v>
      </c>
      <c r="F91" s="308">
        <f>IF(B91=0,MIN(E91,(VLOOKUP(A91,[1]!TOX,71,FALSE))),IF(E91=0,MIN(B91,(VLOOKUP(A91,[1]!TOX,71,FALSE))),MIN(B91,E91,(VLOOKUP(A91,[1]!TOX,71,FALSE)))))</f>
        <v>0.25132747923654913</v>
      </c>
      <c r="G91" s="162" t="str">
        <f>IF(F91=B91,"Noncancer Risk",IF(F91=E91,"Cancer Risk",(VLOOKUP(A91,[1]!TOX,72,FALSE))))</f>
        <v>Noncancer Risk</v>
      </c>
      <c r="H91" s="309">
        <f>MAX(F91,(VLOOKUP(A91,[1]!TOX,50,FALSE)),(VLOOKUP(A91,[1]!TOX,39,FALSE)))</f>
        <v>0.25132747923654913</v>
      </c>
      <c r="I91" s="310">
        <f t="shared" si="2"/>
        <v>0.3</v>
      </c>
      <c r="J91" s="165" t="str">
        <f>IF(H91=0,"Not Calculated",IF(H91=F91,G91,IF(H91=(VLOOKUP(A91,[1]!TOX,39,FALSE)),"Background","PQL")))</f>
        <v>Noncancer Risk</v>
      </c>
    </row>
    <row r="92" spans="1:10" ht="20" x14ac:dyDescent="0.25">
      <c r="A92" s="50" t="s">
        <v>329</v>
      </c>
      <c r="B92" s="160">
        <f>IF(ISERR(1/+(VLOOKUP(A92,[1]!TOX,17,FALSE))),0,'[1]Target Risk'!$D$8*(VLOOKUP(A92,[1]!TOX,4,FALSE))/(('S-1 Assumptions'!$K$18*(VLOOKUP(A92,[1]!TOX,17,FALSE)))+('S-1 Assumptions'!$L$51*(VLOOKUP(A92,[1]!TOX,19,FALSE)))))</f>
        <v>0.25132747923654913</v>
      </c>
      <c r="C92" s="161">
        <f>IF(ISERR(1/(VLOOKUP(A92,[1]!TOX,25,FALSE))),0, '[1]Target Risk'!$D$12/((('S-1 Assumptions'!$K$26*(VLOOKUP(A92,[1]!TOX,25,FALSE)))+('S-1 Assumptions'!$L$59*(VLOOKUP(A92,[1]!TOX,27,FALSE))))*(VLOOKUP(A92,[1]!TOX,12,FALSE))))</f>
        <v>0</v>
      </c>
      <c r="D92" s="161">
        <f>IF(ISERR(1/(VLOOKUP(A92,[1]!TOX,25,FALSE))),0,IF(VLOOKUP(A92,[1]!TOX,36,FALSE)="M",'[1]Target Risk'!$D$12/((((((('S-1 Assumptions'!$K$30*(VLOOKUP(A92,[1]!TOX,25,FALSE)))+('S-1 Assumptions'!$L$67*(VLOOKUP(A92,[1]!TOX,27,FALSE))))*10))+(((('S-1 Assumptions'!$K$31*(VLOOKUP(A92,[1]!TOX,25,FALSE)))+('S-1 Assumptions'!$L$68*(VLOOKUP(A92,[1]!TOX,27,FALSE))))*3))+(((('S-1 Assumptions'!$K$32*(VLOOKUP(A92,[1]!TOX,25,FALSE)))+('S-1 Assumptions'!$L$69*(VLOOKUP(A92,[1]!TOX,27,FALSE))))*3))+(((('S-1 Assumptions'!$K$33*(VLOOKUP(A92,[1]!TOX,25,FALSE)))+('S-1 Assumptions'!$L$70)*(VLOOKUP(A92,[1]!TOX,27,FALSE))))*1)))*(VLOOKUP(A92,[1]!TOX,12,FALSE))),0))</f>
        <v>0</v>
      </c>
      <c r="E92" s="162">
        <f>IF(ISERR(1/(VLOOKUP(A92,[1]!TOX,25,FALSE))),0,IF(VLOOKUP(A92,[1]!TOX,36,FALSE)="M",'[1]Target Risk'!$D$12/((((((('S-1 Assumptions'!$K$30*(VLOOKUP(A92,[1]!TOX,25,FALSE)))+('S-1 Assumptions'!$L$67*(VLOOKUP(A92,[1]!TOX,27,FALSE))))*10))+(((('S-1 Assumptions'!$K$31*(VLOOKUP(A92,[1]!TOX,25,FALSE)))+('S-1 Assumptions'!$L$68*(VLOOKUP(A92,[1]!TOX,27,FALSE))))*3))+(((('S-1 Assumptions'!$K$32*(VLOOKUP(A92,[1]!TOX,25,FALSE)))+('S-1 Assumptions'!$L$69*(VLOOKUP(A92,[1]!TOX,27,FALSE))))*3))+(((('S-1 Assumptions'!$K$33*(VLOOKUP(A92,[1]!TOX,25,FALSE)))+('S-1 Assumptions'!$L$70)*(VLOOKUP(A92,[1]!TOX,27,FALSE))))*1)))*(VLOOKUP(A92,[1]!TOX,12,FALSE))),('[1]Target Risk'!$D$12/((('S-1 Assumptions'!$K$26*(VLOOKUP(A92,[1]!TOX,25,FALSE)))+('S-1 Assumptions'!$L$59*(VLOOKUP(A92,[1]!TOX,27,FALSE))))*(VLOOKUP(A92,[1]!TOX,12,FALSE))))))</f>
        <v>0</v>
      </c>
      <c r="F92" s="308">
        <f>IF(B92=0,MIN(E92,(VLOOKUP(A92,[1]!TOX,71,FALSE))),IF(E92=0,MIN(B92,(VLOOKUP(A92,[1]!TOX,71,FALSE))),MIN(B92,E92,(VLOOKUP(A92,[1]!TOX,71,FALSE)))))</f>
        <v>0.25132747923654913</v>
      </c>
      <c r="G92" s="162" t="str">
        <f>IF(F92=B92,"Noncancer Risk",IF(F92=E92,"Cancer Risk",(VLOOKUP(A92,[1]!TOX,72,FALSE))))</f>
        <v>Noncancer Risk</v>
      </c>
      <c r="H92" s="309">
        <f>MAX(F92,(VLOOKUP(A92,[1]!TOX,50,FALSE)),(VLOOKUP(A92,[1]!TOX,39,FALSE)))</f>
        <v>0.25132747923654913</v>
      </c>
      <c r="I92" s="310">
        <f t="shared" si="2"/>
        <v>0.3</v>
      </c>
      <c r="J92" s="165" t="str">
        <f>IF(H92=0,"Not Calculated",IF(H92=F92,G92,IF(H92=(VLOOKUP(A92,[1]!TOX,39,FALSE)),"Background","PQL")))</f>
        <v>Noncancer Risk</v>
      </c>
    </row>
    <row r="93" spans="1:10" ht="20" x14ac:dyDescent="0.25">
      <c r="A93" s="50" t="s">
        <v>299</v>
      </c>
      <c r="B93" s="160">
        <f>IF(ISERR(1/+(VLOOKUP(A93,[1]!TOX,17,FALSE))),0,'[1]Target Risk'!$D$8*(VLOOKUP(A93,[1]!TOX,4,FALSE))/(('S-1 Assumptions'!$K$18*(VLOOKUP(A93,[1]!TOX,17,FALSE)))+('S-1 Assumptions'!$L$51*(VLOOKUP(A93,[1]!TOX,19,FALSE)))))</f>
        <v>0.25132747923654913</v>
      </c>
      <c r="C93" s="161">
        <f>IF(ISERR(1/(VLOOKUP(A93,[1]!TOX,25,FALSE))),0, '[1]Target Risk'!$D$12/((('S-1 Assumptions'!$K$26*(VLOOKUP(A93,[1]!TOX,25,FALSE)))+('S-1 Assumptions'!$L$59*(VLOOKUP(A93,[1]!TOX,27,FALSE))))*(VLOOKUP(A93,[1]!TOX,12,FALSE))))</f>
        <v>0</v>
      </c>
      <c r="D93" s="161">
        <f>IF(ISERR(1/(VLOOKUP(A93,[1]!TOX,25,FALSE))),0,IF(VLOOKUP(A93,[1]!TOX,36,FALSE)="M",'[1]Target Risk'!$D$12/((((((('S-1 Assumptions'!$K$30*(VLOOKUP(A93,[1]!TOX,25,FALSE)))+('S-1 Assumptions'!$L$67*(VLOOKUP(A93,[1]!TOX,27,FALSE))))*10))+(((('S-1 Assumptions'!$K$31*(VLOOKUP(A93,[1]!TOX,25,FALSE)))+('S-1 Assumptions'!$L$68*(VLOOKUP(A93,[1]!TOX,27,FALSE))))*3))+(((('S-1 Assumptions'!$K$32*(VLOOKUP(A93,[1]!TOX,25,FALSE)))+('S-1 Assumptions'!$L$69*(VLOOKUP(A93,[1]!TOX,27,FALSE))))*3))+(((('S-1 Assumptions'!$K$33*(VLOOKUP(A93,[1]!TOX,25,FALSE)))+('S-1 Assumptions'!$L$70)*(VLOOKUP(A93,[1]!TOX,27,FALSE))))*1)))*(VLOOKUP(A93,[1]!TOX,12,FALSE))),0))</f>
        <v>0</v>
      </c>
      <c r="E93" s="162">
        <f>IF(ISERR(1/(VLOOKUP(A93,[1]!TOX,25,FALSE))),0,IF(VLOOKUP(A93,[1]!TOX,36,FALSE)="M",'[1]Target Risk'!$D$12/((((((('S-1 Assumptions'!$K$30*(VLOOKUP(A93,[1]!TOX,25,FALSE)))+('S-1 Assumptions'!$L$67*(VLOOKUP(A93,[1]!TOX,27,FALSE))))*10))+(((('S-1 Assumptions'!$K$31*(VLOOKUP(A93,[1]!TOX,25,FALSE)))+('S-1 Assumptions'!$L$68*(VLOOKUP(A93,[1]!TOX,27,FALSE))))*3))+(((('S-1 Assumptions'!$K$32*(VLOOKUP(A93,[1]!TOX,25,FALSE)))+('S-1 Assumptions'!$L$69*(VLOOKUP(A93,[1]!TOX,27,FALSE))))*3))+(((('S-1 Assumptions'!$K$33*(VLOOKUP(A93,[1]!TOX,25,FALSE)))+('S-1 Assumptions'!$L$70)*(VLOOKUP(A93,[1]!TOX,27,FALSE))))*1)))*(VLOOKUP(A93,[1]!TOX,12,FALSE))),('[1]Target Risk'!$D$12/((('S-1 Assumptions'!$K$26*(VLOOKUP(A93,[1]!TOX,25,FALSE)))+('S-1 Assumptions'!$L$59*(VLOOKUP(A93,[1]!TOX,27,FALSE))))*(VLOOKUP(A93,[1]!TOX,12,FALSE))))))</f>
        <v>0</v>
      </c>
      <c r="F93" s="308">
        <f>IF(B93=0,MIN(E93,(VLOOKUP(A93,[1]!TOX,71,FALSE))),IF(E93=0,MIN(B93,(VLOOKUP(A93,[1]!TOX,71,FALSE))),MIN(B93,E93,(VLOOKUP(A93,[1]!TOX,71,FALSE)))))</f>
        <v>0.25132747923654913</v>
      </c>
      <c r="G93" s="162" t="str">
        <f>IF(F93=B93,"Noncancer Risk",IF(F93=E93,"Cancer Risk",(VLOOKUP(A93,[1]!TOX,72,FALSE))))</f>
        <v>Noncancer Risk</v>
      </c>
      <c r="H93" s="309">
        <f>MAX(F93,(VLOOKUP(A93,[1]!TOX,50,FALSE)),(VLOOKUP(A93,[1]!TOX,39,FALSE)))</f>
        <v>0.25132747923654913</v>
      </c>
      <c r="I93" s="310">
        <f t="shared" si="2"/>
        <v>0.3</v>
      </c>
      <c r="J93" s="165" t="str">
        <f>IF(H93=0,"Not Calculated",IF(H93=F93,G93,IF(H93=(VLOOKUP(A93,[1]!TOX,39,FALSE)),"Background","PQL")))</f>
        <v>Noncancer Risk</v>
      </c>
    </row>
    <row r="94" spans="1:10" ht="20" x14ac:dyDescent="0.25">
      <c r="A94" s="50" t="s">
        <v>300</v>
      </c>
      <c r="B94" s="160">
        <f>IF(ISERR(1/+(VLOOKUP(A94,[1]!TOX,17,FALSE))),0,'[1]Target Risk'!$D$8*(VLOOKUP(A94,[1]!TOX,4,FALSE))/(('S-1 Assumptions'!$K$18*(VLOOKUP(A94,[1]!TOX,17,FALSE)))+('S-1 Assumptions'!$L$51*(VLOOKUP(A94,[1]!TOX,19,FALSE)))))</f>
        <v>0.25132747923654913</v>
      </c>
      <c r="C94" s="161">
        <f>IF(ISERR(1/(VLOOKUP(A94,[1]!TOX,25,FALSE))),0, '[1]Target Risk'!$D$12/((('S-1 Assumptions'!$K$26*(VLOOKUP(A94,[1]!TOX,25,FALSE)))+('S-1 Assumptions'!$L$59*(VLOOKUP(A94,[1]!TOX,27,FALSE))))*(VLOOKUP(A94,[1]!TOX,12,FALSE))))</f>
        <v>0</v>
      </c>
      <c r="D94" s="161">
        <f>IF(ISERR(1/(VLOOKUP(A94,[1]!TOX,25,FALSE))),0,IF(VLOOKUP(A94,[1]!TOX,36,FALSE)="M",'[1]Target Risk'!$D$12/((((((('S-1 Assumptions'!$K$30*(VLOOKUP(A94,[1]!TOX,25,FALSE)))+('S-1 Assumptions'!$L$67*(VLOOKUP(A94,[1]!TOX,27,FALSE))))*10))+(((('S-1 Assumptions'!$K$31*(VLOOKUP(A94,[1]!TOX,25,FALSE)))+('S-1 Assumptions'!$L$68*(VLOOKUP(A94,[1]!TOX,27,FALSE))))*3))+(((('S-1 Assumptions'!$K$32*(VLOOKUP(A94,[1]!TOX,25,FALSE)))+('S-1 Assumptions'!$L$69*(VLOOKUP(A94,[1]!TOX,27,FALSE))))*3))+(((('S-1 Assumptions'!$K$33*(VLOOKUP(A94,[1]!TOX,25,FALSE)))+('S-1 Assumptions'!$L$70)*(VLOOKUP(A94,[1]!TOX,27,FALSE))))*1)))*(VLOOKUP(A94,[1]!TOX,12,FALSE))),0))</f>
        <v>0</v>
      </c>
      <c r="E94" s="162">
        <f>IF(ISERR(1/(VLOOKUP(A94,[1]!TOX,25,FALSE))),0,IF(VLOOKUP(A94,[1]!TOX,36,FALSE)="M",'[1]Target Risk'!$D$12/((((((('S-1 Assumptions'!$K$30*(VLOOKUP(A94,[1]!TOX,25,FALSE)))+('S-1 Assumptions'!$L$67*(VLOOKUP(A94,[1]!TOX,27,FALSE))))*10))+(((('S-1 Assumptions'!$K$31*(VLOOKUP(A94,[1]!TOX,25,FALSE)))+('S-1 Assumptions'!$L$68*(VLOOKUP(A94,[1]!TOX,27,FALSE))))*3))+(((('S-1 Assumptions'!$K$32*(VLOOKUP(A94,[1]!TOX,25,FALSE)))+('S-1 Assumptions'!$L$69*(VLOOKUP(A94,[1]!TOX,27,FALSE))))*3))+(((('S-1 Assumptions'!$K$33*(VLOOKUP(A94,[1]!TOX,25,FALSE)))+('S-1 Assumptions'!$L$70)*(VLOOKUP(A94,[1]!TOX,27,FALSE))))*1)))*(VLOOKUP(A94,[1]!TOX,12,FALSE))),('[1]Target Risk'!$D$12/((('S-1 Assumptions'!$K$26*(VLOOKUP(A94,[1]!TOX,25,FALSE)))+('S-1 Assumptions'!$L$59*(VLOOKUP(A94,[1]!TOX,27,FALSE))))*(VLOOKUP(A94,[1]!TOX,12,FALSE))))))</f>
        <v>0</v>
      </c>
      <c r="F94" s="308">
        <f>IF(B94=0,MIN(E94,(VLOOKUP(A94,[1]!TOX,71,FALSE))),IF(E94=0,MIN(B94,(VLOOKUP(A94,[1]!TOX,71,FALSE))),MIN(B94,E94,(VLOOKUP(A94,[1]!TOX,71,FALSE)))))</f>
        <v>0.25132747923654913</v>
      </c>
      <c r="G94" s="162" t="str">
        <f>IF(F94=B94,"Noncancer Risk",IF(F94=E94,"Cancer Risk",(VLOOKUP(A94,[1]!TOX,72,FALSE))))</f>
        <v>Noncancer Risk</v>
      </c>
      <c r="H94" s="309">
        <f>MAX(F94,(VLOOKUP(A94,[1]!TOX,50,FALSE)),(VLOOKUP(A94,[1]!TOX,39,FALSE)))</f>
        <v>0.25132747923654913</v>
      </c>
      <c r="I94" s="310">
        <f t="shared" si="2"/>
        <v>0.3</v>
      </c>
      <c r="J94" s="165" t="str">
        <f>IF(H94=0,"Not Calculated",IF(H94=F94,G94,IF(H94=(VLOOKUP(A94,[1]!TOX,39,FALSE)),"Background","PQL")))</f>
        <v>Noncancer Risk</v>
      </c>
    </row>
    <row r="95" spans="1:10" ht="20" x14ac:dyDescent="0.25">
      <c r="A95" s="50" t="s">
        <v>298</v>
      </c>
      <c r="B95" s="160">
        <f>IF(ISERR(1/+(VLOOKUP(A95,[1]!TOX,17,FALSE))),0,'[1]Target Risk'!$D$8*(VLOOKUP(A95,[1]!TOX,4,FALSE))/(('S-1 Assumptions'!$K$18*(VLOOKUP(A95,[1]!TOX,17,FALSE)))+('S-1 Assumptions'!$L$51*(VLOOKUP(A95,[1]!TOX,19,FALSE)))))</f>
        <v>0.25132747923654913</v>
      </c>
      <c r="C95" s="161">
        <f>IF(ISERR(1/(VLOOKUP(A95,[1]!TOX,25,FALSE))),0, '[1]Target Risk'!$D$12/((('S-1 Assumptions'!$K$26*(VLOOKUP(A95,[1]!TOX,25,FALSE)))+('S-1 Assumptions'!$L$59*(VLOOKUP(A95,[1]!TOX,27,FALSE))))*(VLOOKUP(A95,[1]!TOX,12,FALSE))))</f>
        <v>0</v>
      </c>
      <c r="D95" s="161">
        <f>IF(ISERR(1/(VLOOKUP(A95,[1]!TOX,25,FALSE))),0,IF(VLOOKUP(A95,[1]!TOX,36,FALSE)="M",'[1]Target Risk'!$D$12/((((((('S-1 Assumptions'!$K$30*(VLOOKUP(A95,[1]!TOX,25,FALSE)))+('S-1 Assumptions'!$L$67*(VLOOKUP(A95,[1]!TOX,27,FALSE))))*10))+(((('S-1 Assumptions'!$K$31*(VLOOKUP(A95,[1]!TOX,25,FALSE)))+('S-1 Assumptions'!$L$68*(VLOOKUP(A95,[1]!TOX,27,FALSE))))*3))+(((('S-1 Assumptions'!$K$32*(VLOOKUP(A95,[1]!TOX,25,FALSE)))+('S-1 Assumptions'!$L$69*(VLOOKUP(A95,[1]!TOX,27,FALSE))))*3))+(((('S-1 Assumptions'!$K$33*(VLOOKUP(A95,[1]!TOX,25,FALSE)))+('S-1 Assumptions'!$L$70)*(VLOOKUP(A95,[1]!TOX,27,FALSE))))*1)))*(VLOOKUP(A95,[1]!TOX,12,FALSE))),0))</f>
        <v>0</v>
      </c>
      <c r="E95" s="162">
        <f>IF(ISERR(1/(VLOOKUP(A95,[1]!TOX,25,FALSE))),0,IF(VLOOKUP(A95,[1]!TOX,36,FALSE)="M",'[1]Target Risk'!$D$12/((((((('S-1 Assumptions'!$K$30*(VLOOKUP(A95,[1]!TOX,25,FALSE)))+('S-1 Assumptions'!$L$67*(VLOOKUP(A95,[1]!TOX,27,FALSE))))*10))+(((('S-1 Assumptions'!$K$31*(VLOOKUP(A95,[1]!TOX,25,FALSE)))+('S-1 Assumptions'!$L$68*(VLOOKUP(A95,[1]!TOX,27,FALSE))))*3))+(((('S-1 Assumptions'!$K$32*(VLOOKUP(A95,[1]!TOX,25,FALSE)))+('S-1 Assumptions'!$L$69*(VLOOKUP(A95,[1]!TOX,27,FALSE))))*3))+(((('S-1 Assumptions'!$K$33*(VLOOKUP(A95,[1]!TOX,25,FALSE)))+('S-1 Assumptions'!$L$70)*(VLOOKUP(A95,[1]!TOX,27,FALSE))))*1)))*(VLOOKUP(A95,[1]!TOX,12,FALSE))),('[1]Target Risk'!$D$12/((('S-1 Assumptions'!$K$26*(VLOOKUP(A95,[1]!TOX,25,FALSE)))+('S-1 Assumptions'!$L$59*(VLOOKUP(A95,[1]!TOX,27,FALSE))))*(VLOOKUP(A95,[1]!TOX,12,FALSE))))))</f>
        <v>0</v>
      </c>
      <c r="F95" s="308">
        <f>IF(B95=0,MIN(E95,(VLOOKUP(A95,[1]!TOX,71,FALSE))),IF(E95=0,MIN(B95,(VLOOKUP(A95,[1]!TOX,71,FALSE))),MIN(B95,E95,(VLOOKUP(A95,[1]!TOX,71,FALSE)))))</f>
        <v>0.25132747923654913</v>
      </c>
      <c r="G95" s="162" t="str">
        <f>IF(F95=B95,"Noncancer Risk",IF(F95=E95,"Cancer Risk",(VLOOKUP(A95,[1]!TOX,72,FALSE))))</f>
        <v>Noncancer Risk</v>
      </c>
      <c r="H95" s="309">
        <f>MAX(F95,(VLOOKUP(A95,[1]!TOX,50,FALSE)),(VLOOKUP(A95,[1]!TOX,39,FALSE)))</f>
        <v>0.25132747923654913</v>
      </c>
      <c r="I95" s="310">
        <f t="shared" si="2"/>
        <v>0.3</v>
      </c>
      <c r="J95" s="165" t="str">
        <f>IF(H95=0,"Not Calculated",IF(H95=F95,G95,IF(H95=(VLOOKUP(A95,[1]!TOX,39,FALSE)),"Background","PQL")))</f>
        <v>Noncancer Risk</v>
      </c>
    </row>
    <row r="96" spans="1:10" ht="20" x14ac:dyDescent="0.25">
      <c r="A96" s="50" t="s">
        <v>325</v>
      </c>
      <c r="B96" s="160">
        <f>IF(ISERR(1/+(VLOOKUP(A96,[1]!TOX,17,FALSE))),0,'[1]Target Risk'!$D$8*(VLOOKUP(A96,[1]!TOX,4,FALSE))/(('S-1 Assumptions'!$K$18*(VLOOKUP(A96,[1]!TOX,17,FALSE)))+('S-1 Assumptions'!$L$51*(VLOOKUP(A96,[1]!TOX,19,FALSE)))))</f>
        <v>0.25132747923654913</v>
      </c>
      <c r="C96" s="161">
        <f>IF(ISERR(1/(VLOOKUP(A96,[1]!TOX,25,FALSE))),0, '[1]Target Risk'!$D$12/((('S-1 Assumptions'!$K$26*(VLOOKUP(A96,[1]!TOX,25,FALSE)))+('S-1 Assumptions'!$L$59*(VLOOKUP(A96,[1]!TOX,27,FALSE))))*(VLOOKUP(A96,[1]!TOX,12,FALSE))))</f>
        <v>0</v>
      </c>
      <c r="D96" s="161">
        <f>IF(ISERR(1/(VLOOKUP(A96,[1]!TOX,25,FALSE))),0,IF(VLOOKUP(A96,[1]!TOX,36,FALSE)="M",'[1]Target Risk'!$D$12/((((((('S-1 Assumptions'!$K$30*(VLOOKUP(A96,[1]!TOX,25,FALSE)))+('S-1 Assumptions'!$L$67*(VLOOKUP(A96,[1]!TOX,27,FALSE))))*10))+(((('S-1 Assumptions'!$K$31*(VLOOKUP(A96,[1]!TOX,25,FALSE)))+('S-1 Assumptions'!$L$68*(VLOOKUP(A96,[1]!TOX,27,FALSE))))*3))+(((('S-1 Assumptions'!$K$32*(VLOOKUP(A96,[1]!TOX,25,FALSE)))+('S-1 Assumptions'!$L$69*(VLOOKUP(A96,[1]!TOX,27,FALSE))))*3))+(((('S-1 Assumptions'!$K$33*(VLOOKUP(A96,[1]!TOX,25,FALSE)))+('S-1 Assumptions'!$L$70)*(VLOOKUP(A96,[1]!TOX,27,FALSE))))*1)))*(VLOOKUP(A96,[1]!TOX,12,FALSE))),0))</f>
        <v>0</v>
      </c>
      <c r="E96" s="162">
        <f>IF(ISERR(1/(VLOOKUP(A96,[1]!TOX,25,FALSE))),0,IF(VLOOKUP(A96,[1]!TOX,36,FALSE)="M",'[1]Target Risk'!$D$12/((((((('S-1 Assumptions'!$K$30*(VLOOKUP(A96,[1]!TOX,25,FALSE)))+('S-1 Assumptions'!$L$67*(VLOOKUP(A96,[1]!TOX,27,FALSE))))*10))+(((('S-1 Assumptions'!$K$31*(VLOOKUP(A96,[1]!TOX,25,FALSE)))+('S-1 Assumptions'!$L$68*(VLOOKUP(A96,[1]!TOX,27,FALSE))))*3))+(((('S-1 Assumptions'!$K$32*(VLOOKUP(A96,[1]!TOX,25,FALSE)))+('S-1 Assumptions'!$L$69*(VLOOKUP(A96,[1]!TOX,27,FALSE))))*3))+(((('S-1 Assumptions'!$K$33*(VLOOKUP(A96,[1]!TOX,25,FALSE)))+('S-1 Assumptions'!$L$70)*(VLOOKUP(A96,[1]!TOX,27,FALSE))))*1)))*(VLOOKUP(A96,[1]!TOX,12,FALSE))),('[1]Target Risk'!$D$12/((('S-1 Assumptions'!$K$26*(VLOOKUP(A96,[1]!TOX,25,FALSE)))+('S-1 Assumptions'!$L$59*(VLOOKUP(A96,[1]!TOX,27,FALSE))))*(VLOOKUP(A96,[1]!TOX,12,FALSE))))))</f>
        <v>0</v>
      </c>
      <c r="F96" s="308">
        <f>IF(B96=0,MIN(E96,(VLOOKUP(A96,[1]!TOX,71,FALSE))),IF(E96=0,MIN(B96,(VLOOKUP(A96,[1]!TOX,71,FALSE))),MIN(B96,E96,(VLOOKUP(A96,[1]!TOX,71,FALSE)))))</f>
        <v>0.25132747923654913</v>
      </c>
      <c r="G96" s="162" t="str">
        <f>IF(F96=B96,"Noncancer Risk",IF(F96=E96,"Cancer Risk",(VLOOKUP(A96,[1]!TOX,72,FALSE))))</f>
        <v>Noncancer Risk</v>
      </c>
      <c r="H96" s="309">
        <f>MAX(F96,(VLOOKUP(A96,[1]!TOX,50,FALSE)),(VLOOKUP(A96,[1]!TOX,39,FALSE)))</f>
        <v>0.25132747923654913</v>
      </c>
      <c r="I96" s="310">
        <f t="shared" si="2"/>
        <v>0.3</v>
      </c>
      <c r="J96" s="165" t="str">
        <f>IF(H96=0,"Not Calculated",IF(H96=F96,G96,IF(H96=(VLOOKUP(A96,[1]!TOX,39,FALSE)),"Background","PQL")))</f>
        <v>Noncancer Risk</v>
      </c>
    </row>
    <row r="97" spans="1:10" ht="20" x14ac:dyDescent="0.25">
      <c r="A97" s="50" t="s">
        <v>301</v>
      </c>
      <c r="B97" s="160">
        <f>IF(ISERR(1/+(VLOOKUP(A97,[1]!TOX,17,FALSE))),0,'[1]Target Risk'!$D$8*(VLOOKUP(A97,[1]!TOX,4,FALSE))/(('S-1 Assumptions'!$K$18*(VLOOKUP(A97,[1]!TOX,17,FALSE)))+('S-1 Assumptions'!$L$51*(VLOOKUP(A97,[1]!TOX,19,FALSE)))))</f>
        <v>0.25132747923654913</v>
      </c>
      <c r="C97" s="161">
        <f>IF(ISERR(1/(VLOOKUP(A97,[1]!TOX,25,FALSE))),0, '[1]Target Risk'!$D$12/((('S-1 Assumptions'!$K$26*(VLOOKUP(A97,[1]!TOX,25,FALSE)))+('S-1 Assumptions'!$L$59*(VLOOKUP(A97,[1]!TOX,27,FALSE))))*(VLOOKUP(A97,[1]!TOX,12,FALSE))))</f>
        <v>0</v>
      </c>
      <c r="D97" s="161">
        <f>IF(ISERR(1/(VLOOKUP(A97,[1]!TOX,25,FALSE))),0,IF(VLOOKUP(A97,[1]!TOX,36,FALSE)="M",'[1]Target Risk'!$D$12/((((((('S-1 Assumptions'!$K$30*(VLOOKUP(A97,[1]!TOX,25,FALSE)))+('S-1 Assumptions'!$L$67*(VLOOKUP(A97,[1]!TOX,27,FALSE))))*10))+(((('S-1 Assumptions'!$K$31*(VLOOKUP(A97,[1]!TOX,25,FALSE)))+('S-1 Assumptions'!$L$68*(VLOOKUP(A97,[1]!TOX,27,FALSE))))*3))+(((('S-1 Assumptions'!$K$32*(VLOOKUP(A97,[1]!TOX,25,FALSE)))+('S-1 Assumptions'!$L$69*(VLOOKUP(A97,[1]!TOX,27,FALSE))))*3))+(((('S-1 Assumptions'!$K$33*(VLOOKUP(A97,[1]!TOX,25,FALSE)))+('S-1 Assumptions'!$L$70)*(VLOOKUP(A97,[1]!TOX,27,FALSE))))*1)))*(VLOOKUP(A97,[1]!TOX,12,FALSE))),0))</f>
        <v>0</v>
      </c>
      <c r="E97" s="162">
        <f>IF(ISERR(1/(VLOOKUP(A97,[1]!TOX,25,FALSE))),0,IF(VLOOKUP(A97,[1]!TOX,36,FALSE)="M",'[1]Target Risk'!$D$12/((((((('S-1 Assumptions'!$K$30*(VLOOKUP(A97,[1]!TOX,25,FALSE)))+('S-1 Assumptions'!$L$67*(VLOOKUP(A97,[1]!TOX,27,FALSE))))*10))+(((('S-1 Assumptions'!$K$31*(VLOOKUP(A97,[1]!TOX,25,FALSE)))+('S-1 Assumptions'!$L$68*(VLOOKUP(A97,[1]!TOX,27,FALSE))))*3))+(((('S-1 Assumptions'!$K$32*(VLOOKUP(A97,[1]!TOX,25,FALSE)))+('S-1 Assumptions'!$L$69*(VLOOKUP(A97,[1]!TOX,27,FALSE))))*3))+(((('S-1 Assumptions'!$K$33*(VLOOKUP(A97,[1]!TOX,25,FALSE)))+('S-1 Assumptions'!$L$70)*(VLOOKUP(A97,[1]!TOX,27,FALSE))))*1)))*(VLOOKUP(A97,[1]!TOX,12,FALSE))),('[1]Target Risk'!$D$12/((('S-1 Assumptions'!$K$26*(VLOOKUP(A97,[1]!TOX,25,FALSE)))+('S-1 Assumptions'!$L$59*(VLOOKUP(A97,[1]!TOX,27,FALSE))))*(VLOOKUP(A97,[1]!TOX,12,FALSE))))))</f>
        <v>0</v>
      </c>
      <c r="F97" s="308">
        <f>IF(B97=0,MIN(E97,(VLOOKUP(A97,[1]!TOX,71,FALSE))),IF(E97=0,MIN(B97,(VLOOKUP(A97,[1]!TOX,71,FALSE))),MIN(B97,E97,(VLOOKUP(A97,[1]!TOX,71,FALSE)))))</f>
        <v>0.25132747923654913</v>
      </c>
      <c r="G97" s="162" t="str">
        <f>IF(F97=B97,"Noncancer Risk",IF(F97=E97,"Cancer Risk",(VLOOKUP(A97,[1]!TOX,72,FALSE))))</f>
        <v>Noncancer Risk</v>
      </c>
      <c r="H97" s="309">
        <f>MAX(F97,(VLOOKUP(A97,[1]!TOX,50,FALSE)),(VLOOKUP(A97,[1]!TOX,39,FALSE)))</f>
        <v>0.25132747923654913</v>
      </c>
      <c r="I97" s="310">
        <f t="shared" si="2"/>
        <v>0.3</v>
      </c>
      <c r="J97" s="165" t="str">
        <f>IF(H97=0,"Not Calculated",IF(H97=F97,G97,IF(H97=(VLOOKUP(A97,[1]!TOX,39,FALSE)),"Background","PQL")))</f>
        <v>Noncancer Risk</v>
      </c>
    </row>
    <row r="98" spans="1:10" ht="12.5" x14ac:dyDescent="0.25">
      <c r="A98" s="50" t="s">
        <v>288</v>
      </c>
      <c r="B98" s="160">
        <f>IF(ISERR(1/+(VLOOKUP(A98,[1]!TOX,17,FALSE))),0,'[1]Target Risk'!$D$8*(VLOOKUP(A98,[1]!TOX,4,FALSE))/(('S-1 Assumptions'!$K$18*(VLOOKUP(A98,[1]!TOX,17,FALSE)))+('S-1 Assumptions'!$L$51*(VLOOKUP(A98,[1]!TOX,19,FALSE)))))</f>
        <v>3.5185847093116878</v>
      </c>
      <c r="C98" s="161">
        <f>IF(ISERR(1/(VLOOKUP(A98,[1]!TOX,25,FALSE))),0, '[1]Target Risk'!$D$12/((('S-1 Assumptions'!$K$26*(VLOOKUP(A98,[1]!TOX,25,FALSE)))+('S-1 Assumptions'!$L$59*(VLOOKUP(A98,[1]!TOX,27,FALSE))))*(VLOOKUP(A98,[1]!TOX,12,FALSE))))</f>
        <v>0</v>
      </c>
      <c r="D98" s="161">
        <f>IF(ISERR(1/(VLOOKUP(A98,[1]!TOX,25,FALSE))),0,IF(VLOOKUP(A98,[1]!TOX,36,FALSE)="M",'[1]Target Risk'!$D$12/((((((('S-1 Assumptions'!$K$30*(VLOOKUP(A98,[1]!TOX,25,FALSE)))+('S-1 Assumptions'!$L$67*(VLOOKUP(A98,[1]!TOX,27,FALSE))))*10))+(((('S-1 Assumptions'!$K$31*(VLOOKUP(A98,[1]!TOX,25,FALSE)))+('S-1 Assumptions'!$L$68*(VLOOKUP(A98,[1]!TOX,27,FALSE))))*3))+(((('S-1 Assumptions'!$K$32*(VLOOKUP(A98,[1]!TOX,25,FALSE)))+('S-1 Assumptions'!$L$69*(VLOOKUP(A98,[1]!TOX,27,FALSE))))*3))+(((('S-1 Assumptions'!$K$33*(VLOOKUP(A98,[1]!TOX,25,FALSE)))+('S-1 Assumptions'!$L$70)*(VLOOKUP(A98,[1]!TOX,27,FALSE))))*1)))*(VLOOKUP(A98,[1]!TOX,12,FALSE))),0))</f>
        <v>0</v>
      </c>
      <c r="E98" s="162">
        <f>IF(ISERR(1/(VLOOKUP(A98,[1]!TOX,25,FALSE))),0,IF(VLOOKUP(A98,[1]!TOX,36,FALSE)="M",'[1]Target Risk'!$D$12/((((((('S-1 Assumptions'!$K$30*(VLOOKUP(A98,[1]!TOX,25,FALSE)))+('S-1 Assumptions'!$L$67*(VLOOKUP(A98,[1]!TOX,27,FALSE))))*10))+(((('S-1 Assumptions'!$K$31*(VLOOKUP(A98,[1]!TOX,25,FALSE)))+('S-1 Assumptions'!$L$68*(VLOOKUP(A98,[1]!TOX,27,FALSE))))*3))+(((('S-1 Assumptions'!$K$32*(VLOOKUP(A98,[1]!TOX,25,FALSE)))+('S-1 Assumptions'!$L$69*(VLOOKUP(A98,[1]!TOX,27,FALSE))))*3))+(((('S-1 Assumptions'!$K$33*(VLOOKUP(A98,[1]!TOX,25,FALSE)))+('S-1 Assumptions'!$L$70)*(VLOOKUP(A98,[1]!TOX,27,FALSE))))*1)))*(VLOOKUP(A98,[1]!TOX,12,FALSE))),('[1]Target Risk'!$D$12/((('S-1 Assumptions'!$K$26*(VLOOKUP(A98,[1]!TOX,25,FALSE)))+('S-1 Assumptions'!$L$59*(VLOOKUP(A98,[1]!TOX,27,FALSE))))*(VLOOKUP(A98,[1]!TOX,12,FALSE))))))</f>
        <v>0</v>
      </c>
      <c r="F98" s="308">
        <f>IF(B98=0,MIN(E98,(VLOOKUP(A98,[1]!TOX,71,FALSE))),IF(E98=0,MIN(B98,(VLOOKUP(A98,[1]!TOX,71,FALSE))),MIN(B98,E98,(VLOOKUP(A98,[1]!TOX,71,FALSE)))))</f>
        <v>3.5185847093116878</v>
      </c>
      <c r="G98" s="162" t="str">
        <f>IF(F98=B98,"Noncancer Risk",IF(F98=E98,"Cancer Risk",(VLOOKUP(A98,[1]!TOX,72,FALSE))))</f>
        <v>Noncancer Risk</v>
      </c>
      <c r="H98" s="309">
        <f>MAX(F98,(VLOOKUP(A98,[1]!TOX,50,FALSE)),(VLOOKUP(A98,[1]!TOX,39,FALSE)))</f>
        <v>3.5185847093116878</v>
      </c>
      <c r="I98" s="310">
        <f>IF(H98&lt;&gt;0,ROUND(H98,1-(1+INT(LOG10(ABS(H98))))),"")</f>
        <v>4</v>
      </c>
      <c r="J98" s="165" t="str">
        <f>IF(H98=0,"Not Calculated",IF(H98=F98,G98,IF(H98=(VLOOKUP(A98,[1]!TOX,39,FALSE)),"Background","PQL")))</f>
        <v>Noncancer Risk</v>
      </c>
    </row>
    <row r="99" spans="1:10" ht="12.5" x14ac:dyDescent="0.25">
      <c r="A99" s="50" t="s">
        <v>23</v>
      </c>
      <c r="B99" s="160">
        <f>IF(ISERR(1/+(VLOOKUP(A99,[1]!TOX,17,FALSE))),0,'[1]Target Risk'!$D$8*(VLOOKUP(A99,[1]!TOX,4,FALSE))/(('S-1 Assumptions'!$K$18*(VLOOKUP(A99,[1]!TOX,17,FALSE)))+('S-1 Assumptions'!$L$51*(VLOOKUP(A99,[1]!TOX,19,FALSE)))))</f>
        <v>0</v>
      </c>
      <c r="C99" s="161">
        <f>IF(ISERR(1/(VLOOKUP(A99,[1]!TOX,25,FALSE))),0, '[1]Target Risk'!$D$12/((('S-1 Assumptions'!$K$26*(VLOOKUP(A99,[1]!TOX,25,FALSE)))+('S-1 Assumptions'!$L$59*(VLOOKUP(A99,[1]!TOX,27,FALSE))))*(VLOOKUP(A99,[1]!TOX,12,FALSE))))</f>
        <v>0</v>
      </c>
      <c r="D99" s="161">
        <f>IF(ISERR(1/(VLOOKUP(A99,[1]!TOX,25,FALSE))),0,IF(VLOOKUP(A99,[1]!TOX,36,FALSE)="M",'[1]Target Risk'!$D$12/((((((('S-1 Assumptions'!$K$30*(VLOOKUP(A99,[1]!TOX,25,FALSE)))+('S-1 Assumptions'!$L$67*(VLOOKUP(A99,[1]!TOX,27,FALSE))))*10))+(((('S-1 Assumptions'!$K$31*(VLOOKUP(A99,[1]!TOX,25,FALSE)))+('S-1 Assumptions'!$L$68*(VLOOKUP(A99,[1]!TOX,27,FALSE))))*3))+(((('S-1 Assumptions'!$K$32*(VLOOKUP(A99,[1]!TOX,25,FALSE)))+('S-1 Assumptions'!$L$69*(VLOOKUP(A99,[1]!TOX,27,FALSE))))*3))+(((('S-1 Assumptions'!$K$33*(VLOOKUP(A99,[1]!TOX,25,FALSE)))+('S-1 Assumptions'!$L$70)*(VLOOKUP(A99,[1]!TOX,27,FALSE))))*1)))*(VLOOKUP(A99,[1]!TOX,12,FALSE))),0))</f>
        <v>0</v>
      </c>
      <c r="E99" s="162">
        <f>IF(ISERR(1/(VLOOKUP(A99,[1]!TOX,25,FALSE))),0,IF(VLOOKUP(A99,[1]!TOX,36,FALSE)="M",'[1]Target Risk'!$D$12/((((((('S-1 Assumptions'!$K$30*(VLOOKUP(A99,[1]!TOX,25,FALSE)))+('S-1 Assumptions'!$L$67*(VLOOKUP(A99,[1]!TOX,27,FALSE))))*10))+(((('S-1 Assumptions'!$K$31*(VLOOKUP(A99,[1]!TOX,25,FALSE)))+('S-1 Assumptions'!$L$68*(VLOOKUP(A99,[1]!TOX,27,FALSE))))*3))+(((('S-1 Assumptions'!$K$32*(VLOOKUP(A99,[1]!TOX,25,FALSE)))+('S-1 Assumptions'!$L$69*(VLOOKUP(A99,[1]!TOX,27,FALSE))))*3))+(((('S-1 Assumptions'!$K$33*(VLOOKUP(A99,[1]!TOX,25,FALSE)))+('S-1 Assumptions'!$L$70)*(VLOOKUP(A99,[1]!TOX,27,FALSE))))*1)))*(VLOOKUP(A99,[1]!TOX,12,FALSE))),('[1]Target Risk'!$D$12/((('S-1 Assumptions'!$K$26*(VLOOKUP(A99,[1]!TOX,25,FALSE)))+('S-1 Assumptions'!$L$59*(VLOOKUP(A99,[1]!TOX,27,FALSE))))*(VLOOKUP(A99,[1]!TOX,12,FALSE))))))</f>
        <v>0</v>
      </c>
      <c r="F99" s="308">
        <f>IF(B99=0,MIN(E99,(VLOOKUP(A99,[1]!TOX,71,FALSE))),IF(E99=0,MIN(B99,(VLOOKUP(A99,[1]!TOX,71,FALSE))),MIN(B99,E99,(VLOOKUP(A99,[1]!TOX,71,FALSE)))))</f>
        <v>0</v>
      </c>
      <c r="G99" s="162" t="str">
        <f>IF(F99=B99,"Noncancer Risk",IF(F99=E99,"Cancer Risk",(VLOOKUP(A99,[1]!TOX,72,FALSE))))</f>
        <v>Noncancer Risk</v>
      </c>
      <c r="H99" s="309">
        <f>MAX(F99,(VLOOKUP(A99,[1]!TOX,50,FALSE)),(VLOOKUP(A99,[1]!TOX,39,FALSE)))</f>
        <v>0</v>
      </c>
      <c r="I99" s="310">
        <f>MIN(I102,I103,I105)</f>
        <v>1000</v>
      </c>
      <c r="J99" s="165" t="s">
        <v>243</v>
      </c>
    </row>
    <row r="100" spans="1:10" ht="20" x14ac:dyDescent="0.25">
      <c r="A100" s="50" t="s">
        <v>381</v>
      </c>
      <c r="B100" s="160">
        <f>IF(ISERR(1/+(VLOOKUP(A100,[1]!TOX,17,FALSE))),0,'[1]Target Risk'!$D$8*(VLOOKUP(A100,[1]!TOX,4,FALSE))/(('S-1 Assumptions'!$K$18*(VLOOKUP(A100,[1]!TOX,17,FALSE)))+('S-1 Assumptions'!$L$51*(VLOOKUP(A100,[1]!TOX,19,FALSE)))))</f>
        <v>1380.3536388183743</v>
      </c>
      <c r="C100" s="161">
        <f>IF(ISERR(1/(VLOOKUP(A100,[1]!TOX,25,FALSE))),0, '[1]Target Risk'!$D$12/((('S-1 Assumptions'!$K$26*(VLOOKUP(A100,[1]!TOX,25,FALSE)))+('S-1 Assumptions'!$L$59*(VLOOKUP(A100,[1]!TOX,27,FALSE))))*(VLOOKUP(A100,[1]!TOX,12,FALSE))))</f>
        <v>0</v>
      </c>
      <c r="D100" s="161">
        <f>IF(ISERR(1/(VLOOKUP(A100,[1]!TOX,25,FALSE))),0,IF(VLOOKUP(A100,[1]!TOX,36,FALSE)="M",'[1]Target Risk'!$D$12/((((((('S-1 Assumptions'!$K$30*(VLOOKUP(A100,[1]!TOX,25,FALSE)))+('S-1 Assumptions'!$L$67*(VLOOKUP(A100,[1]!TOX,27,FALSE))))*10))+(((('S-1 Assumptions'!$K$31*(VLOOKUP(A100,[1]!TOX,25,FALSE)))+('S-1 Assumptions'!$L$68*(VLOOKUP(A100,[1]!TOX,27,FALSE))))*3))+(((('S-1 Assumptions'!$K$32*(VLOOKUP(A100,[1]!TOX,25,FALSE)))+('S-1 Assumptions'!$L$69*(VLOOKUP(A100,[1]!TOX,27,FALSE))))*3))+(((('S-1 Assumptions'!$K$33*(VLOOKUP(A100,[1]!TOX,25,FALSE)))+('S-1 Assumptions'!$L$70)*(VLOOKUP(A100,[1]!TOX,27,FALSE))))*1)))*(VLOOKUP(A100,[1]!TOX,12,FALSE))),0))</f>
        <v>0</v>
      </c>
      <c r="E100" s="162">
        <f>IF(ISERR(1/(VLOOKUP(A100,[1]!TOX,25,FALSE))),0,IF(VLOOKUP(A100,[1]!TOX,36,FALSE)="M",'[1]Target Risk'!$D$12/((((((('S-1 Assumptions'!$K$30*(VLOOKUP(A100,[1]!TOX,25,FALSE)))+('S-1 Assumptions'!$L$67*(VLOOKUP(A100,[1]!TOX,27,FALSE))))*10))+(((('S-1 Assumptions'!$K$31*(VLOOKUP(A100,[1]!TOX,25,FALSE)))+('S-1 Assumptions'!$L$68*(VLOOKUP(A100,[1]!TOX,27,FALSE))))*3))+(((('S-1 Assumptions'!$K$32*(VLOOKUP(A100,[1]!TOX,25,FALSE)))+('S-1 Assumptions'!$L$69*(VLOOKUP(A100,[1]!TOX,27,FALSE))))*3))+(((('S-1 Assumptions'!$K$33*(VLOOKUP(A100,[1]!TOX,25,FALSE)))+('S-1 Assumptions'!$L$70)*(VLOOKUP(A100,[1]!TOX,27,FALSE))))*1)))*(VLOOKUP(A100,[1]!TOX,12,FALSE))),('[1]Target Risk'!$D$12/((('S-1 Assumptions'!$K$26*(VLOOKUP(A100,[1]!TOX,25,FALSE)))+('S-1 Assumptions'!$L$59*(VLOOKUP(A100,[1]!TOX,27,FALSE))))*(VLOOKUP(A100,[1]!TOX,12,FALSE))))))</f>
        <v>0</v>
      </c>
      <c r="F100" s="308">
        <f>IF(B100=0,MIN(E100,(VLOOKUP(A100,[1]!TOX,71,FALSE))),IF(E100=0,MIN(B100,(VLOOKUP(A100,[1]!TOX,71,FALSE))),MIN(B100,E100,(VLOOKUP(A100,[1]!TOX,71,FALSE)))))</f>
        <v>100</v>
      </c>
      <c r="G100" s="162" t="str">
        <f>IF(F100=B100,"Noncancer Risk",IF(F100=E100,"Cancer Risk",(VLOOKUP(A100,[1]!TOX,72,FALSE))))</f>
        <v>Ceiling (Low)</v>
      </c>
      <c r="H100" s="309">
        <f>MAX(F100,(VLOOKUP(A100,[1]!TOX,50,FALSE)),(VLOOKUP(A100,[1]!TOX,39,FALSE)))</f>
        <v>100</v>
      </c>
      <c r="I100" s="310">
        <f>IF(H100&lt;&gt;0,ROUND(H100,1-(1+INT(LOG10(ABS(H100))))),"")</f>
        <v>100</v>
      </c>
      <c r="J100" s="165" t="str">
        <f>IF(H100=0,"Not Calculated",IF(H100=F100,G100,IF(H100=(VLOOKUP(A100,[1]!TOX,39,FALSE)),"Background","PQL")))</f>
        <v>Ceiling (Low)</v>
      </c>
    </row>
    <row r="101" spans="1:10" ht="20" x14ac:dyDescent="0.25">
      <c r="A101" s="351" t="s">
        <v>382</v>
      </c>
      <c r="B101" s="160">
        <f>IF(ISERR(1/+(VLOOKUP(A101,[1]!TOX,17,FALSE))),0,'[1]Target Risk'!$D$8*(VLOOKUP(A101,[1]!TOX,4,FALSE))/(('S-1 Assumptions'!$K$18*(VLOOKUP(A101,[1]!TOX,17,FALSE)))+('S-1 Assumptions'!$L$51*(VLOOKUP(A101,[1]!TOX,19,FALSE)))))</f>
        <v>3450.8840970459364</v>
      </c>
      <c r="C101" s="161">
        <f>IF(ISERR(1/(VLOOKUP(A101,[1]!TOX,25,FALSE))),0, '[1]Target Risk'!$D$12/((('S-1 Assumptions'!$K$26*(VLOOKUP(A101,[1]!TOX,25,FALSE)))+('S-1 Assumptions'!$L$59*(VLOOKUP(A101,[1]!TOX,27,FALSE))))*(VLOOKUP(A101,[1]!TOX,12,FALSE))))</f>
        <v>0</v>
      </c>
      <c r="D101" s="161">
        <f>IF(ISERR(1/(VLOOKUP(A101,[1]!TOX,25,FALSE))),0,IF(VLOOKUP(A101,[1]!TOX,36,FALSE)="M",'[1]Target Risk'!$D$12/((((((('S-1 Assumptions'!$K$30*(VLOOKUP(A101,[1]!TOX,25,FALSE)))+('S-1 Assumptions'!$L$67*(VLOOKUP(A101,[1]!TOX,27,FALSE))))*10))+(((('S-1 Assumptions'!$K$31*(VLOOKUP(A101,[1]!TOX,25,FALSE)))+('S-1 Assumptions'!$L$68*(VLOOKUP(A101,[1]!TOX,27,FALSE))))*3))+(((('S-1 Assumptions'!$K$32*(VLOOKUP(A101,[1]!TOX,25,FALSE)))+('S-1 Assumptions'!$L$69*(VLOOKUP(A101,[1]!TOX,27,FALSE))))*3))+(((('S-1 Assumptions'!$K$33*(VLOOKUP(A101,[1]!TOX,25,FALSE)))+('S-1 Assumptions'!$L$70)*(VLOOKUP(A101,[1]!TOX,27,FALSE))))*1)))*(VLOOKUP(A101,[1]!TOX,12,FALSE))),0))</f>
        <v>0</v>
      </c>
      <c r="E101" s="162">
        <f>IF(ISERR(1/(VLOOKUP(A101,[1]!TOX,25,FALSE))),0,IF(VLOOKUP(A101,[1]!TOX,36,FALSE)="M",'[1]Target Risk'!$D$12/((((((('S-1 Assumptions'!$K$30*(VLOOKUP(A101,[1]!TOX,25,FALSE)))+('S-1 Assumptions'!$L$67*(VLOOKUP(A101,[1]!TOX,27,FALSE))))*10))+(((('S-1 Assumptions'!$K$31*(VLOOKUP(A101,[1]!TOX,25,FALSE)))+('S-1 Assumptions'!$L$68*(VLOOKUP(A101,[1]!TOX,27,FALSE))))*3))+(((('S-1 Assumptions'!$K$32*(VLOOKUP(A101,[1]!TOX,25,FALSE)))+('S-1 Assumptions'!$L$69*(VLOOKUP(A101,[1]!TOX,27,FALSE))))*3))+(((('S-1 Assumptions'!$K$33*(VLOOKUP(A101,[1]!TOX,25,FALSE)))+('S-1 Assumptions'!$L$70)*(VLOOKUP(A101,[1]!TOX,27,FALSE))))*1)))*(VLOOKUP(A101,[1]!TOX,12,FALSE))),('[1]Target Risk'!$D$12/((('S-1 Assumptions'!$K$26*(VLOOKUP(A101,[1]!TOX,25,FALSE)))+('S-1 Assumptions'!$L$59*(VLOOKUP(A101,[1]!TOX,27,FALSE))))*(VLOOKUP(A101,[1]!TOX,12,FALSE))))))</f>
        <v>0</v>
      </c>
      <c r="F101" s="308">
        <f>IF(B101=0,MIN(E101,(VLOOKUP(A101,[1]!TOX,71,FALSE))),IF(E101=0,MIN(B101,(VLOOKUP(A101,[1]!TOX,71,FALSE))),MIN(B101,E101,(VLOOKUP(A101,[1]!TOX,71,FALSE)))))</f>
        <v>1000</v>
      </c>
      <c r="G101" s="162" t="str">
        <f>IF(F101=B101,"Noncancer Risk",IF(F101=E101,"Cancer Risk",(VLOOKUP(A101,[1]!TOX,72,FALSE))))</f>
        <v>Ceiling (High)</v>
      </c>
      <c r="H101" s="309">
        <f>MAX(F101,(VLOOKUP(A101,[1]!TOX,50,FALSE)),(VLOOKUP(A101,[1]!TOX,39,FALSE)))</f>
        <v>1000</v>
      </c>
      <c r="I101" s="310">
        <f t="shared" ref="I101:I107" si="3">IF(H101&lt;&gt;0,ROUND(H101,1-(1+INT(LOG10(ABS(H101))))),"")</f>
        <v>1000</v>
      </c>
      <c r="J101" s="165" t="str">
        <f>IF(H101=0,"Not Calculated",IF(H101=F101,G101,IF(H101=(VLOOKUP(A101,[1]!TOX,39,FALSE)),"Background","PQL")))</f>
        <v>Ceiling (High)</v>
      </c>
    </row>
    <row r="102" spans="1:10" ht="20" x14ac:dyDescent="0.25">
      <c r="A102" s="50" t="s">
        <v>383</v>
      </c>
      <c r="B102" s="160">
        <f>IF(ISERR(1/+(VLOOKUP(A102,[1]!TOX,17,FALSE))),0,'[1]Target Risk'!$D$8*(VLOOKUP(A102,[1]!TOX,4,FALSE))/(('S-1 Assumptions'!$K$18*(VLOOKUP(A102,[1]!TOX,17,FALSE)))+('S-1 Assumptions'!$L$51*(VLOOKUP(A102,[1]!TOX,19,FALSE)))))</f>
        <v>3450.8840970459364</v>
      </c>
      <c r="C102" s="161">
        <f>IF(ISERR(1/(VLOOKUP(A102,[1]!TOX,25,FALSE))),0, '[1]Target Risk'!$D$12/((('S-1 Assumptions'!$K$26*(VLOOKUP(A102,[1]!TOX,25,FALSE)))+('S-1 Assumptions'!$L$59*(VLOOKUP(A102,[1]!TOX,27,FALSE))))*(VLOOKUP(A102,[1]!TOX,12,FALSE))))</f>
        <v>0</v>
      </c>
      <c r="D102" s="161">
        <f>IF(ISERR(1/(VLOOKUP(A102,[1]!TOX,25,FALSE))),0,IF(VLOOKUP(A102,[1]!TOX,36,FALSE)="M",'[1]Target Risk'!$D$12/((((((('S-1 Assumptions'!$K$30*(VLOOKUP(A102,[1]!TOX,25,FALSE)))+('S-1 Assumptions'!$L$67*(VLOOKUP(A102,[1]!TOX,27,FALSE))))*10))+(((('S-1 Assumptions'!$K$31*(VLOOKUP(A102,[1]!TOX,25,FALSE)))+('S-1 Assumptions'!$L$68*(VLOOKUP(A102,[1]!TOX,27,FALSE))))*3))+(((('S-1 Assumptions'!$K$32*(VLOOKUP(A102,[1]!TOX,25,FALSE)))+('S-1 Assumptions'!$L$69*(VLOOKUP(A102,[1]!TOX,27,FALSE))))*3))+(((('S-1 Assumptions'!$K$33*(VLOOKUP(A102,[1]!TOX,25,FALSE)))+('S-1 Assumptions'!$L$70)*(VLOOKUP(A102,[1]!TOX,27,FALSE))))*1)))*(VLOOKUP(A102,[1]!TOX,12,FALSE))),0))</f>
        <v>0</v>
      </c>
      <c r="E102" s="162">
        <f>IF(ISERR(1/(VLOOKUP(A102,[1]!TOX,25,FALSE))),0,IF(VLOOKUP(A102,[1]!TOX,36,FALSE)="M",'[1]Target Risk'!$D$12/((((((('S-1 Assumptions'!$K$30*(VLOOKUP(A102,[1]!TOX,25,FALSE)))+('S-1 Assumptions'!$L$67*(VLOOKUP(A102,[1]!TOX,27,FALSE))))*10))+(((('S-1 Assumptions'!$K$31*(VLOOKUP(A102,[1]!TOX,25,FALSE)))+('S-1 Assumptions'!$L$68*(VLOOKUP(A102,[1]!TOX,27,FALSE))))*3))+(((('S-1 Assumptions'!$K$32*(VLOOKUP(A102,[1]!TOX,25,FALSE)))+('S-1 Assumptions'!$L$69*(VLOOKUP(A102,[1]!TOX,27,FALSE))))*3))+(((('S-1 Assumptions'!$K$33*(VLOOKUP(A102,[1]!TOX,25,FALSE)))+('S-1 Assumptions'!$L$70)*(VLOOKUP(A102,[1]!TOX,27,FALSE))))*1)))*(VLOOKUP(A102,[1]!TOX,12,FALSE))),('[1]Target Risk'!$D$12/((('S-1 Assumptions'!$K$26*(VLOOKUP(A102,[1]!TOX,25,FALSE)))+('S-1 Assumptions'!$L$59*(VLOOKUP(A102,[1]!TOX,27,FALSE))))*(VLOOKUP(A102,[1]!TOX,12,FALSE))))))</f>
        <v>0</v>
      </c>
      <c r="F102" s="308">
        <f>IF(B102=0,MIN(E102,(VLOOKUP(A102,[1]!TOX,71,FALSE))),IF(E102=0,MIN(B102,(VLOOKUP(A102,[1]!TOX,71,FALSE))),MIN(B102,E102,(VLOOKUP(A102,[1]!TOX,71,FALSE)))))</f>
        <v>1000</v>
      </c>
      <c r="G102" s="162" t="str">
        <f>IF(F102=B102,"Noncancer Risk",IF(F102=E102,"Cancer Risk",(VLOOKUP(A102,[1]!TOX,72,FALSE))))</f>
        <v>Ceiling (High)</v>
      </c>
      <c r="H102" s="309">
        <f>MAX(F102,(VLOOKUP(A102,[1]!TOX,50,FALSE)),(VLOOKUP(A102,[1]!TOX,39,FALSE)))</f>
        <v>1000</v>
      </c>
      <c r="I102" s="310">
        <f t="shared" si="3"/>
        <v>1000</v>
      </c>
      <c r="J102" s="165" t="str">
        <f>IF(H102=0,"Not Calculated",IF(H102=F102,G102,IF(H102=(VLOOKUP(A102,[1]!TOX,39,FALSE)),"Background","PQL")))</f>
        <v>Ceiling (High)</v>
      </c>
    </row>
    <row r="103" spans="1:10" ht="20" x14ac:dyDescent="0.25">
      <c r="A103" s="50" t="s">
        <v>384</v>
      </c>
      <c r="B103" s="160">
        <f>IF(ISERR(1/+(VLOOKUP(A103,[1]!TOX,17,FALSE))),0,'[1]Target Risk'!$D$8*(VLOOKUP(A103,[1]!TOX,4,FALSE))/(('S-1 Assumptions'!$K$18*(VLOOKUP(A103,[1]!TOX,17,FALSE)))+('S-1 Assumptions'!$L$51*(VLOOKUP(A103,[1]!TOX,19,FALSE)))))</f>
        <v>69017.681940918716</v>
      </c>
      <c r="C103" s="161">
        <f>IF(ISERR(1/(VLOOKUP(A103,[1]!TOX,25,FALSE))),0, '[1]Target Risk'!$D$12/((('S-1 Assumptions'!$K$26*(VLOOKUP(A103,[1]!TOX,25,FALSE)))+('S-1 Assumptions'!$L$59*(VLOOKUP(A103,[1]!TOX,27,FALSE))))*(VLOOKUP(A103,[1]!TOX,12,FALSE))))</f>
        <v>0</v>
      </c>
      <c r="D103" s="161">
        <f>IF(ISERR(1/(VLOOKUP(A103,[1]!TOX,25,FALSE))),0,IF(VLOOKUP(A103,[1]!TOX,36,FALSE)="M",'[1]Target Risk'!$D$12/((((((('S-1 Assumptions'!$K$30*(VLOOKUP(A103,[1]!TOX,25,FALSE)))+('S-1 Assumptions'!$L$67*(VLOOKUP(A103,[1]!TOX,27,FALSE))))*10))+(((('S-1 Assumptions'!$K$31*(VLOOKUP(A103,[1]!TOX,25,FALSE)))+('S-1 Assumptions'!$L$68*(VLOOKUP(A103,[1]!TOX,27,FALSE))))*3))+(((('S-1 Assumptions'!$K$32*(VLOOKUP(A103,[1]!TOX,25,FALSE)))+('S-1 Assumptions'!$L$69*(VLOOKUP(A103,[1]!TOX,27,FALSE))))*3))+(((('S-1 Assumptions'!$K$33*(VLOOKUP(A103,[1]!TOX,25,FALSE)))+('S-1 Assumptions'!$L$70)*(VLOOKUP(A103,[1]!TOX,27,FALSE))))*1)))*(VLOOKUP(A103,[1]!TOX,12,FALSE))),0))</f>
        <v>0</v>
      </c>
      <c r="E103" s="162">
        <f>IF(ISERR(1/(VLOOKUP(A103,[1]!TOX,25,FALSE))),0,IF(VLOOKUP(A103,[1]!TOX,36,FALSE)="M",'[1]Target Risk'!$D$12/((((((('S-1 Assumptions'!$K$30*(VLOOKUP(A103,[1]!TOX,25,FALSE)))+('S-1 Assumptions'!$L$67*(VLOOKUP(A103,[1]!TOX,27,FALSE))))*10))+(((('S-1 Assumptions'!$K$31*(VLOOKUP(A103,[1]!TOX,25,FALSE)))+('S-1 Assumptions'!$L$68*(VLOOKUP(A103,[1]!TOX,27,FALSE))))*3))+(((('S-1 Assumptions'!$K$32*(VLOOKUP(A103,[1]!TOX,25,FALSE)))+('S-1 Assumptions'!$L$69*(VLOOKUP(A103,[1]!TOX,27,FALSE))))*3))+(((('S-1 Assumptions'!$K$33*(VLOOKUP(A103,[1]!TOX,25,FALSE)))+('S-1 Assumptions'!$L$70)*(VLOOKUP(A103,[1]!TOX,27,FALSE))))*1)))*(VLOOKUP(A103,[1]!TOX,12,FALSE))),('[1]Target Risk'!$D$12/((('S-1 Assumptions'!$K$26*(VLOOKUP(A103,[1]!TOX,25,FALSE)))+('S-1 Assumptions'!$L$59*(VLOOKUP(A103,[1]!TOX,27,FALSE))))*(VLOOKUP(A103,[1]!TOX,12,FALSE))))))</f>
        <v>0</v>
      </c>
      <c r="F103" s="308">
        <f>IF(B103=0,MIN(E103,(VLOOKUP(A103,[1]!TOX,71,FALSE))),IF(E103=0,MIN(B103,(VLOOKUP(A103,[1]!TOX,71,FALSE))),MIN(B103,E103,(VLOOKUP(A103,[1]!TOX,71,FALSE)))))</f>
        <v>3000</v>
      </c>
      <c r="G103" s="162" t="str">
        <f>IF(F103=B103,"Noncancer Risk",IF(F103=E103,"Cancer Risk",(VLOOKUP(A103,[1]!TOX,72,FALSE))))</f>
        <v>Ceiling (High)</v>
      </c>
      <c r="H103" s="309">
        <f>MAX(F103,(VLOOKUP(A103,[1]!TOX,50,FALSE)),(VLOOKUP(A103,[1]!TOX,39,FALSE)))</f>
        <v>3000</v>
      </c>
      <c r="I103" s="310">
        <f t="shared" si="3"/>
        <v>3000</v>
      </c>
      <c r="J103" s="165" t="str">
        <f>IF(H103=0,"Not Calculated",IF(H103=F103,G103,IF(H103=(VLOOKUP(A103,[1]!TOX,39,FALSE)),"Background","PQL")))</f>
        <v>Ceiling (High)</v>
      </c>
    </row>
    <row r="104" spans="1:10" ht="20" x14ac:dyDescent="0.25">
      <c r="A104" s="50" t="s">
        <v>385</v>
      </c>
      <c r="B104" s="160">
        <f>IF(ISERR(1/+(VLOOKUP(A104,[1]!TOX,17,FALSE))),0,'[1]Target Risk'!$D$8*(VLOOKUP(A104,[1]!TOX,4,FALSE))/(('S-1 Assumptions'!$K$18*(VLOOKUP(A104,[1]!TOX,17,FALSE)))+('S-1 Assumptions'!$L$51*(VLOOKUP(A104,[1]!TOX,19,FALSE)))))</f>
        <v>1035.2652291137808</v>
      </c>
      <c r="C104" s="161">
        <f>IF(ISERR(1/(VLOOKUP(A104,[1]!TOX,25,FALSE))),0, '[1]Target Risk'!$D$12/((('S-1 Assumptions'!$K$26*(VLOOKUP(A104,[1]!TOX,25,FALSE)))+('S-1 Assumptions'!$L$59*(VLOOKUP(A104,[1]!TOX,27,FALSE))))*(VLOOKUP(A104,[1]!TOX,12,FALSE))))</f>
        <v>0</v>
      </c>
      <c r="D104" s="161">
        <f>IF(ISERR(1/(VLOOKUP(A104,[1]!TOX,25,FALSE))),0,IF(VLOOKUP(A104,[1]!TOX,36,FALSE)="M",'[1]Target Risk'!$D$12/((((((('S-1 Assumptions'!$K$30*(VLOOKUP(A104,[1]!TOX,25,FALSE)))+('S-1 Assumptions'!$L$67*(VLOOKUP(A104,[1]!TOX,27,FALSE))))*10))+(((('S-1 Assumptions'!$K$31*(VLOOKUP(A104,[1]!TOX,25,FALSE)))+('S-1 Assumptions'!$L$68*(VLOOKUP(A104,[1]!TOX,27,FALSE))))*3))+(((('S-1 Assumptions'!$K$32*(VLOOKUP(A104,[1]!TOX,25,FALSE)))+('S-1 Assumptions'!$L$69*(VLOOKUP(A104,[1]!TOX,27,FALSE))))*3))+(((('S-1 Assumptions'!$K$33*(VLOOKUP(A104,[1]!TOX,25,FALSE)))+('S-1 Assumptions'!$L$70)*(VLOOKUP(A104,[1]!TOX,27,FALSE))))*1)))*(VLOOKUP(A104,[1]!TOX,12,FALSE))),0))</f>
        <v>0</v>
      </c>
      <c r="E104" s="162">
        <f>IF(ISERR(1/(VLOOKUP(A104,[1]!TOX,25,FALSE))),0,IF(VLOOKUP(A104,[1]!TOX,36,FALSE)="M",'[1]Target Risk'!$D$12/((((((('S-1 Assumptions'!$K$30*(VLOOKUP(A104,[1]!TOX,25,FALSE)))+('S-1 Assumptions'!$L$67*(VLOOKUP(A104,[1]!TOX,27,FALSE))))*10))+(((('S-1 Assumptions'!$K$31*(VLOOKUP(A104,[1]!TOX,25,FALSE)))+('S-1 Assumptions'!$L$68*(VLOOKUP(A104,[1]!TOX,27,FALSE))))*3))+(((('S-1 Assumptions'!$K$32*(VLOOKUP(A104,[1]!TOX,25,FALSE)))+('S-1 Assumptions'!$L$69*(VLOOKUP(A104,[1]!TOX,27,FALSE))))*3))+(((('S-1 Assumptions'!$K$33*(VLOOKUP(A104,[1]!TOX,25,FALSE)))+('S-1 Assumptions'!$L$70)*(VLOOKUP(A104,[1]!TOX,27,FALSE))))*1)))*(VLOOKUP(A104,[1]!TOX,12,FALSE))),('[1]Target Risk'!$D$12/((('S-1 Assumptions'!$K$26*(VLOOKUP(A104,[1]!TOX,25,FALSE)))+('S-1 Assumptions'!$L$59*(VLOOKUP(A104,[1]!TOX,27,FALSE))))*(VLOOKUP(A104,[1]!TOX,12,FALSE))))))</f>
        <v>0</v>
      </c>
      <c r="F104" s="308">
        <f>IF(B104=0,MIN(E104,(VLOOKUP(A104,[1]!TOX,71,FALSE))),IF(E104=0,MIN(B104,(VLOOKUP(A104,[1]!TOX,71,FALSE))),MIN(B104,E104,(VLOOKUP(A104,[1]!TOX,71,FALSE)))))</f>
        <v>100</v>
      </c>
      <c r="G104" s="162" t="str">
        <f>IF(F104=B104,"Noncancer Risk",IF(F104=E104,"Cancer Risk",(VLOOKUP(A104,[1]!TOX,72,FALSE))))</f>
        <v>Ceiling (Low)</v>
      </c>
      <c r="H104" s="309">
        <f>MAX(F104,(VLOOKUP(A104,[1]!TOX,50,FALSE)),(VLOOKUP(A104,[1]!TOX,39,FALSE)))</f>
        <v>100</v>
      </c>
      <c r="I104" s="310">
        <f t="shared" si="3"/>
        <v>100</v>
      </c>
      <c r="J104" s="165" t="str">
        <f>IF(H104=0,"Not Calculated",IF(H104=F104,G104,IF(H104=(VLOOKUP(A104,[1]!TOX,39,FALSE)),"Background","PQL")))</f>
        <v>Ceiling (Low)</v>
      </c>
    </row>
    <row r="105" spans="1:10" ht="20" x14ac:dyDescent="0.25">
      <c r="A105" s="50" t="s">
        <v>386</v>
      </c>
      <c r="B105" s="160">
        <f>IF(ISERR(1/+(VLOOKUP(A105,[1]!TOX,17,FALSE))),0,'[1]Target Risk'!$D$8*(VLOOKUP(A105,[1]!TOX,4,FALSE))/(('S-1 Assumptions'!$K$18*(VLOOKUP(A105,[1]!TOX,17,FALSE)))+('S-1 Assumptions'!$L$51*(VLOOKUP(A105,[1]!TOX,19,FALSE)))))</f>
        <v>2433.699556282158</v>
      </c>
      <c r="C105" s="161">
        <f>IF(ISERR(1/(VLOOKUP(A105,[1]!TOX,25,FALSE))),0, '[1]Target Risk'!$D$12/((('S-1 Assumptions'!$K$26*(VLOOKUP(A105,[1]!TOX,25,FALSE)))+('S-1 Assumptions'!$L$59*(VLOOKUP(A105,[1]!TOX,27,FALSE))))*(VLOOKUP(A105,[1]!TOX,12,FALSE))))</f>
        <v>0</v>
      </c>
      <c r="D105" s="161">
        <f>IF(ISERR(1/(VLOOKUP(A105,[1]!TOX,25,FALSE))),0,IF(VLOOKUP(A105,[1]!TOX,36,FALSE)="M",'[1]Target Risk'!$D$12/((((((('S-1 Assumptions'!$K$30*(VLOOKUP(A105,[1]!TOX,25,FALSE)))+('S-1 Assumptions'!$L$67*(VLOOKUP(A105,[1]!TOX,27,FALSE))))*10))+(((('S-1 Assumptions'!$K$31*(VLOOKUP(A105,[1]!TOX,25,FALSE)))+('S-1 Assumptions'!$L$68*(VLOOKUP(A105,[1]!TOX,27,FALSE))))*3))+(((('S-1 Assumptions'!$K$32*(VLOOKUP(A105,[1]!TOX,25,FALSE)))+('S-1 Assumptions'!$L$69*(VLOOKUP(A105,[1]!TOX,27,FALSE))))*3))+(((('S-1 Assumptions'!$K$33*(VLOOKUP(A105,[1]!TOX,25,FALSE)))+('S-1 Assumptions'!$L$70)*(VLOOKUP(A105,[1]!TOX,27,FALSE))))*1)))*(VLOOKUP(A105,[1]!TOX,12,FALSE))),0))</f>
        <v>0</v>
      </c>
      <c r="E105" s="162">
        <f>IF(ISERR(1/(VLOOKUP(A105,[1]!TOX,25,FALSE))),0,IF(VLOOKUP(A105,[1]!TOX,36,FALSE)="M",'[1]Target Risk'!$D$12/((((((('S-1 Assumptions'!$K$30*(VLOOKUP(A105,[1]!TOX,25,FALSE)))+('S-1 Assumptions'!$L$67*(VLOOKUP(A105,[1]!TOX,27,FALSE))))*10))+(((('S-1 Assumptions'!$K$31*(VLOOKUP(A105,[1]!TOX,25,FALSE)))+('S-1 Assumptions'!$L$68*(VLOOKUP(A105,[1]!TOX,27,FALSE))))*3))+(((('S-1 Assumptions'!$K$32*(VLOOKUP(A105,[1]!TOX,25,FALSE)))+('S-1 Assumptions'!$L$69*(VLOOKUP(A105,[1]!TOX,27,FALSE))))*3))+(((('S-1 Assumptions'!$K$33*(VLOOKUP(A105,[1]!TOX,25,FALSE)))+('S-1 Assumptions'!$L$70)*(VLOOKUP(A105,[1]!TOX,27,FALSE))))*1)))*(VLOOKUP(A105,[1]!TOX,12,FALSE))),('[1]Target Risk'!$D$12/((('S-1 Assumptions'!$K$26*(VLOOKUP(A105,[1]!TOX,25,FALSE)))+('S-1 Assumptions'!$L$59*(VLOOKUP(A105,[1]!TOX,27,FALSE))))*(VLOOKUP(A105,[1]!TOX,12,FALSE))))))</f>
        <v>0</v>
      </c>
      <c r="F105" s="308">
        <f>IF(B105=0,MIN(E105,(VLOOKUP(A105,[1]!TOX,71,FALSE))),IF(E105=0,MIN(B105,(VLOOKUP(A105,[1]!TOX,71,FALSE))),MIN(B105,E105,(VLOOKUP(A105,[1]!TOX,71,FALSE)))))</f>
        <v>1000</v>
      </c>
      <c r="G105" s="162" t="str">
        <f>IF(F105=B105,"Noncancer Risk",IF(F105=E105,"Cancer Risk",(VLOOKUP(A105,[1]!TOX,72,FALSE))))</f>
        <v>Ceiling (High)</v>
      </c>
      <c r="H105" s="309">
        <f>MAX(F105,(VLOOKUP(A105,[1]!TOX,50,FALSE)),(VLOOKUP(A105,[1]!TOX,39,FALSE)))</f>
        <v>1000</v>
      </c>
      <c r="I105" s="310">
        <f t="shared" si="3"/>
        <v>1000</v>
      </c>
      <c r="J105" s="165" t="str">
        <f>IF(H105=0,"Not Calculated",IF(H105=F105,G105,IF(H105=(VLOOKUP(A105,[1]!TOX,39,FALSE)),"Background","PQL")))</f>
        <v>Ceiling (High)</v>
      </c>
    </row>
    <row r="106" spans="1:10" ht="12.5" x14ac:dyDescent="0.25">
      <c r="A106" s="50" t="s">
        <v>22</v>
      </c>
      <c r="B106" s="160">
        <f>IF(ISERR(1/+(VLOOKUP(A106,[1]!TOX,17,FALSE))),0,'[1]Target Risk'!$D$8*(VLOOKUP(A106,[1]!TOX,4,FALSE))/(('S-1 Assumptions'!$K$18*(VLOOKUP(A106,[1]!TOX,17,FALSE)))+('S-1 Assumptions'!$L$51*(VLOOKUP(A106,[1]!TOX,19,FALSE)))))</f>
        <v>2433.699556282158</v>
      </c>
      <c r="C106" s="161">
        <f>IF(ISERR(1/(VLOOKUP(A106,[1]!TOX,25,FALSE))),0, '[1]Target Risk'!$D$12/((('S-1 Assumptions'!$K$26*(VLOOKUP(A106,[1]!TOX,25,FALSE)))+('S-1 Assumptions'!$L$59*(VLOOKUP(A106,[1]!TOX,27,FALSE))))*(VLOOKUP(A106,[1]!TOX,12,FALSE))))</f>
        <v>0</v>
      </c>
      <c r="D106" s="161">
        <f>IF(ISERR(1/(VLOOKUP(A106,[1]!TOX,25,FALSE))),0,IF(VLOOKUP(A106,[1]!TOX,36,FALSE)="M",'[1]Target Risk'!$D$12/((((((('S-1 Assumptions'!$K$30*(VLOOKUP(A106,[1]!TOX,25,FALSE)))+('S-1 Assumptions'!$L$67*(VLOOKUP(A106,[1]!TOX,27,FALSE))))*10))+(((('S-1 Assumptions'!$K$31*(VLOOKUP(A106,[1]!TOX,25,FALSE)))+('S-1 Assumptions'!$L$68*(VLOOKUP(A106,[1]!TOX,27,FALSE))))*3))+(((('S-1 Assumptions'!$K$32*(VLOOKUP(A106,[1]!TOX,25,FALSE)))+('S-1 Assumptions'!$L$69*(VLOOKUP(A106,[1]!TOX,27,FALSE))))*3))+(((('S-1 Assumptions'!$K$33*(VLOOKUP(A106,[1]!TOX,25,FALSE)))+('S-1 Assumptions'!$L$70)*(VLOOKUP(A106,[1]!TOX,27,FALSE))))*1)))*(VLOOKUP(A106,[1]!TOX,12,FALSE))),0))</f>
        <v>0</v>
      </c>
      <c r="E106" s="162">
        <f>IF(ISERR(1/(VLOOKUP(A106,[1]!TOX,25,FALSE))),0,IF(VLOOKUP(A106,[1]!TOX,36,FALSE)="M",'[1]Target Risk'!$D$12/((((((('S-1 Assumptions'!$K$30*(VLOOKUP(A106,[1]!TOX,25,FALSE)))+('S-1 Assumptions'!$L$67*(VLOOKUP(A106,[1]!TOX,27,FALSE))))*10))+(((('S-1 Assumptions'!$K$31*(VLOOKUP(A106,[1]!TOX,25,FALSE)))+('S-1 Assumptions'!$L$68*(VLOOKUP(A106,[1]!TOX,27,FALSE))))*3))+(((('S-1 Assumptions'!$K$32*(VLOOKUP(A106,[1]!TOX,25,FALSE)))+('S-1 Assumptions'!$L$69*(VLOOKUP(A106,[1]!TOX,27,FALSE))))*3))+(((('S-1 Assumptions'!$K$33*(VLOOKUP(A106,[1]!TOX,25,FALSE)))+('S-1 Assumptions'!$L$70)*(VLOOKUP(A106,[1]!TOX,27,FALSE))))*1)))*(VLOOKUP(A106,[1]!TOX,12,FALSE))),('[1]Target Risk'!$D$12/((('S-1 Assumptions'!$K$26*(VLOOKUP(A106,[1]!TOX,25,FALSE)))+('S-1 Assumptions'!$L$59*(VLOOKUP(A106,[1]!TOX,27,FALSE))))*(VLOOKUP(A106,[1]!TOX,12,FALSE))))))</f>
        <v>0</v>
      </c>
      <c r="F106" s="308">
        <f>IF(B106=0,MIN(E106,(VLOOKUP(A106,[1]!TOX,71,FALSE))),IF(E106=0,MIN(B106,(VLOOKUP(A106,[1]!TOX,71,FALSE))),MIN(B106,E106,(VLOOKUP(A106,[1]!TOX,71,FALSE)))))</f>
        <v>500</v>
      </c>
      <c r="G106" s="162" t="str">
        <f>IF(F106=B106,"Noncancer Risk",IF(F106=E106,"Cancer Risk",(VLOOKUP(A106,[1]!TOX,72,FALSE))))</f>
        <v>Ceiling (Medium)</v>
      </c>
      <c r="H106" s="309">
        <f>MAX(F106,(VLOOKUP(A106,[1]!TOX,50,FALSE)),(VLOOKUP(A106,[1]!TOX,39,FALSE)))</f>
        <v>500</v>
      </c>
      <c r="I106" s="310">
        <f t="shared" si="3"/>
        <v>500</v>
      </c>
      <c r="J106" s="165" t="str">
        <f>IF(H106=0,"Not Calculated",IF(H106=F106,G106,IF(H106=(VLOOKUP(A106,[1]!TOX,39,FALSE)),"Background","PQL")))</f>
        <v>Ceiling (Medium)</v>
      </c>
    </row>
    <row r="107" spans="1:10" ht="12.5" x14ac:dyDescent="0.25">
      <c r="A107" s="50" t="s">
        <v>21</v>
      </c>
      <c r="B107" s="160">
        <f>IF(ISERR(1/+(VLOOKUP(A107,[1]!TOX,17,FALSE))),0,'[1]Target Risk'!$D$8*(VLOOKUP(A107,[1]!TOX,4,FALSE))/(('S-1 Assumptions'!$K$18*(VLOOKUP(A107,[1]!TOX,17,FALSE)))+('S-1 Assumptions'!$L$51*(VLOOKUP(A107,[1]!TOX,19,FALSE)))))</f>
        <v>7881.9183416634842</v>
      </c>
      <c r="C107" s="161">
        <f>IF(ISERR(1/(VLOOKUP(A107,[1]!TOX,25,FALSE))),0, '[1]Target Risk'!$D$12/((('S-1 Assumptions'!$K$26*(VLOOKUP(A107,[1]!TOX,25,FALSE)))+('S-1 Assumptions'!$L$59*(VLOOKUP(A107,[1]!TOX,27,FALSE))))*(VLOOKUP(A107,[1]!TOX,12,FALSE))))</f>
        <v>0</v>
      </c>
      <c r="D107" s="161">
        <f>IF(ISERR(1/(VLOOKUP(A107,[1]!TOX,25,FALSE))),0,IF(VLOOKUP(A107,[1]!TOX,36,FALSE)="M",'[1]Target Risk'!$D$12/((((((('S-1 Assumptions'!$K$30*(VLOOKUP(A107,[1]!TOX,25,FALSE)))+('S-1 Assumptions'!$L$67*(VLOOKUP(A107,[1]!TOX,27,FALSE))))*10))+(((('S-1 Assumptions'!$K$31*(VLOOKUP(A107,[1]!TOX,25,FALSE)))+('S-1 Assumptions'!$L$68*(VLOOKUP(A107,[1]!TOX,27,FALSE))))*3))+(((('S-1 Assumptions'!$K$32*(VLOOKUP(A107,[1]!TOX,25,FALSE)))+('S-1 Assumptions'!$L$69*(VLOOKUP(A107,[1]!TOX,27,FALSE))))*3))+(((('S-1 Assumptions'!$K$33*(VLOOKUP(A107,[1]!TOX,25,FALSE)))+('S-1 Assumptions'!$L$70)*(VLOOKUP(A107,[1]!TOX,27,FALSE))))*1)))*(VLOOKUP(A107,[1]!TOX,12,FALSE))),0))</f>
        <v>0</v>
      </c>
      <c r="E107" s="162">
        <f>IF(ISERR(1/(VLOOKUP(A107,[1]!TOX,25,FALSE))),0,IF(VLOOKUP(A107,[1]!TOX,36,FALSE)="M",'[1]Target Risk'!$D$12/((((((('S-1 Assumptions'!$K$30*(VLOOKUP(A107,[1]!TOX,25,FALSE)))+('S-1 Assumptions'!$L$67*(VLOOKUP(A107,[1]!TOX,27,FALSE))))*10))+(((('S-1 Assumptions'!$K$31*(VLOOKUP(A107,[1]!TOX,25,FALSE)))+('S-1 Assumptions'!$L$68*(VLOOKUP(A107,[1]!TOX,27,FALSE))))*3))+(((('S-1 Assumptions'!$K$32*(VLOOKUP(A107,[1]!TOX,25,FALSE)))+('S-1 Assumptions'!$L$69*(VLOOKUP(A107,[1]!TOX,27,FALSE))))*3))+(((('S-1 Assumptions'!$K$33*(VLOOKUP(A107,[1]!TOX,25,FALSE)))+('S-1 Assumptions'!$L$70)*(VLOOKUP(A107,[1]!TOX,27,FALSE))))*1)))*(VLOOKUP(A107,[1]!TOX,12,FALSE))),('[1]Target Risk'!$D$12/((('S-1 Assumptions'!$K$26*(VLOOKUP(A107,[1]!TOX,25,FALSE)))+('S-1 Assumptions'!$L$59*(VLOOKUP(A107,[1]!TOX,27,FALSE))))*(VLOOKUP(A107,[1]!TOX,12,FALSE))))))</f>
        <v>0</v>
      </c>
      <c r="F107" s="308">
        <f>IF(B107=0,MIN(E107,(VLOOKUP(A107,[1]!TOX,71,FALSE))),IF(E107=0,MIN(B107,(VLOOKUP(A107,[1]!TOX,71,FALSE))),MIN(B107,E107,(VLOOKUP(A107,[1]!TOX,71,FALSE)))))</f>
        <v>500</v>
      </c>
      <c r="G107" s="162" t="str">
        <f>IF(F107=B107,"Noncancer Risk",IF(F107=E107,"Cancer Risk",(VLOOKUP(A107,[1]!TOX,72,FALSE))))</f>
        <v>Ceiling (Medium)</v>
      </c>
      <c r="H107" s="309">
        <f>MAX(F107,(VLOOKUP(A107,[1]!TOX,50,FALSE)),(VLOOKUP(A107,[1]!TOX,39,FALSE)))</f>
        <v>500</v>
      </c>
      <c r="I107" s="310">
        <f t="shared" si="3"/>
        <v>500</v>
      </c>
      <c r="J107" s="165" t="str">
        <f>IF(H107=0,"Not Calculated",IF(H107=F107,G107,IF(H107=(VLOOKUP(A107,[1]!TOX,39,FALSE)),"Background","PQL")))</f>
        <v>Ceiling (Medium)</v>
      </c>
    </row>
    <row r="108" spans="1:10" ht="20" x14ac:dyDescent="0.25">
      <c r="A108" s="50" t="s">
        <v>20</v>
      </c>
      <c r="B108" s="160">
        <f>IF(ISERR(1/+(VLOOKUP(A108,[1]!TOX,17,FALSE))),0,'[1]Target Risk'!$D$8*(VLOOKUP(A108,[1]!TOX,4,FALSE))/(('S-1 Assumptions'!$K$18*(VLOOKUP(A108,[1]!TOX,17,FALSE)))+('S-1 Assumptions'!$L$51*(VLOOKUP(A108,[1]!TOX,19,FALSE)))))</f>
        <v>1.0053099169461965</v>
      </c>
      <c r="C108" s="161">
        <f>IF(ISERR(1/(VLOOKUP(A108,[1]!TOX,25,FALSE))),0, '[1]Target Risk'!$D$12/((('S-1 Assumptions'!$K$26*(VLOOKUP(A108,[1]!TOX,25,FALSE)))+('S-1 Assumptions'!$L$59*(VLOOKUP(A108,[1]!TOX,27,FALSE))))*(VLOOKUP(A108,[1]!TOX,12,FALSE))))</f>
        <v>0.74392276858625661</v>
      </c>
      <c r="D108" s="161">
        <f>IF(ISERR(1/(VLOOKUP(A108,[1]!TOX,25,FALSE))),0,IF(VLOOKUP(A108,[1]!TOX,36,FALSE)="M",'[1]Target Risk'!$D$12/((((((('S-1 Assumptions'!$K$30*(VLOOKUP(A108,[1]!TOX,25,FALSE)))+('S-1 Assumptions'!$L$67*(VLOOKUP(A108,[1]!TOX,27,FALSE))))*10))+(((('S-1 Assumptions'!$K$31*(VLOOKUP(A108,[1]!TOX,25,FALSE)))+('S-1 Assumptions'!$L$68*(VLOOKUP(A108,[1]!TOX,27,FALSE))))*3))+(((('S-1 Assumptions'!$K$32*(VLOOKUP(A108,[1]!TOX,25,FALSE)))+('S-1 Assumptions'!$L$69*(VLOOKUP(A108,[1]!TOX,27,FALSE))))*3))+(((('S-1 Assumptions'!$K$33*(VLOOKUP(A108,[1]!TOX,25,FALSE)))+('S-1 Assumptions'!$L$70)*(VLOOKUP(A108,[1]!TOX,27,FALSE))))*1)))*(VLOOKUP(A108,[1]!TOX,12,FALSE))),0))</f>
        <v>0</v>
      </c>
      <c r="E108" s="162">
        <f>IF(ISERR(1/(VLOOKUP(A108,[1]!TOX,25,FALSE))),0,IF(VLOOKUP(A108,[1]!TOX,36,FALSE)="M",'[1]Target Risk'!$D$12/((((((('S-1 Assumptions'!$K$30*(VLOOKUP(A108,[1]!TOX,25,FALSE)))+('S-1 Assumptions'!$L$67*(VLOOKUP(A108,[1]!TOX,27,FALSE))))*10))+(((('S-1 Assumptions'!$K$31*(VLOOKUP(A108,[1]!TOX,25,FALSE)))+('S-1 Assumptions'!$L$68*(VLOOKUP(A108,[1]!TOX,27,FALSE))))*3))+(((('S-1 Assumptions'!$K$32*(VLOOKUP(A108,[1]!TOX,25,FALSE)))+('S-1 Assumptions'!$L$69*(VLOOKUP(A108,[1]!TOX,27,FALSE))))*3))+(((('S-1 Assumptions'!$K$33*(VLOOKUP(A108,[1]!TOX,25,FALSE)))+('S-1 Assumptions'!$L$70)*(VLOOKUP(A108,[1]!TOX,27,FALSE))))*1)))*(VLOOKUP(A108,[1]!TOX,12,FALSE))),('[1]Target Risk'!$D$12/((('S-1 Assumptions'!$K$26*(VLOOKUP(A108,[1]!TOX,25,FALSE)))+('S-1 Assumptions'!$L$59*(VLOOKUP(A108,[1]!TOX,27,FALSE))))*(VLOOKUP(A108,[1]!TOX,12,FALSE))))))</f>
        <v>0.74392276858625661</v>
      </c>
      <c r="F108" s="308">
        <f>IF(B108=0,MIN(E108,(VLOOKUP(A108,[1]!TOX,71,FALSE))),IF(E108=0,MIN(B108,(VLOOKUP(A108,[1]!TOX,71,FALSE))),MIN(B108,E108,(VLOOKUP(A108,[1]!TOX,71,FALSE)))))</f>
        <v>0.74392276858625661</v>
      </c>
      <c r="G108" s="162" t="str">
        <f>IF(F108=B108,"Noncancer Risk",IF(F108=E108,"Cancer Risk",(VLOOKUP(A108,[1]!TOX,72,FALSE))))</f>
        <v>Cancer Risk</v>
      </c>
      <c r="H108" s="309">
        <f>MAX(F108,(VLOOKUP(A108,[1]!TOX,50,FALSE)),(VLOOKUP(A108,[1]!TOX,39,FALSE)))</f>
        <v>0.74392276858625661</v>
      </c>
      <c r="I108" s="310">
        <v>1</v>
      </c>
      <c r="J108" s="165" t="s">
        <v>297</v>
      </c>
    </row>
    <row r="109" spans="1:10" ht="12.5" x14ac:dyDescent="0.25">
      <c r="A109" s="50" t="s">
        <v>19</v>
      </c>
      <c r="B109" s="160">
        <f>IF(ISERR(1/+(VLOOKUP(A109,[1]!TOX,17,FALSE))),0,'[1]Target Risk'!$D$8*(VLOOKUP(A109,[1]!TOX,4,FALSE))/(('S-1 Assumptions'!$K$18*(VLOOKUP(A109,[1]!TOX,17,FALSE)))+('S-1 Assumptions'!$L$51*(VLOOKUP(A109,[1]!TOX,19,FALSE)))))</f>
        <v>2433.699556282158</v>
      </c>
      <c r="C109" s="161">
        <f>IF(ISERR(1/(VLOOKUP(A109,[1]!TOX,25,FALSE))),0, '[1]Target Risk'!$D$12/((('S-1 Assumptions'!$K$26*(VLOOKUP(A109,[1]!TOX,25,FALSE)))+('S-1 Assumptions'!$L$59*(VLOOKUP(A109,[1]!TOX,27,FALSE))))*(VLOOKUP(A109,[1]!TOX,12,FALSE))))</f>
        <v>0</v>
      </c>
      <c r="D109" s="161">
        <f>IF(ISERR(1/(VLOOKUP(A109,[1]!TOX,25,FALSE))),0,IF(VLOOKUP(A109,[1]!TOX,36,FALSE)="M",'[1]Target Risk'!$D$12/((((((('S-1 Assumptions'!$K$30*(VLOOKUP(A109,[1]!TOX,25,FALSE)))+('S-1 Assumptions'!$L$67*(VLOOKUP(A109,[1]!TOX,27,FALSE))))*10))+(((('S-1 Assumptions'!$K$31*(VLOOKUP(A109,[1]!TOX,25,FALSE)))+('S-1 Assumptions'!$L$68*(VLOOKUP(A109,[1]!TOX,27,FALSE))))*3))+(((('S-1 Assumptions'!$K$32*(VLOOKUP(A109,[1]!TOX,25,FALSE)))+('S-1 Assumptions'!$L$69*(VLOOKUP(A109,[1]!TOX,27,FALSE))))*3))+(((('S-1 Assumptions'!$K$33*(VLOOKUP(A109,[1]!TOX,25,FALSE)))+('S-1 Assumptions'!$L$70)*(VLOOKUP(A109,[1]!TOX,27,FALSE))))*1)))*(VLOOKUP(A109,[1]!TOX,12,FALSE))),0))</f>
        <v>0</v>
      </c>
      <c r="E109" s="162">
        <f>IF(ISERR(1/(VLOOKUP(A109,[1]!TOX,25,FALSE))),0,IF(VLOOKUP(A109,[1]!TOX,36,FALSE)="M",'[1]Target Risk'!$D$12/((((((('S-1 Assumptions'!$K$30*(VLOOKUP(A109,[1]!TOX,25,FALSE)))+('S-1 Assumptions'!$L$67*(VLOOKUP(A109,[1]!TOX,27,FALSE))))*10))+(((('S-1 Assumptions'!$K$31*(VLOOKUP(A109,[1]!TOX,25,FALSE)))+('S-1 Assumptions'!$L$68*(VLOOKUP(A109,[1]!TOX,27,FALSE))))*3))+(((('S-1 Assumptions'!$K$32*(VLOOKUP(A109,[1]!TOX,25,FALSE)))+('S-1 Assumptions'!$L$69*(VLOOKUP(A109,[1]!TOX,27,FALSE))))*3))+(((('S-1 Assumptions'!$K$33*(VLOOKUP(A109,[1]!TOX,25,FALSE)))+('S-1 Assumptions'!$L$70)*(VLOOKUP(A109,[1]!TOX,27,FALSE))))*1)))*(VLOOKUP(A109,[1]!TOX,12,FALSE))),('[1]Target Risk'!$D$12/((('S-1 Assumptions'!$K$26*(VLOOKUP(A109,[1]!TOX,25,FALSE)))+('S-1 Assumptions'!$L$59*(VLOOKUP(A109,[1]!TOX,27,FALSE))))*(VLOOKUP(A109,[1]!TOX,12,FALSE))))))</f>
        <v>0</v>
      </c>
      <c r="F109" s="308">
        <f>IF(B109=0,MIN(E109,(VLOOKUP(A109,[1]!TOX,71,FALSE))),IF(E109=0,MIN(B109,(VLOOKUP(A109,[1]!TOX,71,FALSE))),MIN(B109,E109,(VLOOKUP(A109,[1]!TOX,71,FALSE)))))</f>
        <v>1000</v>
      </c>
      <c r="G109" s="162" t="str">
        <f>IF(F109=B109,"Noncancer Risk",IF(F109=E109,"Cancer Risk",(VLOOKUP(A109,[1]!TOX,72,FALSE))))</f>
        <v>Ceiling (High)</v>
      </c>
      <c r="H109" s="309">
        <f>MAX(F109,(VLOOKUP(A109,[1]!TOX,50,FALSE)),(VLOOKUP(A109,[1]!TOX,39,FALSE)))</f>
        <v>1000</v>
      </c>
      <c r="I109" s="310">
        <f>IF(H109&lt;&gt;0,ROUND(H109,1-(1+INT(LOG10(ABS(H109))))),"")</f>
        <v>1000</v>
      </c>
      <c r="J109" s="165" t="str">
        <f>IF(H109=0,"Not Calculated",IF(H109=F109,G109,IF(H109=(VLOOKUP(A109,[1]!TOX,39,FALSE)),"Background","PQL")))</f>
        <v>Ceiling (High)</v>
      </c>
    </row>
    <row r="110" spans="1:10" ht="12.5" x14ac:dyDescent="0.25">
      <c r="A110" s="50" t="s">
        <v>18</v>
      </c>
      <c r="B110" s="160">
        <f>IF(ISERR(1/+(VLOOKUP(A110,[1]!TOX,17,FALSE))),0,'[1]Target Risk'!$D$8*(VLOOKUP(A110,[1]!TOX,4,FALSE))/(('S-1 Assumptions'!$K$18*(VLOOKUP(A110,[1]!TOX,17,FALSE)))+('S-1 Assumptions'!$L$51*(VLOOKUP(A110,[1]!TOX,19,FALSE)))))</f>
        <v>237.57883225330212</v>
      </c>
      <c r="C110" s="161">
        <f>IF(ISERR(1/(VLOOKUP(A110,[1]!TOX,25,FALSE))),0, '[1]Target Risk'!$D$12/((('S-1 Assumptions'!$K$26*(VLOOKUP(A110,[1]!TOX,25,FALSE)))+('S-1 Assumptions'!$L$59*(VLOOKUP(A110,[1]!TOX,27,FALSE))))*(VLOOKUP(A110,[1]!TOX,12,FALSE))))</f>
        <v>22.649055968199288</v>
      </c>
      <c r="D110" s="161">
        <f>IF(ISERR(1/(VLOOKUP(A110,[1]!TOX,25,FALSE))),0,IF(VLOOKUP(A110,[1]!TOX,36,FALSE)="M",'[1]Target Risk'!$D$12/((((((('S-1 Assumptions'!$K$30*(VLOOKUP(A110,[1]!TOX,25,FALSE)))+('S-1 Assumptions'!$L$67*(VLOOKUP(A110,[1]!TOX,27,FALSE))))*10))+(((('S-1 Assumptions'!$K$31*(VLOOKUP(A110,[1]!TOX,25,FALSE)))+('S-1 Assumptions'!$L$68*(VLOOKUP(A110,[1]!TOX,27,FALSE))))*3))+(((('S-1 Assumptions'!$K$32*(VLOOKUP(A110,[1]!TOX,25,FALSE)))+('S-1 Assumptions'!$L$69*(VLOOKUP(A110,[1]!TOX,27,FALSE))))*3))+(((('S-1 Assumptions'!$K$33*(VLOOKUP(A110,[1]!TOX,25,FALSE)))+('S-1 Assumptions'!$L$70)*(VLOOKUP(A110,[1]!TOX,27,FALSE))))*1)))*(VLOOKUP(A110,[1]!TOX,12,FALSE))),0))</f>
        <v>0</v>
      </c>
      <c r="E110" s="162">
        <f>IF(ISERR(1/(VLOOKUP(A110,[1]!TOX,25,FALSE))),0,IF(VLOOKUP(A110,[1]!TOX,36,FALSE)="M",'[1]Target Risk'!$D$12/((((((('S-1 Assumptions'!$K$30*(VLOOKUP(A110,[1]!TOX,25,FALSE)))+('S-1 Assumptions'!$L$67*(VLOOKUP(A110,[1]!TOX,27,FALSE))))*10))+(((('S-1 Assumptions'!$K$31*(VLOOKUP(A110,[1]!TOX,25,FALSE)))+('S-1 Assumptions'!$L$68*(VLOOKUP(A110,[1]!TOX,27,FALSE))))*3))+(((('S-1 Assumptions'!$K$32*(VLOOKUP(A110,[1]!TOX,25,FALSE)))+('S-1 Assumptions'!$L$69*(VLOOKUP(A110,[1]!TOX,27,FALSE))))*3))+(((('S-1 Assumptions'!$K$33*(VLOOKUP(A110,[1]!TOX,25,FALSE)))+('S-1 Assumptions'!$L$70)*(VLOOKUP(A110,[1]!TOX,27,FALSE))))*1)))*(VLOOKUP(A110,[1]!TOX,12,FALSE))),('[1]Target Risk'!$D$12/((('S-1 Assumptions'!$K$26*(VLOOKUP(A110,[1]!TOX,25,FALSE)))+('S-1 Assumptions'!$L$59*(VLOOKUP(A110,[1]!TOX,27,FALSE))))*(VLOOKUP(A110,[1]!TOX,12,FALSE))))))</f>
        <v>22.649055968199288</v>
      </c>
      <c r="F110" s="308">
        <f>IF(B110=0,MIN(E110,(VLOOKUP(A110,[1]!TOX,71,FALSE))),IF(E110=0,MIN(B110,(VLOOKUP(A110,[1]!TOX,71,FALSE))),MIN(B110,E110,(VLOOKUP(A110,[1]!TOX,71,FALSE)))))</f>
        <v>22.649055968199288</v>
      </c>
      <c r="G110" s="162" t="str">
        <f>IF(F110=B110,"Noncancer Risk",IF(F110=E110,"Cancer Risk",(VLOOKUP(A110,[1]!TOX,72,FALSE))))</f>
        <v>Cancer Risk</v>
      </c>
      <c r="H110" s="309">
        <f>MAX(F110,(VLOOKUP(A110,[1]!TOX,50,FALSE)),(VLOOKUP(A110,[1]!TOX,39,FALSE)))</f>
        <v>22.649055968199288</v>
      </c>
      <c r="I110" s="310">
        <f t="shared" ref="I110:I129" si="4">IF(H110&lt;&gt;0,ROUND(H110,1-(1+INT(LOG10(ABS(H110))))),"")</f>
        <v>20</v>
      </c>
      <c r="J110" s="165" t="str">
        <f>IF(H110=0,"Not Calculated",IF(H110=F110,G110,IF(H110=(VLOOKUP(A110,[1]!TOX,39,FALSE)),"Background","PQL")))</f>
        <v>Cancer Risk</v>
      </c>
    </row>
    <row r="111" spans="1:10" ht="12.5" x14ac:dyDescent="0.25">
      <c r="A111" s="50" t="s">
        <v>17</v>
      </c>
      <c r="B111" s="160">
        <f>IF(ISERR(1/+(VLOOKUP(A111,[1]!TOX,17,FALSE))),0,'[1]Target Risk'!$D$8*(VLOOKUP(A111,[1]!TOX,4,FALSE))/(('S-1 Assumptions'!$K$18*(VLOOKUP(A111,[1]!TOX,17,FALSE)))+('S-1 Assumptions'!$L$51*(VLOOKUP(A111,[1]!TOX,19,FALSE)))))</f>
        <v>426.65699214675334</v>
      </c>
      <c r="C111" s="161">
        <f>IF(ISERR(1/(VLOOKUP(A111,[1]!TOX,25,FALSE))),0, '[1]Target Risk'!$D$12/((('S-1 Assumptions'!$K$26*(VLOOKUP(A111,[1]!TOX,25,FALSE)))+('S-1 Assumptions'!$L$59*(VLOOKUP(A111,[1]!TOX,27,FALSE))))*(VLOOKUP(A111,[1]!TOX,12,FALSE))))</f>
        <v>0</v>
      </c>
      <c r="D111" s="161">
        <f>IF(ISERR(1/(VLOOKUP(A111,[1]!TOX,25,FALSE))),0,IF(VLOOKUP(A111,[1]!TOX,36,FALSE)="M",'[1]Target Risk'!$D$12/((((((('S-1 Assumptions'!$K$30*(VLOOKUP(A111,[1]!TOX,25,FALSE)))+('S-1 Assumptions'!$L$67*(VLOOKUP(A111,[1]!TOX,27,FALSE))))*10))+(((('S-1 Assumptions'!$K$31*(VLOOKUP(A111,[1]!TOX,25,FALSE)))+('S-1 Assumptions'!$L$68*(VLOOKUP(A111,[1]!TOX,27,FALSE))))*3))+(((('S-1 Assumptions'!$K$32*(VLOOKUP(A111,[1]!TOX,25,FALSE)))+('S-1 Assumptions'!$L$69*(VLOOKUP(A111,[1]!TOX,27,FALSE))))*3))+(((('S-1 Assumptions'!$K$33*(VLOOKUP(A111,[1]!TOX,25,FALSE)))+('S-1 Assumptions'!$L$70)*(VLOOKUP(A111,[1]!TOX,27,FALSE))))*1)))*(VLOOKUP(A111,[1]!TOX,12,FALSE))),0))</f>
        <v>0</v>
      </c>
      <c r="E111" s="162">
        <f>IF(ISERR(1/(VLOOKUP(A111,[1]!TOX,25,FALSE))),0,IF(VLOOKUP(A111,[1]!TOX,36,FALSE)="M",'[1]Target Risk'!$D$12/((((((('S-1 Assumptions'!$K$30*(VLOOKUP(A111,[1]!TOX,25,FALSE)))+('S-1 Assumptions'!$L$67*(VLOOKUP(A111,[1]!TOX,27,FALSE))))*10))+(((('S-1 Assumptions'!$K$31*(VLOOKUP(A111,[1]!TOX,25,FALSE)))+('S-1 Assumptions'!$L$68*(VLOOKUP(A111,[1]!TOX,27,FALSE))))*3))+(((('S-1 Assumptions'!$K$32*(VLOOKUP(A111,[1]!TOX,25,FALSE)))+('S-1 Assumptions'!$L$69*(VLOOKUP(A111,[1]!TOX,27,FALSE))))*3))+(((('S-1 Assumptions'!$K$33*(VLOOKUP(A111,[1]!TOX,25,FALSE)))+('S-1 Assumptions'!$L$70)*(VLOOKUP(A111,[1]!TOX,27,FALSE))))*1)))*(VLOOKUP(A111,[1]!TOX,12,FALSE))),('[1]Target Risk'!$D$12/((('S-1 Assumptions'!$K$26*(VLOOKUP(A111,[1]!TOX,25,FALSE)))+('S-1 Assumptions'!$L$59*(VLOOKUP(A111,[1]!TOX,27,FALSE))))*(VLOOKUP(A111,[1]!TOX,12,FALSE))))))</f>
        <v>0</v>
      </c>
      <c r="F111" s="308">
        <f>IF(B111=0,MIN(E111,(VLOOKUP(A111,[1]!TOX,71,FALSE))),IF(E111=0,MIN(B111,(VLOOKUP(A111,[1]!TOX,71,FALSE))),MIN(B111,E111,(VLOOKUP(A111,[1]!TOX,71,FALSE)))))</f>
        <v>426.65699214675334</v>
      </c>
      <c r="G111" s="162" t="str">
        <f>IF(F111=B111,"Noncancer Risk",IF(F111=E111,"Cancer Risk",(VLOOKUP(A111,[1]!TOX,72,FALSE))))</f>
        <v>Noncancer Risk</v>
      </c>
      <c r="H111" s="309">
        <f>MAX(F111,(VLOOKUP(A111,[1]!TOX,50,FALSE)),(VLOOKUP(A111,[1]!TOX,39,FALSE)))</f>
        <v>426.65699214675334</v>
      </c>
      <c r="I111" s="310">
        <f t="shared" si="4"/>
        <v>400</v>
      </c>
      <c r="J111" s="165" t="str">
        <f>IF(H111=0,"Not Calculated",IF(H111=F111,G111,IF(H111=(VLOOKUP(A111,[1]!TOX,39,FALSE)),"Background","PQL")))</f>
        <v>Noncancer Risk</v>
      </c>
    </row>
    <row r="112" spans="1:10" ht="12.5" x14ac:dyDescent="0.25">
      <c r="A112" s="50" t="s">
        <v>16</v>
      </c>
      <c r="B112" s="160">
        <f>IF(ISERR(1/+(VLOOKUP(A112,[1]!TOX,17,FALSE))),0,'[1]Target Risk'!$D$8*(VLOOKUP(A112,[1]!TOX,4,FALSE))/(('S-1 Assumptions'!$K$18*(VLOOKUP(A112,[1]!TOX,17,FALSE)))+('S-1 Assumptions'!$L$51*(VLOOKUP(A112,[1]!TOX,19,FALSE)))))</f>
        <v>131.36530569439142</v>
      </c>
      <c r="C112" s="161">
        <f>IF(ISERR(1/(VLOOKUP(A112,[1]!TOX,25,FALSE))),0, '[1]Target Risk'!$D$12/((('S-1 Assumptions'!$K$26*(VLOOKUP(A112,[1]!TOX,25,FALSE)))+('S-1 Assumptions'!$L$59*(VLOOKUP(A112,[1]!TOX,27,FALSE))))*(VLOOKUP(A112,[1]!TOX,12,FALSE))))</f>
        <v>0</v>
      </c>
      <c r="D112" s="161">
        <f>IF(ISERR(1/(VLOOKUP(A112,[1]!TOX,25,FALSE))),0,IF(VLOOKUP(A112,[1]!TOX,36,FALSE)="M",'[1]Target Risk'!$D$12/((((((('S-1 Assumptions'!$K$30*(VLOOKUP(A112,[1]!TOX,25,FALSE)))+('S-1 Assumptions'!$L$67*(VLOOKUP(A112,[1]!TOX,27,FALSE))))*10))+(((('S-1 Assumptions'!$K$31*(VLOOKUP(A112,[1]!TOX,25,FALSE)))+('S-1 Assumptions'!$L$68*(VLOOKUP(A112,[1]!TOX,27,FALSE))))*3))+(((('S-1 Assumptions'!$K$32*(VLOOKUP(A112,[1]!TOX,25,FALSE)))+('S-1 Assumptions'!$L$69*(VLOOKUP(A112,[1]!TOX,27,FALSE))))*3))+(((('S-1 Assumptions'!$K$33*(VLOOKUP(A112,[1]!TOX,25,FALSE)))+('S-1 Assumptions'!$L$70)*(VLOOKUP(A112,[1]!TOX,27,FALSE))))*1)))*(VLOOKUP(A112,[1]!TOX,12,FALSE))),0))</f>
        <v>0</v>
      </c>
      <c r="E112" s="162">
        <f>IF(ISERR(1/(VLOOKUP(A112,[1]!TOX,25,FALSE))),0,IF(VLOOKUP(A112,[1]!TOX,36,FALSE)="M",'[1]Target Risk'!$D$12/((((((('S-1 Assumptions'!$K$30*(VLOOKUP(A112,[1]!TOX,25,FALSE)))+('S-1 Assumptions'!$L$67*(VLOOKUP(A112,[1]!TOX,27,FALSE))))*10))+(((('S-1 Assumptions'!$K$31*(VLOOKUP(A112,[1]!TOX,25,FALSE)))+('S-1 Assumptions'!$L$68*(VLOOKUP(A112,[1]!TOX,27,FALSE))))*3))+(((('S-1 Assumptions'!$K$32*(VLOOKUP(A112,[1]!TOX,25,FALSE)))+('S-1 Assumptions'!$L$69*(VLOOKUP(A112,[1]!TOX,27,FALSE))))*3))+(((('S-1 Assumptions'!$K$33*(VLOOKUP(A112,[1]!TOX,25,FALSE)))+('S-1 Assumptions'!$L$70)*(VLOOKUP(A112,[1]!TOX,27,FALSE))))*1)))*(VLOOKUP(A112,[1]!TOX,12,FALSE))),('[1]Target Risk'!$D$12/((('S-1 Assumptions'!$K$26*(VLOOKUP(A112,[1]!TOX,25,FALSE)))+('S-1 Assumptions'!$L$59*(VLOOKUP(A112,[1]!TOX,27,FALSE))))*(VLOOKUP(A112,[1]!TOX,12,FALSE))))))</f>
        <v>0</v>
      </c>
      <c r="F112" s="308">
        <f>IF(B112=0,MIN(E112,(VLOOKUP(A112,[1]!TOX,71,FALSE))),IF(E112=0,MIN(B112,(VLOOKUP(A112,[1]!TOX,71,FALSE))),MIN(B112,E112,(VLOOKUP(A112,[1]!TOX,71,FALSE)))))</f>
        <v>131.36530569439142</v>
      </c>
      <c r="G112" s="162" t="str">
        <f>IF(F112=B112,"Noncancer Risk",IF(F112=E112,"Cancer Risk",(VLOOKUP(A112,[1]!TOX,72,FALSE))))</f>
        <v>Noncancer Risk</v>
      </c>
      <c r="H112" s="309">
        <f>MAX(F112,(VLOOKUP(A112,[1]!TOX,50,FALSE)),(VLOOKUP(A112,[1]!TOX,39,FALSE)))</f>
        <v>131.36530569439142</v>
      </c>
      <c r="I112" s="310">
        <f t="shared" si="4"/>
        <v>100</v>
      </c>
      <c r="J112" s="165" t="str">
        <f>IF(H112=0,"Not Calculated",IF(H112=F112,G112,IF(H112=(VLOOKUP(A112,[1]!TOX,39,FALSE)),"Background","PQL")))</f>
        <v>Noncancer Risk</v>
      </c>
    </row>
    <row r="113" spans="1:10" ht="12.5" x14ac:dyDescent="0.25">
      <c r="A113" s="50" t="s">
        <v>15</v>
      </c>
      <c r="B113" s="160">
        <f>IF(ISERR(1/+(VLOOKUP(A113,[1]!TOX,17,FALSE))),0,'[1]Target Risk'!$D$8*(VLOOKUP(A113,[1]!TOX,4,FALSE))/(('S-1 Assumptions'!$K$18*(VLOOKUP(A113,[1]!TOX,17,FALSE)))+('S-1 Assumptions'!$L$51*(VLOOKUP(A113,[1]!TOX,19,FALSE)))))</f>
        <v>14775.67626819931</v>
      </c>
      <c r="C113" s="161">
        <f>IF(ISERR(1/(VLOOKUP(A113,[1]!TOX,25,FALSE))),0, '[1]Target Risk'!$D$12/((('S-1 Assumptions'!$K$26*(VLOOKUP(A113,[1]!TOX,25,FALSE)))+('S-1 Assumptions'!$L$59*(VLOOKUP(A113,[1]!TOX,27,FALSE))))*(VLOOKUP(A113,[1]!TOX,12,FALSE))))</f>
        <v>76.589125591142675</v>
      </c>
      <c r="D113" s="161">
        <f>IF(ISERR(1/(VLOOKUP(A113,[1]!TOX,25,FALSE))),0,IF(VLOOKUP(A113,[1]!TOX,36,FALSE)="M",'[1]Target Risk'!$D$12/((((((('S-1 Assumptions'!$K$30*(VLOOKUP(A113,[1]!TOX,25,FALSE)))+('S-1 Assumptions'!$L$67*(VLOOKUP(A113,[1]!TOX,27,FALSE))))*10))+(((('S-1 Assumptions'!$K$31*(VLOOKUP(A113,[1]!TOX,25,FALSE)))+('S-1 Assumptions'!$L$68*(VLOOKUP(A113,[1]!TOX,27,FALSE))))*3))+(((('S-1 Assumptions'!$K$32*(VLOOKUP(A113,[1]!TOX,25,FALSE)))+('S-1 Assumptions'!$L$69*(VLOOKUP(A113,[1]!TOX,27,FALSE))))*3))+(((('S-1 Assumptions'!$K$33*(VLOOKUP(A113,[1]!TOX,25,FALSE)))+('S-1 Assumptions'!$L$70)*(VLOOKUP(A113,[1]!TOX,27,FALSE))))*1)))*(VLOOKUP(A113,[1]!TOX,12,FALSE))),0))</f>
        <v>0</v>
      </c>
      <c r="E113" s="162">
        <f>IF(ISERR(1/(VLOOKUP(A113,[1]!TOX,25,FALSE))),0,IF(VLOOKUP(A113,[1]!TOX,36,FALSE)="M",'[1]Target Risk'!$D$12/((((((('S-1 Assumptions'!$K$30*(VLOOKUP(A113,[1]!TOX,25,FALSE)))+('S-1 Assumptions'!$L$67*(VLOOKUP(A113,[1]!TOX,27,FALSE))))*10))+(((('S-1 Assumptions'!$K$31*(VLOOKUP(A113,[1]!TOX,25,FALSE)))+('S-1 Assumptions'!$L$68*(VLOOKUP(A113,[1]!TOX,27,FALSE))))*3))+(((('S-1 Assumptions'!$K$32*(VLOOKUP(A113,[1]!TOX,25,FALSE)))+('S-1 Assumptions'!$L$69*(VLOOKUP(A113,[1]!TOX,27,FALSE))))*3))+(((('S-1 Assumptions'!$K$33*(VLOOKUP(A113,[1]!TOX,25,FALSE)))+('S-1 Assumptions'!$L$70)*(VLOOKUP(A113,[1]!TOX,27,FALSE))))*1)))*(VLOOKUP(A113,[1]!TOX,12,FALSE))),('[1]Target Risk'!$D$12/((('S-1 Assumptions'!$K$26*(VLOOKUP(A113,[1]!TOX,25,FALSE)))+('S-1 Assumptions'!$L$59*(VLOOKUP(A113,[1]!TOX,27,FALSE))))*(VLOOKUP(A113,[1]!TOX,12,FALSE))))))</f>
        <v>76.589125591142675</v>
      </c>
      <c r="F113" s="308">
        <f>IF(B113=0,MIN(E113,(VLOOKUP(A113,[1]!TOX,71,FALSE))),IF(E113=0,MIN(B113,(VLOOKUP(A113,[1]!TOX,71,FALSE))),MIN(B113,E113,(VLOOKUP(A113,[1]!TOX,71,FALSE)))))</f>
        <v>76.589125591142675</v>
      </c>
      <c r="G113" s="162" t="str">
        <f>IF(F113=B113,"Noncancer Risk",IF(F113=E113,"Cancer Risk",(VLOOKUP(A113,[1]!TOX,72,FALSE))))</f>
        <v>Cancer Risk</v>
      </c>
      <c r="H113" s="309">
        <f>MAX(F113,(VLOOKUP(A113,[1]!TOX,50,FALSE)),(VLOOKUP(A113,[1]!TOX,39,FALSE)))</f>
        <v>76.589125591142675</v>
      </c>
      <c r="I113" s="310">
        <f t="shared" si="4"/>
        <v>80</v>
      </c>
      <c r="J113" s="165" t="str">
        <f>IF(H113=0,"Not Calculated",IF(H113=F113,G113,IF(H113=(VLOOKUP(A113,[1]!TOX,39,FALSE)),"Background","PQL")))</f>
        <v>Cancer Risk</v>
      </c>
    </row>
    <row r="114" spans="1:10" ht="12.5" x14ac:dyDescent="0.25">
      <c r="A114" s="50" t="s">
        <v>14</v>
      </c>
      <c r="B114" s="160">
        <f>IF(ISERR(1/+(VLOOKUP(A114,[1]!TOX,17,FALSE))),0,'[1]Target Risk'!$D$8*(VLOOKUP(A114,[1]!TOX,4,FALSE))/(('S-1 Assumptions'!$K$18*(VLOOKUP(A114,[1]!TOX,17,FALSE)))+('S-1 Assumptions'!$L$51*(VLOOKUP(A114,[1]!TOX,19,FALSE)))))</f>
        <v>3.5185847093116879E-5</v>
      </c>
      <c r="C114" s="161">
        <f>IF(ISERR(1/(VLOOKUP(A114,[1]!TOX,25,FALSE))),0, '[1]Target Risk'!$D$12/((('S-1 Assumptions'!$K$26*(VLOOKUP(A114,[1]!TOX,25,FALSE)))+('S-1 Assumptions'!$L$59*(VLOOKUP(A114,[1]!TOX,27,FALSE))))*(VLOOKUP(A114,[1]!TOX,12,FALSE))))</f>
        <v>9.9189702478167553E-6</v>
      </c>
      <c r="D114" s="161">
        <f>IF(ISERR(1/(VLOOKUP(A114,[1]!TOX,25,FALSE))),0,IF(VLOOKUP(A114,[1]!TOX,36,FALSE)="M",'[1]Target Risk'!$D$12/((((((('S-1 Assumptions'!$K$30*(VLOOKUP(A114,[1]!TOX,25,FALSE)))+('S-1 Assumptions'!$L$67*(VLOOKUP(A114,[1]!TOX,27,FALSE))))*10))+(((('S-1 Assumptions'!$K$31*(VLOOKUP(A114,[1]!TOX,25,FALSE)))+('S-1 Assumptions'!$L$68*(VLOOKUP(A114,[1]!TOX,27,FALSE))))*3))+(((('S-1 Assumptions'!$K$32*(VLOOKUP(A114,[1]!TOX,25,FALSE)))+('S-1 Assumptions'!$L$69*(VLOOKUP(A114,[1]!TOX,27,FALSE))))*3))+(((('S-1 Assumptions'!$K$33*(VLOOKUP(A114,[1]!TOX,25,FALSE)))+('S-1 Assumptions'!$L$70)*(VLOOKUP(A114,[1]!TOX,27,FALSE))))*1)))*(VLOOKUP(A114,[1]!TOX,12,FALSE))),0))</f>
        <v>0</v>
      </c>
      <c r="E114" s="162">
        <f>IF(ISERR(1/(VLOOKUP(A114,[1]!TOX,25,FALSE))),0,IF(VLOOKUP(A114,[1]!TOX,36,FALSE)="M",'[1]Target Risk'!$D$12/((((((('S-1 Assumptions'!$K$30*(VLOOKUP(A114,[1]!TOX,25,FALSE)))+('S-1 Assumptions'!$L$67*(VLOOKUP(A114,[1]!TOX,27,FALSE))))*10))+(((('S-1 Assumptions'!$K$31*(VLOOKUP(A114,[1]!TOX,25,FALSE)))+('S-1 Assumptions'!$L$68*(VLOOKUP(A114,[1]!TOX,27,FALSE))))*3))+(((('S-1 Assumptions'!$K$32*(VLOOKUP(A114,[1]!TOX,25,FALSE)))+('S-1 Assumptions'!$L$69*(VLOOKUP(A114,[1]!TOX,27,FALSE))))*3))+(((('S-1 Assumptions'!$K$33*(VLOOKUP(A114,[1]!TOX,25,FALSE)))+('S-1 Assumptions'!$L$70)*(VLOOKUP(A114,[1]!TOX,27,FALSE))))*1)))*(VLOOKUP(A114,[1]!TOX,12,FALSE))),('[1]Target Risk'!$D$12/((('S-1 Assumptions'!$K$26*(VLOOKUP(A114,[1]!TOX,25,FALSE)))+('S-1 Assumptions'!$L$59*(VLOOKUP(A114,[1]!TOX,27,FALSE))))*(VLOOKUP(A114,[1]!TOX,12,FALSE))))))</f>
        <v>9.9189702478167553E-6</v>
      </c>
      <c r="F114" s="308">
        <f>IF(B114=0,MIN(E114,(VLOOKUP(A114,[1]!TOX,71,FALSE))),IF(E114=0,MIN(B114,(VLOOKUP(A114,[1]!TOX,71,FALSE))),MIN(B114,E114,(VLOOKUP(A114,[1]!TOX,71,FALSE)))))</f>
        <v>9.9189702478167553E-6</v>
      </c>
      <c r="G114" s="162" t="str">
        <f>IF(F114=B114,"Noncancer Risk",IF(F114=E114,"Cancer Risk",(VLOOKUP(A114,[1]!TOX,72,FALSE))))</f>
        <v>Cancer Risk</v>
      </c>
      <c r="H114" s="309">
        <f>MAX(F114,(VLOOKUP(A114,[1]!TOX,50,FALSE)),(VLOOKUP(A114,[1]!TOX,39,FALSE)))</f>
        <v>2.1999999999999999E-5</v>
      </c>
      <c r="I114" s="310">
        <f t="shared" si="4"/>
        <v>2.0000000000000002E-5</v>
      </c>
      <c r="J114" s="165" t="str">
        <f>IF(H114=0,"Not Calculated",IF(H114=F114,G114,IF(H114=(VLOOKUP(A114,[1]!TOX,39,FALSE)),"Background","PQL")))</f>
        <v>Background</v>
      </c>
    </row>
    <row r="115" spans="1:10" ht="12.5" x14ac:dyDescent="0.25">
      <c r="A115" s="50" t="s">
        <v>13</v>
      </c>
      <c r="B115" s="160">
        <f>IF(ISERR(1/+(VLOOKUP(A115,[1]!TOX,17,FALSE))),0,'[1]Target Risk'!$D$8*(VLOOKUP(A115,[1]!TOX,4,FALSE))/(('S-1 Assumptions'!$K$18*(VLOOKUP(A115,[1]!TOX,17,FALSE)))+('S-1 Assumptions'!$L$51*(VLOOKUP(A115,[1]!TOX,19,FALSE)))))</f>
        <v>2216.3514402298961</v>
      </c>
      <c r="C115" s="161">
        <f>IF(ISERR(1/(VLOOKUP(A115,[1]!TOX,25,FALSE))),0, '[1]Target Risk'!$D$12/((('S-1 Assumptions'!$K$26*(VLOOKUP(A115,[1]!TOX,25,FALSE)))+('S-1 Assumptions'!$L$59*(VLOOKUP(A115,[1]!TOX,27,FALSE))))*(VLOOKUP(A115,[1]!TOX,12,FALSE))))</f>
        <v>88.372067989780007</v>
      </c>
      <c r="D115" s="161">
        <f>IF(ISERR(1/(VLOOKUP(A115,[1]!TOX,25,FALSE))),0,IF(VLOOKUP(A115,[1]!TOX,36,FALSE)="M",'[1]Target Risk'!$D$12/((((((('S-1 Assumptions'!$K$30*(VLOOKUP(A115,[1]!TOX,25,FALSE)))+('S-1 Assumptions'!$L$67*(VLOOKUP(A115,[1]!TOX,27,FALSE))))*10))+(((('S-1 Assumptions'!$K$31*(VLOOKUP(A115,[1]!TOX,25,FALSE)))+('S-1 Assumptions'!$L$68*(VLOOKUP(A115,[1]!TOX,27,FALSE))))*3))+(((('S-1 Assumptions'!$K$32*(VLOOKUP(A115,[1]!TOX,25,FALSE)))+('S-1 Assumptions'!$L$69*(VLOOKUP(A115,[1]!TOX,27,FALSE))))*3))+(((('S-1 Assumptions'!$K$33*(VLOOKUP(A115,[1]!TOX,25,FALSE)))+('S-1 Assumptions'!$L$70)*(VLOOKUP(A115,[1]!TOX,27,FALSE))))*1)))*(VLOOKUP(A115,[1]!TOX,12,FALSE))),0))</f>
        <v>0</v>
      </c>
      <c r="E115" s="162">
        <f>IF(ISERR(1/(VLOOKUP(A115,[1]!TOX,25,FALSE))),0,IF(VLOOKUP(A115,[1]!TOX,36,FALSE)="M",'[1]Target Risk'!$D$12/((((((('S-1 Assumptions'!$K$30*(VLOOKUP(A115,[1]!TOX,25,FALSE)))+('S-1 Assumptions'!$L$67*(VLOOKUP(A115,[1]!TOX,27,FALSE))))*10))+(((('S-1 Assumptions'!$K$31*(VLOOKUP(A115,[1]!TOX,25,FALSE)))+('S-1 Assumptions'!$L$68*(VLOOKUP(A115,[1]!TOX,27,FALSE))))*3))+(((('S-1 Assumptions'!$K$32*(VLOOKUP(A115,[1]!TOX,25,FALSE)))+('S-1 Assumptions'!$L$69*(VLOOKUP(A115,[1]!TOX,27,FALSE))))*3))+(((('S-1 Assumptions'!$K$33*(VLOOKUP(A115,[1]!TOX,25,FALSE)))+('S-1 Assumptions'!$L$70)*(VLOOKUP(A115,[1]!TOX,27,FALSE))))*1)))*(VLOOKUP(A115,[1]!TOX,12,FALSE))),('[1]Target Risk'!$D$12/((('S-1 Assumptions'!$K$26*(VLOOKUP(A115,[1]!TOX,25,FALSE)))+('S-1 Assumptions'!$L$59*(VLOOKUP(A115,[1]!TOX,27,FALSE))))*(VLOOKUP(A115,[1]!TOX,12,FALSE))))))</f>
        <v>88.372067989780007</v>
      </c>
      <c r="F115" s="308">
        <f>IF(B115=0,MIN(E115,(VLOOKUP(A115,[1]!TOX,71,FALSE))),IF(E115=0,MIN(B115,(VLOOKUP(A115,[1]!TOX,71,FALSE))),MIN(B115,E115,(VLOOKUP(A115,[1]!TOX,71,FALSE)))))</f>
        <v>88.372067989780007</v>
      </c>
      <c r="G115" s="162" t="str">
        <f>IF(F115=B115,"Noncancer Risk",IF(F115=E115,"Cancer Risk",(VLOOKUP(A115,[1]!TOX,72,FALSE))))</f>
        <v>Cancer Risk</v>
      </c>
      <c r="H115" s="309">
        <f>MAX(F115,(VLOOKUP(A115,[1]!TOX,50,FALSE)),(VLOOKUP(A115,[1]!TOX,39,FALSE)))</f>
        <v>88.372067989780007</v>
      </c>
      <c r="I115" s="310">
        <f t="shared" si="4"/>
        <v>90</v>
      </c>
      <c r="J115" s="165" t="str">
        <f>IF(H115=0,"Not Calculated",IF(H115=F115,G115,IF(H115=(VLOOKUP(A115,[1]!TOX,39,FALSE)),"Background","PQL")))</f>
        <v>Cancer Risk</v>
      </c>
    </row>
    <row r="116" spans="1:10" ht="12.5" x14ac:dyDescent="0.25">
      <c r="A116" s="50" t="s">
        <v>12</v>
      </c>
      <c r="B116" s="160">
        <f>IF(ISERR(1/+(VLOOKUP(A116,[1]!TOX,17,FALSE))),0,'[1]Target Risk'!$D$8*(VLOOKUP(A116,[1]!TOX,4,FALSE))/(('S-1 Assumptions'!$K$18*(VLOOKUP(A116,[1]!TOX,17,FALSE)))+('S-1 Assumptions'!$L$51*(VLOOKUP(A116,[1]!TOX,19,FALSE)))))</f>
        <v>1477.5676268199306</v>
      </c>
      <c r="C116" s="161">
        <f>IF(ISERR(1/(VLOOKUP(A116,[1]!TOX,25,FALSE))),0, '[1]Target Risk'!$D$12/((('S-1 Assumptions'!$K$26*(VLOOKUP(A116,[1]!TOX,25,FALSE)))+('S-1 Assumptions'!$L$59*(VLOOKUP(A116,[1]!TOX,27,FALSE))))*(VLOOKUP(A116,[1]!TOX,12,FALSE))))</f>
        <v>11.4883688386714</v>
      </c>
      <c r="D116" s="161">
        <f>IF(ISERR(1/(VLOOKUP(A116,[1]!TOX,25,FALSE))),0,IF(VLOOKUP(A116,[1]!TOX,36,FALSE)="M",'[1]Target Risk'!$D$12/((((((('S-1 Assumptions'!$K$30*(VLOOKUP(A116,[1]!TOX,25,FALSE)))+('S-1 Assumptions'!$L$67*(VLOOKUP(A116,[1]!TOX,27,FALSE))))*10))+(((('S-1 Assumptions'!$K$31*(VLOOKUP(A116,[1]!TOX,25,FALSE)))+('S-1 Assumptions'!$L$68*(VLOOKUP(A116,[1]!TOX,27,FALSE))))*3))+(((('S-1 Assumptions'!$K$32*(VLOOKUP(A116,[1]!TOX,25,FALSE)))+('S-1 Assumptions'!$L$69*(VLOOKUP(A116,[1]!TOX,27,FALSE))))*3))+(((('S-1 Assumptions'!$K$33*(VLOOKUP(A116,[1]!TOX,25,FALSE)))+('S-1 Assumptions'!$L$70)*(VLOOKUP(A116,[1]!TOX,27,FALSE))))*1)))*(VLOOKUP(A116,[1]!TOX,12,FALSE))),0))</f>
        <v>0</v>
      </c>
      <c r="E116" s="162">
        <f>IF(ISERR(1/(VLOOKUP(A116,[1]!TOX,25,FALSE))),0,IF(VLOOKUP(A116,[1]!TOX,36,FALSE)="M",'[1]Target Risk'!$D$12/((((((('S-1 Assumptions'!$K$30*(VLOOKUP(A116,[1]!TOX,25,FALSE)))+('S-1 Assumptions'!$L$67*(VLOOKUP(A116,[1]!TOX,27,FALSE))))*10))+(((('S-1 Assumptions'!$K$31*(VLOOKUP(A116,[1]!TOX,25,FALSE)))+('S-1 Assumptions'!$L$68*(VLOOKUP(A116,[1]!TOX,27,FALSE))))*3))+(((('S-1 Assumptions'!$K$32*(VLOOKUP(A116,[1]!TOX,25,FALSE)))+('S-1 Assumptions'!$L$69*(VLOOKUP(A116,[1]!TOX,27,FALSE))))*3))+(((('S-1 Assumptions'!$K$33*(VLOOKUP(A116,[1]!TOX,25,FALSE)))+('S-1 Assumptions'!$L$70)*(VLOOKUP(A116,[1]!TOX,27,FALSE))))*1)))*(VLOOKUP(A116,[1]!TOX,12,FALSE))),('[1]Target Risk'!$D$12/((('S-1 Assumptions'!$K$26*(VLOOKUP(A116,[1]!TOX,25,FALSE)))+('S-1 Assumptions'!$L$59*(VLOOKUP(A116,[1]!TOX,27,FALSE))))*(VLOOKUP(A116,[1]!TOX,12,FALSE))))))</f>
        <v>11.4883688386714</v>
      </c>
      <c r="F116" s="308">
        <f>IF(B116=0,MIN(E116,(VLOOKUP(A116,[1]!TOX,71,FALSE))),IF(E116=0,MIN(B116,(VLOOKUP(A116,[1]!TOX,71,FALSE))),MIN(B116,E116,(VLOOKUP(A116,[1]!TOX,71,FALSE)))))</f>
        <v>11.4883688386714</v>
      </c>
      <c r="G116" s="162" t="str">
        <f>IF(F116=B116,"Noncancer Risk",IF(F116=E116,"Cancer Risk",(VLOOKUP(A116,[1]!TOX,72,FALSE))))</f>
        <v>Cancer Risk</v>
      </c>
      <c r="H116" s="309">
        <f>MAX(F116,(VLOOKUP(A116,[1]!TOX,50,FALSE)),(VLOOKUP(A116,[1]!TOX,39,FALSE)))</f>
        <v>11.4883688386714</v>
      </c>
      <c r="I116" s="310">
        <f t="shared" si="4"/>
        <v>10</v>
      </c>
      <c r="J116" s="165" t="str">
        <f>IF(H116=0,"Not Calculated",IF(H116=F116,G116,IF(H116=(VLOOKUP(A116,[1]!TOX,39,FALSE)),"Background","PQL")))</f>
        <v>Cancer Risk</v>
      </c>
    </row>
    <row r="117" spans="1:10" ht="12.5" x14ac:dyDescent="0.25">
      <c r="A117" s="50" t="s">
        <v>11</v>
      </c>
      <c r="B117" s="160">
        <f>IF(ISERR(1/+(VLOOKUP(A117,[1]!TOX,17,FALSE))),0,'[1]Target Risk'!$D$8*(VLOOKUP(A117,[1]!TOX,4,FALSE))/(('S-1 Assumptions'!$K$18*(VLOOKUP(A117,[1]!TOX,17,FALSE)))+('S-1 Assumptions'!$L$51*(VLOOKUP(A117,[1]!TOX,19,FALSE)))))</f>
        <v>443.27028804597921</v>
      </c>
      <c r="C117" s="161">
        <f>IF(ISERR(1/(VLOOKUP(A117,[1]!TOX,25,FALSE))),0, '[1]Target Risk'!$D$12/((('S-1 Assumptions'!$K$26*(VLOOKUP(A117,[1]!TOX,25,FALSE)))+('S-1 Assumptions'!$L$59*(VLOOKUP(A117,[1]!TOX,27,FALSE))))*(VLOOKUP(A117,[1]!TOX,12,FALSE))))</f>
        <v>114.88368838671401</v>
      </c>
      <c r="D117" s="161">
        <f>IF(ISERR(1/(VLOOKUP(A117,[1]!TOX,25,FALSE))),0,IF(VLOOKUP(A117,[1]!TOX,36,FALSE)="M",'[1]Target Risk'!$D$12/((((((('S-1 Assumptions'!$K$30*(VLOOKUP(A117,[1]!TOX,25,FALSE)))+('S-1 Assumptions'!$L$67*(VLOOKUP(A117,[1]!TOX,27,FALSE))))*10))+(((('S-1 Assumptions'!$K$31*(VLOOKUP(A117,[1]!TOX,25,FALSE)))+('S-1 Assumptions'!$L$68*(VLOOKUP(A117,[1]!TOX,27,FALSE))))*3))+(((('S-1 Assumptions'!$K$32*(VLOOKUP(A117,[1]!TOX,25,FALSE)))+('S-1 Assumptions'!$L$69*(VLOOKUP(A117,[1]!TOX,27,FALSE))))*3))+(((('S-1 Assumptions'!$K$33*(VLOOKUP(A117,[1]!TOX,25,FALSE)))+('S-1 Assumptions'!$L$70)*(VLOOKUP(A117,[1]!TOX,27,FALSE))))*1)))*(VLOOKUP(A117,[1]!TOX,12,FALSE))),0))</f>
        <v>0</v>
      </c>
      <c r="E117" s="162">
        <f>IF(ISERR(1/(VLOOKUP(A117,[1]!TOX,25,FALSE))),0,IF(VLOOKUP(A117,[1]!TOX,36,FALSE)="M",'[1]Target Risk'!$D$12/((((((('S-1 Assumptions'!$K$30*(VLOOKUP(A117,[1]!TOX,25,FALSE)))+('S-1 Assumptions'!$L$67*(VLOOKUP(A117,[1]!TOX,27,FALSE))))*10))+(((('S-1 Assumptions'!$K$31*(VLOOKUP(A117,[1]!TOX,25,FALSE)))+('S-1 Assumptions'!$L$68*(VLOOKUP(A117,[1]!TOX,27,FALSE))))*3))+(((('S-1 Assumptions'!$K$32*(VLOOKUP(A117,[1]!TOX,25,FALSE)))+('S-1 Assumptions'!$L$69*(VLOOKUP(A117,[1]!TOX,27,FALSE))))*3))+(((('S-1 Assumptions'!$K$33*(VLOOKUP(A117,[1]!TOX,25,FALSE)))+('S-1 Assumptions'!$L$70)*(VLOOKUP(A117,[1]!TOX,27,FALSE))))*1)))*(VLOOKUP(A117,[1]!TOX,12,FALSE))),('[1]Target Risk'!$D$12/((('S-1 Assumptions'!$K$26*(VLOOKUP(A117,[1]!TOX,25,FALSE)))+('S-1 Assumptions'!$L$59*(VLOOKUP(A117,[1]!TOX,27,FALSE))))*(VLOOKUP(A117,[1]!TOX,12,FALSE))))))</f>
        <v>114.88368838671401</v>
      </c>
      <c r="F117" s="308">
        <f>IF(B117=0,MIN(E117,(VLOOKUP(A117,[1]!TOX,71,FALSE))),IF(E117=0,MIN(B117,(VLOOKUP(A117,[1]!TOX,71,FALSE))),MIN(B117,E117,(VLOOKUP(A117,[1]!TOX,71,FALSE)))))</f>
        <v>114.88368838671401</v>
      </c>
      <c r="G117" s="162" t="str">
        <f>IF(F117=B117,"Noncancer Risk",IF(F117=E117,"Cancer Risk",(VLOOKUP(A117,[1]!TOX,72,FALSE))))</f>
        <v>Cancer Risk</v>
      </c>
      <c r="H117" s="309">
        <f>MAX(F117,(VLOOKUP(A117,[1]!TOX,50,FALSE)),(VLOOKUP(A117,[1]!TOX,39,FALSE)))</f>
        <v>114.88368838671401</v>
      </c>
      <c r="I117" s="310">
        <f t="shared" si="4"/>
        <v>100</v>
      </c>
      <c r="J117" s="165" t="str">
        <f>IF(H117=0,"Not Calculated",IF(H117=F117,G117,IF(H117=(VLOOKUP(A117,[1]!TOX,39,FALSE)),"Background","PQL")))</f>
        <v>Cancer Risk</v>
      </c>
    </row>
    <row r="118" spans="1:10" ht="12.5" x14ac:dyDescent="0.25">
      <c r="A118" s="50" t="s">
        <v>10</v>
      </c>
      <c r="B118" s="160">
        <f>IF(ISERR(1/+(VLOOKUP(A118,[1]!TOX,17,FALSE))),0,'[1]Target Risk'!$D$8*(VLOOKUP(A118,[1]!TOX,4,FALSE))/(('S-1 Assumptions'!$K$18*(VLOOKUP(A118,[1]!TOX,17,FALSE)))+('S-1 Assumptions'!$L$51*(VLOOKUP(A118,[1]!TOX,19,FALSE)))))</f>
        <v>6.8265118743480544</v>
      </c>
      <c r="C118" s="161">
        <f>IF(ISERR(1/(VLOOKUP(A118,[1]!TOX,25,FALSE))),0, '[1]Target Risk'!$D$12/((('S-1 Assumptions'!$K$26*(VLOOKUP(A118,[1]!TOX,25,FALSE)))+('S-1 Assumptions'!$L$59*(VLOOKUP(A118,[1]!TOX,27,FALSE))))*(VLOOKUP(A118,[1]!TOX,12,FALSE))))</f>
        <v>0</v>
      </c>
      <c r="D118" s="161">
        <f>IF(ISERR(1/(VLOOKUP(A118,[1]!TOX,25,FALSE))),0,IF(VLOOKUP(A118,[1]!TOX,36,FALSE)="M",'[1]Target Risk'!$D$12/((((((('S-1 Assumptions'!$K$30*(VLOOKUP(A118,[1]!TOX,25,FALSE)))+('S-1 Assumptions'!$L$67*(VLOOKUP(A118,[1]!TOX,27,FALSE))))*10))+(((('S-1 Assumptions'!$K$31*(VLOOKUP(A118,[1]!TOX,25,FALSE)))+('S-1 Assumptions'!$L$68*(VLOOKUP(A118,[1]!TOX,27,FALSE))))*3))+(((('S-1 Assumptions'!$K$32*(VLOOKUP(A118,[1]!TOX,25,FALSE)))+('S-1 Assumptions'!$L$69*(VLOOKUP(A118,[1]!TOX,27,FALSE))))*3))+(((('S-1 Assumptions'!$K$33*(VLOOKUP(A118,[1]!TOX,25,FALSE)))+('S-1 Assumptions'!$L$70)*(VLOOKUP(A118,[1]!TOX,27,FALSE))))*1)))*(VLOOKUP(A118,[1]!TOX,12,FALSE))),0))</f>
        <v>0</v>
      </c>
      <c r="E118" s="162">
        <f>IF(ISERR(1/(VLOOKUP(A118,[1]!TOX,25,FALSE))),0,IF(VLOOKUP(A118,[1]!TOX,36,FALSE)="M",'[1]Target Risk'!$D$12/((((((('S-1 Assumptions'!$K$30*(VLOOKUP(A118,[1]!TOX,25,FALSE)))+('S-1 Assumptions'!$L$67*(VLOOKUP(A118,[1]!TOX,27,FALSE))))*10))+(((('S-1 Assumptions'!$K$31*(VLOOKUP(A118,[1]!TOX,25,FALSE)))+('S-1 Assumptions'!$L$68*(VLOOKUP(A118,[1]!TOX,27,FALSE))))*3))+(((('S-1 Assumptions'!$K$32*(VLOOKUP(A118,[1]!TOX,25,FALSE)))+('S-1 Assumptions'!$L$69*(VLOOKUP(A118,[1]!TOX,27,FALSE))))*3))+(((('S-1 Assumptions'!$K$33*(VLOOKUP(A118,[1]!TOX,25,FALSE)))+('S-1 Assumptions'!$L$70)*(VLOOKUP(A118,[1]!TOX,27,FALSE))))*1)))*(VLOOKUP(A118,[1]!TOX,12,FALSE))),('[1]Target Risk'!$D$12/((('S-1 Assumptions'!$K$26*(VLOOKUP(A118,[1]!TOX,25,FALSE)))+('S-1 Assumptions'!$L$59*(VLOOKUP(A118,[1]!TOX,27,FALSE))))*(VLOOKUP(A118,[1]!TOX,12,FALSE))))))</f>
        <v>0</v>
      </c>
      <c r="F118" s="308">
        <f>IF(B118=0,MIN(E118,(VLOOKUP(A118,[1]!TOX,71,FALSE))),IF(E118=0,MIN(B118,(VLOOKUP(A118,[1]!TOX,71,FALSE))),MIN(B118,E118,(VLOOKUP(A118,[1]!TOX,71,FALSE)))))</f>
        <v>6.8265118743480544</v>
      </c>
      <c r="G118" s="162" t="str">
        <f>IF(F118=B118,"Noncancer Risk",IF(F118=E118,"Cancer Risk",(VLOOKUP(A118,[1]!TOX,72,FALSE))))</f>
        <v>Noncancer Risk</v>
      </c>
      <c r="H118" s="309">
        <f>MAX(F118,(VLOOKUP(A118,[1]!TOX,50,FALSE)),(VLOOKUP(A118,[1]!TOX,39,FALSE)))</f>
        <v>8</v>
      </c>
      <c r="I118" s="310">
        <f t="shared" si="4"/>
        <v>8</v>
      </c>
      <c r="J118" s="165" t="str">
        <f>IF(H118=0,"Not Calculated",IF(H118=F118,G118,IF(H118=(VLOOKUP(A118,[1]!TOX,39,FALSE)),"Background","PQL")))</f>
        <v>PQL</v>
      </c>
    </row>
    <row r="119" spans="1:10" ht="12.5" x14ac:dyDescent="0.25">
      <c r="A119" s="50" t="s">
        <v>9</v>
      </c>
      <c r="B119" s="160">
        <f>IF(ISERR(1/+(VLOOKUP(A119,[1]!TOX,17,FALSE))),0,'[1]Target Risk'!$D$8*(VLOOKUP(A119,[1]!TOX,4,FALSE))/(('S-1 Assumptions'!$K$18*(VLOOKUP(A119,[1]!TOX,17,FALSE)))+('S-1 Assumptions'!$L$51*(VLOOKUP(A119,[1]!TOX,19,FALSE)))))</f>
        <v>5910.2705072797226</v>
      </c>
      <c r="C119" s="161">
        <f>IF(ISERR(1/(VLOOKUP(A119,[1]!TOX,25,FALSE))),0, '[1]Target Risk'!$D$12/((('S-1 Assumptions'!$K$26*(VLOOKUP(A119,[1]!TOX,25,FALSE)))+('S-1 Assumptions'!$L$59*(VLOOKUP(A119,[1]!TOX,27,FALSE))))*(VLOOKUP(A119,[1]!TOX,12,FALSE))))</f>
        <v>0</v>
      </c>
      <c r="D119" s="161">
        <f>IF(ISERR(1/(VLOOKUP(A119,[1]!TOX,25,FALSE))),0,IF(VLOOKUP(A119,[1]!TOX,36,FALSE)="M",'[1]Target Risk'!$D$12/((((((('S-1 Assumptions'!$K$30*(VLOOKUP(A119,[1]!TOX,25,FALSE)))+('S-1 Assumptions'!$L$67*(VLOOKUP(A119,[1]!TOX,27,FALSE))))*10))+(((('S-1 Assumptions'!$K$31*(VLOOKUP(A119,[1]!TOX,25,FALSE)))+('S-1 Assumptions'!$L$68*(VLOOKUP(A119,[1]!TOX,27,FALSE))))*3))+(((('S-1 Assumptions'!$K$32*(VLOOKUP(A119,[1]!TOX,25,FALSE)))+('S-1 Assumptions'!$L$69*(VLOOKUP(A119,[1]!TOX,27,FALSE))))*3))+(((('S-1 Assumptions'!$K$33*(VLOOKUP(A119,[1]!TOX,25,FALSE)))+('S-1 Assumptions'!$L$70)*(VLOOKUP(A119,[1]!TOX,27,FALSE))))*1)))*(VLOOKUP(A119,[1]!TOX,12,FALSE))),0))</f>
        <v>0</v>
      </c>
      <c r="E119" s="162">
        <f>IF(ISERR(1/(VLOOKUP(A119,[1]!TOX,25,FALSE))),0,IF(VLOOKUP(A119,[1]!TOX,36,FALSE)="M",'[1]Target Risk'!$D$12/((((((('S-1 Assumptions'!$K$30*(VLOOKUP(A119,[1]!TOX,25,FALSE)))+('S-1 Assumptions'!$L$67*(VLOOKUP(A119,[1]!TOX,27,FALSE))))*10))+(((('S-1 Assumptions'!$K$31*(VLOOKUP(A119,[1]!TOX,25,FALSE)))+('S-1 Assumptions'!$L$68*(VLOOKUP(A119,[1]!TOX,27,FALSE))))*3))+(((('S-1 Assumptions'!$K$32*(VLOOKUP(A119,[1]!TOX,25,FALSE)))+('S-1 Assumptions'!$L$69*(VLOOKUP(A119,[1]!TOX,27,FALSE))))*3))+(((('S-1 Assumptions'!$K$33*(VLOOKUP(A119,[1]!TOX,25,FALSE)))+('S-1 Assumptions'!$L$70)*(VLOOKUP(A119,[1]!TOX,27,FALSE))))*1)))*(VLOOKUP(A119,[1]!TOX,12,FALSE))),('[1]Target Risk'!$D$12/((('S-1 Assumptions'!$K$26*(VLOOKUP(A119,[1]!TOX,25,FALSE)))+('S-1 Assumptions'!$L$59*(VLOOKUP(A119,[1]!TOX,27,FALSE))))*(VLOOKUP(A119,[1]!TOX,12,FALSE))))))</f>
        <v>0</v>
      </c>
      <c r="F119" s="308">
        <f>IF(B119=0,MIN(E119,(VLOOKUP(A119,[1]!TOX,71,FALSE))),IF(E119=0,MIN(B119,(VLOOKUP(A119,[1]!TOX,71,FALSE))),MIN(B119,E119,(VLOOKUP(A119,[1]!TOX,71,FALSE)))))</f>
        <v>500</v>
      </c>
      <c r="G119" s="162" t="str">
        <f>IF(F119=B119,"Noncancer Risk",IF(F119=E119,"Cancer Risk",(VLOOKUP(A119,[1]!TOX,72,FALSE))))</f>
        <v>Ceiling (Medium)</v>
      </c>
      <c r="H119" s="309">
        <f>MAX(F119,(VLOOKUP(A119,[1]!TOX,50,FALSE)),(VLOOKUP(A119,[1]!TOX,39,FALSE)))</f>
        <v>500</v>
      </c>
      <c r="I119" s="310">
        <f t="shared" si="4"/>
        <v>500</v>
      </c>
      <c r="J119" s="165" t="str">
        <f>IF(H119=0,"Not Calculated",IF(H119=F119,G119,IF(H119=(VLOOKUP(A119,[1]!TOX,39,FALSE)),"Background","PQL")))</f>
        <v>Ceiling (Medium)</v>
      </c>
    </row>
    <row r="120" spans="1:10" ht="12.5" x14ac:dyDescent="0.25">
      <c r="A120" s="50" t="s">
        <v>8</v>
      </c>
      <c r="B120" s="160">
        <f>IF(ISERR(1/+(VLOOKUP(A120,[1]!TOX,17,FALSE))),0,'[1]Target Risk'!$D$8*(VLOOKUP(A120,[1]!TOX,4,FALSE))/(('S-1 Assumptions'!$K$18*(VLOOKUP(A120,[1]!TOX,17,FALSE)))+('S-1 Assumptions'!$L$51*(VLOOKUP(A120,[1]!TOX,19,FALSE)))))</f>
        <v>738.78381340996532</v>
      </c>
      <c r="C120" s="161">
        <f>IF(ISERR(1/(VLOOKUP(A120,[1]!TOX,25,FALSE))),0, '[1]Target Risk'!$D$12/((('S-1 Assumptions'!$K$26*(VLOOKUP(A120,[1]!TOX,25,FALSE)))+('S-1 Assumptions'!$L$59*(VLOOKUP(A120,[1]!TOX,27,FALSE))))*(VLOOKUP(A120,[1]!TOX,12,FALSE))))</f>
        <v>0</v>
      </c>
      <c r="D120" s="161">
        <f>IF(ISERR(1/(VLOOKUP(A120,[1]!TOX,25,FALSE))),0,IF(VLOOKUP(A120,[1]!TOX,36,FALSE)="M",'[1]Target Risk'!$D$12/((((((('S-1 Assumptions'!$K$30*(VLOOKUP(A120,[1]!TOX,25,FALSE)))+('S-1 Assumptions'!$L$67*(VLOOKUP(A120,[1]!TOX,27,FALSE))))*10))+(((('S-1 Assumptions'!$K$31*(VLOOKUP(A120,[1]!TOX,25,FALSE)))+('S-1 Assumptions'!$L$68*(VLOOKUP(A120,[1]!TOX,27,FALSE))))*3))+(((('S-1 Assumptions'!$K$32*(VLOOKUP(A120,[1]!TOX,25,FALSE)))+('S-1 Assumptions'!$L$69*(VLOOKUP(A120,[1]!TOX,27,FALSE))))*3))+(((('S-1 Assumptions'!$K$33*(VLOOKUP(A120,[1]!TOX,25,FALSE)))+('S-1 Assumptions'!$L$70)*(VLOOKUP(A120,[1]!TOX,27,FALSE))))*1)))*(VLOOKUP(A120,[1]!TOX,12,FALSE))),0))</f>
        <v>0</v>
      </c>
      <c r="E120" s="162">
        <f>IF(ISERR(1/(VLOOKUP(A120,[1]!TOX,25,FALSE))),0,IF(VLOOKUP(A120,[1]!TOX,36,FALSE)="M",'[1]Target Risk'!$D$12/((((((('S-1 Assumptions'!$K$30*(VLOOKUP(A120,[1]!TOX,25,FALSE)))+('S-1 Assumptions'!$L$67*(VLOOKUP(A120,[1]!TOX,27,FALSE))))*10))+(((('S-1 Assumptions'!$K$31*(VLOOKUP(A120,[1]!TOX,25,FALSE)))+('S-1 Assumptions'!$L$68*(VLOOKUP(A120,[1]!TOX,27,FALSE))))*3))+(((('S-1 Assumptions'!$K$32*(VLOOKUP(A120,[1]!TOX,25,FALSE)))+('S-1 Assumptions'!$L$69*(VLOOKUP(A120,[1]!TOX,27,FALSE))))*3))+(((('S-1 Assumptions'!$K$33*(VLOOKUP(A120,[1]!TOX,25,FALSE)))+('S-1 Assumptions'!$L$70)*(VLOOKUP(A120,[1]!TOX,27,FALSE))))*1)))*(VLOOKUP(A120,[1]!TOX,12,FALSE))),('[1]Target Risk'!$D$12/((('S-1 Assumptions'!$K$26*(VLOOKUP(A120,[1]!TOX,25,FALSE)))+('S-1 Assumptions'!$L$59*(VLOOKUP(A120,[1]!TOX,27,FALSE))))*(VLOOKUP(A120,[1]!TOX,12,FALSE))))))</f>
        <v>0</v>
      </c>
      <c r="F120" s="308">
        <f>IF(B120=0,MIN(E120,(VLOOKUP(A120,[1]!TOX,71,FALSE))),IF(E120=0,MIN(B120,(VLOOKUP(A120,[1]!TOX,71,FALSE))),MIN(B120,E120,(VLOOKUP(A120,[1]!TOX,71,FALSE)))))</f>
        <v>738.78381340996532</v>
      </c>
      <c r="G120" s="162" t="str">
        <f>IF(F120=B120,"Noncancer Risk",IF(F120=E120,"Cancer Risk",(VLOOKUP(A120,[1]!TOX,72,FALSE))))</f>
        <v>Noncancer Risk</v>
      </c>
      <c r="H120" s="309">
        <f>MAX(F120,(VLOOKUP(A120,[1]!TOX,50,FALSE)),(VLOOKUP(A120,[1]!TOX,39,FALSE)))</f>
        <v>738.78381340996532</v>
      </c>
      <c r="I120" s="310">
        <f t="shared" si="4"/>
        <v>700</v>
      </c>
      <c r="J120" s="165" t="str">
        <f>IF(H120=0,"Not Calculated",IF(H120=F120,G120,IF(H120=(VLOOKUP(A120,[1]!TOX,39,FALSE)),"Background","PQL")))</f>
        <v>Noncancer Risk</v>
      </c>
    </row>
    <row r="121" spans="1:10" ht="12.5" x14ac:dyDescent="0.25">
      <c r="A121" s="50" t="s">
        <v>7</v>
      </c>
      <c r="B121" s="160">
        <f>IF(ISERR(1/+(VLOOKUP(A121,[1]!TOX,17,FALSE))),0,'[1]Target Risk'!$D$8*(VLOOKUP(A121,[1]!TOX,4,FALSE))/(('S-1 Assumptions'!$K$18*(VLOOKUP(A121,[1]!TOX,17,FALSE)))+('S-1 Assumptions'!$L$51*(VLOOKUP(A121,[1]!TOX,19,FALSE)))))</f>
        <v>147756.76268199307</v>
      </c>
      <c r="C121" s="161">
        <f>IF(ISERR(1/(VLOOKUP(A121,[1]!TOX,25,FALSE))),0, '[1]Target Risk'!$D$12/((('S-1 Assumptions'!$K$26*(VLOOKUP(A121,[1]!TOX,25,FALSE)))+('S-1 Assumptions'!$L$59*(VLOOKUP(A121,[1]!TOX,27,FALSE))))*(VLOOKUP(A121,[1]!TOX,12,FALSE))))</f>
        <v>0</v>
      </c>
      <c r="D121" s="161">
        <f>IF(ISERR(1/(VLOOKUP(A121,[1]!TOX,25,FALSE))),0,IF(VLOOKUP(A121,[1]!TOX,36,FALSE)="M",'[1]Target Risk'!$D$12/((((((('S-1 Assumptions'!$K$30*(VLOOKUP(A121,[1]!TOX,25,FALSE)))+('S-1 Assumptions'!$L$67*(VLOOKUP(A121,[1]!TOX,27,FALSE))))*10))+(((('S-1 Assumptions'!$K$31*(VLOOKUP(A121,[1]!TOX,25,FALSE)))+('S-1 Assumptions'!$L$68*(VLOOKUP(A121,[1]!TOX,27,FALSE))))*3))+(((('S-1 Assumptions'!$K$32*(VLOOKUP(A121,[1]!TOX,25,FALSE)))+('S-1 Assumptions'!$L$69*(VLOOKUP(A121,[1]!TOX,27,FALSE))))*3))+(((('S-1 Assumptions'!$K$33*(VLOOKUP(A121,[1]!TOX,25,FALSE)))+('S-1 Assumptions'!$L$70)*(VLOOKUP(A121,[1]!TOX,27,FALSE))))*1)))*(VLOOKUP(A121,[1]!TOX,12,FALSE))),0))</f>
        <v>0</v>
      </c>
      <c r="E121" s="162">
        <f>IF(ISERR(1/(VLOOKUP(A121,[1]!TOX,25,FALSE))),0,IF(VLOOKUP(A121,[1]!TOX,36,FALSE)="M",'[1]Target Risk'!$D$12/((((((('S-1 Assumptions'!$K$30*(VLOOKUP(A121,[1]!TOX,25,FALSE)))+('S-1 Assumptions'!$L$67*(VLOOKUP(A121,[1]!TOX,27,FALSE))))*10))+(((('S-1 Assumptions'!$K$31*(VLOOKUP(A121,[1]!TOX,25,FALSE)))+('S-1 Assumptions'!$L$68*(VLOOKUP(A121,[1]!TOX,27,FALSE))))*3))+(((('S-1 Assumptions'!$K$32*(VLOOKUP(A121,[1]!TOX,25,FALSE)))+('S-1 Assumptions'!$L$69*(VLOOKUP(A121,[1]!TOX,27,FALSE))))*3))+(((('S-1 Assumptions'!$K$33*(VLOOKUP(A121,[1]!TOX,25,FALSE)))+('S-1 Assumptions'!$L$70)*(VLOOKUP(A121,[1]!TOX,27,FALSE))))*1)))*(VLOOKUP(A121,[1]!TOX,12,FALSE))),('[1]Target Risk'!$D$12/((('S-1 Assumptions'!$K$26*(VLOOKUP(A121,[1]!TOX,25,FALSE)))+('S-1 Assumptions'!$L$59*(VLOOKUP(A121,[1]!TOX,27,FALSE))))*(VLOOKUP(A121,[1]!TOX,12,FALSE))))))</f>
        <v>0</v>
      </c>
      <c r="F121" s="308">
        <f>IF(B121=0,MIN(E121,(VLOOKUP(A121,[1]!TOX,71,FALSE))),IF(E121=0,MIN(B121,(VLOOKUP(A121,[1]!TOX,71,FALSE))),MIN(B121,E121,(VLOOKUP(A121,[1]!TOX,71,FALSE)))))</f>
        <v>500</v>
      </c>
      <c r="G121" s="162" t="str">
        <f>IF(F121=B121,"Noncancer Risk",IF(F121=E121,"Cancer Risk",(VLOOKUP(A121,[1]!TOX,72,FALSE))))</f>
        <v>Ceiling (Medium)</v>
      </c>
      <c r="H121" s="309">
        <f>MAX(F121,(VLOOKUP(A121,[1]!TOX,50,FALSE)),(VLOOKUP(A121,[1]!TOX,39,FALSE)))</f>
        <v>500</v>
      </c>
      <c r="I121" s="310">
        <f t="shared" si="4"/>
        <v>500</v>
      </c>
      <c r="J121" s="165" t="str">
        <f>IF(H121=0,"Not Calculated",IF(H121=F121,G121,IF(H121=(VLOOKUP(A121,[1]!TOX,39,FALSE)),"Background","PQL")))</f>
        <v>Ceiling (Medium)</v>
      </c>
    </row>
    <row r="122" spans="1:10" ht="12.5" x14ac:dyDescent="0.25">
      <c r="A122" s="50" t="s">
        <v>6</v>
      </c>
      <c r="B122" s="160">
        <f>IF(ISERR(1/+(VLOOKUP(A122,[1]!TOX,17,FALSE))),0,'[1]Target Risk'!$D$8*(VLOOKUP(A122,[1]!TOX,4,FALSE))/(('S-1 Assumptions'!$K$18*(VLOOKUP(A122,[1]!TOX,17,FALSE)))+('S-1 Assumptions'!$L$51*(VLOOKUP(A122,[1]!TOX,19,FALSE)))))</f>
        <v>295.51352536398616</v>
      </c>
      <c r="C122" s="161">
        <f>IF(ISERR(1/(VLOOKUP(A122,[1]!TOX,25,FALSE))),0, '[1]Target Risk'!$D$12/((('S-1 Assumptions'!$K$26*(VLOOKUP(A122,[1]!TOX,25,FALSE)))+('S-1 Assumptions'!$L$59*(VLOOKUP(A122,[1]!TOX,27,FALSE))))*(VLOOKUP(A122,[1]!TOX,12,FALSE))))</f>
        <v>40.310066100601411</v>
      </c>
      <c r="D122" s="161">
        <f>IF(ISERR(1/(VLOOKUP(A122,[1]!TOX,25,FALSE))),0,IF(VLOOKUP(A122,[1]!TOX,36,FALSE)="M",'[1]Target Risk'!$D$12/((((((('S-1 Assumptions'!$K$30*(VLOOKUP(A122,[1]!TOX,25,FALSE)))+('S-1 Assumptions'!$L$67*(VLOOKUP(A122,[1]!TOX,27,FALSE))))*10))+(((('S-1 Assumptions'!$K$31*(VLOOKUP(A122,[1]!TOX,25,FALSE)))+('S-1 Assumptions'!$L$68*(VLOOKUP(A122,[1]!TOX,27,FALSE))))*3))+(((('S-1 Assumptions'!$K$32*(VLOOKUP(A122,[1]!TOX,25,FALSE)))+('S-1 Assumptions'!$L$69*(VLOOKUP(A122,[1]!TOX,27,FALSE))))*3))+(((('S-1 Assumptions'!$K$33*(VLOOKUP(A122,[1]!TOX,25,FALSE)))+('S-1 Assumptions'!$L$70)*(VLOOKUP(A122,[1]!TOX,27,FALSE))))*1)))*(VLOOKUP(A122,[1]!TOX,12,FALSE))),0))</f>
        <v>0</v>
      </c>
      <c r="E122" s="162">
        <f>IF(ISERR(1/(VLOOKUP(A122,[1]!TOX,25,FALSE))),0,IF(VLOOKUP(A122,[1]!TOX,36,FALSE)="M",'[1]Target Risk'!$D$12/((((((('S-1 Assumptions'!$K$30*(VLOOKUP(A122,[1]!TOX,25,FALSE)))+('S-1 Assumptions'!$L$67*(VLOOKUP(A122,[1]!TOX,27,FALSE))))*10))+(((('S-1 Assumptions'!$K$31*(VLOOKUP(A122,[1]!TOX,25,FALSE)))+('S-1 Assumptions'!$L$68*(VLOOKUP(A122,[1]!TOX,27,FALSE))))*3))+(((('S-1 Assumptions'!$K$32*(VLOOKUP(A122,[1]!TOX,25,FALSE)))+('S-1 Assumptions'!$L$69*(VLOOKUP(A122,[1]!TOX,27,FALSE))))*3))+(((('S-1 Assumptions'!$K$33*(VLOOKUP(A122,[1]!TOX,25,FALSE)))+('S-1 Assumptions'!$L$70)*(VLOOKUP(A122,[1]!TOX,27,FALSE))))*1)))*(VLOOKUP(A122,[1]!TOX,12,FALSE))),('[1]Target Risk'!$D$12/((('S-1 Assumptions'!$K$26*(VLOOKUP(A122,[1]!TOX,25,FALSE)))+('S-1 Assumptions'!$L$59*(VLOOKUP(A122,[1]!TOX,27,FALSE))))*(VLOOKUP(A122,[1]!TOX,12,FALSE))))))</f>
        <v>40.310066100601411</v>
      </c>
      <c r="F122" s="308">
        <f>IF(B122=0,MIN(E122,(VLOOKUP(A122,[1]!TOX,71,FALSE))),IF(E122=0,MIN(B122,(VLOOKUP(A122,[1]!TOX,71,FALSE))),MIN(B122,E122,(VLOOKUP(A122,[1]!TOX,71,FALSE)))))</f>
        <v>40.310066100601411</v>
      </c>
      <c r="G122" s="162" t="str">
        <f>IF(F122=B122,"Noncancer Risk",IF(F122=E122,"Cancer Risk",(VLOOKUP(A122,[1]!TOX,72,FALSE))))</f>
        <v>Cancer Risk</v>
      </c>
      <c r="H122" s="309">
        <f>MAX(F122,(VLOOKUP(A122,[1]!TOX,50,FALSE)),(VLOOKUP(A122,[1]!TOX,39,FALSE)))</f>
        <v>40.310066100601411</v>
      </c>
      <c r="I122" s="310">
        <f t="shared" si="4"/>
        <v>40</v>
      </c>
      <c r="J122" s="165" t="str">
        <f>IF(H122=0,"Not Calculated",IF(H122=F122,G122,IF(H122=(VLOOKUP(A122,[1]!TOX,39,FALSE)),"Background","PQL")))</f>
        <v>Cancer Risk</v>
      </c>
    </row>
    <row r="123" spans="1:10" ht="12.5" x14ac:dyDescent="0.25">
      <c r="A123" s="50" t="s">
        <v>5</v>
      </c>
      <c r="B123" s="160">
        <f>IF(ISERR(1/+(VLOOKUP(A123,[1]!TOX,17,FALSE))),0,'[1]Target Risk'!$D$8*(VLOOKUP(A123,[1]!TOX,4,FALSE))/(('S-1 Assumptions'!$K$18*(VLOOKUP(A123,[1]!TOX,17,FALSE)))+('S-1 Assumptions'!$L$51*(VLOOKUP(A123,[1]!TOX,19,FALSE)))))</f>
        <v>36.93919067049827</v>
      </c>
      <c r="C123" s="348"/>
      <c r="D123" s="161">
        <f>'S-1 TCE &amp; VC'!E7</f>
        <v>33.841964004748903</v>
      </c>
      <c r="E123" s="162">
        <f>'S-1 TCE &amp; VC'!E7</f>
        <v>33.841964004748903</v>
      </c>
      <c r="F123" s="308">
        <f>IF(B123=0,MIN(E123,(VLOOKUP(A123,[1]!TOX,71,FALSE))),IF(E123=0,MIN(B123,(VLOOKUP(A123,[1]!TOX,71,FALSE))),MIN(B123,E123,(VLOOKUP(A123,[1]!TOX,71,FALSE)))))</f>
        <v>33.841964004748903</v>
      </c>
      <c r="G123" s="162" t="str">
        <f>IF(F123=B123,"Noncancer Risk",IF(F123=E123,"Cancer Risk",(VLOOKUP(A123,[1]!TOX,72,FALSE))))</f>
        <v>Cancer Risk</v>
      </c>
      <c r="H123" s="309">
        <f>MAX(F123,(VLOOKUP(A123,[1]!TOX,50,FALSE)),(VLOOKUP(A123,[1]!TOX,39,FALSE)))</f>
        <v>33.841964004748903</v>
      </c>
      <c r="I123" s="310">
        <f t="shared" si="4"/>
        <v>30</v>
      </c>
      <c r="J123" s="165" t="str">
        <f>IF(H123=0,"Not Calculated",IF(H123=F123,G123,IF(H123=(VLOOKUP(A123,[1]!TOX,39,FALSE)),"Background","PQL")))</f>
        <v>Cancer Risk</v>
      </c>
    </row>
    <row r="124" spans="1:10" ht="12.5" x14ac:dyDescent="0.25">
      <c r="A124" s="50" t="s">
        <v>4</v>
      </c>
      <c r="B124" s="160">
        <f>IF(ISERR(1/+(VLOOKUP(A124,[1]!TOX,17,FALSE))),0,'[1]Target Risk'!$D$8*(VLOOKUP(A124,[1]!TOX,4,FALSE))/(('S-1 Assumptions'!$K$18*(VLOOKUP(A124,[1]!TOX,17,FALSE)))+('S-1 Assumptions'!$L$51*(VLOOKUP(A124,[1]!TOX,19,FALSE)))))</f>
        <v>2627.3061138878288</v>
      </c>
      <c r="C124" s="161">
        <f>IF(ISERR(1/(VLOOKUP(A124,[1]!TOX,25,FALSE))),0, '[1]Target Risk'!$D$12/((('S-1 Assumptions'!$K$26*(VLOOKUP(A124,[1]!TOX,25,FALSE)))+('S-1 Assumptions'!$L$59*(VLOOKUP(A124,[1]!TOX,27,FALSE))))*(VLOOKUP(A124,[1]!TOX,12,FALSE))))</f>
        <v>0</v>
      </c>
      <c r="D124" s="161">
        <f>IF(ISERR(1/(VLOOKUP(A124,[1]!TOX,25,FALSE))),0,IF(VLOOKUP(A124,[1]!TOX,36,FALSE)="M",'[1]Target Risk'!$D$12/((((((('S-1 Assumptions'!$K$30*(VLOOKUP(A124,[1]!TOX,25,FALSE)))+('S-1 Assumptions'!$L$67*(VLOOKUP(A124,[1]!TOX,27,FALSE))))*10))+(((('S-1 Assumptions'!$K$31*(VLOOKUP(A124,[1]!TOX,25,FALSE)))+('S-1 Assumptions'!$L$68*(VLOOKUP(A124,[1]!TOX,27,FALSE))))*3))+(((('S-1 Assumptions'!$K$32*(VLOOKUP(A124,[1]!TOX,25,FALSE)))+('S-1 Assumptions'!$L$69*(VLOOKUP(A124,[1]!TOX,27,FALSE))))*3))+(((('S-1 Assumptions'!$K$33*(VLOOKUP(A124,[1]!TOX,25,FALSE)))+('S-1 Assumptions'!$L$70)*(VLOOKUP(A124,[1]!TOX,27,FALSE))))*1)))*(VLOOKUP(A124,[1]!TOX,12,FALSE))),0))</f>
        <v>0</v>
      </c>
      <c r="E124" s="162">
        <f>IF(ISERR(1/(VLOOKUP(A124,[1]!TOX,25,FALSE))),0,IF(VLOOKUP(A124,[1]!TOX,36,FALSE)="M",'[1]Target Risk'!$D$12/((((((('S-1 Assumptions'!$K$30*(VLOOKUP(A124,[1]!TOX,25,FALSE)))+('S-1 Assumptions'!$L$67*(VLOOKUP(A124,[1]!TOX,27,FALSE))))*10))+(((('S-1 Assumptions'!$K$31*(VLOOKUP(A124,[1]!TOX,25,FALSE)))+('S-1 Assumptions'!$L$68*(VLOOKUP(A124,[1]!TOX,27,FALSE))))*3))+(((('S-1 Assumptions'!$K$32*(VLOOKUP(A124,[1]!TOX,25,FALSE)))+('S-1 Assumptions'!$L$69*(VLOOKUP(A124,[1]!TOX,27,FALSE))))*3))+(((('S-1 Assumptions'!$K$33*(VLOOKUP(A124,[1]!TOX,25,FALSE)))+('S-1 Assumptions'!$L$70)*(VLOOKUP(A124,[1]!TOX,27,FALSE))))*1)))*(VLOOKUP(A124,[1]!TOX,12,FALSE))),('[1]Target Risk'!$D$12/((('S-1 Assumptions'!$K$26*(VLOOKUP(A124,[1]!TOX,25,FALSE)))+('S-1 Assumptions'!$L$59*(VLOOKUP(A124,[1]!TOX,27,FALSE))))*(VLOOKUP(A124,[1]!TOX,12,FALSE))))))</f>
        <v>0</v>
      </c>
      <c r="F124" s="308">
        <f>IF(B124=0,MIN(E124,(VLOOKUP(A124,[1]!TOX,71,FALSE))),IF(E124=0,MIN(B124,(VLOOKUP(A124,[1]!TOX,71,FALSE))),MIN(B124,E124,(VLOOKUP(A124,[1]!TOX,71,FALSE)))))</f>
        <v>1000</v>
      </c>
      <c r="G124" s="162" t="str">
        <f>IF(F124=B124,"Noncancer Risk",IF(F124=E124,"Cancer Risk",(VLOOKUP(A124,[1]!TOX,72,FALSE))))</f>
        <v>Ceiling (High)</v>
      </c>
      <c r="H124" s="309">
        <f>MAX(F124,(VLOOKUP(A124,[1]!TOX,50,FALSE)),(VLOOKUP(A124,[1]!TOX,39,FALSE)))</f>
        <v>1000</v>
      </c>
      <c r="I124" s="310">
        <f t="shared" si="4"/>
        <v>1000</v>
      </c>
      <c r="J124" s="165" t="str">
        <f>IF(H124=0,"Not Calculated",IF(H124=F124,G124,IF(H124=(VLOOKUP(A124,[1]!TOX,39,FALSE)),"Background","PQL")))</f>
        <v>Ceiling (High)</v>
      </c>
    </row>
    <row r="125" spans="1:10" ht="12.5" x14ac:dyDescent="0.25">
      <c r="A125" s="50" t="s">
        <v>3</v>
      </c>
      <c r="B125" s="160">
        <f>IF(ISERR(1/+(VLOOKUP(A125,[1]!TOX,17,FALSE))),0,'[1]Target Risk'!$D$8*(VLOOKUP(A125,[1]!TOX,4,FALSE))/(('S-1 Assumptions'!$K$18*(VLOOKUP(A125,[1]!TOX,17,FALSE)))+('S-1 Assumptions'!$L$51*(VLOOKUP(A125,[1]!TOX,19,FALSE)))))</f>
        <v>26.273061138878283</v>
      </c>
      <c r="C125" s="161">
        <f>IF(ISERR(1/(VLOOKUP(A125,[1]!TOX,25,FALSE))),0, '[1]Target Risk'!$D$12/((('S-1 Assumptions'!$K$26*(VLOOKUP(A125,[1]!TOX,25,FALSE)))+('S-1 Assumptions'!$L$59*(VLOOKUP(A125,[1]!TOX,27,FALSE))))*(VLOOKUP(A125,[1]!TOX,12,FALSE))))</f>
        <v>67.392918012123076</v>
      </c>
      <c r="D125" s="161">
        <f>IF(ISERR(1/(VLOOKUP(A125,[1]!TOX,25,FALSE))),0,IF(VLOOKUP(A125,[1]!TOX,36,FALSE)="M",'[1]Target Risk'!$D$12/((((((('S-1 Assumptions'!$K$30*(VLOOKUP(A125,[1]!TOX,25,FALSE)))+('S-1 Assumptions'!$L$67*(VLOOKUP(A125,[1]!TOX,27,FALSE))))*10))+(((('S-1 Assumptions'!$K$31*(VLOOKUP(A125,[1]!TOX,25,FALSE)))+('S-1 Assumptions'!$L$68*(VLOOKUP(A125,[1]!TOX,27,FALSE))))*3))+(((('S-1 Assumptions'!$K$32*(VLOOKUP(A125,[1]!TOX,25,FALSE)))+('S-1 Assumptions'!$L$69*(VLOOKUP(A125,[1]!TOX,27,FALSE))))*3))+(((('S-1 Assumptions'!$K$33*(VLOOKUP(A125,[1]!TOX,25,FALSE)))+('S-1 Assumptions'!$L$70)*(VLOOKUP(A125,[1]!TOX,27,FALSE))))*1)))*(VLOOKUP(A125,[1]!TOX,12,FALSE))),0))</f>
        <v>0</v>
      </c>
      <c r="E125" s="162">
        <f>IF(ISERR(1/(VLOOKUP(A125,[1]!TOX,25,FALSE))),0,IF(VLOOKUP(A125,[1]!TOX,36,FALSE)="M",'[1]Target Risk'!$D$12/((((((('S-1 Assumptions'!$K$30*(VLOOKUP(A125,[1]!TOX,25,FALSE)))+('S-1 Assumptions'!$L$67*(VLOOKUP(A125,[1]!TOX,27,FALSE))))*10))+(((('S-1 Assumptions'!$K$31*(VLOOKUP(A125,[1]!TOX,25,FALSE)))+('S-1 Assumptions'!$L$68*(VLOOKUP(A125,[1]!TOX,27,FALSE))))*3))+(((('S-1 Assumptions'!$K$32*(VLOOKUP(A125,[1]!TOX,25,FALSE)))+('S-1 Assumptions'!$L$69*(VLOOKUP(A125,[1]!TOX,27,FALSE))))*3))+(((('S-1 Assumptions'!$K$33*(VLOOKUP(A125,[1]!TOX,25,FALSE)))+('S-1 Assumptions'!$L$70)*(VLOOKUP(A125,[1]!TOX,27,FALSE))))*1)))*(VLOOKUP(A125,[1]!TOX,12,FALSE))),('[1]Target Risk'!$D$12/((('S-1 Assumptions'!$K$26*(VLOOKUP(A125,[1]!TOX,25,FALSE)))+('S-1 Assumptions'!$L$59*(VLOOKUP(A125,[1]!TOX,27,FALSE))))*(VLOOKUP(A125,[1]!TOX,12,FALSE))))))</f>
        <v>67.392918012123076</v>
      </c>
      <c r="F125" s="308">
        <f>IF(B125=0,MIN(E125,(VLOOKUP(A125,[1]!TOX,71,FALSE))),IF(E125=0,MIN(B125,(VLOOKUP(A125,[1]!TOX,71,FALSE))),MIN(B125,E125,(VLOOKUP(A125,[1]!TOX,71,FALSE)))))</f>
        <v>26.273061138878283</v>
      </c>
      <c r="G125" s="162" t="str">
        <f>IF(F125=B125,"Noncancer Risk",IF(F125=E125,"Cancer Risk",(VLOOKUP(A125,[1]!TOX,72,FALSE))))</f>
        <v>Noncancer Risk</v>
      </c>
      <c r="H125" s="309">
        <f>MAX(F125,(VLOOKUP(A125,[1]!TOX,50,FALSE)),(VLOOKUP(A125,[1]!TOX,39,FALSE)))</f>
        <v>26.273061138878283</v>
      </c>
      <c r="I125" s="310">
        <f t="shared" si="4"/>
        <v>30</v>
      </c>
      <c r="J125" s="165" t="str">
        <f>IF(H125=0,"Not Calculated",IF(H125=F125,G125,IF(H125=(VLOOKUP(A125,[1]!TOX,39,FALSE)),"Background","PQL")))</f>
        <v>Noncancer Risk</v>
      </c>
    </row>
    <row r="126" spans="1:10" ht="12.5" x14ac:dyDescent="0.25">
      <c r="A126" s="50" t="s">
        <v>2</v>
      </c>
      <c r="B126" s="160">
        <f>IF(ISERR(1/+(VLOOKUP(A126,[1]!TOX,17,FALSE))),0,'[1]Target Risk'!$D$8*(VLOOKUP(A126,[1]!TOX,4,FALSE))/(('S-1 Assumptions'!$K$18*(VLOOKUP(A126,[1]!TOX,17,FALSE)))+('S-1 Assumptions'!$L$51*(VLOOKUP(A126,[1]!TOX,19,FALSE)))))</f>
        <v>452.38946262578838</v>
      </c>
      <c r="C126" s="161">
        <f>IF(ISERR(1/(VLOOKUP(A126,[1]!TOX,25,FALSE))),0, '[1]Target Risk'!$D$12/((('S-1 Assumptions'!$K$26*(VLOOKUP(A126,[1]!TOX,25,FALSE)))+('S-1 Assumptions'!$L$59*(VLOOKUP(A126,[1]!TOX,27,FALSE))))*(VLOOKUP(A126,[1]!TOX,12,FALSE))))</f>
        <v>0</v>
      </c>
      <c r="D126" s="161">
        <f>IF(ISERR(1/(VLOOKUP(A126,[1]!TOX,25,FALSE))),0,IF(VLOOKUP(A126,[1]!TOX,36,FALSE)="M",'[1]Target Risk'!$D$12/((((((('S-1 Assumptions'!$K$30*(VLOOKUP(A126,[1]!TOX,25,FALSE)))+('S-1 Assumptions'!$L$67*(VLOOKUP(A126,[1]!TOX,27,FALSE))))*10))+(((('S-1 Assumptions'!$K$31*(VLOOKUP(A126,[1]!TOX,25,FALSE)))+('S-1 Assumptions'!$L$68*(VLOOKUP(A126,[1]!TOX,27,FALSE))))*3))+(((('S-1 Assumptions'!$K$32*(VLOOKUP(A126,[1]!TOX,25,FALSE)))+('S-1 Assumptions'!$L$69*(VLOOKUP(A126,[1]!TOX,27,FALSE))))*3))+(((('S-1 Assumptions'!$K$33*(VLOOKUP(A126,[1]!TOX,25,FALSE)))+('S-1 Assumptions'!$L$70)*(VLOOKUP(A126,[1]!TOX,27,FALSE))))*1)))*(VLOOKUP(A126,[1]!TOX,12,FALSE))),0))</f>
        <v>0</v>
      </c>
      <c r="E126" s="162">
        <f>IF(ISERR(1/(VLOOKUP(A126,[1]!TOX,25,FALSE))),0,IF(VLOOKUP(A126,[1]!TOX,36,FALSE)="M",'[1]Target Risk'!$D$12/((((((('S-1 Assumptions'!$K$30*(VLOOKUP(A126,[1]!TOX,25,FALSE)))+('S-1 Assumptions'!$L$67*(VLOOKUP(A126,[1]!TOX,27,FALSE))))*10))+(((('S-1 Assumptions'!$K$31*(VLOOKUP(A126,[1]!TOX,25,FALSE)))+('S-1 Assumptions'!$L$68*(VLOOKUP(A126,[1]!TOX,27,FALSE))))*3))+(((('S-1 Assumptions'!$K$32*(VLOOKUP(A126,[1]!TOX,25,FALSE)))+('S-1 Assumptions'!$L$69*(VLOOKUP(A126,[1]!TOX,27,FALSE))))*3))+(((('S-1 Assumptions'!$K$33*(VLOOKUP(A126,[1]!TOX,25,FALSE)))+('S-1 Assumptions'!$L$70)*(VLOOKUP(A126,[1]!TOX,27,FALSE))))*1)))*(VLOOKUP(A126,[1]!TOX,12,FALSE))),('[1]Target Risk'!$D$12/((('S-1 Assumptions'!$K$26*(VLOOKUP(A126,[1]!TOX,25,FALSE)))+('S-1 Assumptions'!$L$59*(VLOOKUP(A126,[1]!TOX,27,FALSE))))*(VLOOKUP(A126,[1]!TOX,12,FALSE))))))</f>
        <v>0</v>
      </c>
      <c r="F126" s="308">
        <f>IF(B126=0,MIN(E126,(VLOOKUP(A126,[1]!TOX,71,FALSE))),IF(E126=0,MIN(B126,(VLOOKUP(A126,[1]!TOX,71,FALSE))),MIN(B126,E126,(VLOOKUP(A126,[1]!TOX,71,FALSE)))))</f>
        <v>452.38946262578838</v>
      </c>
      <c r="G126" s="162" t="str">
        <f>IF(F126=B126,"Noncancer Risk",IF(F126=E126,"Cancer Risk",(VLOOKUP(A126,[1]!TOX,72,FALSE))))</f>
        <v>Noncancer Risk</v>
      </c>
      <c r="H126" s="309">
        <f>MAX(F126,(VLOOKUP(A126,[1]!TOX,50,FALSE)),(VLOOKUP(A126,[1]!TOX,39,FALSE)))</f>
        <v>452.38946262578838</v>
      </c>
      <c r="I126" s="310">
        <f t="shared" si="4"/>
        <v>500</v>
      </c>
      <c r="J126" s="165" t="str">
        <f>IF(H126=0,"Not Calculated",IF(H126=F126,G126,IF(H126=(VLOOKUP(A126,[1]!TOX,39,FALSE)),"Background","PQL")))</f>
        <v>Noncancer Risk</v>
      </c>
    </row>
    <row r="127" spans="1:10" ht="12.5" x14ac:dyDescent="0.25">
      <c r="A127" s="50" t="s">
        <v>1</v>
      </c>
      <c r="B127" s="160">
        <f>IF(ISERR(1/+(VLOOKUP(A127,[1]!TOX,17,FALSE))),0,'[1]Target Risk'!$D$8*(VLOOKUP(A127,[1]!TOX,4,FALSE))/(('S-1 Assumptions'!$K$18*(VLOOKUP(A127,[1]!TOX,17,FALSE)))+('S-1 Assumptions'!$L$51*(VLOOKUP(A127,[1]!TOX,19,FALSE)))))</f>
        <v>221.63514402298961</v>
      </c>
      <c r="C127" s="348">
        <f>IF(ISERR(1/(VLOOKUP(A127,[1]!TOX,25,FALSE))),0, '[1]Target Risk'!$D$12/((('S-1 Assumptions'!$K$26*(VLOOKUP(A127,[1]!TOX,25,FALSE)))+('S-1 Assumptions'!$L$59*(VLOOKUP(A127,[1]!TOX,27,FALSE))))*(VLOOKUP(A127,[1]!TOX,12,FALSE))))</f>
        <v>3.1912135662976113</v>
      </c>
      <c r="D127" s="161">
        <f>'S-1 TCE &amp; VC'!D13</f>
        <v>0.3083876889203595</v>
      </c>
      <c r="E127" s="162">
        <f>'S-1 TCE &amp; VC'!D13</f>
        <v>0.3083876889203595</v>
      </c>
      <c r="F127" s="308">
        <f>IF(B127=0,MIN(E127,(VLOOKUP(A127,[1]!TOX,71,FALSE))),IF(E127=0,MIN(B127,(VLOOKUP(A127,[1]!TOX,71,FALSE))),MIN(B127,E127,(VLOOKUP(A127,[1]!TOX,71,FALSE)))))</f>
        <v>0.3083876889203595</v>
      </c>
      <c r="G127" s="162" t="str">
        <f>IF(F127=B127,"Noncancer Risk",IF(F127=E127,"Cancer Risk",(VLOOKUP(A127,[1]!TOX,72,FALSE))))</f>
        <v>Cancer Risk</v>
      </c>
      <c r="H127" s="309">
        <f>MAX(F127,(VLOOKUP(A127,[1]!TOX,50,FALSE)),(VLOOKUP(A127,[1]!TOX,39,FALSE)))</f>
        <v>0.3083876889203595</v>
      </c>
      <c r="I127" s="310">
        <f t="shared" si="4"/>
        <v>0.3</v>
      </c>
      <c r="J127" s="165" t="str">
        <f>IF(H127=0,"Not Calculated",IF(H127=F127,G127,IF(H127=(VLOOKUP(A127,[1]!TOX,39,FALSE)),"Background","PQL")))</f>
        <v>Cancer Risk</v>
      </c>
    </row>
    <row r="128" spans="1:10" ht="12.5" x14ac:dyDescent="0.25">
      <c r="A128" s="50" t="s">
        <v>291</v>
      </c>
      <c r="B128" s="160">
        <f>IF(ISERR(1/+(VLOOKUP(A128,[1]!TOX,17,FALSE))),0,'[1]Target Risk'!$D$8*(VLOOKUP(A128,[1]!TOX,4,FALSE))/(('S-1 Assumptions'!$K$18*(VLOOKUP(A128,[1]!TOX,17,FALSE)))+('S-1 Assumptions'!$L$51*(VLOOKUP(A128,[1]!TOX,19,FALSE)))))</f>
        <v>14775.67626819931</v>
      </c>
      <c r="C128" s="161">
        <f>IF(ISERR(1/(VLOOKUP(A128,[1]!TOX,25,FALSE))),0, '[1]Target Risk'!$D$12/((('S-1 Assumptions'!$K$26*(VLOOKUP(A128,[1]!TOX,25,FALSE)))+('S-1 Assumptions'!$L$59*(VLOOKUP(A128,[1]!TOX,27,FALSE))))*(VLOOKUP(A128,[1]!TOX,12,FALSE))))</f>
        <v>0</v>
      </c>
      <c r="D128" s="161">
        <f>IF(ISERR(1/(VLOOKUP(A128,[1]!TOX,25,FALSE))),0,IF(VLOOKUP(A128,[1]!TOX,36,FALSE)="M",'[1]Target Risk'!$D$12/((((((('S-1 Assumptions'!$K$30*(VLOOKUP(A128,[1]!TOX,25,FALSE)))+('S-1 Assumptions'!$L$67*(VLOOKUP(A128,[1]!TOX,27,FALSE))))*10))+(((('S-1 Assumptions'!$K$31*(VLOOKUP(A128,[1]!TOX,25,FALSE)))+('S-1 Assumptions'!$L$68*(VLOOKUP(A128,[1]!TOX,27,FALSE))))*3))+(((('S-1 Assumptions'!$K$32*(VLOOKUP(A128,[1]!TOX,25,FALSE)))+('S-1 Assumptions'!$L$69*(VLOOKUP(A128,[1]!TOX,27,FALSE))))*3))+(((('S-1 Assumptions'!$K$33*(VLOOKUP(A128,[1]!TOX,25,FALSE)))+('S-1 Assumptions'!$L$70)*(VLOOKUP(A128,[1]!TOX,27,FALSE))))*1)))*(VLOOKUP(A128,[1]!TOX,12,FALSE))),0))</f>
        <v>0</v>
      </c>
      <c r="E128" s="162">
        <f>IF(ISERR(1/(VLOOKUP(A128,[1]!TOX,25,FALSE))),0,IF(VLOOKUP(A128,[1]!TOX,36,FALSE)="M",'[1]Target Risk'!$D$12/((((((('S-1 Assumptions'!$K$30*(VLOOKUP(A128,[1]!TOX,25,FALSE)))+('S-1 Assumptions'!$L$67*(VLOOKUP(A128,[1]!TOX,27,FALSE))))*10))+(((('S-1 Assumptions'!$K$31*(VLOOKUP(A128,[1]!TOX,25,FALSE)))+('S-1 Assumptions'!$L$68*(VLOOKUP(A128,[1]!TOX,27,FALSE))))*3))+(((('S-1 Assumptions'!$K$32*(VLOOKUP(A128,[1]!TOX,25,FALSE)))+('S-1 Assumptions'!$L$69*(VLOOKUP(A128,[1]!TOX,27,FALSE))))*3))+(((('S-1 Assumptions'!$K$33*(VLOOKUP(A128,[1]!TOX,25,FALSE)))+('S-1 Assumptions'!$L$70)*(VLOOKUP(A128,[1]!TOX,27,FALSE))))*1)))*(VLOOKUP(A128,[1]!TOX,12,FALSE))),('[1]Target Risk'!$D$12/((('S-1 Assumptions'!$K$26*(VLOOKUP(A128,[1]!TOX,25,FALSE)))+('S-1 Assumptions'!$L$59*(VLOOKUP(A128,[1]!TOX,27,FALSE))))*(VLOOKUP(A128,[1]!TOX,12,FALSE))))))</f>
        <v>0</v>
      </c>
      <c r="F128" s="308">
        <f>IF(B128=0,MIN(E128,(VLOOKUP(A128,[1]!TOX,71,FALSE))),IF(E128=0,MIN(B128,(VLOOKUP(A128,[1]!TOX,71,FALSE))),MIN(B128,E128,(VLOOKUP(A128,[1]!TOX,71,FALSE)))))</f>
        <v>500</v>
      </c>
      <c r="G128" s="162" t="str">
        <f>IF(F128=B128,"Noncancer Risk",IF(F128=E128,"Cancer Risk",(VLOOKUP(A128,[1]!TOX,72,FALSE))))</f>
        <v>Ceiling (Medium)</v>
      </c>
      <c r="H128" s="309">
        <f>MAX(F128,(VLOOKUP(A128,[1]!TOX,50,FALSE)),(VLOOKUP(A128,[1]!TOX,39,FALSE)))</f>
        <v>500</v>
      </c>
      <c r="I128" s="310">
        <f t="shared" si="4"/>
        <v>500</v>
      </c>
      <c r="J128" s="165" t="str">
        <f>IF(H128=0,"Not Calculated",IF(H128=F128,G128,IF(H128=(VLOOKUP(A128,[1]!TOX,39,FALSE)),"Background","PQL")))</f>
        <v>Ceiling (Medium)</v>
      </c>
    </row>
    <row r="129" spans="1:10" thickBot="1" x14ac:dyDescent="0.3">
      <c r="A129" s="57" t="s">
        <v>0</v>
      </c>
      <c r="B129" s="166">
        <f>IF(ISERR(1/+(VLOOKUP(A129,[1]!TOX,17,FALSE))),0,'[1]Target Risk'!$D$8*(VLOOKUP(A129,[1]!TOX,4,FALSE))/(('S-1 Assumptions'!$K$18*(VLOOKUP(A129,[1]!TOX,17,FALSE)))+('S-1 Assumptions'!$L$51*(VLOOKUP(A129,[1]!TOX,19,FALSE)))))</f>
        <v>15079.648754192947</v>
      </c>
      <c r="C129" s="167">
        <f>IF(ISERR(1/(VLOOKUP(A129,[1]!TOX,25,FALSE))),0, '[1]Target Risk'!$D$12/((('S-1 Assumptions'!$K$26*(VLOOKUP(A129,[1]!TOX,25,FALSE)))+('S-1 Assumptions'!$L$59*(VLOOKUP(A129,[1]!TOX,27,FALSE))))*(VLOOKUP(A129,[1]!TOX,12,FALSE))))</f>
        <v>0</v>
      </c>
      <c r="D129" s="167">
        <f>IF(ISERR(1/(VLOOKUP(A129,[1]!TOX,25,FALSE))),0,IF(VLOOKUP(A129,[1]!TOX,36,FALSE)="M",'[1]Target Risk'!$D$12/((((((('S-1 Assumptions'!$K$30*(VLOOKUP(A129,[1]!TOX,25,FALSE)))+('S-1 Assumptions'!$L$67*(VLOOKUP(A129,[1]!TOX,27,FALSE))))*10))+(((('S-1 Assumptions'!$K$31*(VLOOKUP(A129,[1]!TOX,25,FALSE)))+('S-1 Assumptions'!$L$68*(VLOOKUP(A129,[1]!TOX,27,FALSE))))*3))+(((('S-1 Assumptions'!$K$32*(VLOOKUP(A129,[1]!TOX,25,FALSE)))+('S-1 Assumptions'!$L$69*(VLOOKUP(A129,[1]!TOX,27,FALSE))))*3))+(((('S-1 Assumptions'!$K$33*(VLOOKUP(A129,[1]!TOX,25,FALSE)))+('S-1 Assumptions'!$L$70)*(VLOOKUP(A129,[1]!TOX,27,FALSE))))*1)))*(VLOOKUP(A129,[1]!TOX,12,FALSE))),0))</f>
        <v>0</v>
      </c>
      <c r="E129" s="168">
        <f>IF(ISERR(1/(VLOOKUP(A129,[1]!TOX,25,FALSE))),0,IF(VLOOKUP(A129,[1]!TOX,36,FALSE)="M",'[1]Target Risk'!$D$12/((((((('S-1 Assumptions'!$K$30*(VLOOKUP(A129,[1]!TOX,25,FALSE)))+('S-1 Assumptions'!$L$67*(VLOOKUP(A129,[1]!TOX,27,FALSE))))*10))+(((('S-1 Assumptions'!$K$31*(VLOOKUP(A129,[1]!TOX,25,FALSE)))+('S-1 Assumptions'!$L$68*(VLOOKUP(A129,[1]!TOX,27,FALSE))))*3))+(((('S-1 Assumptions'!$K$32*(VLOOKUP(A129,[1]!TOX,25,FALSE)))+('S-1 Assumptions'!$L$69*(VLOOKUP(A129,[1]!TOX,27,FALSE))))*3))+(((('S-1 Assumptions'!$K$33*(VLOOKUP(A129,[1]!TOX,25,FALSE)))+('S-1 Assumptions'!$L$70)*(VLOOKUP(A129,[1]!TOX,27,FALSE))))*1)))*(VLOOKUP(A129,[1]!TOX,12,FALSE))),('[1]Target Risk'!$D$12/((('S-1 Assumptions'!$K$26*(VLOOKUP(A129,[1]!TOX,25,FALSE)))+('S-1 Assumptions'!$L$59*(VLOOKUP(A129,[1]!TOX,27,FALSE))))*(VLOOKUP(A129,[1]!TOX,12,FALSE))))))</f>
        <v>0</v>
      </c>
      <c r="F129" s="311">
        <f>IF(B129=0,MIN(E129,(VLOOKUP(A129,[1]!TOX,71,FALSE))),IF(E129=0,MIN(B129,(VLOOKUP(A129,[1]!TOX,71,FALSE))),MIN(B129,E129,(VLOOKUP(A129,[1]!TOX,71,FALSE)))))</f>
        <v>1000</v>
      </c>
      <c r="G129" s="168" t="str">
        <f>IF(F129=B129,"Noncancer Risk",IF(F129=E129,"Cancer Risk",(VLOOKUP(A129,[1]!TOX,72,FALSE))))</f>
        <v>Ceiling (High)</v>
      </c>
      <c r="H129" s="312">
        <f>MAX(F129,(VLOOKUP(A129,[1]!TOX,50,FALSE)),(VLOOKUP(A129,[1]!TOX,39,FALSE)))</f>
        <v>1000</v>
      </c>
      <c r="I129" s="313">
        <f t="shared" si="4"/>
        <v>1000</v>
      </c>
      <c r="J129" s="171" t="str">
        <f>IF(H129=0,"Not Calculated",IF(H129=F129,G129,IF(H129=(VLOOKUP(A129,[1]!TOX,39,FALSE)),"Background","PQL")))</f>
        <v>Ceiling (High)</v>
      </c>
    </row>
    <row r="130" spans="1:10" ht="14.5" thickTop="1" x14ac:dyDescent="0.25">
      <c r="A130" s="74"/>
      <c r="B130" s="172"/>
      <c r="C130" s="172"/>
      <c r="D130" s="172"/>
      <c r="E130" s="172"/>
      <c r="F130" s="172"/>
      <c r="G130" s="172"/>
      <c r="H130" s="172"/>
      <c r="I130" s="314"/>
      <c r="J130" s="173"/>
    </row>
    <row r="131" spans="1:10" ht="14" x14ac:dyDescent="0.25">
      <c r="A131" s="74"/>
      <c r="B131" s="172"/>
      <c r="C131" s="172"/>
      <c r="D131" s="172"/>
      <c r="E131" s="172"/>
      <c r="F131" s="172"/>
      <c r="G131" s="172"/>
      <c r="H131" s="172"/>
      <c r="I131" s="314"/>
      <c r="J131" s="173"/>
    </row>
    <row r="132" spans="1:10" ht="14" x14ac:dyDescent="0.25">
      <c r="A132" s="74"/>
      <c r="B132" s="172"/>
      <c r="C132" s="172"/>
      <c r="D132" s="172"/>
      <c r="E132" s="172"/>
      <c r="F132" s="172"/>
      <c r="G132" s="172"/>
      <c r="H132" s="172"/>
      <c r="I132" s="314"/>
      <c r="J132" s="173"/>
    </row>
    <row r="133" spans="1:10" ht="14" x14ac:dyDescent="0.25">
      <c r="A133" s="74"/>
      <c r="B133" s="172"/>
      <c r="C133" s="172"/>
      <c r="D133" s="172"/>
      <c r="E133" s="172"/>
      <c r="F133" s="172"/>
      <c r="G133" s="172"/>
      <c r="H133" s="172"/>
      <c r="I133" s="314"/>
      <c r="J133" s="173"/>
    </row>
    <row r="134" spans="1:10" ht="14" x14ac:dyDescent="0.25">
      <c r="A134" s="74"/>
      <c r="B134" s="172"/>
      <c r="C134" s="172"/>
      <c r="D134" s="172"/>
      <c r="E134" s="172"/>
      <c r="F134" s="172"/>
      <c r="G134" s="172"/>
      <c r="H134" s="172"/>
      <c r="I134" s="314"/>
      <c r="J134" s="173"/>
    </row>
    <row r="135" spans="1:10" ht="14" x14ac:dyDescent="0.25">
      <c r="A135" s="74"/>
      <c r="B135" s="172"/>
      <c r="C135" s="172"/>
      <c r="D135" s="172"/>
      <c r="E135" s="172"/>
      <c r="F135" s="172"/>
      <c r="G135" s="172"/>
      <c r="H135" s="172"/>
      <c r="I135" s="314"/>
      <c r="J135" s="173"/>
    </row>
    <row r="136" spans="1:10" ht="14" x14ac:dyDescent="0.25">
      <c r="B136" s="174"/>
      <c r="C136" s="174"/>
      <c r="D136" s="174"/>
    </row>
    <row r="139" spans="1:10" x14ac:dyDescent="0.25">
      <c r="A139" s="79"/>
      <c r="I139" s="316"/>
      <c r="J139" s="176"/>
    </row>
    <row r="140" spans="1:10" x14ac:dyDescent="0.25">
      <c r="I140" s="316"/>
      <c r="J140" s="176"/>
    </row>
    <row r="141" spans="1:10" x14ac:dyDescent="0.25">
      <c r="A141" s="79"/>
      <c r="I141" s="316"/>
      <c r="J141" s="176"/>
    </row>
    <row r="142" spans="1:10" x14ac:dyDescent="0.25">
      <c r="I142" s="316"/>
      <c r="J142" s="176"/>
    </row>
    <row r="143" spans="1:10" x14ac:dyDescent="0.25">
      <c r="I143" s="316"/>
      <c r="J143" s="176"/>
    </row>
    <row r="144" spans="1:10" x14ac:dyDescent="0.25">
      <c r="I144" s="316"/>
      <c r="J144" s="176"/>
    </row>
    <row r="145" spans="9:10" x14ac:dyDescent="0.25">
      <c r="I145" s="316"/>
      <c r="J145" s="176"/>
    </row>
    <row r="146" spans="9:10" x14ac:dyDescent="0.25">
      <c r="I146" s="316"/>
      <c r="J146" s="176"/>
    </row>
    <row r="147" spans="9:10" x14ac:dyDescent="0.25">
      <c r="I147" s="316"/>
      <c r="J147" s="176"/>
    </row>
    <row r="148" spans="9:10" x14ac:dyDescent="0.25">
      <c r="I148" s="316"/>
      <c r="J148" s="176"/>
    </row>
    <row r="149" spans="9:10" x14ac:dyDescent="0.25">
      <c r="I149" s="316"/>
      <c r="J149" s="176"/>
    </row>
    <row r="150" spans="9:10" x14ac:dyDescent="0.25">
      <c r="I150" s="316"/>
      <c r="J150" s="176"/>
    </row>
    <row r="151" spans="9:10" x14ac:dyDescent="0.25">
      <c r="I151" s="316"/>
      <c r="J151" s="176"/>
    </row>
    <row r="152" spans="9:10" x14ac:dyDescent="0.25">
      <c r="I152" s="316"/>
      <c r="J152" s="176"/>
    </row>
    <row r="153" spans="9:10" x14ac:dyDescent="0.25">
      <c r="I153" s="316"/>
      <c r="J153" s="176"/>
    </row>
    <row r="154" spans="9:10" x14ac:dyDescent="0.25">
      <c r="I154" s="316"/>
      <c r="J154" s="176"/>
    </row>
    <row r="155" spans="9:10" x14ac:dyDescent="0.25">
      <c r="I155" s="316"/>
      <c r="J155" s="176"/>
    </row>
    <row r="156" spans="9:10" x14ac:dyDescent="0.25">
      <c r="I156" s="316"/>
      <c r="J156" s="176"/>
    </row>
    <row r="157" spans="9:10" x14ac:dyDescent="0.25">
      <c r="I157" s="316"/>
      <c r="J157" s="176"/>
    </row>
    <row r="158" spans="9:10" x14ac:dyDescent="0.25">
      <c r="I158" s="316"/>
      <c r="J158" s="176"/>
    </row>
    <row r="159" spans="9:10" x14ac:dyDescent="0.25">
      <c r="I159" s="316"/>
      <c r="J159" s="176"/>
    </row>
    <row r="160" spans="9:10" x14ac:dyDescent="0.25">
      <c r="I160" s="316"/>
      <c r="J160" s="176"/>
    </row>
    <row r="161" spans="9:10" x14ac:dyDescent="0.25">
      <c r="I161" s="316"/>
      <c r="J161" s="176"/>
    </row>
    <row r="162" spans="9:10" x14ac:dyDescent="0.25">
      <c r="I162" s="316"/>
      <c r="J162" s="176"/>
    </row>
    <row r="163" spans="9:10" x14ac:dyDescent="0.25">
      <c r="I163" s="316"/>
      <c r="J163" s="176"/>
    </row>
    <row r="164" spans="9:10" x14ac:dyDescent="0.25">
      <c r="I164" s="316"/>
      <c r="J164" s="176"/>
    </row>
    <row r="165" spans="9:10" x14ac:dyDescent="0.25">
      <c r="I165" s="316"/>
      <c r="J165" s="176"/>
    </row>
    <row r="166" spans="9:10" x14ac:dyDescent="0.25">
      <c r="I166" s="316"/>
      <c r="J166" s="176"/>
    </row>
    <row r="167" spans="9:10" x14ac:dyDescent="0.25">
      <c r="I167" s="316"/>
      <c r="J167" s="176"/>
    </row>
    <row r="168" spans="9:10" x14ac:dyDescent="0.25">
      <c r="I168" s="316"/>
      <c r="J168" s="176"/>
    </row>
    <row r="169" spans="9:10" x14ac:dyDescent="0.25">
      <c r="I169" s="316"/>
      <c r="J169" s="176"/>
    </row>
    <row r="170" spans="9:10" x14ac:dyDescent="0.25">
      <c r="I170" s="316"/>
      <c r="J170" s="176"/>
    </row>
    <row r="171" spans="9:10" x14ac:dyDescent="0.25">
      <c r="I171" s="316"/>
      <c r="J171" s="176"/>
    </row>
    <row r="172" spans="9:10" x14ac:dyDescent="0.25">
      <c r="I172" s="316"/>
      <c r="J172" s="176"/>
    </row>
    <row r="173" spans="9:10" x14ac:dyDescent="0.25">
      <c r="I173" s="316"/>
      <c r="J173" s="176"/>
    </row>
    <row r="174" spans="9:10" x14ac:dyDescent="0.25">
      <c r="I174" s="316"/>
      <c r="J174" s="176"/>
    </row>
    <row r="175" spans="9:10" x14ac:dyDescent="0.25">
      <c r="I175" s="316"/>
      <c r="J175" s="176"/>
    </row>
    <row r="176" spans="9:10" x14ac:dyDescent="0.25">
      <c r="I176" s="316"/>
      <c r="J176" s="176"/>
    </row>
    <row r="177" spans="9:10" x14ac:dyDescent="0.25">
      <c r="I177" s="316"/>
      <c r="J177" s="176"/>
    </row>
    <row r="178" spans="9:10" x14ac:dyDescent="0.25">
      <c r="I178" s="316"/>
      <c r="J178" s="176"/>
    </row>
    <row r="179" spans="9:10" x14ac:dyDescent="0.25">
      <c r="I179" s="316"/>
      <c r="J179" s="176"/>
    </row>
    <row r="180" spans="9:10" x14ac:dyDescent="0.25">
      <c r="I180" s="316"/>
      <c r="J180" s="176"/>
    </row>
    <row r="181" spans="9:10" x14ac:dyDescent="0.25">
      <c r="I181" s="316"/>
      <c r="J181" s="176"/>
    </row>
    <row r="182" spans="9:10" x14ac:dyDescent="0.25">
      <c r="I182" s="316"/>
      <c r="J182" s="176"/>
    </row>
    <row r="183" spans="9:10" x14ac:dyDescent="0.25">
      <c r="I183" s="316"/>
      <c r="J183" s="176"/>
    </row>
    <row r="184" spans="9:10" x14ac:dyDescent="0.25">
      <c r="I184" s="316"/>
      <c r="J184" s="176"/>
    </row>
    <row r="185" spans="9:10" x14ac:dyDescent="0.25">
      <c r="I185" s="316"/>
      <c r="J185" s="176"/>
    </row>
    <row r="186" spans="9:10" x14ac:dyDescent="0.25">
      <c r="I186" s="316"/>
      <c r="J186" s="176"/>
    </row>
    <row r="187" spans="9:10" x14ac:dyDescent="0.25">
      <c r="I187" s="316"/>
      <c r="J187" s="176"/>
    </row>
    <row r="188" spans="9:10" x14ac:dyDescent="0.25">
      <c r="I188" s="316"/>
      <c r="J188" s="176"/>
    </row>
    <row r="189" spans="9:10" x14ac:dyDescent="0.25">
      <c r="I189" s="316"/>
      <c r="J189" s="176"/>
    </row>
    <row r="190" spans="9:10" x14ac:dyDescent="0.25">
      <c r="I190" s="316"/>
      <c r="J190" s="176"/>
    </row>
    <row r="191" spans="9:10" x14ac:dyDescent="0.25">
      <c r="I191" s="316"/>
      <c r="J191" s="176"/>
    </row>
    <row r="192" spans="9:10" x14ac:dyDescent="0.25">
      <c r="I192" s="316"/>
      <c r="J192" s="176"/>
    </row>
    <row r="193" spans="9:10" x14ac:dyDescent="0.25">
      <c r="I193" s="316"/>
      <c r="J193" s="176"/>
    </row>
    <row r="194" spans="9:10" x14ac:dyDescent="0.25">
      <c r="I194" s="316"/>
      <c r="J194" s="176"/>
    </row>
    <row r="195" spans="9:10" x14ac:dyDescent="0.25">
      <c r="I195" s="316"/>
      <c r="J195" s="176"/>
    </row>
    <row r="196" spans="9:10" x14ac:dyDescent="0.25">
      <c r="I196" s="316"/>
      <c r="J196" s="176"/>
    </row>
    <row r="197" spans="9:10" x14ac:dyDescent="0.25">
      <c r="I197" s="316"/>
      <c r="J197" s="176"/>
    </row>
    <row r="198" spans="9:10" x14ac:dyDescent="0.25">
      <c r="I198" s="316"/>
      <c r="J198" s="176"/>
    </row>
    <row r="199" spans="9:10" x14ac:dyDescent="0.25">
      <c r="I199" s="316"/>
      <c r="J199" s="176"/>
    </row>
    <row r="200" spans="9:10" x14ac:dyDescent="0.25">
      <c r="I200" s="316"/>
      <c r="J200" s="176"/>
    </row>
    <row r="201" spans="9:10" x14ac:dyDescent="0.25">
      <c r="I201" s="316"/>
      <c r="J201" s="176"/>
    </row>
    <row r="202" spans="9:10" x14ac:dyDescent="0.25">
      <c r="I202" s="316"/>
      <c r="J202" s="176"/>
    </row>
    <row r="203" spans="9:10" x14ac:dyDescent="0.25">
      <c r="I203" s="316"/>
      <c r="J203" s="176"/>
    </row>
    <row r="204" spans="9:10" x14ac:dyDescent="0.25">
      <c r="I204" s="316"/>
      <c r="J204" s="176"/>
    </row>
    <row r="205" spans="9:10" x14ac:dyDescent="0.25">
      <c r="I205" s="316"/>
      <c r="J205" s="176"/>
    </row>
    <row r="206" spans="9:10" x14ac:dyDescent="0.25">
      <c r="I206" s="316"/>
      <c r="J206" s="176"/>
    </row>
    <row r="207" spans="9:10" x14ac:dyDescent="0.25">
      <c r="I207" s="316"/>
      <c r="J207" s="176"/>
    </row>
    <row r="208" spans="9:10" x14ac:dyDescent="0.25">
      <c r="I208" s="316"/>
      <c r="J208" s="176"/>
    </row>
    <row r="209" spans="9:10" x14ac:dyDescent="0.25">
      <c r="I209" s="316"/>
      <c r="J209" s="176"/>
    </row>
    <row r="210" spans="9:10" x14ac:dyDescent="0.25">
      <c r="I210" s="316"/>
      <c r="J210" s="176"/>
    </row>
    <row r="211" spans="9:10" x14ac:dyDescent="0.25">
      <c r="I211" s="316"/>
      <c r="J211" s="176"/>
    </row>
    <row r="212" spans="9:10" x14ac:dyDescent="0.25">
      <c r="I212" s="316"/>
      <c r="J212" s="176"/>
    </row>
    <row r="213" spans="9:10" x14ac:dyDescent="0.25">
      <c r="I213" s="316"/>
      <c r="J213" s="176"/>
    </row>
    <row r="214" spans="9:10" x14ac:dyDescent="0.25">
      <c r="I214" s="316"/>
      <c r="J214" s="176"/>
    </row>
    <row r="215" spans="9:10" x14ac:dyDescent="0.25">
      <c r="I215" s="316"/>
      <c r="J215" s="176"/>
    </row>
    <row r="216" spans="9:10" x14ac:dyDescent="0.25">
      <c r="I216" s="316"/>
      <c r="J216" s="176"/>
    </row>
    <row r="217" spans="9:10" x14ac:dyDescent="0.25">
      <c r="I217" s="316"/>
      <c r="J217" s="176"/>
    </row>
    <row r="218" spans="9:10" x14ac:dyDescent="0.25">
      <c r="I218" s="316"/>
      <c r="J218" s="176"/>
    </row>
    <row r="219" spans="9:10" x14ac:dyDescent="0.25">
      <c r="I219" s="316"/>
      <c r="J219" s="176"/>
    </row>
    <row r="220" spans="9:10" x14ac:dyDescent="0.25">
      <c r="I220" s="316"/>
      <c r="J220" s="176"/>
    </row>
    <row r="221" spans="9:10" x14ac:dyDescent="0.25">
      <c r="I221" s="316"/>
      <c r="J221" s="176"/>
    </row>
    <row r="222" spans="9:10" x14ac:dyDescent="0.25">
      <c r="I222" s="316"/>
      <c r="J222" s="176"/>
    </row>
    <row r="223" spans="9:10" x14ac:dyDescent="0.25">
      <c r="I223" s="316"/>
      <c r="J223" s="176"/>
    </row>
    <row r="224" spans="9:10" x14ac:dyDescent="0.25">
      <c r="I224" s="316"/>
      <c r="J224" s="176"/>
    </row>
    <row r="225" spans="9:10" x14ac:dyDescent="0.25">
      <c r="I225" s="316"/>
      <c r="J225" s="176"/>
    </row>
    <row r="226" spans="9:10" x14ac:dyDescent="0.25">
      <c r="I226" s="316"/>
      <c r="J226" s="176"/>
    </row>
    <row r="227" spans="9:10" x14ac:dyDescent="0.25">
      <c r="I227" s="316"/>
      <c r="J227" s="176"/>
    </row>
    <row r="228" spans="9:10" x14ac:dyDescent="0.25">
      <c r="I228" s="316"/>
      <c r="J228" s="176"/>
    </row>
    <row r="229" spans="9:10" x14ac:dyDescent="0.25">
      <c r="I229" s="316"/>
      <c r="J229" s="176"/>
    </row>
    <row r="230" spans="9:10" x14ac:dyDescent="0.25">
      <c r="I230" s="316"/>
      <c r="J230" s="176"/>
    </row>
    <row r="231" spans="9:10" x14ac:dyDescent="0.25">
      <c r="I231" s="316"/>
      <c r="J231" s="176"/>
    </row>
    <row r="232" spans="9:10" x14ac:dyDescent="0.25">
      <c r="I232" s="316"/>
      <c r="J232" s="176"/>
    </row>
    <row r="233" spans="9:10" x14ac:dyDescent="0.25">
      <c r="I233" s="316"/>
      <c r="J233" s="176"/>
    </row>
    <row r="234" spans="9:10" x14ac:dyDescent="0.25">
      <c r="I234" s="316"/>
      <c r="J234" s="176"/>
    </row>
    <row r="235" spans="9:10" x14ac:dyDescent="0.25">
      <c r="I235" s="316"/>
      <c r="J235" s="176"/>
    </row>
    <row r="236" spans="9:10" x14ac:dyDescent="0.25">
      <c r="I236" s="316"/>
      <c r="J236" s="176"/>
    </row>
    <row r="237" spans="9:10" x14ac:dyDescent="0.25">
      <c r="I237" s="316"/>
      <c r="J237" s="176"/>
    </row>
    <row r="238" spans="9:10" x14ac:dyDescent="0.25">
      <c r="I238" s="316"/>
      <c r="J238" s="176"/>
    </row>
    <row r="239" spans="9:10" x14ac:dyDescent="0.25">
      <c r="I239" s="316"/>
      <c r="J239" s="176"/>
    </row>
    <row r="240" spans="9:10" x14ac:dyDescent="0.25">
      <c r="I240" s="316"/>
      <c r="J240" s="176"/>
    </row>
    <row r="241" spans="9:10" x14ac:dyDescent="0.25">
      <c r="I241" s="316"/>
      <c r="J241" s="176"/>
    </row>
    <row r="242" spans="9:10" x14ac:dyDescent="0.25">
      <c r="I242" s="316"/>
      <c r="J242" s="176"/>
    </row>
    <row r="243" spans="9:10" x14ac:dyDescent="0.25">
      <c r="I243" s="316"/>
      <c r="J243" s="176"/>
    </row>
    <row r="244" spans="9:10" x14ac:dyDescent="0.25">
      <c r="I244" s="316"/>
      <c r="J244" s="176"/>
    </row>
    <row r="245" spans="9:10" x14ac:dyDescent="0.25">
      <c r="I245" s="316"/>
      <c r="J245" s="176"/>
    </row>
    <row r="246" spans="9:10" x14ac:dyDescent="0.25">
      <c r="I246" s="316"/>
      <c r="J246" s="176"/>
    </row>
    <row r="247" spans="9:10" x14ac:dyDescent="0.25">
      <c r="I247" s="316"/>
      <c r="J247" s="176"/>
    </row>
    <row r="248" spans="9:10" x14ac:dyDescent="0.25">
      <c r="I248" s="316"/>
      <c r="J248" s="176"/>
    </row>
    <row r="249" spans="9:10" x14ac:dyDescent="0.25">
      <c r="I249" s="316"/>
      <c r="J249" s="176"/>
    </row>
    <row r="250" spans="9:10" x14ac:dyDescent="0.25">
      <c r="I250" s="316"/>
      <c r="J250" s="176"/>
    </row>
    <row r="251" spans="9:10" x14ac:dyDescent="0.25">
      <c r="I251" s="316"/>
      <c r="J251" s="176"/>
    </row>
    <row r="252" spans="9:10" x14ac:dyDescent="0.25">
      <c r="I252" s="316"/>
      <c r="J252" s="176"/>
    </row>
    <row r="253" spans="9:10" x14ac:dyDescent="0.25">
      <c r="I253" s="316"/>
      <c r="J253" s="176"/>
    </row>
    <row r="254" spans="9:10" x14ac:dyDescent="0.25">
      <c r="I254" s="316"/>
      <c r="J254" s="176"/>
    </row>
    <row r="255" spans="9:10" x14ac:dyDescent="0.25">
      <c r="I255" s="316"/>
      <c r="J255" s="176"/>
    </row>
    <row r="256" spans="9:10" x14ac:dyDescent="0.25">
      <c r="I256" s="316"/>
      <c r="J256" s="176"/>
    </row>
    <row r="257" spans="9:10" x14ac:dyDescent="0.25">
      <c r="I257" s="316"/>
      <c r="J257" s="176"/>
    </row>
    <row r="258" spans="9:10" x14ac:dyDescent="0.25">
      <c r="I258" s="316"/>
      <c r="J258" s="176"/>
    </row>
    <row r="259" spans="9:10" x14ac:dyDescent="0.25">
      <c r="I259" s="316"/>
      <c r="J259" s="176"/>
    </row>
    <row r="260" spans="9:10" x14ac:dyDescent="0.25">
      <c r="I260" s="316"/>
      <c r="J260" s="176"/>
    </row>
    <row r="261" spans="9:10" x14ac:dyDescent="0.25">
      <c r="I261" s="316"/>
      <c r="J261" s="176"/>
    </row>
    <row r="262" spans="9:10" x14ac:dyDescent="0.25">
      <c r="I262" s="316"/>
      <c r="J262" s="176"/>
    </row>
    <row r="263" spans="9:10" x14ac:dyDescent="0.25">
      <c r="I263" s="316"/>
      <c r="J263" s="176"/>
    </row>
    <row r="264" spans="9:10" x14ac:dyDescent="0.25">
      <c r="I264" s="316"/>
      <c r="J264" s="176"/>
    </row>
    <row r="265" spans="9:10" x14ac:dyDescent="0.25">
      <c r="I265" s="316"/>
      <c r="J265" s="176"/>
    </row>
    <row r="266" spans="9:10" x14ac:dyDescent="0.25">
      <c r="I266" s="316"/>
      <c r="J266" s="176"/>
    </row>
    <row r="267" spans="9:10" x14ac:dyDescent="0.25">
      <c r="I267" s="316"/>
      <c r="J267" s="176"/>
    </row>
    <row r="268" spans="9:10" x14ac:dyDescent="0.25">
      <c r="I268" s="316"/>
      <c r="J268" s="176"/>
    </row>
    <row r="269" spans="9:10" x14ac:dyDescent="0.25">
      <c r="I269" s="316"/>
      <c r="J269" s="176"/>
    </row>
    <row r="270" spans="9:10" x14ac:dyDescent="0.25">
      <c r="I270" s="316"/>
      <c r="J270" s="176"/>
    </row>
    <row r="271" spans="9:10" x14ac:dyDescent="0.25">
      <c r="I271" s="316"/>
      <c r="J271" s="176"/>
    </row>
    <row r="272" spans="9:10" x14ac:dyDescent="0.25">
      <c r="I272" s="316"/>
      <c r="J272" s="176"/>
    </row>
    <row r="273" spans="9:10" x14ac:dyDescent="0.25">
      <c r="I273" s="316"/>
      <c r="J273" s="176"/>
    </row>
    <row r="274" spans="9:10" x14ac:dyDescent="0.25">
      <c r="I274" s="316"/>
      <c r="J274" s="176"/>
    </row>
    <row r="275" spans="9:10" x14ac:dyDescent="0.25">
      <c r="I275" s="316"/>
      <c r="J275" s="176"/>
    </row>
    <row r="276" spans="9:10" x14ac:dyDescent="0.25">
      <c r="I276" s="316"/>
      <c r="J276" s="176"/>
    </row>
    <row r="277" spans="9:10" x14ac:dyDescent="0.25">
      <c r="I277" s="316"/>
      <c r="J277" s="176"/>
    </row>
    <row r="278" spans="9:10" x14ac:dyDescent="0.25">
      <c r="I278" s="316"/>
      <c r="J278" s="176"/>
    </row>
    <row r="279" spans="9:10" x14ac:dyDescent="0.25">
      <c r="I279" s="316"/>
      <c r="J279" s="176"/>
    </row>
    <row r="280" spans="9:10" x14ac:dyDescent="0.25">
      <c r="I280" s="316"/>
      <c r="J280" s="176"/>
    </row>
    <row r="281" spans="9:10" x14ac:dyDescent="0.25">
      <c r="I281" s="316"/>
      <c r="J281" s="176"/>
    </row>
    <row r="282" spans="9:10" x14ac:dyDescent="0.25">
      <c r="I282" s="316"/>
      <c r="J282" s="176"/>
    </row>
    <row r="283" spans="9:10" x14ac:dyDescent="0.25">
      <c r="I283" s="316"/>
      <c r="J283" s="176"/>
    </row>
    <row r="284" spans="9:10" x14ac:dyDescent="0.25">
      <c r="I284" s="316"/>
      <c r="J284" s="176"/>
    </row>
    <row r="285" spans="9:10" x14ac:dyDescent="0.25">
      <c r="I285" s="316"/>
      <c r="J285" s="176"/>
    </row>
    <row r="286" spans="9:10" x14ac:dyDescent="0.25">
      <c r="I286" s="316"/>
      <c r="J286" s="176"/>
    </row>
    <row r="287" spans="9:10" x14ac:dyDescent="0.25">
      <c r="I287" s="316"/>
      <c r="J287" s="176"/>
    </row>
    <row r="288" spans="9:10" x14ac:dyDescent="0.25">
      <c r="I288" s="316"/>
      <c r="J288" s="176"/>
    </row>
    <row r="289" spans="9:10" x14ac:dyDescent="0.25">
      <c r="I289" s="316"/>
      <c r="J289" s="176"/>
    </row>
    <row r="290" spans="9:10" x14ac:dyDescent="0.25">
      <c r="I290" s="316"/>
      <c r="J290" s="176"/>
    </row>
    <row r="291" spans="9:10" x14ac:dyDescent="0.25">
      <c r="I291" s="316"/>
      <c r="J291" s="176"/>
    </row>
    <row r="292" spans="9:10" x14ac:dyDescent="0.25">
      <c r="I292" s="316"/>
      <c r="J292" s="176"/>
    </row>
    <row r="293" spans="9:10" x14ac:dyDescent="0.25">
      <c r="I293" s="316"/>
      <c r="J293" s="176"/>
    </row>
    <row r="294" spans="9:10" x14ac:dyDescent="0.25">
      <c r="I294" s="316"/>
      <c r="J294" s="176"/>
    </row>
    <row r="295" spans="9:10" x14ac:dyDescent="0.25">
      <c r="I295" s="316"/>
      <c r="J295" s="176"/>
    </row>
    <row r="296" spans="9:10" x14ac:dyDescent="0.25">
      <c r="I296" s="316"/>
      <c r="J296" s="176"/>
    </row>
    <row r="297" spans="9:10" x14ac:dyDescent="0.25">
      <c r="I297" s="316"/>
      <c r="J297" s="176"/>
    </row>
    <row r="298" spans="9:10" x14ac:dyDescent="0.25">
      <c r="I298" s="316"/>
      <c r="J298" s="176"/>
    </row>
    <row r="299" spans="9:10" x14ac:dyDescent="0.25">
      <c r="I299" s="316"/>
      <c r="J299" s="176"/>
    </row>
    <row r="300" spans="9:10" x14ac:dyDescent="0.25">
      <c r="I300" s="316"/>
      <c r="J300" s="176"/>
    </row>
    <row r="301" spans="9:10" x14ac:dyDescent="0.25">
      <c r="I301" s="316"/>
      <c r="J301" s="176"/>
    </row>
    <row r="302" spans="9:10" x14ac:dyDescent="0.25">
      <c r="I302" s="316"/>
      <c r="J302" s="176"/>
    </row>
    <row r="303" spans="9:10" x14ac:dyDescent="0.25">
      <c r="I303" s="316"/>
      <c r="J303" s="176"/>
    </row>
    <row r="304" spans="9:10" x14ac:dyDescent="0.25">
      <c r="I304" s="316"/>
      <c r="J304" s="176"/>
    </row>
    <row r="305" spans="9:10" x14ac:dyDescent="0.25">
      <c r="I305" s="316"/>
      <c r="J305" s="176"/>
    </row>
    <row r="306" spans="9:10" x14ac:dyDescent="0.25">
      <c r="I306" s="316"/>
      <c r="J306" s="176"/>
    </row>
    <row r="307" spans="9:10" x14ac:dyDescent="0.25">
      <c r="I307" s="316"/>
      <c r="J307" s="176"/>
    </row>
    <row r="308" spans="9:10" x14ac:dyDescent="0.25">
      <c r="I308" s="316"/>
      <c r="J308" s="176"/>
    </row>
    <row r="309" spans="9:10" x14ac:dyDescent="0.25">
      <c r="I309" s="316"/>
      <c r="J309" s="176"/>
    </row>
    <row r="310" spans="9:10" x14ac:dyDescent="0.25">
      <c r="I310" s="316"/>
      <c r="J310" s="176"/>
    </row>
    <row r="311" spans="9:10" x14ac:dyDescent="0.25">
      <c r="I311" s="316"/>
      <c r="J311" s="176"/>
    </row>
    <row r="312" spans="9:10" x14ac:dyDescent="0.25">
      <c r="I312" s="316"/>
      <c r="J312" s="176"/>
    </row>
    <row r="313" spans="9:10" x14ac:dyDescent="0.25">
      <c r="I313" s="316"/>
      <c r="J313" s="176"/>
    </row>
    <row r="314" spans="9:10" x14ac:dyDescent="0.25">
      <c r="I314" s="316"/>
      <c r="J314" s="176"/>
    </row>
    <row r="315" spans="9:10" x14ac:dyDescent="0.25">
      <c r="I315" s="316"/>
      <c r="J315" s="176"/>
    </row>
    <row r="316" spans="9:10" x14ac:dyDescent="0.25">
      <c r="I316" s="316"/>
      <c r="J316" s="176"/>
    </row>
    <row r="317" spans="9:10" x14ac:dyDescent="0.25">
      <c r="I317" s="316"/>
      <c r="J317" s="176"/>
    </row>
    <row r="318" spans="9:10" x14ac:dyDescent="0.25">
      <c r="I318" s="316"/>
      <c r="J318" s="176"/>
    </row>
    <row r="319" spans="9:10" x14ac:dyDescent="0.25">
      <c r="I319" s="316"/>
      <c r="J319" s="176"/>
    </row>
    <row r="320" spans="9:10" x14ac:dyDescent="0.25">
      <c r="I320" s="316"/>
      <c r="J320" s="176"/>
    </row>
    <row r="321" spans="9:10" x14ac:dyDescent="0.25">
      <c r="I321" s="316"/>
      <c r="J321" s="176"/>
    </row>
    <row r="322" spans="9:10" x14ac:dyDescent="0.25">
      <c r="I322" s="316"/>
      <c r="J322" s="176"/>
    </row>
    <row r="323" spans="9:10" x14ac:dyDescent="0.25">
      <c r="I323" s="316"/>
      <c r="J323" s="176"/>
    </row>
    <row r="324" spans="9:10" x14ac:dyDescent="0.25">
      <c r="I324" s="316"/>
      <c r="J324" s="176"/>
    </row>
    <row r="325" spans="9:10" x14ac:dyDescent="0.25">
      <c r="I325" s="316"/>
      <c r="J325" s="176"/>
    </row>
    <row r="326" spans="9:10" x14ac:dyDescent="0.25">
      <c r="I326" s="316"/>
      <c r="J326" s="176"/>
    </row>
    <row r="327" spans="9:10" x14ac:dyDescent="0.25">
      <c r="I327" s="316"/>
      <c r="J327" s="176"/>
    </row>
    <row r="328" spans="9:10" x14ac:dyDescent="0.25">
      <c r="I328" s="316"/>
      <c r="J328" s="176"/>
    </row>
    <row r="329" spans="9:10" x14ac:dyDescent="0.25">
      <c r="I329" s="316"/>
      <c r="J329" s="176"/>
    </row>
    <row r="330" spans="9:10" x14ac:dyDescent="0.25">
      <c r="I330" s="316"/>
      <c r="J330" s="176"/>
    </row>
    <row r="331" spans="9:10" x14ac:dyDescent="0.25">
      <c r="I331" s="316"/>
      <c r="J331" s="176"/>
    </row>
    <row r="332" spans="9:10" x14ac:dyDescent="0.25">
      <c r="I332" s="316"/>
      <c r="J332" s="176"/>
    </row>
    <row r="333" spans="9:10" x14ac:dyDescent="0.25">
      <c r="I333" s="316"/>
      <c r="J333" s="176"/>
    </row>
    <row r="334" spans="9:10" x14ac:dyDescent="0.25">
      <c r="I334" s="316"/>
      <c r="J334" s="176"/>
    </row>
    <row r="335" spans="9:10" x14ac:dyDescent="0.25">
      <c r="I335" s="316"/>
      <c r="J335" s="176"/>
    </row>
    <row r="336" spans="9:10" x14ac:dyDescent="0.25">
      <c r="I336" s="316"/>
      <c r="J336" s="176"/>
    </row>
    <row r="337" spans="9:10" x14ac:dyDescent="0.25">
      <c r="I337" s="316"/>
      <c r="J337" s="176"/>
    </row>
    <row r="338" spans="9:10" x14ac:dyDescent="0.25">
      <c r="I338" s="316"/>
      <c r="J338" s="176"/>
    </row>
    <row r="339" spans="9:10" x14ac:dyDescent="0.25">
      <c r="I339" s="316"/>
      <c r="J339" s="176"/>
    </row>
    <row r="340" spans="9:10" x14ac:dyDescent="0.25">
      <c r="I340" s="316"/>
      <c r="J340" s="176"/>
    </row>
    <row r="341" spans="9:10" x14ac:dyDescent="0.25">
      <c r="I341" s="316"/>
      <c r="J341" s="176"/>
    </row>
    <row r="342" spans="9:10" x14ac:dyDescent="0.25">
      <c r="I342" s="316"/>
      <c r="J342" s="176"/>
    </row>
    <row r="343" spans="9:10" x14ac:dyDescent="0.25">
      <c r="I343" s="316"/>
      <c r="J343" s="176"/>
    </row>
    <row r="344" spans="9:10" x14ac:dyDescent="0.25">
      <c r="I344" s="316"/>
      <c r="J344" s="176"/>
    </row>
    <row r="345" spans="9:10" x14ac:dyDescent="0.25">
      <c r="I345" s="316"/>
      <c r="J345" s="176"/>
    </row>
    <row r="346" spans="9:10" x14ac:dyDescent="0.25">
      <c r="I346" s="316"/>
      <c r="J346" s="176"/>
    </row>
    <row r="347" spans="9:10" x14ac:dyDescent="0.25">
      <c r="I347" s="316"/>
      <c r="J347" s="176"/>
    </row>
    <row r="348" spans="9:10" x14ac:dyDescent="0.25">
      <c r="I348" s="316"/>
      <c r="J348" s="176"/>
    </row>
    <row r="349" spans="9:10" x14ac:dyDescent="0.25">
      <c r="I349" s="316"/>
      <c r="J349" s="176"/>
    </row>
    <row r="350" spans="9:10" x14ac:dyDescent="0.25">
      <c r="I350" s="316"/>
      <c r="J350" s="176"/>
    </row>
    <row r="351" spans="9:10" x14ac:dyDescent="0.25">
      <c r="I351" s="316"/>
      <c r="J351" s="176"/>
    </row>
    <row r="352" spans="9:10" x14ac:dyDescent="0.25">
      <c r="I352" s="316"/>
      <c r="J352" s="176"/>
    </row>
    <row r="353" spans="9:10" x14ac:dyDescent="0.25">
      <c r="I353" s="316"/>
      <c r="J353" s="176"/>
    </row>
    <row r="354" spans="9:10" x14ac:dyDescent="0.25">
      <c r="I354" s="316"/>
      <c r="J354" s="176"/>
    </row>
    <row r="355" spans="9:10" x14ac:dyDescent="0.25">
      <c r="I355" s="316"/>
      <c r="J355" s="176"/>
    </row>
    <row r="356" spans="9:10" x14ac:dyDescent="0.25">
      <c r="I356" s="316"/>
      <c r="J356" s="176"/>
    </row>
    <row r="357" spans="9:10" x14ac:dyDescent="0.25">
      <c r="I357" s="316"/>
      <c r="J357" s="176"/>
    </row>
    <row r="358" spans="9:10" x14ac:dyDescent="0.25">
      <c r="I358" s="316"/>
      <c r="J358" s="176"/>
    </row>
    <row r="359" spans="9:10" x14ac:dyDescent="0.25">
      <c r="I359" s="316"/>
      <c r="J359" s="176"/>
    </row>
    <row r="360" spans="9:10" x14ac:dyDescent="0.25">
      <c r="I360" s="316"/>
      <c r="J360" s="176"/>
    </row>
    <row r="361" spans="9:10" x14ac:dyDescent="0.25">
      <c r="I361" s="316"/>
      <c r="J361" s="176"/>
    </row>
    <row r="362" spans="9:10" x14ac:dyDescent="0.25">
      <c r="I362" s="316"/>
      <c r="J362" s="176"/>
    </row>
    <row r="363" spans="9:10" x14ac:dyDescent="0.25">
      <c r="I363" s="316"/>
      <c r="J363" s="176"/>
    </row>
    <row r="364" spans="9:10" x14ac:dyDescent="0.25">
      <c r="I364" s="316"/>
      <c r="J364" s="176"/>
    </row>
    <row r="365" spans="9:10" x14ac:dyDescent="0.25">
      <c r="I365" s="316"/>
      <c r="J365" s="176"/>
    </row>
    <row r="366" spans="9:10" x14ac:dyDescent="0.25">
      <c r="I366" s="316"/>
      <c r="J366" s="176"/>
    </row>
    <row r="367" spans="9:10" x14ac:dyDescent="0.25">
      <c r="I367" s="316"/>
      <c r="J367" s="176"/>
    </row>
    <row r="368" spans="9:10" x14ac:dyDescent="0.25">
      <c r="I368" s="316"/>
      <c r="J368" s="176"/>
    </row>
    <row r="369" spans="9:10" x14ac:dyDescent="0.25">
      <c r="I369" s="316"/>
      <c r="J369" s="176"/>
    </row>
    <row r="370" spans="9:10" x14ac:dyDescent="0.25">
      <c r="I370" s="316"/>
      <c r="J370" s="176"/>
    </row>
    <row r="371" spans="9:10" x14ac:dyDescent="0.25">
      <c r="I371" s="316"/>
      <c r="J371" s="176"/>
    </row>
    <row r="372" spans="9:10" x14ac:dyDescent="0.25">
      <c r="I372" s="316"/>
      <c r="J372" s="176"/>
    </row>
    <row r="373" spans="9:10" x14ac:dyDescent="0.25">
      <c r="I373" s="316"/>
      <c r="J373" s="176"/>
    </row>
    <row r="374" spans="9:10" x14ac:dyDescent="0.25">
      <c r="I374" s="316"/>
      <c r="J374" s="176"/>
    </row>
    <row r="375" spans="9:10" x14ac:dyDescent="0.25">
      <c r="I375" s="316"/>
      <c r="J375" s="176"/>
    </row>
    <row r="376" spans="9:10" x14ac:dyDescent="0.25">
      <c r="I376" s="316"/>
      <c r="J376" s="176"/>
    </row>
    <row r="377" spans="9:10" x14ac:dyDescent="0.25">
      <c r="I377" s="316"/>
      <c r="J377" s="176"/>
    </row>
    <row r="378" spans="9:10" x14ac:dyDescent="0.25">
      <c r="I378" s="316"/>
      <c r="J378" s="176"/>
    </row>
    <row r="379" spans="9:10" x14ac:dyDescent="0.25">
      <c r="I379" s="316"/>
      <c r="J379" s="176"/>
    </row>
    <row r="380" spans="9:10" x14ac:dyDescent="0.25">
      <c r="I380" s="316"/>
      <c r="J380" s="176"/>
    </row>
    <row r="381" spans="9:10" x14ac:dyDescent="0.25">
      <c r="I381" s="316"/>
      <c r="J381" s="176"/>
    </row>
    <row r="382" spans="9:10" x14ac:dyDescent="0.25">
      <c r="I382" s="316"/>
      <c r="J382" s="176"/>
    </row>
    <row r="383" spans="9:10" x14ac:dyDescent="0.25">
      <c r="I383" s="316"/>
      <c r="J383" s="176"/>
    </row>
    <row r="384" spans="9:10" x14ac:dyDescent="0.25">
      <c r="I384" s="316"/>
      <c r="J384" s="176"/>
    </row>
    <row r="385" spans="9:10" x14ac:dyDescent="0.25">
      <c r="I385" s="316"/>
      <c r="J385" s="176"/>
    </row>
    <row r="386" spans="9:10" x14ac:dyDescent="0.25">
      <c r="I386" s="316"/>
      <c r="J386" s="176"/>
    </row>
    <row r="387" spans="9:10" x14ac:dyDescent="0.25">
      <c r="I387" s="316"/>
      <c r="J387" s="176"/>
    </row>
    <row r="388" spans="9:10" x14ac:dyDescent="0.25">
      <c r="I388" s="316"/>
      <c r="J388" s="176"/>
    </row>
    <row r="389" spans="9:10" x14ac:dyDescent="0.25">
      <c r="I389" s="316"/>
      <c r="J389" s="176"/>
    </row>
    <row r="390" spans="9:10" x14ac:dyDescent="0.25">
      <c r="I390" s="316"/>
      <c r="J390" s="176"/>
    </row>
    <row r="391" spans="9:10" x14ac:dyDescent="0.25">
      <c r="I391" s="316"/>
      <c r="J391" s="176"/>
    </row>
    <row r="392" spans="9:10" x14ac:dyDescent="0.25">
      <c r="I392" s="316"/>
      <c r="J392" s="176"/>
    </row>
    <row r="393" spans="9:10" x14ac:dyDescent="0.25">
      <c r="I393" s="316"/>
      <c r="J393" s="176"/>
    </row>
    <row r="394" spans="9:10" x14ac:dyDescent="0.25">
      <c r="I394" s="316"/>
      <c r="J394" s="176"/>
    </row>
    <row r="395" spans="9:10" x14ac:dyDescent="0.25">
      <c r="I395" s="316"/>
      <c r="J395" s="176"/>
    </row>
    <row r="396" spans="9:10" x14ac:dyDescent="0.25">
      <c r="I396" s="316"/>
      <c r="J396" s="176"/>
    </row>
    <row r="397" spans="9:10" x14ac:dyDescent="0.25">
      <c r="I397" s="316"/>
      <c r="J397" s="176"/>
    </row>
    <row r="398" spans="9:10" x14ac:dyDescent="0.25">
      <c r="I398" s="316"/>
      <c r="J398" s="176"/>
    </row>
    <row r="399" spans="9:10" x14ac:dyDescent="0.25">
      <c r="I399" s="316"/>
      <c r="J399" s="176"/>
    </row>
    <row r="400" spans="9:10" x14ac:dyDescent="0.25">
      <c r="I400" s="316"/>
      <c r="J400" s="176"/>
    </row>
    <row r="401" spans="9:10" x14ac:dyDescent="0.25">
      <c r="I401" s="316"/>
      <c r="J401" s="176"/>
    </row>
    <row r="402" spans="9:10" x14ac:dyDescent="0.25">
      <c r="I402" s="316"/>
      <c r="J402" s="176"/>
    </row>
    <row r="403" spans="9:10" x14ac:dyDescent="0.25">
      <c r="I403" s="316"/>
      <c r="J403" s="176"/>
    </row>
    <row r="404" spans="9:10" x14ac:dyDescent="0.25">
      <c r="I404" s="316"/>
      <c r="J404" s="176"/>
    </row>
    <row r="405" spans="9:10" x14ac:dyDescent="0.25">
      <c r="I405" s="316"/>
      <c r="J405" s="176"/>
    </row>
    <row r="406" spans="9:10" x14ac:dyDescent="0.25">
      <c r="I406" s="316"/>
      <c r="J406" s="176"/>
    </row>
    <row r="407" spans="9:10" x14ac:dyDescent="0.25">
      <c r="I407" s="316"/>
      <c r="J407" s="176"/>
    </row>
    <row r="408" spans="9:10" x14ac:dyDescent="0.25">
      <c r="I408" s="316"/>
      <c r="J408" s="176"/>
    </row>
    <row r="410" spans="9:10" x14ac:dyDescent="0.25">
      <c r="I410" s="316"/>
      <c r="J410" s="176"/>
    </row>
    <row r="411" spans="9:10" x14ac:dyDescent="0.25">
      <c r="I411" s="316"/>
      <c r="J411" s="176"/>
    </row>
  </sheetData>
  <sheetProtection sheet="1" objects="1" scenarios="1"/>
  <mergeCells count="5">
    <mergeCell ref="B2:E2"/>
    <mergeCell ref="B1:E1"/>
    <mergeCell ref="F1:G4"/>
    <mergeCell ref="H1:H4"/>
    <mergeCell ref="I1:J4"/>
  </mergeCells>
  <phoneticPr fontId="0" type="noConversion"/>
  <printOptions horizontalCentered="1"/>
  <pageMargins left="0.5" right="0.5" top="1" bottom="1" header="0.5" footer="0.5"/>
  <pageSetup scale="90" pageOrder="overThenDown" orientation="landscape" r:id="rId1"/>
  <headerFooter alignWithMargins="0">
    <oddHeader>&amp;C&amp;"Arial,Bold"MCP Numerical Standards Derivation</oddHeader>
    <oddFooter>&amp;L&amp;8MassDEP&amp;C&amp;8 2024&amp;R&amp;8Workbook: &amp;F
Sheet: &amp;A
Page &amp;P of &amp;N</oddFooter>
  </headerFooter>
  <ignoredErrors>
    <ignoredError sqref="I36 I99"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80"/>
  <sheetViews>
    <sheetView showGridLines="0" zoomScale="125" zoomScaleNormal="125" workbookViewId="0">
      <selection sqref="A1:C1"/>
    </sheetView>
  </sheetViews>
  <sheetFormatPr defaultColWidth="9.1796875" defaultRowHeight="12.5" x14ac:dyDescent="0.25"/>
  <cols>
    <col min="1" max="1" width="13.6328125" style="1" customWidth="1"/>
    <col min="2" max="2" width="11.08984375" style="1" customWidth="1"/>
    <col min="3" max="3" width="8.81640625" style="1" customWidth="1"/>
    <col min="4" max="4" width="11.453125" style="1" customWidth="1"/>
    <col min="5" max="5" width="9.7265625" style="1" customWidth="1"/>
    <col min="6" max="6" width="8" style="1" customWidth="1"/>
    <col min="7" max="7" width="9" style="1" customWidth="1"/>
    <col min="8" max="8" width="10" style="1" customWidth="1"/>
    <col min="9" max="9" width="8" style="1" customWidth="1"/>
    <col min="10" max="10" width="7.1796875" style="1" customWidth="1"/>
    <col min="11" max="11" width="12.453125" style="1" customWidth="1"/>
    <col min="12" max="12" width="13.54296875" style="1" customWidth="1"/>
    <col min="13" max="13" width="5.81640625" style="1" customWidth="1"/>
    <col min="14" max="14" width="9.54296875" style="1" customWidth="1"/>
    <col min="15" max="15" width="6.08984375" style="1" customWidth="1"/>
    <col min="16" max="16" width="7.90625" style="1" customWidth="1"/>
    <col min="17" max="18" width="8.81640625" style="1" customWidth="1"/>
    <col min="19" max="19" width="8.7265625" style="1" customWidth="1"/>
    <col min="20" max="20" width="8.36328125" style="1" customWidth="1"/>
    <col min="21" max="21" width="8.54296875" style="1" customWidth="1"/>
    <col min="22" max="22" width="8.453125" style="1" customWidth="1"/>
    <col min="23" max="23" width="7.453125" style="1" customWidth="1"/>
    <col min="24" max="24" width="9.81640625" style="1" customWidth="1"/>
    <col min="25" max="25" width="7.7265625" style="1" customWidth="1"/>
    <col min="26" max="26" width="9.1796875" style="1"/>
    <col min="27" max="27" width="11" style="1" customWidth="1"/>
    <col min="28" max="28" width="5.81640625" style="2" customWidth="1"/>
    <col min="29" max="29" width="9.1796875" style="1"/>
    <col min="30" max="30" width="7.453125" style="1" customWidth="1"/>
    <col min="31" max="31" width="11.453125" style="1" customWidth="1"/>
    <col min="32" max="32" width="11.54296875" style="1" customWidth="1"/>
    <col min="33" max="33" width="11.453125" style="1" customWidth="1"/>
    <col min="34" max="36" width="12.1796875" style="1" customWidth="1"/>
    <col min="37" max="37" width="11.453125" style="1" customWidth="1"/>
    <col min="38" max="40" width="9.1796875" style="1"/>
    <col min="41" max="41" width="11.54296875" style="1" customWidth="1"/>
    <col min="42" max="42" width="9.1796875" style="1"/>
    <col min="43" max="43" width="22.1796875" style="1" customWidth="1"/>
    <col min="44" max="44" width="9.1796875" style="1"/>
    <col min="45" max="45" width="9.453125" style="1" customWidth="1"/>
    <col min="46" max="46" width="21" style="1" customWidth="1"/>
    <col min="47" max="47" width="16.54296875" style="1" customWidth="1"/>
    <col min="48" max="48" width="21" style="1" customWidth="1"/>
    <col min="49" max="16384" width="9.1796875" style="1"/>
  </cols>
  <sheetData>
    <row r="1" spans="1:50" ht="13" x14ac:dyDescent="0.3">
      <c r="A1" s="509" t="s">
        <v>197</v>
      </c>
      <c r="B1" s="509"/>
      <c r="C1" s="509"/>
      <c r="J1" s="18"/>
      <c r="K1" s="18"/>
      <c r="L1" s="18"/>
      <c r="M1" s="18"/>
      <c r="Q1" s="17"/>
      <c r="R1" s="18"/>
      <c r="S1" s="18"/>
      <c r="T1" s="18"/>
      <c r="AD1" s="17"/>
      <c r="AE1" s="18"/>
      <c r="AF1" s="18"/>
      <c r="AG1" s="18"/>
      <c r="AH1" s="18"/>
      <c r="AI1" s="18"/>
      <c r="AJ1" s="18"/>
      <c r="AK1" s="18"/>
      <c r="AS1" s="17"/>
      <c r="AT1" s="18"/>
      <c r="AU1" s="18"/>
      <c r="AV1" s="18"/>
    </row>
    <row r="2" spans="1:50" ht="13" x14ac:dyDescent="0.3">
      <c r="I2" s="17"/>
      <c r="J2" s="17"/>
      <c r="K2" s="17"/>
      <c r="L2" s="17"/>
      <c r="M2" s="17"/>
      <c r="Q2" s="17"/>
      <c r="R2" s="18"/>
      <c r="S2" s="18"/>
      <c r="T2" s="18"/>
      <c r="AS2" s="17"/>
      <c r="AT2" s="18"/>
      <c r="AU2" s="18"/>
      <c r="AV2" s="18"/>
    </row>
    <row r="3" spans="1:50" ht="13" x14ac:dyDescent="0.3">
      <c r="A3" s="177" t="s">
        <v>196</v>
      </c>
      <c r="I3" s="13"/>
      <c r="J3" s="13"/>
      <c r="K3" s="13"/>
      <c r="L3" s="13"/>
      <c r="M3" s="13"/>
      <c r="N3" s="18"/>
      <c r="O3" s="18"/>
      <c r="Q3" s="17"/>
      <c r="R3" s="18"/>
      <c r="S3" s="18"/>
      <c r="T3" s="18"/>
      <c r="V3" s="17"/>
      <c r="W3" s="18"/>
      <c r="X3" s="18"/>
      <c r="Y3" s="18"/>
      <c r="Z3" s="18"/>
      <c r="AA3" s="18"/>
      <c r="AD3" s="13"/>
      <c r="AE3" s="13"/>
      <c r="AF3" s="13"/>
      <c r="AG3" s="13"/>
      <c r="AH3" s="13"/>
      <c r="AI3" s="13"/>
      <c r="AJ3" s="13"/>
      <c r="AK3" s="14"/>
      <c r="AM3" s="17"/>
      <c r="AN3" s="18"/>
      <c r="AO3" s="18"/>
      <c r="AP3" s="18"/>
      <c r="AQ3" s="18"/>
      <c r="AS3" s="17"/>
      <c r="AT3" s="18"/>
      <c r="AU3" s="18"/>
      <c r="AV3" s="18"/>
    </row>
    <row r="4" spans="1:50" ht="13" x14ac:dyDescent="0.3">
      <c r="A4" s="177" t="s">
        <v>195</v>
      </c>
      <c r="B4" s="18"/>
      <c r="C4" s="18"/>
      <c r="D4" s="18"/>
      <c r="E4" s="18"/>
      <c r="F4" s="18"/>
      <c r="G4" s="18"/>
      <c r="I4" s="13"/>
      <c r="J4" s="13"/>
      <c r="K4" s="13"/>
      <c r="L4" s="13"/>
      <c r="M4" s="13"/>
      <c r="N4" s="18"/>
      <c r="O4" s="18"/>
      <c r="R4" s="18"/>
      <c r="S4" s="18"/>
      <c r="T4" s="18"/>
      <c r="AD4" s="14"/>
      <c r="AE4" s="14"/>
      <c r="AF4" s="14"/>
      <c r="AG4" s="14"/>
      <c r="AH4" s="14"/>
      <c r="AI4" s="14"/>
      <c r="AJ4" s="14"/>
      <c r="AK4" s="14"/>
      <c r="AM4" s="17"/>
      <c r="AN4" s="18"/>
      <c r="AO4" s="18"/>
      <c r="AP4" s="18"/>
      <c r="AQ4" s="18"/>
      <c r="AT4" s="18"/>
      <c r="AU4" s="18"/>
      <c r="AV4" s="18"/>
    </row>
    <row r="5" spans="1:50" ht="13" x14ac:dyDescent="0.3">
      <c r="A5" s="177" t="s">
        <v>194</v>
      </c>
      <c r="X5" s="17"/>
      <c r="Y5" s="13"/>
      <c r="Z5" s="13"/>
      <c r="AA5" s="14"/>
      <c r="AB5" s="14"/>
      <c r="AD5" s="14"/>
      <c r="AE5" s="14"/>
      <c r="AF5" s="14"/>
      <c r="AG5" s="14"/>
      <c r="AH5" s="14"/>
      <c r="AI5" s="14"/>
      <c r="AJ5" s="14"/>
      <c r="AK5" s="14"/>
      <c r="AM5" s="17"/>
      <c r="AN5" s="18"/>
      <c r="AO5" s="18"/>
      <c r="AP5" s="18"/>
      <c r="AQ5" s="18"/>
      <c r="AT5" s="18"/>
      <c r="AU5" s="18"/>
      <c r="AV5" s="18"/>
    </row>
    <row r="6" spans="1:50" ht="13" x14ac:dyDescent="0.3">
      <c r="X6" s="17"/>
      <c r="Y6" s="14"/>
      <c r="Z6" s="13"/>
      <c r="AA6" s="14"/>
      <c r="AB6" s="14"/>
      <c r="AD6" s="14"/>
      <c r="AE6" s="14"/>
      <c r="AF6" s="14"/>
      <c r="AG6" s="14"/>
      <c r="AH6" s="14"/>
      <c r="AI6" s="14"/>
      <c r="AJ6" s="14"/>
      <c r="AK6" s="14"/>
      <c r="AS6" s="17"/>
      <c r="AT6" s="17"/>
      <c r="AU6" s="17"/>
      <c r="AV6" s="18"/>
    </row>
    <row r="7" spans="1:50" ht="13" x14ac:dyDescent="0.3">
      <c r="X7" s="17"/>
      <c r="Y7" s="14"/>
      <c r="Z7" s="14"/>
      <c r="AA7" s="14"/>
      <c r="AB7" s="14"/>
      <c r="AD7" s="14"/>
      <c r="AE7" s="14"/>
      <c r="AF7" s="14"/>
      <c r="AG7" s="14"/>
      <c r="AH7" s="14"/>
      <c r="AI7" s="14"/>
      <c r="AJ7" s="14"/>
      <c r="AK7" s="14"/>
    </row>
    <row r="8" spans="1:50" ht="13.5" thickBot="1" x14ac:dyDescent="0.35">
      <c r="A8" s="182" t="s">
        <v>193</v>
      </c>
      <c r="X8" s="17"/>
      <c r="Y8" s="14"/>
      <c r="Z8" s="14"/>
      <c r="AA8" s="14"/>
      <c r="AB8" s="14"/>
      <c r="AD8" s="14"/>
      <c r="AE8" s="14"/>
      <c r="AF8" s="14"/>
      <c r="AG8" s="14"/>
      <c r="AH8" s="14"/>
      <c r="AI8" s="14"/>
      <c r="AJ8" s="14"/>
      <c r="AK8" s="14"/>
      <c r="AN8" s="14"/>
      <c r="AO8" s="14"/>
      <c r="AP8" s="14"/>
      <c r="AQ8" s="14"/>
      <c r="AS8" s="14"/>
      <c r="AT8" s="14"/>
      <c r="AU8" s="14"/>
      <c r="AV8" s="14"/>
    </row>
    <row r="9" spans="1:50" ht="13" x14ac:dyDescent="0.3">
      <c r="A9" s="263"/>
      <c r="B9" s="263"/>
      <c r="C9" s="263"/>
      <c r="D9" s="263"/>
      <c r="E9" s="263"/>
      <c r="F9" s="263"/>
      <c r="G9" s="263"/>
      <c r="H9" s="263"/>
      <c r="I9" s="263"/>
      <c r="J9" s="263"/>
      <c r="K9" s="3"/>
      <c r="L9" s="3"/>
      <c r="M9" s="3"/>
      <c r="N9" s="257" t="s">
        <v>192</v>
      </c>
      <c r="O9" s="25"/>
      <c r="P9" s="16"/>
      <c r="Q9" s="16"/>
      <c r="R9" s="16"/>
      <c r="S9" s="16"/>
      <c r="T9" s="16"/>
      <c r="U9" s="16"/>
      <c r="V9" s="16"/>
      <c r="W9" s="16"/>
      <c r="X9" s="16"/>
      <c r="Y9" s="16"/>
      <c r="Z9" s="15"/>
      <c r="AF9" s="14"/>
      <c r="AG9" s="14"/>
      <c r="AH9" s="14"/>
      <c r="AI9" s="14"/>
      <c r="AJ9" s="14"/>
      <c r="AK9" s="14"/>
      <c r="AL9" s="14"/>
      <c r="AM9" s="14"/>
      <c r="AO9" s="14"/>
      <c r="AP9" s="14"/>
      <c r="AQ9" s="14"/>
      <c r="AR9" s="14"/>
      <c r="AS9" s="14"/>
      <c r="AU9" s="14"/>
      <c r="AV9" s="14"/>
      <c r="AW9" s="14"/>
      <c r="AX9" s="14"/>
    </row>
    <row r="10" spans="1:50" ht="13" x14ac:dyDescent="0.3">
      <c r="A10" s="261"/>
      <c r="B10" s="261" t="s">
        <v>141</v>
      </c>
      <c r="C10" s="261" t="s">
        <v>171</v>
      </c>
      <c r="D10" s="261" t="s">
        <v>159</v>
      </c>
      <c r="E10" s="261"/>
      <c r="F10" s="261" t="s">
        <v>159</v>
      </c>
      <c r="G10" s="261" t="s">
        <v>158</v>
      </c>
      <c r="H10" s="261" t="s">
        <v>157</v>
      </c>
      <c r="I10" s="261" t="s">
        <v>157</v>
      </c>
      <c r="J10" s="261" t="s">
        <v>157</v>
      </c>
      <c r="K10" s="3"/>
      <c r="L10" s="3"/>
      <c r="M10" s="3"/>
      <c r="N10" s="264"/>
      <c r="O10" s="3"/>
      <c r="P10" s="3"/>
      <c r="Q10" s="3"/>
      <c r="R10" s="3"/>
      <c r="S10" s="3"/>
      <c r="T10" s="3"/>
      <c r="U10" s="3"/>
      <c r="V10" s="3"/>
      <c r="W10" s="3"/>
      <c r="X10" s="90" t="s">
        <v>186</v>
      </c>
      <c r="Y10" s="3"/>
      <c r="Z10" s="265"/>
      <c r="AA10" s="3"/>
      <c r="AB10" s="14"/>
      <c r="AC10" s="13"/>
      <c r="AD10" s="14"/>
      <c r="AF10" s="14"/>
      <c r="AG10" s="14"/>
      <c r="AH10" s="14"/>
      <c r="AI10" s="14"/>
      <c r="AJ10" s="14"/>
      <c r="AK10" s="14"/>
      <c r="AL10" s="14"/>
      <c r="AM10" s="14"/>
      <c r="AO10" s="14"/>
      <c r="AP10" s="14"/>
      <c r="AQ10" s="14"/>
      <c r="AR10" s="14"/>
      <c r="AS10" s="14"/>
      <c r="AU10" s="14"/>
      <c r="AV10" s="14"/>
      <c r="AW10" s="14"/>
      <c r="AX10" s="14"/>
    </row>
    <row r="11" spans="1:50" ht="13" x14ac:dyDescent="0.3">
      <c r="A11" s="477"/>
      <c r="B11" s="261" t="s">
        <v>155</v>
      </c>
      <c r="C11" s="261" t="s">
        <v>170</v>
      </c>
      <c r="D11" s="261" t="s">
        <v>153</v>
      </c>
      <c r="E11" s="261"/>
      <c r="F11" s="261" t="s">
        <v>152</v>
      </c>
      <c r="G11" s="261" t="s">
        <v>152</v>
      </c>
      <c r="H11" s="261" t="s">
        <v>151</v>
      </c>
      <c r="I11" s="261" t="s">
        <v>151</v>
      </c>
      <c r="J11" s="261" t="s">
        <v>151</v>
      </c>
      <c r="K11" s="3"/>
      <c r="L11" s="3"/>
      <c r="M11" s="3"/>
      <c r="N11" s="268" t="s">
        <v>191</v>
      </c>
      <c r="O11" s="90"/>
      <c r="P11" s="90" t="s">
        <v>190</v>
      </c>
      <c r="Q11" s="90" t="s">
        <v>189</v>
      </c>
      <c r="R11" s="90" t="s">
        <v>189</v>
      </c>
      <c r="S11" s="90" t="s">
        <v>188</v>
      </c>
      <c r="T11" s="90" t="s">
        <v>188</v>
      </c>
      <c r="U11" s="90" t="s">
        <v>187</v>
      </c>
      <c r="V11" s="90" t="s">
        <v>187</v>
      </c>
      <c r="W11" s="90" t="s">
        <v>186</v>
      </c>
      <c r="X11" s="90" t="s">
        <v>182</v>
      </c>
      <c r="Y11" s="90" t="s">
        <v>185</v>
      </c>
      <c r="Z11" s="265" t="s">
        <v>185</v>
      </c>
      <c r="AA11" s="3"/>
      <c r="AB11" s="14"/>
      <c r="AC11" s="13"/>
      <c r="AD11" s="13"/>
      <c r="AF11" s="14"/>
      <c r="AG11" s="14"/>
      <c r="AH11" s="14"/>
      <c r="AI11" s="14"/>
      <c r="AJ11" s="14"/>
      <c r="AK11" s="14"/>
      <c r="AL11" s="14"/>
      <c r="AM11" s="14"/>
      <c r="AO11" s="14"/>
      <c r="AP11" s="14"/>
      <c r="AQ11" s="14"/>
      <c r="AR11" s="14"/>
      <c r="AS11" s="14"/>
      <c r="AU11" s="14"/>
      <c r="AV11" s="14"/>
      <c r="AW11" s="14"/>
      <c r="AX11" s="14"/>
    </row>
    <row r="12" spans="1:50" ht="13.5" thickBot="1" x14ac:dyDescent="0.35">
      <c r="A12" s="477"/>
      <c r="B12" s="261" t="s">
        <v>149</v>
      </c>
      <c r="C12" s="261" t="s">
        <v>184</v>
      </c>
      <c r="D12" s="261" t="s">
        <v>147</v>
      </c>
      <c r="E12" s="261" t="s">
        <v>146</v>
      </c>
      <c r="F12" s="261" t="s">
        <v>145</v>
      </c>
      <c r="G12" s="261" t="s">
        <v>144</v>
      </c>
      <c r="H12" s="261" t="s">
        <v>143</v>
      </c>
      <c r="I12" s="261" t="s">
        <v>142</v>
      </c>
      <c r="J12" s="261" t="s">
        <v>241</v>
      </c>
      <c r="K12" s="3" t="s">
        <v>122</v>
      </c>
      <c r="L12" s="3"/>
      <c r="M12" s="3"/>
      <c r="N12" s="268"/>
      <c r="O12" s="90"/>
      <c r="P12" s="90"/>
      <c r="Q12" s="90" t="s">
        <v>183</v>
      </c>
      <c r="R12" s="90" t="s">
        <v>160</v>
      </c>
      <c r="S12" s="90"/>
      <c r="T12" s="90" t="s">
        <v>160</v>
      </c>
      <c r="U12" s="90"/>
      <c r="V12" s="90" t="s">
        <v>160</v>
      </c>
      <c r="W12" s="90" t="s">
        <v>182</v>
      </c>
      <c r="X12" s="90" t="s">
        <v>160</v>
      </c>
      <c r="Y12" s="90"/>
      <c r="Z12" s="265" t="s">
        <v>160</v>
      </c>
      <c r="AA12" s="3"/>
      <c r="AF12" s="14"/>
      <c r="AG12" s="14"/>
      <c r="AH12" s="14"/>
      <c r="AI12" s="14"/>
      <c r="AJ12" s="14"/>
      <c r="AK12" s="14"/>
      <c r="AL12" s="14"/>
      <c r="AM12" s="14"/>
      <c r="AO12" s="14"/>
      <c r="AP12" s="14"/>
      <c r="AQ12" s="14"/>
      <c r="AR12" s="14"/>
      <c r="AS12" s="14"/>
      <c r="AU12" s="14"/>
      <c r="AV12" s="14"/>
      <c r="AW12" s="14"/>
      <c r="AX12" s="14"/>
    </row>
    <row r="13" spans="1:50" x14ac:dyDescent="0.25">
      <c r="A13" s="186"/>
      <c r="B13" s="388" t="s">
        <v>139</v>
      </c>
      <c r="C13" s="388" t="s">
        <v>181</v>
      </c>
      <c r="D13" s="388" t="s">
        <v>136</v>
      </c>
      <c r="E13" s="388" t="s">
        <v>135</v>
      </c>
      <c r="F13" s="388" t="s">
        <v>134</v>
      </c>
      <c r="G13" s="388" t="s">
        <v>134</v>
      </c>
      <c r="H13" s="388" t="s">
        <v>133</v>
      </c>
      <c r="I13" s="388" t="s">
        <v>109</v>
      </c>
      <c r="J13" s="390" t="s">
        <v>242</v>
      </c>
      <c r="K13" s="391" t="s">
        <v>171</v>
      </c>
      <c r="L13" s="3"/>
      <c r="M13" s="3"/>
      <c r="N13" s="268"/>
      <c r="O13" s="90" t="s">
        <v>134</v>
      </c>
      <c r="P13" s="90"/>
      <c r="Q13" s="90" t="s">
        <v>180</v>
      </c>
      <c r="R13" s="90" t="s">
        <v>127</v>
      </c>
      <c r="S13" s="90"/>
      <c r="T13" s="90" t="s">
        <v>127</v>
      </c>
      <c r="U13" s="90"/>
      <c r="V13" s="90" t="s">
        <v>127</v>
      </c>
      <c r="W13" s="90"/>
      <c r="X13" s="90" t="s">
        <v>127</v>
      </c>
      <c r="Y13" s="90"/>
      <c r="Z13" s="265" t="s">
        <v>127</v>
      </c>
      <c r="AA13" s="399" t="s">
        <v>311</v>
      </c>
    </row>
    <row r="14" spans="1:50" x14ac:dyDescent="0.25">
      <c r="A14" s="478" t="s">
        <v>131</v>
      </c>
      <c r="B14" s="256"/>
      <c r="C14" s="256"/>
      <c r="D14" s="256"/>
      <c r="E14" s="256"/>
      <c r="F14" s="256"/>
      <c r="G14" s="256"/>
      <c r="H14" s="256"/>
      <c r="I14" s="263"/>
      <c r="J14" s="187"/>
      <c r="K14" s="90" t="s">
        <v>170</v>
      </c>
      <c r="L14" s="3"/>
      <c r="M14" s="3"/>
      <c r="N14" s="272"/>
      <c r="O14" s="273"/>
      <c r="P14" s="273" t="s">
        <v>366</v>
      </c>
      <c r="Q14" s="273" t="s">
        <v>366</v>
      </c>
      <c r="R14" s="273" t="s">
        <v>367</v>
      </c>
      <c r="S14" s="273" t="s">
        <v>366</v>
      </c>
      <c r="T14" s="273" t="s">
        <v>367</v>
      </c>
      <c r="U14" s="273" t="s">
        <v>366</v>
      </c>
      <c r="V14" s="273" t="s">
        <v>367</v>
      </c>
      <c r="W14" s="273" t="s">
        <v>366</v>
      </c>
      <c r="X14" s="273" t="s">
        <v>367</v>
      </c>
      <c r="Y14" s="273" t="s">
        <v>366</v>
      </c>
      <c r="Z14" s="274" t="s">
        <v>367</v>
      </c>
      <c r="AA14" s="400" t="s">
        <v>310</v>
      </c>
      <c r="AC14" s="2"/>
      <c r="AD14" s="5"/>
      <c r="AG14" s="4"/>
      <c r="AH14" s="4"/>
      <c r="AI14" s="4"/>
      <c r="AJ14" s="6"/>
      <c r="AK14" s="6"/>
      <c r="AL14" s="6"/>
      <c r="AM14" s="4"/>
      <c r="AQ14" s="5"/>
      <c r="AS14" s="5"/>
      <c r="AV14" s="4"/>
      <c r="AX14" s="4"/>
    </row>
    <row r="15" spans="1:50" x14ac:dyDescent="0.25">
      <c r="A15" s="260" t="s">
        <v>124</v>
      </c>
      <c r="B15" s="479"/>
      <c r="C15" s="263"/>
      <c r="D15" s="263"/>
      <c r="E15" s="263"/>
      <c r="F15" s="263"/>
      <c r="G15" s="263"/>
      <c r="H15" s="263"/>
      <c r="I15" s="263"/>
      <c r="J15" s="188"/>
      <c r="K15" s="3" t="s">
        <v>292</v>
      </c>
      <c r="L15" s="3"/>
      <c r="M15" s="3"/>
      <c r="N15" s="401" t="s">
        <v>179</v>
      </c>
      <c r="O15" s="402">
        <v>1</v>
      </c>
      <c r="P15" s="403">
        <f>('[1]Skin Surface Area'!I6)*10000</f>
        <v>858</v>
      </c>
      <c r="Q15" s="403">
        <f t="shared" ref="Q15:Q21" si="0">0.33*P15</f>
        <v>283.14</v>
      </c>
      <c r="R15" s="404">
        <v>6.0000000000000001E-3</v>
      </c>
      <c r="S15" s="403">
        <f>'[1]Skin Surface Area'!$J6*10000</f>
        <v>317.72000000000003</v>
      </c>
      <c r="T15" s="404">
        <v>2.7E-2</v>
      </c>
      <c r="U15" s="403">
        <f>'[1]Skin Surface Area'!$K6*10000</f>
        <v>296.40000000000003</v>
      </c>
      <c r="V15" s="404">
        <v>1.5</v>
      </c>
      <c r="W15" s="403">
        <f>'[1]Skin Surface Area'!$L6*10000</f>
        <v>480.48000000000008</v>
      </c>
      <c r="X15" s="405">
        <v>0.2</v>
      </c>
      <c r="Y15" s="403">
        <f>'[1]Skin Surface Area'!$M6*10000</f>
        <v>327.60000000000002</v>
      </c>
      <c r="Z15" s="406">
        <v>0.25629999999999997</v>
      </c>
      <c r="AA15" s="407">
        <f>((Q15*R15)+(S15*T15)+(U15*V15)+(W15*X15)+(Y15*Z15))/(Q15+S15+U15+W15+Y15)</f>
        <v>0.37232291507851806</v>
      </c>
      <c r="AD15" s="5"/>
      <c r="AG15" s="4"/>
      <c r="AH15" s="4"/>
      <c r="AI15" s="4"/>
      <c r="AJ15" s="6"/>
      <c r="AK15" s="6"/>
      <c r="AL15" s="6"/>
      <c r="AM15" s="4"/>
      <c r="AQ15" s="5"/>
      <c r="AS15" s="5"/>
      <c r="AV15" s="4"/>
      <c r="AX15" s="4"/>
    </row>
    <row r="16" spans="1:50" ht="13" thickBot="1" x14ac:dyDescent="0.3">
      <c r="A16" s="283" t="s">
        <v>130</v>
      </c>
      <c r="B16" s="480"/>
      <c r="C16" s="261"/>
      <c r="D16" s="261"/>
      <c r="E16" s="261"/>
      <c r="F16" s="261"/>
      <c r="G16" s="261"/>
      <c r="H16" s="261"/>
      <c r="I16" s="261"/>
      <c r="J16" s="189"/>
      <c r="K16" s="90" t="s">
        <v>293</v>
      </c>
      <c r="L16" s="90"/>
      <c r="M16" s="3"/>
      <c r="N16" s="401" t="s">
        <v>178</v>
      </c>
      <c r="O16" s="402">
        <v>1</v>
      </c>
      <c r="P16" s="403">
        <f>('[1]Skin Surface Area'!I7)*10000</f>
        <v>495.6</v>
      </c>
      <c r="Q16" s="403">
        <f t="shared" si="0"/>
        <v>163.548</v>
      </c>
      <c r="R16" s="404"/>
      <c r="S16" s="403">
        <f>'[1]Skin Surface Area'!$J7*10000</f>
        <v>330.4</v>
      </c>
      <c r="T16" s="404"/>
      <c r="U16" s="403">
        <f>'[1]Skin Surface Area'!$K7*10000</f>
        <v>283.2</v>
      </c>
      <c r="V16" s="404"/>
      <c r="W16" s="403">
        <f>'[1]Skin Surface Area'!$L7*10000</f>
        <v>660.8</v>
      </c>
      <c r="X16" s="404"/>
      <c r="Y16" s="403">
        <f>'[1]Skin Surface Area'!$M7*10000</f>
        <v>353.99999999999994</v>
      </c>
      <c r="Z16" s="408"/>
      <c r="AA16" s="3"/>
      <c r="AD16" s="5"/>
      <c r="AG16" s="4"/>
      <c r="AH16" s="4"/>
      <c r="AI16" s="4"/>
      <c r="AJ16" s="6"/>
      <c r="AK16" s="6"/>
      <c r="AL16" s="6"/>
      <c r="AM16" s="4"/>
      <c r="AQ16" s="5"/>
      <c r="AS16" s="5"/>
      <c r="AV16" s="4"/>
      <c r="AX16" s="4"/>
    </row>
    <row r="17" spans="1:51" x14ac:dyDescent="0.25">
      <c r="A17" s="284" t="s">
        <v>121</v>
      </c>
      <c r="B17" s="285">
        <f>[1]BW!$F$15</f>
        <v>19.007142857142856</v>
      </c>
      <c r="C17" s="286">
        <v>100</v>
      </c>
      <c r="D17" s="286">
        <v>5</v>
      </c>
      <c r="E17" s="286">
        <v>30</v>
      </c>
      <c r="F17" s="286">
        <v>7</v>
      </c>
      <c r="G17" s="286">
        <v>7</v>
      </c>
      <c r="H17" s="286">
        <v>365</v>
      </c>
      <c r="I17" s="286">
        <v>1000000</v>
      </c>
      <c r="J17" s="190">
        <v>1000</v>
      </c>
      <c r="K17" s="392"/>
      <c r="L17" s="90"/>
      <c r="M17" s="3"/>
      <c r="N17" s="401" t="s">
        <v>177</v>
      </c>
      <c r="O17" s="402">
        <v>1</v>
      </c>
      <c r="P17" s="403">
        <f>('[1]Skin Surface Area'!I8)*10000</f>
        <v>567.12989690721668</v>
      </c>
      <c r="Q17" s="403">
        <f t="shared" si="0"/>
        <v>187.15286597938152</v>
      </c>
      <c r="R17" s="404"/>
      <c r="S17" s="403">
        <f>'[1]Skin Surface Area'!$J8*10000</f>
        <v>378.08659793814439</v>
      </c>
      <c r="T17" s="404"/>
      <c r="U17" s="403">
        <f>'[1]Skin Surface Area'!$K8*10000</f>
        <v>324.07422680412378</v>
      </c>
      <c r="V17" s="404"/>
      <c r="W17" s="403">
        <f>'[1]Skin Surface Area'!$L8*10000</f>
        <v>756.17319587628879</v>
      </c>
      <c r="X17" s="404"/>
      <c r="Y17" s="403">
        <f>'[1]Skin Surface Area'!$M8*10000</f>
        <v>405.09278350515473</v>
      </c>
      <c r="Z17" s="408"/>
      <c r="AA17" s="399" t="s">
        <v>312</v>
      </c>
      <c r="AD17" s="5"/>
      <c r="AG17" s="4"/>
      <c r="AH17" s="4"/>
      <c r="AI17" s="4"/>
      <c r="AJ17" s="6"/>
      <c r="AK17" s="6"/>
      <c r="AL17" s="6"/>
      <c r="AM17" s="4"/>
      <c r="AQ17" s="5"/>
      <c r="AS17" s="5"/>
      <c r="AV17" s="4"/>
      <c r="AX17" s="4"/>
    </row>
    <row r="18" spans="1:51" x14ac:dyDescent="0.25">
      <c r="A18" s="287" t="s">
        <v>118</v>
      </c>
      <c r="B18" s="481"/>
      <c r="C18" s="288"/>
      <c r="D18" s="288"/>
      <c r="E18" s="288"/>
      <c r="F18" s="288"/>
      <c r="G18" s="288"/>
      <c r="H18" s="288"/>
      <c r="I18" s="288"/>
      <c r="J18" s="191"/>
      <c r="K18" s="393">
        <f>C17*D17*E17*F17/(B17*G17*H17*I17)</f>
        <v>2.1621287702120432E-6</v>
      </c>
      <c r="L18" s="394"/>
      <c r="M18" s="185"/>
      <c r="N18" s="401" t="s">
        <v>176</v>
      </c>
      <c r="O18" s="402">
        <v>1</v>
      </c>
      <c r="P18" s="403">
        <f>('[1]Skin Surface Area'!I9)*10000</f>
        <v>572.87235238987819</v>
      </c>
      <c r="Q18" s="403">
        <f t="shared" si="0"/>
        <v>189.04787628865981</v>
      </c>
      <c r="R18" s="404"/>
      <c r="S18" s="403">
        <f>'[1]Skin Surface Area'!$J9*10000</f>
        <v>403.94845360824746</v>
      </c>
      <c r="T18" s="404"/>
      <c r="U18" s="403">
        <f>'[1]Skin Surface Area'!$K9*10000</f>
        <v>359.88134957825685</v>
      </c>
      <c r="V18" s="404"/>
      <c r="W18" s="403">
        <f>'[1]Skin Surface Area'!$L9*10000</f>
        <v>763.82980318650425</v>
      </c>
      <c r="X18" s="404"/>
      <c r="Y18" s="403">
        <f>'[1]Skin Surface Area'!$M9*10000</f>
        <v>462.70459231490162</v>
      </c>
      <c r="Z18" s="408"/>
      <c r="AA18" s="400" t="s">
        <v>310</v>
      </c>
      <c r="AD18" s="5"/>
      <c r="AG18" s="4"/>
      <c r="AH18" s="4"/>
      <c r="AI18" s="4"/>
      <c r="AJ18" s="6"/>
      <c r="AK18" s="6"/>
      <c r="AL18" s="6"/>
      <c r="AM18" s="4"/>
      <c r="AQ18" s="5"/>
      <c r="AS18" s="5"/>
      <c r="AV18" s="4"/>
      <c r="AX18" s="4"/>
    </row>
    <row r="19" spans="1:51" x14ac:dyDescent="0.25">
      <c r="A19" s="260"/>
      <c r="B19" s="480"/>
      <c r="C19" s="261"/>
      <c r="D19" s="261"/>
      <c r="E19" s="261"/>
      <c r="F19" s="261"/>
      <c r="G19" s="261"/>
      <c r="H19" s="261"/>
      <c r="I19" s="261"/>
      <c r="J19" s="189"/>
      <c r="K19" s="90" t="s">
        <v>123</v>
      </c>
      <c r="L19" s="3"/>
      <c r="M19" s="3"/>
      <c r="N19" s="401" t="s">
        <v>175</v>
      </c>
      <c r="O19" s="402">
        <v>1</v>
      </c>
      <c r="P19" s="403">
        <f>('[1]Skin Surface Area'!I10)*10000</f>
        <v>632.10702905342089</v>
      </c>
      <c r="Q19" s="403">
        <f t="shared" si="0"/>
        <v>208.59531958762889</v>
      </c>
      <c r="R19" s="404"/>
      <c r="S19" s="403">
        <f>'[1]Skin Surface Area'!$J10*10000</f>
        <v>445.7164948453609</v>
      </c>
      <c r="T19" s="404"/>
      <c r="U19" s="403">
        <f>'[1]Skin Surface Area'!$K10*10000</f>
        <v>397.09287722586703</v>
      </c>
      <c r="V19" s="404"/>
      <c r="W19" s="403">
        <f>'[1]Skin Surface Area'!$L10*10000</f>
        <v>842.80937207122781</v>
      </c>
      <c r="X19" s="404"/>
      <c r="Y19" s="403">
        <f>'[1]Skin Surface Area'!$M10*10000</f>
        <v>510.5479850046861</v>
      </c>
      <c r="Z19" s="408"/>
      <c r="AA19" s="407">
        <f>((Q23*R23)+(S23*T23)+(U23*V23)+(W23*X23)+(Y23*Z23))/(Q23+S23+U23+W23+Y23)</f>
        <v>0.3728214791044796</v>
      </c>
      <c r="AD19" s="5"/>
      <c r="AG19" s="4"/>
      <c r="AH19" s="4"/>
      <c r="AI19" s="4"/>
      <c r="AJ19" s="6"/>
      <c r="AK19" s="6"/>
      <c r="AL19" s="6"/>
      <c r="AM19" s="4"/>
      <c r="AQ19" s="5"/>
      <c r="AS19" s="5"/>
      <c r="AV19" s="4"/>
      <c r="AX19" s="4"/>
    </row>
    <row r="20" spans="1:51" ht="13" thickBot="1" x14ac:dyDescent="0.3">
      <c r="A20" s="267" t="s">
        <v>126</v>
      </c>
      <c r="B20" s="480"/>
      <c r="C20" s="261"/>
      <c r="D20" s="261"/>
      <c r="E20" s="261"/>
      <c r="F20" s="261"/>
      <c r="G20" s="261"/>
      <c r="H20" s="261"/>
      <c r="I20" s="261"/>
      <c r="J20" s="189"/>
      <c r="K20" s="3" t="s">
        <v>122</v>
      </c>
      <c r="L20" s="90"/>
      <c r="M20" s="3"/>
      <c r="N20" s="401" t="s">
        <v>174</v>
      </c>
      <c r="O20" s="402">
        <v>1</v>
      </c>
      <c r="P20" s="403">
        <f>('[1]Skin Surface Area'!I11)*10000</f>
        <v>606.14909819639286</v>
      </c>
      <c r="Q20" s="403">
        <f t="shared" si="0"/>
        <v>200.02920240480964</v>
      </c>
      <c r="R20" s="404"/>
      <c r="S20" s="403">
        <f>'[1]Skin Surface Area'!$J11*10000</f>
        <v>465.59278557114226</v>
      </c>
      <c r="T20" s="404"/>
      <c r="U20" s="403">
        <f>'[1]Skin Surface Area'!$K11*10000</f>
        <v>430.45370741482969</v>
      </c>
      <c r="V20" s="404"/>
      <c r="W20" s="403">
        <f>'[1]Skin Surface Area'!$L11*10000</f>
        <v>1001.4637274549099</v>
      </c>
      <c r="X20" s="404"/>
      <c r="Y20" s="403">
        <f>'[1]Skin Surface Area'!$M11*10000</f>
        <v>579.79478957915842</v>
      </c>
      <c r="Z20" s="408"/>
      <c r="AA20" s="3"/>
      <c r="AD20" s="5"/>
      <c r="AG20" s="4"/>
      <c r="AH20" s="4"/>
      <c r="AI20" s="4"/>
      <c r="AJ20" s="6"/>
      <c r="AK20" s="6"/>
      <c r="AL20" s="6"/>
      <c r="AM20" s="4"/>
      <c r="AQ20" s="5"/>
      <c r="AS20" s="5"/>
      <c r="AV20" s="4"/>
      <c r="AX20" s="4"/>
    </row>
    <row r="21" spans="1:51" x14ac:dyDescent="0.25">
      <c r="A21" s="260" t="s">
        <v>124</v>
      </c>
      <c r="B21" s="480"/>
      <c r="C21" s="261"/>
      <c r="D21" s="261"/>
      <c r="E21" s="261"/>
      <c r="F21" s="261"/>
      <c r="G21" s="261"/>
      <c r="H21" s="261"/>
      <c r="I21" s="261"/>
      <c r="J21" s="189"/>
      <c r="K21" s="3" t="s">
        <v>171</v>
      </c>
      <c r="L21" s="3"/>
      <c r="M21" s="3"/>
      <c r="N21" s="409" t="s">
        <v>173</v>
      </c>
      <c r="O21" s="410">
        <v>1</v>
      </c>
      <c r="P21" s="411">
        <f>('[1]Skin Surface Area'!I12)*10000</f>
        <v>659.35791583166338</v>
      </c>
      <c r="Q21" s="411">
        <f t="shared" si="0"/>
        <v>217.58811222444893</v>
      </c>
      <c r="R21" s="412"/>
      <c r="S21" s="411">
        <f>'[1]Skin Surface Area'!$J12*10000</f>
        <v>506.46332665330658</v>
      </c>
      <c r="T21" s="412"/>
      <c r="U21" s="411">
        <f>'[1]Skin Surface Area'!$K12*10000</f>
        <v>468.23967935871747</v>
      </c>
      <c r="V21" s="412"/>
      <c r="W21" s="411">
        <f>'[1]Skin Surface Area'!$L12*10000</f>
        <v>1089.3739478957916</v>
      </c>
      <c r="X21" s="412"/>
      <c r="Y21" s="411">
        <f>'[1]Skin Surface Area'!$M12*10000</f>
        <v>630.69018036072146</v>
      </c>
      <c r="Z21" s="413"/>
      <c r="AA21" s="399" t="s">
        <v>169</v>
      </c>
      <c r="AD21" s="5"/>
      <c r="AG21" s="4"/>
      <c r="AH21" s="4"/>
      <c r="AI21" s="4"/>
      <c r="AJ21" s="6"/>
      <c r="AK21" s="6"/>
      <c r="AL21" s="6"/>
      <c r="AM21" s="4"/>
      <c r="AQ21" s="5"/>
      <c r="AS21" s="5"/>
      <c r="AV21" s="4"/>
      <c r="AX21" s="4"/>
    </row>
    <row r="22" spans="1:51" x14ac:dyDescent="0.25">
      <c r="A22" s="283" t="s">
        <v>172</v>
      </c>
      <c r="B22" s="480"/>
      <c r="C22" s="261"/>
      <c r="D22" s="261"/>
      <c r="E22" s="261"/>
      <c r="F22" s="261"/>
      <c r="G22" s="261"/>
      <c r="H22" s="261"/>
      <c r="I22" s="261"/>
      <c r="J22" s="189"/>
      <c r="K22" s="90" t="s">
        <v>170</v>
      </c>
      <c r="L22" s="3"/>
      <c r="M22" s="3"/>
      <c r="N22" s="401" t="s">
        <v>324</v>
      </c>
      <c r="O22" s="402"/>
      <c r="P22" s="403"/>
      <c r="Q22" s="403">
        <f>AVERAGE(Q15:Q19)</f>
        <v>206.29681237113405</v>
      </c>
      <c r="R22" s="404"/>
      <c r="S22" s="403">
        <f>AVERAGE(S15:S19)</f>
        <v>375.17430927835056</v>
      </c>
      <c r="T22" s="404"/>
      <c r="U22" s="403">
        <f>AVERAGE(U15:U19)</f>
        <v>332.12969072164952</v>
      </c>
      <c r="V22" s="404"/>
      <c r="W22" s="403">
        <f>AVERAGE(W15:W19)</f>
        <v>700.81847422680414</v>
      </c>
      <c r="X22" s="404"/>
      <c r="Y22" s="403">
        <f>AVERAGE(Y15:Y19)</f>
        <v>411.98907216494842</v>
      </c>
      <c r="Z22" s="408"/>
      <c r="AA22" s="400" t="s">
        <v>127</v>
      </c>
      <c r="AC22" s="30"/>
      <c r="AD22" s="5"/>
      <c r="AG22" s="4"/>
      <c r="AH22" s="4"/>
      <c r="AI22" s="4"/>
      <c r="AJ22" s="6"/>
      <c r="AK22" s="6"/>
      <c r="AL22" s="6"/>
      <c r="AM22" s="4"/>
      <c r="AQ22" s="5"/>
      <c r="AS22" s="5"/>
      <c r="AV22" s="4"/>
      <c r="AX22" s="4"/>
    </row>
    <row r="23" spans="1:51" x14ac:dyDescent="0.25">
      <c r="A23" s="284" t="s">
        <v>121</v>
      </c>
      <c r="B23" s="285">
        <f>[1]BW!$F$15</f>
        <v>19.007142857142856</v>
      </c>
      <c r="C23" s="286">
        <v>100</v>
      </c>
      <c r="D23" s="286">
        <v>5</v>
      </c>
      <c r="E23" s="286">
        <v>30</v>
      </c>
      <c r="F23" s="286">
        <v>7</v>
      </c>
      <c r="G23" s="286"/>
      <c r="H23" s="286"/>
      <c r="I23" s="286"/>
      <c r="J23" s="190"/>
      <c r="K23" s="3" t="s">
        <v>292</v>
      </c>
      <c r="L23" s="90"/>
      <c r="M23" s="3"/>
      <c r="N23" s="414" t="s">
        <v>307</v>
      </c>
      <c r="O23" s="415">
        <v>4</v>
      </c>
      <c r="P23" s="416">
        <f>SUM(P16:P19)/4</f>
        <v>566.92731958762897</v>
      </c>
      <c r="Q23" s="416">
        <f>SUM(Q16:Q19)/4</f>
        <v>187.08601546391756</v>
      </c>
      <c r="R23" s="405">
        <v>6.0000000000000001E-3</v>
      </c>
      <c r="S23" s="416">
        <f>SUM(S16:S19)/4</f>
        <v>389.53788659793815</v>
      </c>
      <c r="T23" s="405">
        <v>2.7E-2</v>
      </c>
      <c r="U23" s="416">
        <f>SUM(U16:U19)/4</f>
        <v>341.06211340206193</v>
      </c>
      <c r="V23" s="403">
        <v>1.5</v>
      </c>
      <c r="W23" s="416">
        <f>SUM(W16:W19)/4</f>
        <v>755.90309278350514</v>
      </c>
      <c r="X23" s="405">
        <v>0.2</v>
      </c>
      <c r="Y23" s="416">
        <f>SUM(Y16:Y19)/4</f>
        <v>433.08634020618558</v>
      </c>
      <c r="Z23" s="417">
        <v>0.25629999999999997</v>
      </c>
      <c r="AA23" s="400" t="s">
        <v>125</v>
      </c>
      <c r="AD23" s="5"/>
      <c r="AG23" s="4"/>
      <c r="AH23" s="4"/>
      <c r="AI23" s="4"/>
      <c r="AJ23" s="6"/>
      <c r="AK23" s="6"/>
      <c r="AL23" s="6"/>
      <c r="AM23" s="4"/>
      <c r="AQ23" s="5"/>
      <c r="AS23" s="5"/>
      <c r="AV23" s="4"/>
      <c r="AX23" s="4"/>
    </row>
    <row r="24" spans="1:51" x14ac:dyDescent="0.25">
      <c r="A24" s="284" t="s">
        <v>272</v>
      </c>
      <c r="B24" s="285">
        <f>[1]BW!$F$22</f>
        <v>46.142857142857146</v>
      </c>
      <c r="C24" s="286">
        <v>50</v>
      </c>
      <c r="D24" s="286">
        <v>5</v>
      </c>
      <c r="E24" s="286">
        <v>30</v>
      </c>
      <c r="F24" s="286">
        <v>7</v>
      </c>
      <c r="G24" s="286"/>
      <c r="H24" s="286"/>
      <c r="I24" s="286"/>
      <c r="J24" s="190"/>
      <c r="K24" s="90" t="s">
        <v>293</v>
      </c>
      <c r="L24" s="90"/>
      <c r="M24" s="3"/>
      <c r="N24" s="418" t="s">
        <v>169</v>
      </c>
      <c r="O24" s="419">
        <f>SUM(O15:O21)</f>
        <v>7</v>
      </c>
      <c r="P24" s="420">
        <f>SUM(P15:P21)/7</f>
        <v>627.31661319693899</v>
      </c>
      <c r="Q24" s="420">
        <f>SUM(Q15:Q21)/O24</f>
        <v>207.01448235498984</v>
      </c>
      <c r="R24" s="421">
        <v>6.0000000000000001E-3</v>
      </c>
      <c r="S24" s="420">
        <f>SUM(S15:S21)/O24</f>
        <v>406.84680837374304</v>
      </c>
      <c r="T24" s="421">
        <v>2.7E-2</v>
      </c>
      <c r="U24" s="420">
        <f>SUM(U15:U21)/O24</f>
        <v>365.62026291168502</v>
      </c>
      <c r="V24" s="411">
        <v>1.5</v>
      </c>
      <c r="W24" s="420">
        <f>SUM(W15:W21)/O24</f>
        <v>799.27572092638889</v>
      </c>
      <c r="X24" s="421">
        <v>0.2</v>
      </c>
      <c r="Y24" s="420">
        <f>SUM(Y15:Y21)/O24</f>
        <v>467.20433296637464</v>
      </c>
      <c r="Z24" s="422">
        <v>0.25629999999999997</v>
      </c>
      <c r="AA24" s="407">
        <f>((Q24*R24)+(S24*T24)+(U24*V24)+(W24*X24)+(Y24*Z24))/(Q24+S24+U24+W24+Y24)</f>
        <v>0.37411902188977836</v>
      </c>
      <c r="AD24" s="5"/>
      <c r="AG24" s="4"/>
      <c r="AH24" s="4"/>
      <c r="AI24" s="4"/>
      <c r="AJ24" s="6"/>
      <c r="AK24" s="6"/>
      <c r="AL24" s="6"/>
      <c r="AM24" s="4"/>
      <c r="AQ24" s="5"/>
      <c r="AS24" s="5"/>
      <c r="AV24" s="4"/>
      <c r="AX24" s="4"/>
    </row>
    <row r="25" spans="1:51" x14ac:dyDescent="0.25">
      <c r="A25" s="284" t="s">
        <v>273</v>
      </c>
      <c r="B25" s="285">
        <f>[1]BW!$F$38</f>
        <v>64.378124999999983</v>
      </c>
      <c r="C25" s="286">
        <v>50</v>
      </c>
      <c r="D25" s="286">
        <v>5</v>
      </c>
      <c r="E25" s="286">
        <v>30</v>
      </c>
      <c r="F25" s="288">
        <v>16</v>
      </c>
      <c r="G25" s="286"/>
      <c r="H25" s="286"/>
      <c r="I25" s="286"/>
      <c r="J25" s="190"/>
      <c r="K25" s="183"/>
      <c r="L25" s="3"/>
      <c r="M25" s="3"/>
      <c r="N25" s="423"/>
      <c r="O25" s="424"/>
      <c r="P25" s="425"/>
      <c r="Q25" s="425"/>
      <c r="R25" s="426"/>
      <c r="S25" s="425"/>
      <c r="T25" s="426"/>
      <c r="U25" s="425"/>
      <c r="V25" s="425"/>
      <c r="W25" s="425"/>
      <c r="X25" s="425"/>
      <c r="Y25" s="425"/>
      <c r="Z25" s="427"/>
      <c r="AA25" s="3"/>
      <c r="AD25" s="5"/>
      <c r="AG25" s="4"/>
      <c r="AH25" s="4"/>
      <c r="AI25" s="4"/>
      <c r="AJ25" s="6"/>
      <c r="AK25" s="6"/>
      <c r="AL25" s="6"/>
      <c r="AM25" s="4"/>
      <c r="AQ25" s="5"/>
      <c r="AS25" s="5"/>
      <c r="AV25" s="4"/>
      <c r="AX25" s="4"/>
    </row>
    <row r="26" spans="1:51" ht="13" thickBot="1" x14ac:dyDescent="0.3">
      <c r="A26" s="287" t="s">
        <v>118</v>
      </c>
      <c r="B26" s="481"/>
      <c r="C26" s="288"/>
      <c r="D26" s="288"/>
      <c r="E26" s="288"/>
      <c r="F26" s="288">
        <f>SUM(F23:F25)</f>
        <v>30</v>
      </c>
      <c r="G26" s="288">
        <v>70</v>
      </c>
      <c r="H26" s="288">
        <v>365</v>
      </c>
      <c r="I26" s="288">
        <v>1000000</v>
      </c>
      <c r="J26" s="191">
        <v>1000</v>
      </c>
      <c r="K26" s="184">
        <f>((C23*D23*E23*F23/B23)+(C24*D24*E24*F24/B24)+(C25*D25*E25*F25/B25))/(G26*H26*I26)</f>
        <v>3.3369851627446932E-7</v>
      </c>
      <c r="L26" s="394"/>
      <c r="M26" s="185"/>
      <c r="N26" s="428" t="s">
        <v>168</v>
      </c>
      <c r="O26" s="429">
        <v>1</v>
      </c>
      <c r="P26" s="430">
        <f>'[1]Skin Surface Area'!$I13*10000</f>
        <v>635.67134268537063</v>
      </c>
      <c r="Q26" s="430">
        <f t="shared" ref="Q26:Q39" si="1">0.33*P26</f>
        <v>209.77154308617233</v>
      </c>
      <c r="R26" s="431"/>
      <c r="S26" s="430">
        <f>'[1]Skin Surface Area'!$J13*10000</f>
        <v>573.14629258517039</v>
      </c>
      <c r="T26" s="431"/>
      <c r="U26" s="425">
        <f>'[1]Skin Surface Area'!$K13*10000</f>
        <v>489.77955911823642</v>
      </c>
      <c r="V26" s="431"/>
      <c r="W26" s="431">
        <f>'[1]Skin Surface Area'!$L13*10000</f>
        <v>1177.5551102204408</v>
      </c>
      <c r="X26" s="431"/>
      <c r="Y26" s="430">
        <f>'[1]Skin Surface Area'!$M13*10000</f>
        <v>677.35470941883773</v>
      </c>
      <c r="Z26" s="432"/>
      <c r="AA26" s="3"/>
      <c r="AD26" s="5"/>
      <c r="AG26" s="4"/>
      <c r="AH26" s="4"/>
      <c r="AI26" s="4"/>
      <c r="AJ26" s="6"/>
      <c r="AK26" s="6"/>
      <c r="AL26" s="6"/>
      <c r="AM26" s="4"/>
      <c r="AQ26" s="5"/>
      <c r="AS26" s="5"/>
      <c r="AV26" s="4"/>
      <c r="AX26" s="4"/>
    </row>
    <row r="27" spans="1:51" x14ac:dyDescent="0.25">
      <c r="A27" s="261"/>
      <c r="B27" s="482"/>
      <c r="C27" s="286"/>
      <c r="D27" s="286"/>
      <c r="E27" s="286"/>
      <c r="F27" s="286"/>
      <c r="G27" s="286"/>
      <c r="H27" s="286"/>
      <c r="I27" s="286"/>
      <c r="J27" s="483"/>
      <c r="K27" s="3" t="s">
        <v>122</v>
      </c>
      <c r="L27" s="3"/>
      <c r="M27" s="3"/>
      <c r="N27" s="428" t="s">
        <v>167</v>
      </c>
      <c r="O27" s="429">
        <v>1</v>
      </c>
      <c r="P27" s="430">
        <f>'[1]Skin Surface Area'!$I14*10000</f>
        <v>673.81162324649301</v>
      </c>
      <c r="Q27" s="430">
        <f t="shared" si="1"/>
        <v>222.35783567134271</v>
      </c>
      <c r="R27" s="431"/>
      <c r="S27" s="430">
        <f>'[1]Skin Surface Area'!$J14*10000</f>
        <v>607.5350701402806</v>
      </c>
      <c r="T27" s="431"/>
      <c r="U27" s="425">
        <f>'[1]Skin Surface Area'!$K14*10000</f>
        <v>519.16633266533074</v>
      </c>
      <c r="V27" s="431"/>
      <c r="W27" s="431">
        <f>'[1]Skin Surface Area'!$L14*10000</f>
        <v>1248.2084168336676</v>
      </c>
      <c r="X27" s="431"/>
      <c r="Y27" s="430">
        <f>'[1]Skin Surface Area'!$M14*10000</f>
        <v>717.995991983968</v>
      </c>
      <c r="Z27" s="432"/>
      <c r="AA27" s="433" t="s">
        <v>313</v>
      </c>
      <c r="AD27" s="5"/>
      <c r="AG27" s="4"/>
      <c r="AH27" s="4"/>
      <c r="AI27" s="4"/>
      <c r="AJ27" s="6"/>
      <c r="AK27" s="6"/>
      <c r="AL27" s="6"/>
      <c r="AM27" s="4"/>
      <c r="AQ27" s="5"/>
      <c r="AS27" s="5"/>
      <c r="AV27" s="4"/>
      <c r="AX27" s="4"/>
    </row>
    <row r="28" spans="1:51" x14ac:dyDescent="0.25">
      <c r="A28" s="267" t="s">
        <v>302</v>
      </c>
      <c r="B28" s="482"/>
      <c r="C28" s="286"/>
      <c r="D28" s="286"/>
      <c r="E28" s="286"/>
      <c r="F28" s="286"/>
      <c r="G28" s="286"/>
      <c r="H28" s="286"/>
      <c r="I28" s="286"/>
      <c r="J28" s="190"/>
      <c r="K28" s="3" t="s">
        <v>171</v>
      </c>
      <c r="L28" s="3" t="s">
        <v>292</v>
      </c>
      <c r="M28" s="3"/>
      <c r="N28" s="428" t="s">
        <v>166</v>
      </c>
      <c r="O28" s="429">
        <v>1</v>
      </c>
      <c r="P28" s="430">
        <f>'[1]Skin Surface Area'!$I15*10000</f>
        <v>646.19639278557111</v>
      </c>
      <c r="Q28" s="430">
        <f t="shared" si="1"/>
        <v>213.24480961923848</v>
      </c>
      <c r="R28" s="431"/>
      <c r="S28" s="430">
        <f>'[1]Skin Surface Area'!$J15*10000</f>
        <v>646.19639278557111</v>
      </c>
      <c r="T28" s="431"/>
      <c r="U28" s="425">
        <f>'[1]Skin Surface Area'!$K15*10000</f>
        <v>548.65731462925839</v>
      </c>
      <c r="V28" s="431"/>
      <c r="W28" s="431">
        <f>'[1]Skin Surface Area'!$L15*10000</f>
        <v>1487.4709418837676</v>
      </c>
      <c r="X28" s="431"/>
      <c r="Y28" s="430">
        <f>'[1]Skin Surface Area'!$M15*10000</f>
        <v>816.88977955911821</v>
      </c>
      <c r="Z28" s="432"/>
      <c r="AA28" s="434" t="s">
        <v>310</v>
      </c>
      <c r="AD28" s="5"/>
      <c r="AG28" s="4"/>
      <c r="AH28" s="4"/>
      <c r="AI28" s="4"/>
      <c r="AJ28" s="6"/>
      <c r="AK28" s="6"/>
      <c r="AL28" s="6"/>
      <c r="AM28" s="4"/>
      <c r="AQ28" s="5"/>
      <c r="AS28" s="5"/>
      <c r="AV28" s="4"/>
      <c r="AX28" s="4"/>
    </row>
    <row r="29" spans="1:51" ht="13" thickBot="1" x14ac:dyDescent="0.3">
      <c r="A29" s="260" t="s">
        <v>124</v>
      </c>
      <c r="B29" s="482"/>
      <c r="C29" s="286"/>
      <c r="D29" s="286"/>
      <c r="E29" s="286"/>
      <c r="F29" s="286"/>
      <c r="G29" s="286"/>
      <c r="H29" s="286"/>
      <c r="I29" s="286"/>
      <c r="J29" s="190"/>
      <c r="K29" s="90" t="s">
        <v>170</v>
      </c>
      <c r="L29" s="90" t="s">
        <v>293</v>
      </c>
      <c r="M29" s="3"/>
      <c r="N29" s="428" t="s">
        <v>165</v>
      </c>
      <c r="O29" s="429">
        <v>1</v>
      </c>
      <c r="P29" s="430">
        <f>'[1]Skin Surface Area'!$I16*10000</f>
        <v>731.47260273972597</v>
      </c>
      <c r="Q29" s="430">
        <f t="shared" si="1"/>
        <v>241.38595890410957</v>
      </c>
      <c r="R29" s="431"/>
      <c r="S29" s="430">
        <f>'[1]Skin Surface Area'!$J16*10000</f>
        <v>731.47260273972597</v>
      </c>
      <c r="T29" s="431"/>
      <c r="U29" s="425">
        <f>'[1]Skin Surface Area'!$K16*10000</f>
        <v>621.06164383561645</v>
      </c>
      <c r="V29" s="431"/>
      <c r="W29" s="431">
        <f>'[1]Skin Surface Area'!$L16*10000</f>
        <v>1683.7671232876714</v>
      </c>
      <c r="X29" s="431"/>
      <c r="Y29" s="430">
        <f>'[1]Skin Surface Area'!$M16*10000</f>
        <v>924.69178082191797</v>
      </c>
      <c r="Z29" s="432"/>
      <c r="AA29" s="435">
        <f>((Q34*R34)+(S34*T34)+(U34*V34)+(W34*X34)+(Y34*Z34))/(Q34+S34+U34+W34+Y34)</f>
        <v>0.13736317087732483</v>
      </c>
      <c r="AD29" s="5"/>
      <c r="AG29" s="4"/>
      <c r="AH29" s="4"/>
      <c r="AI29" s="4"/>
      <c r="AJ29" s="6"/>
      <c r="AK29" s="6"/>
      <c r="AL29" s="6"/>
      <c r="AM29" s="4"/>
      <c r="AQ29" s="5"/>
      <c r="AS29" s="5"/>
      <c r="AV29" s="4"/>
      <c r="AX29" s="4"/>
    </row>
    <row r="30" spans="1:51" x14ac:dyDescent="0.25">
      <c r="A30" s="484" t="s">
        <v>303</v>
      </c>
      <c r="B30" s="285">
        <f>[1]BW!$C$9</f>
        <v>12</v>
      </c>
      <c r="C30" s="286">
        <v>100</v>
      </c>
      <c r="D30" s="286">
        <v>5</v>
      </c>
      <c r="E30" s="286">
        <v>30</v>
      </c>
      <c r="F30" s="286">
        <v>1</v>
      </c>
      <c r="G30" s="286">
        <v>70</v>
      </c>
      <c r="H30" s="286">
        <v>365</v>
      </c>
      <c r="I30" s="286">
        <v>1000000</v>
      </c>
      <c r="J30" s="190">
        <v>1000</v>
      </c>
      <c r="K30" s="395">
        <f>C30*D30*E30*F30/(B30*G30*H30*I30)</f>
        <v>4.8923679060665362E-8</v>
      </c>
      <c r="L30" s="3" t="s">
        <v>179</v>
      </c>
      <c r="M30" s="394"/>
      <c r="N30" s="428" t="s">
        <v>163</v>
      </c>
      <c r="O30" s="429">
        <v>1</v>
      </c>
      <c r="P30" s="430">
        <f>'[1]Skin Surface Area'!$I17*10000</f>
        <v>713.42465753424653</v>
      </c>
      <c r="Q30" s="430">
        <f t="shared" si="1"/>
        <v>235.43013698630136</v>
      </c>
      <c r="R30" s="431"/>
      <c r="S30" s="430">
        <f>'[1]Skin Surface Area'!$J17*10000</f>
        <v>817.46575342465746</v>
      </c>
      <c r="T30" s="431"/>
      <c r="U30" s="425">
        <f>'[1]Skin Surface Area'!$K17*10000</f>
        <v>668.83561643835617</v>
      </c>
      <c r="V30" s="431"/>
      <c r="W30" s="431">
        <f>'[1]Skin Surface Area'!$L17*10000</f>
        <v>1857.8767123287671</v>
      </c>
      <c r="X30" s="431"/>
      <c r="Y30" s="430">
        <f>'[1]Skin Surface Area'!$M17*10000</f>
        <v>966.09589041095887</v>
      </c>
      <c r="Z30" s="432"/>
      <c r="AA30" s="254"/>
      <c r="AD30" s="5"/>
      <c r="AG30" s="4"/>
      <c r="AH30" s="4"/>
      <c r="AI30" s="4"/>
      <c r="AJ30" s="6"/>
      <c r="AK30" s="6"/>
      <c r="AL30" s="6"/>
      <c r="AM30" s="4"/>
      <c r="AQ30" s="5"/>
      <c r="AS30" s="5"/>
      <c r="AV30" s="4"/>
      <c r="AX30" s="4"/>
    </row>
    <row r="31" spans="1:51" ht="13" thickBot="1" x14ac:dyDescent="0.3">
      <c r="A31" s="484" t="s">
        <v>304</v>
      </c>
      <c r="B31" s="285">
        <f>[1]BW!$I$14</f>
        <v>17.55</v>
      </c>
      <c r="C31" s="286">
        <v>100</v>
      </c>
      <c r="D31" s="286">
        <v>5</v>
      </c>
      <c r="E31" s="286">
        <v>30</v>
      </c>
      <c r="F31" s="286">
        <v>4</v>
      </c>
      <c r="G31" s="286">
        <v>70</v>
      </c>
      <c r="H31" s="286">
        <v>365</v>
      </c>
      <c r="I31" s="286">
        <v>1000000</v>
      </c>
      <c r="J31" s="190">
        <v>1000</v>
      </c>
      <c r="K31" s="396">
        <f t="shared" ref="K31:K33" si="2">C31*D31*E31*F31/(B31*G31*H31*I31)</f>
        <v>1.3380835298643518E-7</v>
      </c>
      <c r="L31" s="3" t="s">
        <v>307</v>
      </c>
      <c r="M31" s="394"/>
      <c r="N31" s="428" t="s">
        <v>162</v>
      </c>
      <c r="O31" s="429">
        <v>1</v>
      </c>
      <c r="P31" s="430">
        <f>'[1]Skin Surface Area'!$I18*10000</f>
        <v>754.19178082191786</v>
      </c>
      <c r="Q31" s="430">
        <f t="shared" si="1"/>
        <v>248.88328767123289</v>
      </c>
      <c r="R31" s="431"/>
      <c r="S31" s="430">
        <f>'[1]Skin Surface Area'!$J18*10000</f>
        <v>864.17808219178096</v>
      </c>
      <c r="T31" s="431"/>
      <c r="U31" s="425">
        <f>'[1]Skin Surface Area'!$K18*10000</f>
        <v>707.05479452054794</v>
      </c>
      <c r="V31" s="431"/>
      <c r="W31" s="431">
        <f>'[1]Skin Surface Area'!$L18*10000</f>
        <v>1964.041095890411</v>
      </c>
      <c r="X31" s="431"/>
      <c r="Y31" s="430">
        <f>'[1]Skin Surface Area'!$M18*10000</f>
        <v>1021.3013698630139</v>
      </c>
      <c r="Z31" s="432"/>
      <c r="AA31" s="254"/>
      <c r="AE31" s="5"/>
      <c r="AH31" s="4"/>
      <c r="AI31" s="4"/>
      <c r="AJ31" s="4"/>
      <c r="AK31" s="6"/>
      <c r="AL31" s="6"/>
      <c r="AM31" s="6"/>
      <c r="AN31" s="4"/>
      <c r="AR31" s="5"/>
      <c r="AT31" s="5"/>
      <c r="AW31" s="4"/>
      <c r="AY31" s="4"/>
    </row>
    <row r="32" spans="1:51" x14ac:dyDescent="0.25">
      <c r="A32" s="484" t="s">
        <v>305</v>
      </c>
      <c r="B32" s="285">
        <f>[1]BW!$I$17</f>
        <v>43.204999999999998</v>
      </c>
      <c r="C32" s="286">
        <v>50</v>
      </c>
      <c r="D32" s="286">
        <v>5</v>
      </c>
      <c r="E32" s="286">
        <v>30</v>
      </c>
      <c r="F32" s="286">
        <v>10</v>
      </c>
      <c r="G32" s="286">
        <v>70</v>
      </c>
      <c r="H32" s="286">
        <v>365</v>
      </c>
      <c r="I32" s="286">
        <v>1000000</v>
      </c>
      <c r="J32" s="190">
        <v>1000</v>
      </c>
      <c r="K32" s="396">
        <f t="shared" si="2"/>
        <v>6.7941690629323498E-8</v>
      </c>
      <c r="L32" s="3" t="s">
        <v>308</v>
      </c>
      <c r="M32" s="394"/>
      <c r="N32" s="436" t="s">
        <v>156</v>
      </c>
      <c r="O32" s="437">
        <v>1</v>
      </c>
      <c r="P32" s="438">
        <f>'[1]Skin Surface Area'!$I19*10000</f>
        <v>740.4965753424658</v>
      </c>
      <c r="Q32" s="438">
        <f t="shared" si="1"/>
        <v>244.36386986301372</v>
      </c>
      <c r="R32" s="439"/>
      <c r="S32" s="438">
        <f>'[1]Skin Surface Area'!$J19*10000</f>
        <v>872.14041095890411</v>
      </c>
      <c r="T32" s="439"/>
      <c r="U32" s="440">
        <f>'[1]Skin Surface Area'!$K19*10000</f>
        <v>691.13013698630141</v>
      </c>
      <c r="V32" s="439"/>
      <c r="W32" s="439">
        <f>'[1]Skin Surface Area'!$L19*10000</f>
        <v>1991.1130136986301</v>
      </c>
      <c r="X32" s="439"/>
      <c r="Y32" s="438">
        <f>'[1]Skin Surface Area'!$M19*10000</f>
        <v>1003.7842465753424</v>
      </c>
      <c r="Z32" s="441"/>
      <c r="AA32" s="442" t="s">
        <v>274</v>
      </c>
      <c r="AE32" s="5"/>
      <c r="AH32" s="4"/>
      <c r="AI32" s="4"/>
      <c r="AJ32" s="4"/>
      <c r="AK32" s="6"/>
      <c r="AL32" s="6"/>
      <c r="AM32" s="6"/>
      <c r="AN32" s="4"/>
      <c r="AR32" s="5"/>
      <c r="AT32" s="5"/>
      <c r="AW32" s="4"/>
      <c r="AY32" s="4"/>
    </row>
    <row r="33" spans="1:51" x14ac:dyDescent="0.25">
      <c r="A33" s="484" t="s">
        <v>306</v>
      </c>
      <c r="B33" s="285">
        <f>[1]BW!$I$38</f>
        <v>64.789999999999992</v>
      </c>
      <c r="C33" s="286">
        <v>50</v>
      </c>
      <c r="D33" s="286">
        <v>5</v>
      </c>
      <c r="E33" s="286">
        <v>30</v>
      </c>
      <c r="F33" s="286">
        <v>15</v>
      </c>
      <c r="G33" s="286">
        <v>70</v>
      </c>
      <c r="H33" s="286">
        <v>365</v>
      </c>
      <c r="I33" s="286">
        <v>1000000</v>
      </c>
      <c r="J33" s="190">
        <v>1000</v>
      </c>
      <c r="K33" s="393">
        <f t="shared" si="2"/>
        <v>6.7960041911712963E-8</v>
      </c>
      <c r="L33" s="3" t="s">
        <v>309</v>
      </c>
      <c r="M33" s="394"/>
      <c r="N33" s="428"/>
      <c r="O33" s="429"/>
      <c r="P33" s="430"/>
      <c r="Q33" s="430"/>
      <c r="R33" s="431"/>
      <c r="S33" s="430"/>
      <c r="T33" s="431"/>
      <c r="U33" s="425"/>
      <c r="V33" s="431"/>
      <c r="W33" s="431"/>
      <c r="X33" s="431"/>
      <c r="Y33" s="430"/>
      <c r="Z33" s="432"/>
      <c r="AA33" s="434" t="s">
        <v>127</v>
      </c>
      <c r="AE33" s="5"/>
      <c r="AH33" s="4"/>
      <c r="AI33" s="4"/>
      <c r="AJ33" s="4"/>
      <c r="AK33" s="6"/>
      <c r="AL33" s="6"/>
      <c r="AM33" s="6"/>
      <c r="AN33" s="4"/>
      <c r="AR33" s="5"/>
      <c r="AT33" s="5"/>
      <c r="AW33" s="4"/>
      <c r="AY33" s="4"/>
    </row>
    <row r="34" spans="1:51" x14ac:dyDescent="0.25">
      <c r="A34" s="261"/>
      <c r="B34" s="482"/>
      <c r="C34" s="286"/>
      <c r="D34" s="286"/>
      <c r="E34" s="286"/>
      <c r="F34" s="286"/>
      <c r="G34" s="286"/>
      <c r="H34" s="286"/>
      <c r="I34" s="286"/>
      <c r="J34" s="190"/>
      <c r="K34" s="3"/>
      <c r="L34" s="3"/>
      <c r="M34" s="3"/>
      <c r="N34" s="428" t="s">
        <v>308</v>
      </c>
      <c r="O34" s="429">
        <v>10</v>
      </c>
      <c r="P34" s="443">
        <f>SUM(P20:P21,P26:P32,P37)/10</f>
        <v>691.08233590468603</v>
      </c>
      <c r="Q34" s="443">
        <f>SUM(Q20:Q21,Q26:Q32,Q37)/10</f>
        <v>228.05717084854641</v>
      </c>
      <c r="R34" s="444">
        <v>5.74E-2</v>
      </c>
      <c r="S34" s="443">
        <f>SUM(S20:S21,S26:S32,S37)/10</f>
        <v>696.75845526669787</v>
      </c>
      <c r="T34" s="424">
        <v>8.2000000000000003E-2</v>
      </c>
      <c r="U34" s="443">
        <f>SUM(U20:U21,U26:U32,U37)/10</f>
        <v>584.44267301726745</v>
      </c>
      <c r="V34" s="444">
        <v>0.318</v>
      </c>
      <c r="W34" s="443">
        <f>SUM(W20:W21,W26:W32,W37)/10</f>
        <v>1551.7674884014602</v>
      </c>
      <c r="X34" s="444">
        <v>4.19E-2</v>
      </c>
      <c r="Y34" s="443">
        <f>SUM(Y20:Y21,Y26:Y32,Y37)/10</f>
        <v>835.53350399428996</v>
      </c>
      <c r="Z34" s="445">
        <v>0.25629999999999997</v>
      </c>
      <c r="AA34" s="434" t="s">
        <v>125</v>
      </c>
      <c r="AE34" s="5"/>
      <c r="AH34" s="4"/>
      <c r="AI34" s="4"/>
      <c r="AJ34" s="4"/>
      <c r="AK34" s="6"/>
      <c r="AL34" s="6"/>
      <c r="AM34" s="6"/>
      <c r="AN34" s="4"/>
      <c r="AR34" s="5"/>
      <c r="AT34" s="5"/>
      <c r="AW34" s="4"/>
      <c r="AY34" s="4"/>
    </row>
    <row r="35" spans="1:51" ht="13" thickBot="1" x14ac:dyDescent="0.3">
      <c r="A35" s="485" t="s">
        <v>326</v>
      </c>
      <c r="B35" s="482"/>
      <c r="C35" s="286"/>
      <c r="D35" s="286"/>
      <c r="E35" s="286"/>
      <c r="F35" s="286"/>
      <c r="G35" s="286"/>
      <c r="H35" s="286"/>
      <c r="I35" s="286"/>
      <c r="J35" s="190"/>
      <c r="K35" s="3" t="s">
        <v>316</v>
      </c>
      <c r="L35" s="3"/>
      <c r="M35" s="3"/>
      <c r="N35" s="446" t="s">
        <v>274</v>
      </c>
      <c r="O35" s="439">
        <f>SUM(O26:O32)</f>
        <v>7</v>
      </c>
      <c r="P35" s="447">
        <f>SUM(P26:P32)/7</f>
        <v>699.32356787939875</v>
      </c>
      <c r="Q35" s="447">
        <f>SUM(Q26:Q32)/O35</f>
        <v>230.77677740020155</v>
      </c>
      <c r="R35" s="448">
        <v>5.74E-2</v>
      </c>
      <c r="S35" s="447">
        <f>SUM(S26:S32)/O35</f>
        <v>730.30494354658447</v>
      </c>
      <c r="T35" s="449">
        <v>8.2000000000000003E-2</v>
      </c>
      <c r="U35" s="447">
        <f>SUM(U26:U32)/O35</f>
        <v>606.52648545623549</v>
      </c>
      <c r="V35" s="448">
        <v>0.318</v>
      </c>
      <c r="W35" s="447">
        <f>SUM(W26:W32)/O35</f>
        <v>1630.0046305919079</v>
      </c>
      <c r="X35" s="448">
        <v>4.19E-2</v>
      </c>
      <c r="Y35" s="447">
        <f>SUM(Y26:Y32)/O35</f>
        <v>875.44482409045099</v>
      </c>
      <c r="Z35" s="450">
        <v>0.25629999999999997</v>
      </c>
      <c r="AA35" s="435">
        <f>((Q35*R35)+(S35*T35)+(U35*V35)+(W35*X35)+(Y35*Z35))/(Q35+S35+U35+W35+Y35)</f>
        <v>0.13716494184272895</v>
      </c>
      <c r="AE35" s="5"/>
      <c r="AH35" s="4"/>
      <c r="AI35" s="4"/>
      <c r="AJ35" s="4"/>
      <c r="AK35" s="6"/>
      <c r="AL35" s="6"/>
      <c r="AM35" s="6"/>
      <c r="AN35" s="4"/>
      <c r="AR35" s="5"/>
      <c r="AT35" s="5"/>
      <c r="AW35" s="4"/>
      <c r="AY35" s="4"/>
    </row>
    <row r="36" spans="1:51" ht="13" thickBot="1" x14ac:dyDescent="0.3">
      <c r="A36" s="3"/>
      <c r="B36" s="3"/>
      <c r="C36" s="3"/>
      <c r="D36" s="3"/>
      <c r="E36" s="3"/>
      <c r="F36" s="3"/>
      <c r="G36" s="3"/>
      <c r="H36" s="3"/>
      <c r="I36" s="3"/>
      <c r="J36" s="3"/>
      <c r="K36" s="3" t="s">
        <v>317</v>
      </c>
      <c r="L36" s="3"/>
      <c r="M36" s="3"/>
      <c r="N36" s="451"/>
      <c r="O36" s="452"/>
      <c r="P36" s="453"/>
      <c r="Q36" s="453"/>
      <c r="R36" s="453"/>
      <c r="S36" s="453"/>
      <c r="T36" s="453"/>
      <c r="U36" s="453"/>
      <c r="V36" s="453"/>
      <c r="W36" s="453"/>
      <c r="X36" s="453"/>
      <c r="Y36" s="453"/>
      <c r="Z36" s="454"/>
      <c r="AA36" s="3"/>
      <c r="AE36" s="5"/>
      <c r="AH36" s="4"/>
      <c r="AI36" s="4"/>
      <c r="AJ36" s="4"/>
      <c r="AK36" s="6"/>
      <c r="AL36" s="6"/>
      <c r="AM36" s="6"/>
      <c r="AN36" s="4"/>
      <c r="AR36" s="5"/>
      <c r="AT36" s="5"/>
      <c r="AW36" s="4"/>
      <c r="AY36" s="4"/>
    </row>
    <row r="37" spans="1:51" x14ac:dyDescent="0.25">
      <c r="A37" s="3"/>
      <c r="B37" s="3"/>
      <c r="C37" s="3"/>
      <c r="D37" s="3"/>
      <c r="E37" s="3"/>
      <c r="F37" s="3"/>
      <c r="G37" s="3"/>
      <c r="H37" s="3"/>
      <c r="I37" s="3"/>
      <c r="J37" s="3"/>
      <c r="K37" s="397">
        <f>C30*D30*E30*F30/(B30*F30*H30*I30)</f>
        <v>3.4246575342465754E-6</v>
      </c>
      <c r="L37" s="3"/>
      <c r="M37" s="3"/>
      <c r="N37" s="451" t="s">
        <v>150</v>
      </c>
      <c r="O37" s="452">
        <v>1</v>
      </c>
      <c r="P37" s="455">
        <f>'[1]Skin Surface Area'!$I20*10000</f>
        <v>750.05136986301375</v>
      </c>
      <c r="Q37" s="455">
        <f t="shared" si="1"/>
        <v>247.51695205479456</v>
      </c>
      <c r="R37" s="456"/>
      <c r="S37" s="455">
        <f>'[1]Skin Surface Area'!$J20*10000</f>
        <v>883.39383561643854</v>
      </c>
      <c r="T37" s="456"/>
      <c r="U37" s="455">
        <f>'[1]Skin Surface Area'!$K20*10000</f>
        <v>700.04794520547966</v>
      </c>
      <c r="V37" s="456"/>
      <c r="W37" s="456">
        <f>'[1]Skin Surface Area'!$L20*10000</f>
        <v>2016.8047945205481</v>
      </c>
      <c r="X37" s="456"/>
      <c r="Y37" s="455">
        <f>'[1]Skin Surface Area'!$M20*10000</f>
        <v>1016.7363013698631</v>
      </c>
      <c r="Z37" s="275"/>
      <c r="AA37" s="457" t="s">
        <v>314</v>
      </c>
      <c r="AE37" s="5"/>
      <c r="AH37" s="4"/>
      <c r="AI37" s="4"/>
      <c r="AJ37" s="4"/>
      <c r="AK37" s="6"/>
      <c r="AL37" s="6"/>
      <c r="AM37" s="6"/>
      <c r="AN37" s="4"/>
      <c r="AR37" s="5"/>
      <c r="AT37" s="5"/>
      <c r="AW37" s="4"/>
      <c r="AY37" s="4"/>
    </row>
    <row r="38" spans="1:51" x14ac:dyDescent="0.25">
      <c r="A38" s="182" t="s">
        <v>164</v>
      </c>
      <c r="B38" s="3"/>
      <c r="C38" s="3"/>
      <c r="D38" s="3"/>
      <c r="E38" s="3"/>
      <c r="F38" s="3"/>
      <c r="G38" s="3"/>
      <c r="H38" s="3"/>
      <c r="I38" s="3"/>
      <c r="J38" s="3"/>
      <c r="K38" s="3"/>
      <c r="L38" s="3"/>
      <c r="M38" s="3"/>
      <c r="N38" s="451" t="s">
        <v>140</v>
      </c>
      <c r="O38" s="452">
        <v>1</v>
      </c>
      <c r="P38" s="455">
        <f>'[1]Skin Surface Area'!$I21*10000</f>
        <v>700.43373493975912</v>
      </c>
      <c r="Q38" s="455">
        <f t="shared" si="1"/>
        <v>231.14313253012051</v>
      </c>
      <c r="R38" s="456"/>
      <c r="S38" s="455">
        <f>'[1]Skin Surface Area'!$J21*10000</f>
        <v>830.74698795180734</v>
      </c>
      <c r="T38" s="456"/>
      <c r="U38" s="455">
        <f>'[1]Skin Surface Area'!$K21*10000</f>
        <v>716.72289156626516</v>
      </c>
      <c r="V38" s="456"/>
      <c r="W38" s="456">
        <f>'[1]Skin Surface Area'!$L21*10000</f>
        <v>1938.4096385542171</v>
      </c>
      <c r="X38" s="456"/>
      <c r="Y38" s="455">
        <f>'[1]Skin Surface Area'!$M21*10000</f>
        <v>993.63855421686765</v>
      </c>
      <c r="Z38" s="275"/>
      <c r="AA38" s="458" t="s">
        <v>310</v>
      </c>
      <c r="AE38" s="5"/>
      <c r="AH38" s="4"/>
      <c r="AI38" s="4"/>
      <c r="AJ38" s="4"/>
      <c r="AK38" s="6"/>
      <c r="AL38" s="6"/>
      <c r="AM38" s="6"/>
      <c r="AN38" s="4"/>
      <c r="AR38" s="5"/>
      <c r="AT38" s="5"/>
      <c r="AW38" s="4"/>
      <c r="AY38" s="4"/>
    </row>
    <row r="39" spans="1:51" ht="13" thickBot="1" x14ac:dyDescent="0.3">
      <c r="A39" s="263"/>
      <c r="B39" s="263"/>
      <c r="C39" s="263"/>
      <c r="D39" s="263"/>
      <c r="E39" s="263"/>
      <c r="F39" s="263"/>
      <c r="G39" s="263"/>
      <c r="H39" s="263"/>
      <c r="I39" s="263"/>
      <c r="J39" s="263"/>
      <c r="K39" s="263"/>
      <c r="L39" s="3"/>
      <c r="M39" s="3"/>
      <c r="N39" s="451" t="s">
        <v>132</v>
      </c>
      <c r="O39" s="452">
        <v>1</v>
      </c>
      <c r="P39" s="455">
        <f>'[1]Skin Surface Area'!$I22*10000</f>
        <v>713.56686746987964</v>
      </c>
      <c r="Q39" s="455">
        <f t="shared" si="1"/>
        <v>235.4770662650603</v>
      </c>
      <c r="R39" s="456"/>
      <c r="S39" s="455">
        <f>'[1]Skin Surface Area'!$J22*10000</f>
        <v>846.32349397590372</v>
      </c>
      <c r="T39" s="456"/>
      <c r="U39" s="455">
        <f>'[1]Skin Surface Area'!$K22*10000</f>
        <v>730.16144578313265</v>
      </c>
      <c r="V39" s="456"/>
      <c r="W39" s="456">
        <f>'[1]Skin Surface Area'!$L22*10000</f>
        <v>1974.7548192771087</v>
      </c>
      <c r="X39" s="456"/>
      <c r="Y39" s="455">
        <f>'[1]Skin Surface Area'!$M22*10000</f>
        <v>1012.2692771084339</v>
      </c>
      <c r="Z39" s="275"/>
      <c r="AA39" s="459">
        <f>((Q43*R43)+(S43*T43)+(U43*V43)+(W43*X43)+(Y43*Z43))/(Q43+S43+U43+W43+Y43)</f>
        <v>0.13518739128954071</v>
      </c>
      <c r="AE39" s="5"/>
      <c r="AH39" s="4"/>
      <c r="AI39" s="4"/>
      <c r="AJ39" s="4"/>
      <c r="AK39" s="6"/>
      <c r="AL39" s="6"/>
      <c r="AM39" s="6"/>
      <c r="AN39" s="4"/>
      <c r="AR39" s="5"/>
      <c r="AT39" s="5"/>
      <c r="AW39" s="4"/>
      <c r="AY39" s="4"/>
    </row>
    <row r="40" spans="1:51" ht="13" thickBot="1" x14ac:dyDescent="0.3">
      <c r="A40" s="263"/>
      <c r="B40" s="263"/>
      <c r="C40" s="263"/>
      <c r="D40" s="263"/>
      <c r="E40" s="263"/>
      <c r="F40" s="263"/>
      <c r="G40" s="263"/>
      <c r="H40" s="263"/>
      <c r="I40" s="263"/>
      <c r="J40" s="263"/>
      <c r="K40" s="263"/>
      <c r="L40" s="3"/>
      <c r="M40" s="3"/>
      <c r="N40" s="451" t="s">
        <v>129</v>
      </c>
      <c r="O40" s="452">
        <v>7</v>
      </c>
      <c r="P40" s="455">
        <f>'[1]Skin Surface Area'!$I$23*10000</f>
        <v>1066.7361445783133</v>
      </c>
      <c r="Q40" s="455">
        <f>0.33*P40</f>
        <v>352.02292771084342</v>
      </c>
      <c r="R40" s="456"/>
      <c r="S40" s="455">
        <f>'[1]Skin Surface Area'!$J$23*10000</f>
        <v>1035.0781686746989</v>
      </c>
      <c r="T40" s="456"/>
      <c r="U40" s="455">
        <f>'[1]Skin Surface Area'!$K$23*10000</f>
        <v>825.86024096385563</v>
      </c>
      <c r="V40" s="456"/>
      <c r="W40" s="456">
        <f>'[1]Skin Surface Area'!$L$23*10000</f>
        <v>2222.9404819277115</v>
      </c>
      <c r="X40" s="456"/>
      <c r="Y40" s="455">
        <f>'[1]Skin Surface Area'!$M$23*10000</f>
        <v>1135.5578313253015</v>
      </c>
      <c r="Z40" s="275"/>
      <c r="AA40" s="3"/>
      <c r="AE40" s="5"/>
      <c r="AH40" s="4"/>
      <c r="AI40" s="4"/>
      <c r="AJ40" s="4"/>
      <c r="AK40" s="6"/>
      <c r="AL40" s="6"/>
      <c r="AM40" s="6"/>
      <c r="AN40" s="4"/>
      <c r="AR40" s="5"/>
      <c r="AT40" s="5"/>
      <c r="AW40" s="4"/>
      <c r="AY40" s="4"/>
    </row>
    <row r="41" spans="1:51" x14ac:dyDescent="0.25">
      <c r="A41" s="263"/>
      <c r="B41" s="263"/>
      <c r="C41" s="263"/>
      <c r="D41" s="263"/>
      <c r="E41" s="262"/>
      <c r="F41" s="262"/>
      <c r="G41" s="261"/>
      <c r="H41" s="261"/>
      <c r="I41" s="263"/>
      <c r="J41" s="261"/>
      <c r="K41" s="261"/>
      <c r="L41" s="3"/>
      <c r="M41" s="3"/>
      <c r="N41" s="460" t="s">
        <v>128</v>
      </c>
      <c r="O41" s="461">
        <v>6</v>
      </c>
      <c r="P41" s="462">
        <f>'[1]Skin Surface Area'!$I$23*10000</f>
        <v>1066.7361445783133</v>
      </c>
      <c r="Q41" s="462">
        <f>0.33*P41</f>
        <v>352.02292771084342</v>
      </c>
      <c r="R41" s="463"/>
      <c r="S41" s="462">
        <f>'[1]Skin Surface Area'!$J$23*10000</f>
        <v>1035.0781686746989</v>
      </c>
      <c r="T41" s="463"/>
      <c r="U41" s="462">
        <f>'[1]Skin Surface Area'!$K$23*10000</f>
        <v>825.86024096385563</v>
      </c>
      <c r="V41" s="463"/>
      <c r="W41" s="463">
        <f>'[1]Skin Surface Area'!$L$23*10000</f>
        <v>2222.9404819277115</v>
      </c>
      <c r="X41" s="463"/>
      <c r="Y41" s="462">
        <f>'[1]Skin Surface Area'!$M$23*10000</f>
        <v>1135.5578313253015</v>
      </c>
      <c r="Z41" s="464"/>
      <c r="AA41" s="457" t="s">
        <v>315</v>
      </c>
      <c r="AE41" s="5"/>
      <c r="AH41" s="4"/>
      <c r="AI41" s="4"/>
      <c r="AJ41" s="4"/>
      <c r="AK41" s="6"/>
      <c r="AL41" s="6"/>
      <c r="AM41" s="6"/>
      <c r="AN41" s="4"/>
      <c r="AR41" s="5"/>
      <c r="AT41" s="5"/>
      <c r="AW41" s="4"/>
      <c r="AY41" s="4"/>
    </row>
    <row r="42" spans="1:51" x14ac:dyDescent="0.25">
      <c r="A42" s="263"/>
      <c r="B42" s="261" t="s">
        <v>141</v>
      </c>
      <c r="C42" s="261" t="s">
        <v>161</v>
      </c>
      <c r="D42" s="261" t="s">
        <v>160</v>
      </c>
      <c r="E42" s="262"/>
      <c r="F42" s="262"/>
      <c r="G42" s="261"/>
      <c r="H42" s="261"/>
      <c r="I42" s="263"/>
      <c r="J42" s="261"/>
      <c r="K42" s="261"/>
      <c r="L42" s="3"/>
      <c r="M42" s="3"/>
      <c r="N42" s="451"/>
      <c r="O42" s="452"/>
      <c r="P42" s="455"/>
      <c r="Q42" s="455"/>
      <c r="R42" s="456"/>
      <c r="S42" s="455"/>
      <c r="T42" s="456"/>
      <c r="U42" s="455"/>
      <c r="V42" s="456"/>
      <c r="W42" s="456"/>
      <c r="X42" s="456"/>
      <c r="Y42" s="455"/>
      <c r="Z42" s="275"/>
      <c r="AA42" s="458" t="s">
        <v>127</v>
      </c>
      <c r="AE42" s="5"/>
      <c r="AH42" s="4"/>
      <c r="AI42" s="4"/>
      <c r="AJ42" s="4"/>
      <c r="AK42" s="6"/>
      <c r="AL42" s="6"/>
      <c r="AM42" s="6"/>
      <c r="AN42" s="4"/>
      <c r="AR42" s="5"/>
      <c r="AT42" s="5"/>
      <c r="AW42" s="4"/>
      <c r="AY42" s="4"/>
    </row>
    <row r="43" spans="1:51" x14ac:dyDescent="0.25">
      <c r="A43" s="263"/>
      <c r="B43" s="261" t="s">
        <v>155</v>
      </c>
      <c r="C43" s="261" t="s">
        <v>154</v>
      </c>
      <c r="D43" s="261" t="s">
        <v>127</v>
      </c>
      <c r="E43" s="262" t="s">
        <v>159</v>
      </c>
      <c r="F43" s="262"/>
      <c r="G43" s="261" t="s">
        <v>159</v>
      </c>
      <c r="H43" s="261" t="s">
        <v>158</v>
      </c>
      <c r="I43" s="263" t="s">
        <v>157</v>
      </c>
      <c r="J43" s="261" t="s">
        <v>157</v>
      </c>
      <c r="K43" s="261" t="s">
        <v>157</v>
      </c>
      <c r="L43" s="3"/>
      <c r="M43" s="3"/>
      <c r="N43" s="451" t="s">
        <v>309</v>
      </c>
      <c r="O43" s="452">
        <v>15</v>
      </c>
      <c r="P43" s="465">
        <f>(($O38*P38)+($O39*P39)+($O40*P40)+($O41*P41))/$O43</f>
        <v>1018.7713654618474</v>
      </c>
      <c r="Q43" s="465">
        <f>(($O38*Q38)+($O39*Q39)+($O40*Q40)+($O41*Q41))/$O43</f>
        <v>336.19455060240966</v>
      </c>
      <c r="R43" s="466">
        <v>5.74E-2</v>
      </c>
      <c r="S43" s="465">
        <f>(($O38*S38)+($O39*S39)+($O40*S40)+($O41*S41))/$O43</f>
        <v>1008.8724449799198</v>
      </c>
      <c r="T43" s="456">
        <v>8.2000000000000003E-2</v>
      </c>
      <c r="U43" s="465">
        <f>(($O38*U38)+($O39*U39)+($O40*U40)+($O41*U41))/$O43</f>
        <v>812.2044979919682</v>
      </c>
      <c r="V43" s="456">
        <v>0.318</v>
      </c>
      <c r="W43" s="465">
        <f>(($O38*W38)+($O39*W39)+($O40*W40)+($O41*W41))/$O43</f>
        <v>2187.4260481927718</v>
      </c>
      <c r="X43" s="456">
        <v>4.19E-2</v>
      </c>
      <c r="Y43" s="465">
        <f>(($O38*Y38)+($O39*Y39)+($O40*Y40)+($O41*Y41))/$O43</f>
        <v>1117.8773092369481</v>
      </c>
      <c r="Z43" s="467">
        <v>0.25629999999999997</v>
      </c>
      <c r="AA43" s="458" t="s">
        <v>125</v>
      </c>
      <c r="AB43" s="4"/>
      <c r="AD43" s="5"/>
      <c r="AG43" s="4"/>
      <c r="AI43" s="4"/>
    </row>
    <row r="44" spans="1:51" ht="13" thickBot="1" x14ac:dyDescent="0.3">
      <c r="A44" s="486"/>
      <c r="B44" s="261"/>
      <c r="C44" s="261" t="s">
        <v>148</v>
      </c>
      <c r="D44" s="261" t="s">
        <v>125</v>
      </c>
      <c r="E44" s="262" t="s">
        <v>153</v>
      </c>
      <c r="F44" s="262"/>
      <c r="G44" s="261" t="s">
        <v>152</v>
      </c>
      <c r="H44" s="261" t="s">
        <v>152</v>
      </c>
      <c r="I44" s="263" t="s">
        <v>151</v>
      </c>
      <c r="J44" s="261" t="s">
        <v>151</v>
      </c>
      <c r="K44" s="261" t="s">
        <v>151</v>
      </c>
      <c r="L44" s="3"/>
      <c r="M44" s="3"/>
      <c r="N44" s="468" t="s">
        <v>315</v>
      </c>
      <c r="O44" s="469">
        <f>SUM(O37:O41)</f>
        <v>16</v>
      </c>
      <c r="P44" s="470">
        <f>(($O39*P39)+($O38*P38)+($O37*P37)+($O40*P40)+($O41*P41))/$O44</f>
        <v>1001.9763657369203</v>
      </c>
      <c r="Q44" s="470">
        <f>(($O39*Q39)+($O38*Q38)+($O37*Q37)+($O40*Q40)+($O41*Q41))/$O44</f>
        <v>330.65220069318377</v>
      </c>
      <c r="R44" s="471">
        <v>5.74E-2</v>
      </c>
      <c r="S44" s="470">
        <f>(($O39*S39)+($O38*S38)+($O37*S37)+($O40*S40)+($O41*S41))/$O44</f>
        <v>1001.0300318947022</v>
      </c>
      <c r="T44" s="280">
        <v>8.2000000000000003E-2</v>
      </c>
      <c r="U44" s="470">
        <f>(($O39*U39)+($O38*U38)+($O37*U37)+($O40*U40)+($O41*U41))/$O44</f>
        <v>805.1947134428126</v>
      </c>
      <c r="V44" s="280">
        <v>0.318</v>
      </c>
      <c r="W44" s="470">
        <f>(($O39*W39)+($O38*W38)+($O37*W37)+($O40*W40)+($O41*W41))/$O44</f>
        <v>2176.7622198382578</v>
      </c>
      <c r="X44" s="280">
        <v>4.19E-2</v>
      </c>
      <c r="Y44" s="470">
        <f>(($O39*Y39)+($O38*Y38)+($O37*Y37)+($O40*Y40)+($O41*Y41))/$O44</f>
        <v>1111.5559962452553</v>
      </c>
      <c r="Z44" s="472">
        <v>0.25629999999999997</v>
      </c>
      <c r="AA44" s="459">
        <f>((Q44*R44)+(S44*T44)+(U44*V44)+(W44*X44)+(Y44*Z44))/(Q44+S44+U44+W44+Y44)</f>
        <v>0.13514978443155498</v>
      </c>
      <c r="AB44" s="4"/>
      <c r="AD44" s="5"/>
      <c r="AG44" s="4"/>
      <c r="AI44" s="4"/>
    </row>
    <row r="45" spans="1:51" x14ac:dyDescent="0.25">
      <c r="A45" s="486"/>
      <c r="B45" s="261" t="s">
        <v>149</v>
      </c>
      <c r="C45" s="261" t="s">
        <v>275</v>
      </c>
      <c r="D45" s="261" t="s">
        <v>276</v>
      </c>
      <c r="E45" s="261" t="s">
        <v>147</v>
      </c>
      <c r="F45" s="261" t="s">
        <v>146</v>
      </c>
      <c r="G45" s="261" t="s">
        <v>145</v>
      </c>
      <c r="H45" s="261" t="s">
        <v>144</v>
      </c>
      <c r="I45" s="261" t="s">
        <v>143</v>
      </c>
      <c r="J45" s="261" t="s">
        <v>142</v>
      </c>
      <c r="K45" s="261" t="s">
        <v>241</v>
      </c>
      <c r="L45" s="3"/>
      <c r="M45" s="3"/>
      <c r="N45" s="3"/>
      <c r="O45" s="3"/>
      <c r="P45" s="3"/>
      <c r="Q45" s="3"/>
      <c r="R45" s="3"/>
      <c r="S45" s="3"/>
      <c r="T45" s="3"/>
      <c r="U45" s="3"/>
      <c r="V45" s="3"/>
      <c r="W45" s="3"/>
      <c r="X45" s="3"/>
      <c r="Y45" s="3"/>
      <c r="Z45" s="253"/>
      <c r="AA45" s="3"/>
      <c r="AB45" s="4"/>
      <c r="AD45" s="5"/>
      <c r="AG45" s="4"/>
      <c r="AI45" s="4"/>
    </row>
    <row r="46" spans="1:51" s="383" customFormat="1" x14ac:dyDescent="0.25">
      <c r="A46" s="389"/>
      <c r="B46" s="388" t="s">
        <v>139</v>
      </c>
      <c r="C46" s="388" t="s">
        <v>138</v>
      </c>
      <c r="D46" s="388" t="s">
        <v>137</v>
      </c>
      <c r="E46" s="388" t="s">
        <v>136</v>
      </c>
      <c r="F46" s="389" t="s">
        <v>135</v>
      </c>
      <c r="G46" s="388" t="s">
        <v>134</v>
      </c>
      <c r="H46" s="388" t="s">
        <v>134</v>
      </c>
      <c r="I46" s="389" t="s">
        <v>133</v>
      </c>
      <c r="J46" s="388" t="s">
        <v>109</v>
      </c>
      <c r="K46" s="388" t="s">
        <v>242</v>
      </c>
      <c r="L46" s="391" t="s">
        <v>122</v>
      </c>
      <c r="M46" s="391"/>
      <c r="N46" s="391"/>
      <c r="O46" s="473"/>
      <c r="P46" s="391"/>
      <c r="Q46" s="391"/>
      <c r="R46" s="474"/>
      <c r="S46" s="474"/>
      <c r="T46" s="474"/>
      <c r="U46" s="475"/>
      <c r="V46" s="475"/>
      <c r="W46" s="475"/>
      <c r="X46" s="474"/>
      <c r="Y46" s="391"/>
      <c r="Z46" s="391"/>
      <c r="AA46" s="391"/>
      <c r="AB46" s="386"/>
      <c r="AC46" s="384"/>
      <c r="AF46" s="385"/>
      <c r="AH46" s="385"/>
    </row>
    <row r="47" spans="1:51" x14ac:dyDescent="0.25">
      <c r="A47" s="478" t="s">
        <v>131</v>
      </c>
      <c r="B47" s="256"/>
      <c r="C47" s="256"/>
      <c r="D47" s="256"/>
      <c r="E47" s="256"/>
      <c r="F47" s="256"/>
      <c r="G47" s="256"/>
      <c r="H47" s="256"/>
      <c r="I47" s="256"/>
      <c r="J47" s="256"/>
      <c r="K47" s="187"/>
      <c r="L47" s="3" t="s">
        <v>120</v>
      </c>
      <c r="M47" s="3"/>
      <c r="N47" s="3"/>
      <c r="O47" s="276"/>
      <c r="P47" s="3"/>
      <c r="Q47" s="3"/>
      <c r="R47" s="277"/>
      <c r="S47" s="277"/>
      <c r="T47" s="277"/>
      <c r="U47" s="266"/>
      <c r="V47" s="266"/>
      <c r="W47" s="266"/>
      <c r="X47" s="277"/>
      <c r="Y47" s="3"/>
      <c r="Z47" s="3"/>
      <c r="AA47" s="3"/>
      <c r="AC47" s="5"/>
      <c r="AF47" s="4"/>
      <c r="AH47" s="4"/>
    </row>
    <row r="48" spans="1:51" x14ac:dyDescent="0.25">
      <c r="A48" s="260" t="s">
        <v>124</v>
      </c>
      <c r="B48" s="263"/>
      <c r="C48" s="263"/>
      <c r="D48" s="263"/>
      <c r="E48" s="263"/>
      <c r="F48" s="263"/>
      <c r="G48" s="263"/>
      <c r="H48" s="263"/>
      <c r="I48" s="263"/>
      <c r="J48" s="263"/>
      <c r="K48" s="188"/>
      <c r="L48" s="90" t="s">
        <v>119</v>
      </c>
      <c r="M48" s="3"/>
      <c r="N48" s="3"/>
      <c r="O48" s="276"/>
      <c r="P48" s="3"/>
      <c r="Q48" s="3"/>
      <c r="R48" s="277"/>
      <c r="S48" s="277"/>
      <c r="T48" s="277"/>
      <c r="U48" s="266"/>
      <c r="V48" s="266"/>
      <c r="W48" s="266"/>
      <c r="X48" s="277"/>
      <c r="Y48" s="3"/>
      <c r="Z48" s="3"/>
      <c r="AA48" s="3"/>
      <c r="AC48" s="5"/>
      <c r="AF48" s="4"/>
      <c r="AH48" s="4"/>
    </row>
    <row r="49" spans="1:34" x14ac:dyDescent="0.25">
      <c r="A49" s="283" t="s">
        <v>130</v>
      </c>
      <c r="B49" s="261"/>
      <c r="C49" s="261"/>
      <c r="D49" s="261"/>
      <c r="E49" s="261"/>
      <c r="F49" s="261"/>
      <c r="G49" s="261"/>
      <c r="H49" s="261"/>
      <c r="I49" s="261"/>
      <c r="J49" s="261"/>
      <c r="K49" s="189"/>
      <c r="L49" s="90" t="s">
        <v>294</v>
      </c>
      <c r="M49" s="3"/>
      <c r="N49" s="276"/>
      <c r="O49" s="3"/>
      <c r="P49" s="3"/>
      <c r="Q49" s="277"/>
      <c r="R49" s="277"/>
      <c r="S49" s="277"/>
      <c r="T49" s="266"/>
      <c r="U49" s="266"/>
      <c r="V49" s="266"/>
      <c r="W49" s="277"/>
      <c r="X49" s="3"/>
      <c r="Y49" s="3"/>
      <c r="Z49" s="3"/>
      <c r="AA49" s="276"/>
      <c r="AC49" s="5"/>
      <c r="AF49" s="4"/>
      <c r="AH49" s="4"/>
    </row>
    <row r="50" spans="1:34" x14ac:dyDescent="0.25">
      <c r="A50" s="284" t="s">
        <v>121</v>
      </c>
      <c r="B50" s="285">
        <f>[1]BW!$F$15</f>
        <v>19.007142857142856</v>
      </c>
      <c r="C50" s="487">
        <f>SUM(Q24,S24,U24,W24,Y24)</f>
        <v>2245.9616075331814</v>
      </c>
      <c r="D50" s="488">
        <f>'S-1 Assumptions'!AA24</f>
        <v>0.37411902188977836</v>
      </c>
      <c r="E50" s="286">
        <v>5</v>
      </c>
      <c r="F50" s="286">
        <v>30</v>
      </c>
      <c r="G50" s="288">
        <v>7</v>
      </c>
      <c r="H50" s="286"/>
      <c r="I50" s="286"/>
      <c r="J50" s="286"/>
      <c r="K50" s="190"/>
      <c r="L50" s="183"/>
      <c r="M50" s="3"/>
      <c r="N50" s="276"/>
      <c r="O50" s="3"/>
      <c r="P50" s="3"/>
      <c r="Q50" s="277"/>
      <c r="R50" s="277"/>
      <c r="S50" s="277"/>
      <c r="T50" s="266"/>
      <c r="U50" s="266"/>
      <c r="V50" s="266"/>
      <c r="W50" s="277"/>
      <c r="X50" s="3"/>
      <c r="Y50" s="3"/>
      <c r="Z50" s="3"/>
      <c r="AA50" s="276"/>
      <c r="AC50" s="5"/>
      <c r="AF50" s="4"/>
      <c r="AH50" s="4"/>
    </row>
    <row r="51" spans="1:34" x14ac:dyDescent="0.25">
      <c r="A51" s="287" t="s">
        <v>118</v>
      </c>
      <c r="B51" s="288"/>
      <c r="C51" s="489"/>
      <c r="D51" s="292"/>
      <c r="E51" s="288"/>
      <c r="F51" s="288"/>
      <c r="G51" s="288">
        <v>7</v>
      </c>
      <c r="H51" s="288">
        <v>7</v>
      </c>
      <c r="I51" s="288">
        <v>365</v>
      </c>
      <c r="J51" s="288">
        <v>1000000</v>
      </c>
      <c r="K51" s="191">
        <v>1000</v>
      </c>
      <c r="L51" s="184">
        <f>(C50*D50*E50*F50*G50)/(B50*H51*I51*J51)</f>
        <v>1.8167437471810958E-5</v>
      </c>
      <c r="M51" s="185"/>
      <c r="N51" s="276"/>
      <c r="O51" s="3"/>
      <c r="P51" s="3"/>
      <c r="Q51" s="277"/>
      <c r="R51" s="277"/>
      <c r="S51" s="277"/>
      <c r="T51" s="266"/>
      <c r="U51" s="266"/>
      <c r="V51" s="266"/>
      <c r="W51" s="277"/>
      <c r="X51" s="3"/>
      <c r="Y51" s="3"/>
      <c r="Z51" s="3"/>
      <c r="AA51" s="276"/>
      <c r="AC51" s="5"/>
      <c r="AF51" s="4"/>
      <c r="AH51" s="4"/>
    </row>
    <row r="52" spans="1:34" x14ac:dyDescent="0.25">
      <c r="A52" s="260"/>
      <c r="B52" s="261"/>
      <c r="C52" s="490"/>
      <c r="D52" s="291"/>
      <c r="E52" s="261"/>
      <c r="F52" s="261"/>
      <c r="G52" s="261"/>
      <c r="H52" s="261"/>
      <c r="I52" s="261"/>
      <c r="J52" s="261"/>
      <c r="K52" s="189"/>
      <c r="L52" s="90" t="s">
        <v>123</v>
      </c>
      <c r="M52" s="3"/>
      <c r="N52" s="276"/>
      <c r="O52" s="3"/>
      <c r="P52" s="3"/>
      <c r="Q52" s="277"/>
      <c r="R52" s="277"/>
      <c r="S52" s="277"/>
      <c r="T52" s="266"/>
      <c r="U52" s="266"/>
      <c r="V52" s="266"/>
      <c r="W52" s="277"/>
      <c r="X52" s="3"/>
      <c r="Y52" s="3"/>
      <c r="Z52" s="3"/>
      <c r="AA52" s="276"/>
      <c r="AD52" s="4"/>
      <c r="AF52" s="4"/>
      <c r="AH52" s="4"/>
    </row>
    <row r="53" spans="1:34" x14ac:dyDescent="0.25">
      <c r="A53" s="267" t="s">
        <v>126</v>
      </c>
      <c r="B53" s="261"/>
      <c r="C53" s="490"/>
      <c r="D53" s="291"/>
      <c r="E53" s="261"/>
      <c r="F53" s="261"/>
      <c r="G53" s="261"/>
      <c r="H53" s="261"/>
      <c r="I53" s="261"/>
      <c r="J53" s="261"/>
      <c r="K53" s="189"/>
      <c r="L53" s="90" t="s">
        <v>122</v>
      </c>
      <c r="M53" s="3"/>
      <c r="N53" s="276"/>
      <c r="O53" s="3"/>
      <c r="P53" s="3"/>
      <c r="Q53" s="277"/>
      <c r="R53" s="277"/>
      <c r="S53" s="277"/>
      <c r="T53" s="266"/>
      <c r="U53" s="266"/>
      <c r="V53" s="266"/>
      <c r="W53" s="277"/>
      <c r="X53" s="3"/>
      <c r="Y53" s="3"/>
      <c r="Z53" s="3"/>
      <c r="AA53" s="276"/>
      <c r="AH53" s="4"/>
    </row>
    <row r="54" spans="1:34" x14ac:dyDescent="0.25">
      <c r="A54" s="260" t="s">
        <v>124</v>
      </c>
      <c r="B54" s="261"/>
      <c r="C54" s="490"/>
      <c r="D54" s="291"/>
      <c r="E54" s="261"/>
      <c r="F54" s="261"/>
      <c r="G54" s="261"/>
      <c r="H54" s="261"/>
      <c r="I54" s="261"/>
      <c r="J54" s="261"/>
      <c r="K54" s="189"/>
      <c r="L54" s="90" t="s">
        <v>120</v>
      </c>
      <c r="M54" s="3"/>
      <c r="N54" s="276"/>
      <c r="O54" s="3"/>
      <c r="P54" s="3"/>
      <c r="Q54" s="277"/>
      <c r="R54" s="277"/>
      <c r="S54" s="277"/>
      <c r="T54" s="266"/>
      <c r="U54" s="266"/>
      <c r="V54" s="266"/>
      <c r="W54" s="277"/>
      <c r="X54" s="3"/>
      <c r="Y54" s="3"/>
      <c r="Z54" s="3"/>
      <c r="AA54" s="276"/>
    </row>
    <row r="55" spans="1:34" x14ac:dyDescent="0.25">
      <c r="A55" s="283" t="s">
        <v>172</v>
      </c>
      <c r="B55" s="261"/>
      <c r="C55" s="490"/>
      <c r="D55" s="291"/>
      <c r="E55" s="261"/>
      <c r="F55" s="261"/>
      <c r="G55" s="261"/>
      <c r="H55" s="261"/>
      <c r="I55" s="261"/>
      <c r="J55" s="261"/>
      <c r="K55" s="189"/>
      <c r="L55" s="90" t="s">
        <v>119</v>
      </c>
      <c r="M55" s="3"/>
      <c r="N55" s="3"/>
      <c r="O55" s="277"/>
      <c r="P55" s="277"/>
      <c r="Q55" s="277"/>
      <c r="R55" s="266"/>
      <c r="S55" s="266"/>
      <c r="T55" s="266"/>
      <c r="U55" s="277"/>
      <c r="V55" s="3"/>
      <c r="W55" s="3"/>
      <c r="X55" s="3"/>
      <c r="Y55" s="276"/>
      <c r="Z55" s="3"/>
      <c r="AA55" s="276"/>
    </row>
    <row r="56" spans="1:34" x14ac:dyDescent="0.25">
      <c r="A56" s="284" t="s">
        <v>121</v>
      </c>
      <c r="B56" s="285">
        <f>[1]BW!$F$15</f>
        <v>19.007142857142856</v>
      </c>
      <c r="C56" s="487">
        <f>SUM(Q24,S24,U24,W24,Y24)</f>
        <v>2245.9616075331814</v>
      </c>
      <c r="D56" s="488">
        <f>'S-1 Assumptions'!AA24</f>
        <v>0.37411902188977836</v>
      </c>
      <c r="E56" s="286">
        <v>5</v>
      </c>
      <c r="F56" s="286">
        <v>30</v>
      </c>
      <c r="G56" s="286">
        <v>7</v>
      </c>
      <c r="H56" s="286"/>
      <c r="I56" s="286"/>
      <c r="J56" s="286"/>
      <c r="K56" s="190"/>
      <c r="L56" s="3" t="s">
        <v>292</v>
      </c>
      <c r="M56" s="3"/>
      <c r="N56" s="3"/>
      <c r="O56" s="3"/>
      <c r="P56" s="3"/>
      <c r="Q56" s="3"/>
      <c r="R56" s="3"/>
      <c r="S56" s="3"/>
      <c r="T56" s="3"/>
      <c r="U56" s="3"/>
      <c r="V56" s="3"/>
      <c r="W56" s="3"/>
      <c r="X56" s="3"/>
      <c r="Y56" s="3"/>
      <c r="Z56" s="3"/>
      <c r="AA56" s="3"/>
    </row>
    <row r="57" spans="1:34" x14ac:dyDescent="0.25">
      <c r="A57" s="284" t="s">
        <v>272</v>
      </c>
      <c r="B57" s="285">
        <f>[1]BW!$F$22</f>
        <v>46.142857142857146</v>
      </c>
      <c r="C57" s="487">
        <f>SUM(Q35,S35,U35,W35,Y35)</f>
        <v>4073.0576610853805</v>
      </c>
      <c r="D57" s="488">
        <f>AA35</f>
        <v>0.13716494184272895</v>
      </c>
      <c r="E57" s="286">
        <v>5</v>
      </c>
      <c r="F57" s="286">
        <v>30</v>
      </c>
      <c r="G57" s="286">
        <v>7</v>
      </c>
      <c r="H57" s="286"/>
      <c r="I57" s="286"/>
      <c r="J57" s="286"/>
      <c r="K57" s="190"/>
      <c r="L57" s="90" t="s">
        <v>293</v>
      </c>
      <c r="M57" s="3"/>
      <c r="N57" s="3"/>
      <c r="O57" s="3"/>
      <c r="P57" s="3"/>
      <c r="Q57" s="3"/>
      <c r="R57" s="3"/>
      <c r="S57" s="3"/>
      <c r="T57" s="3"/>
      <c r="U57" s="3"/>
      <c r="V57" s="3"/>
      <c r="W57" s="3"/>
      <c r="X57" s="3"/>
      <c r="Y57" s="3"/>
      <c r="Z57" s="3"/>
      <c r="AA57" s="3"/>
    </row>
    <row r="58" spans="1:34" x14ac:dyDescent="0.25">
      <c r="A58" s="284" t="s">
        <v>273</v>
      </c>
      <c r="B58" s="285">
        <f>[1]BW!$F$38</f>
        <v>64.378124999999983</v>
      </c>
      <c r="C58" s="487">
        <f>SUM(Q44,S44,U44,W44,Y44)</f>
        <v>5425.1951621142116</v>
      </c>
      <c r="D58" s="488">
        <f>'S-1 Assumptions'!AA44</f>
        <v>0.13514978443155498</v>
      </c>
      <c r="E58" s="286">
        <v>5</v>
      </c>
      <c r="F58" s="286">
        <v>30</v>
      </c>
      <c r="G58" s="288">
        <v>16</v>
      </c>
      <c r="H58" s="286"/>
      <c r="I58" s="286"/>
      <c r="J58" s="286"/>
      <c r="K58" s="190"/>
      <c r="L58" s="183"/>
      <c r="M58" s="3"/>
      <c r="N58" s="3"/>
      <c r="O58" s="3"/>
      <c r="P58" s="3"/>
      <c r="Q58" s="3"/>
      <c r="R58" s="3"/>
      <c r="S58" s="3"/>
      <c r="T58" s="3"/>
      <c r="U58" s="3"/>
      <c r="V58" s="3"/>
      <c r="W58" s="3"/>
      <c r="X58" s="3"/>
      <c r="Y58" s="3"/>
      <c r="Z58" s="3"/>
      <c r="AA58" s="3"/>
    </row>
    <row r="59" spans="1:34" x14ac:dyDescent="0.25">
      <c r="A59" s="287" t="s">
        <v>118</v>
      </c>
      <c r="B59" s="288"/>
      <c r="C59" s="288"/>
      <c r="D59" s="288"/>
      <c r="E59" s="288"/>
      <c r="F59" s="288"/>
      <c r="G59" s="288">
        <f>SUM(G56:G58)</f>
        <v>30</v>
      </c>
      <c r="H59" s="288">
        <v>70</v>
      </c>
      <c r="I59" s="288">
        <v>365</v>
      </c>
      <c r="J59" s="288">
        <v>1000000</v>
      </c>
      <c r="K59" s="191">
        <v>1000</v>
      </c>
      <c r="L59" s="393">
        <f>((C56*D56*E56*F56*G56/B56)+(C57*D57*E57*F57*G57/B57)+(C58*D58*E58*F58*G58/B58))/(H59*I59*J59)</f>
        <v>3.3841426359136941E-6</v>
      </c>
      <c r="M59" s="3"/>
      <c r="N59" s="3"/>
      <c r="O59" s="3"/>
      <c r="P59" s="3"/>
      <c r="Q59" s="3"/>
      <c r="R59" s="3"/>
      <c r="S59" s="3"/>
      <c r="T59" s="3"/>
      <c r="U59" s="3"/>
      <c r="V59" s="3"/>
      <c r="W59" s="3"/>
      <c r="X59" s="3"/>
      <c r="Y59" s="3"/>
      <c r="Z59" s="3"/>
      <c r="AA59" s="3"/>
    </row>
    <row r="60" spans="1:34" x14ac:dyDescent="0.25">
      <c r="A60" s="261"/>
      <c r="B60" s="482"/>
      <c r="C60" s="286"/>
      <c r="D60" s="286"/>
      <c r="E60" s="286"/>
      <c r="F60" s="286"/>
      <c r="G60" s="286"/>
      <c r="H60" s="286"/>
      <c r="I60" s="286"/>
      <c r="J60" s="261"/>
      <c r="K60" s="190"/>
      <c r="L60" s="387" t="s">
        <v>123</v>
      </c>
      <c r="M60" s="3"/>
      <c r="N60" s="3"/>
      <c r="O60" s="3"/>
      <c r="P60" s="3"/>
      <c r="Q60" s="3"/>
      <c r="R60" s="3"/>
      <c r="S60" s="3"/>
      <c r="T60" s="3"/>
      <c r="U60" s="3"/>
      <c r="V60" s="3"/>
      <c r="W60" s="3"/>
      <c r="X60" s="3"/>
      <c r="Y60" s="3"/>
      <c r="Z60" s="3"/>
      <c r="AA60" s="3"/>
    </row>
    <row r="61" spans="1:34" x14ac:dyDescent="0.25">
      <c r="A61" s="267" t="s">
        <v>302</v>
      </c>
      <c r="B61" s="482"/>
      <c r="C61" s="286"/>
      <c r="D61" s="286"/>
      <c r="E61" s="286"/>
      <c r="F61" s="286"/>
      <c r="G61" s="286"/>
      <c r="H61" s="286"/>
      <c r="I61" s="286"/>
      <c r="J61" s="261"/>
      <c r="K61" s="190"/>
      <c r="L61" s="387" t="s">
        <v>122</v>
      </c>
      <c r="M61" s="3"/>
      <c r="N61" s="3"/>
      <c r="O61" s="3"/>
      <c r="P61" s="3"/>
      <c r="Q61" s="3"/>
      <c r="R61" s="3"/>
      <c r="S61" s="3"/>
      <c r="T61" s="3"/>
      <c r="U61" s="3"/>
      <c r="V61" s="3"/>
      <c r="W61" s="3"/>
      <c r="X61" s="3"/>
      <c r="Y61" s="3"/>
      <c r="Z61" s="3"/>
      <c r="AA61" s="3"/>
    </row>
    <row r="62" spans="1:34" x14ac:dyDescent="0.25">
      <c r="A62" s="260" t="s">
        <v>124</v>
      </c>
      <c r="B62" s="482"/>
      <c r="C62" s="286"/>
      <c r="D62" s="286"/>
      <c r="E62" s="286"/>
      <c r="F62" s="286"/>
      <c r="G62" s="286"/>
      <c r="H62" s="286"/>
      <c r="I62" s="286"/>
      <c r="J62" s="261"/>
      <c r="K62" s="190"/>
      <c r="L62" s="387" t="s">
        <v>120</v>
      </c>
      <c r="M62" s="3"/>
      <c r="N62" s="3"/>
      <c r="O62" s="3"/>
      <c r="P62" s="3"/>
      <c r="Q62" s="3"/>
      <c r="R62" s="3"/>
      <c r="S62" s="3"/>
      <c r="T62" s="3"/>
      <c r="U62" s="3"/>
      <c r="V62" s="3"/>
      <c r="W62" s="3"/>
      <c r="X62" s="3"/>
      <c r="Y62" s="3"/>
      <c r="Z62" s="3"/>
      <c r="AA62" s="3"/>
    </row>
    <row r="63" spans="1:34" x14ac:dyDescent="0.25">
      <c r="A63" s="484" t="s">
        <v>303</v>
      </c>
      <c r="B63" s="285">
        <f>[1]BW!$C$9</f>
        <v>12</v>
      </c>
      <c r="C63" s="487">
        <f>SUM(Q15,S15,U15,W15,Y15)</f>
        <v>1705.3400000000001</v>
      </c>
      <c r="D63" s="488">
        <f>'S-1 Assumptions'!AA15</f>
        <v>0.37232291507851806</v>
      </c>
      <c r="E63" s="286">
        <v>5</v>
      </c>
      <c r="F63" s="286">
        <v>30</v>
      </c>
      <c r="G63" s="286">
        <v>1</v>
      </c>
      <c r="H63" s="286">
        <v>70</v>
      </c>
      <c r="I63" s="286">
        <v>365</v>
      </c>
      <c r="J63" s="286">
        <v>1000000</v>
      </c>
      <c r="K63" s="190">
        <v>1000</v>
      </c>
      <c r="L63" s="387" t="s">
        <v>119</v>
      </c>
      <c r="M63" s="3"/>
      <c r="N63" s="3"/>
      <c r="O63" s="3"/>
      <c r="P63" s="3"/>
      <c r="Q63" s="3"/>
      <c r="R63" s="3"/>
      <c r="S63" s="3"/>
      <c r="T63" s="3"/>
      <c r="U63" s="3"/>
      <c r="V63" s="3"/>
      <c r="W63" s="3"/>
      <c r="X63" s="3"/>
      <c r="Y63" s="3"/>
      <c r="Z63" s="3"/>
      <c r="AA63" s="3"/>
    </row>
    <row r="64" spans="1:34" x14ac:dyDescent="0.25">
      <c r="A64" s="484" t="s">
        <v>304</v>
      </c>
      <c r="B64" s="285">
        <f>[1]BW!$I$14</f>
        <v>17.55</v>
      </c>
      <c r="C64" s="487">
        <f>SUM(Q23,S23,U23,W23,Y23)</f>
        <v>2106.6754484536082</v>
      </c>
      <c r="D64" s="488">
        <f>'S-1 Assumptions'!AA19</f>
        <v>0.3728214791044796</v>
      </c>
      <c r="E64" s="286">
        <v>5</v>
      </c>
      <c r="F64" s="286">
        <v>30</v>
      </c>
      <c r="G64" s="286">
        <v>4</v>
      </c>
      <c r="H64" s="286">
        <v>70</v>
      </c>
      <c r="I64" s="286">
        <v>365</v>
      </c>
      <c r="J64" s="286">
        <v>1000000</v>
      </c>
      <c r="K64" s="190">
        <v>1000</v>
      </c>
      <c r="L64" s="387" t="s">
        <v>394</v>
      </c>
      <c r="M64" s="3"/>
      <c r="N64" s="3"/>
      <c r="O64" s="3"/>
      <c r="P64" s="3"/>
      <c r="Q64" s="3"/>
      <c r="R64" s="3"/>
      <c r="S64" s="3"/>
      <c r="T64" s="3"/>
      <c r="U64" s="3"/>
      <c r="V64" s="3"/>
      <c r="W64" s="3"/>
      <c r="X64" s="3"/>
      <c r="Y64" s="3"/>
      <c r="Z64" s="3"/>
      <c r="AA64" s="3"/>
    </row>
    <row r="65" spans="1:27" x14ac:dyDescent="0.25">
      <c r="A65" s="484" t="s">
        <v>305</v>
      </c>
      <c r="B65" s="285">
        <f>[1]BW!$I$17</f>
        <v>43.204999999999998</v>
      </c>
      <c r="C65" s="487">
        <f>SUM(Q34,S34,U34,W34,Y34)</f>
        <v>3896.5592915282623</v>
      </c>
      <c r="D65" s="488">
        <f>'S-1 Assumptions'!AA29</f>
        <v>0.13736317087732483</v>
      </c>
      <c r="E65" s="286">
        <v>5</v>
      </c>
      <c r="F65" s="286">
        <v>30</v>
      </c>
      <c r="G65" s="286">
        <v>10</v>
      </c>
      <c r="H65" s="286">
        <v>70</v>
      </c>
      <c r="I65" s="286">
        <v>365</v>
      </c>
      <c r="J65" s="286">
        <v>1000000</v>
      </c>
      <c r="K65" s="190">
        <v>1000</v>
      </c>
      <c r="L65" s="387" t="s">
        <v>395</v>
      </c>
      <c r="M65" s="3"/>
      <c r="N65" s="3"/>
      <c r="O65" s="3"/>
      <c r="P65" s="3"/>
      <c r="Q65" s="3"/>
      <c r="R65" s="3"/>
      <c r="S65" s="3"/>
      <c r="T65" s="3"/>
      <c r="U65" s="3"/>
      <c r="V65" s="3"/>
      <c r="W65" s="3"/>
      <c r="X65" s="3"/>
      <c r="Y65" s="3"/>
      <c r="Z65" s="3"/>
      <c r="AA65" s="3"/>
    </row>
    <row r="66" spans="1:27" x14ac:dyDescent="0.25">
      <c r="A66" s="484" t="s">
        <v>306</v>
      </c>
      <c r="B66" s="285">
        <f>[1]BW!$I$38</f>
        <v>64.789999999999992</v>
      </c>
      <c r="C66" s="487">
        <f>SUM(Q43,S43,U43,W43,Y43)</f>
        <v>5462.5748510040175</v>
      </c>
      <c r="D66" s="488">
        <f>'S-1 Assumptions'!AA39</f>
        <v>0.13518739128954071</v>
      </c>
      <c r="E66" s="286">
        <v>5</v>
      </c>
      <c r="F66" s="286">
        <v>30</v>
      </c>
      <c r="G66" s="286">
        <v>15</v>
      </c>
      <c r="H66" s="286">
        <v>70</v>
      </c>
      <c r="I66" s="286">
        <v>365</v>
      </c>
      <c r="J66" s="286">
        <v>1000000</v>
      </c>
      <c r="K66" s="190">
        <v>1000</v>
      </c>
      <c r="L66" s="398"/>
      <c r="M66" s="3"/>
      <c r="N66" s="3"/>
      <c r="O66" s="3"/>
      <c r="P66" s="3"/>
      <c r="Q66" s="3"/>
      <c r="R66" s="3"/>
      <c r="S66" s="3"/>
      <c r="T66" s="3"/>
      <c r="U66" s="3"/>
      <c r="V66" s="3"/>
      <c r="W66" s="3"/>
      <c r="X66" s="3"/>
      <c r="Y66" s="3"/>
      <c r="Z66" s="3"/>
      <c r="AA66" s="3"/>
    </row>
    <row r="67" spans="1:27" x14ac:dyDescent="0.25">
      <c r="A67" s="261"/>
      <c r="B67" s="482"/>
      <c r="C67" s="286"/>
      <c r="D67" s="286"/>
      <c r="E67" s="286"/>
      <c r="F67" s="286"/>
      <c r="G67" s="286"/>
      <c r="H67" s="286"/>
      <c r="I67" s="286"/>
      <c r="J67" s="261"/>
      <c r="K67" s="190"/>
      <c r="L67" s="393">
        <f>((C63*D63*E63*F63*G63/B63)/(H63*I63*J63))</f>
        <v>3.1063461839530339E-7</v>
      </c>
      <c r="M67" s="3" t="s">
        <v>179</v>
      </c>
      <c r="N67" s="394"/>
      <c r="O67" s="476"/>
      <c r="P67" s="3"/>
      <c r="Q67" s="476"/>
      <c r="R67" s="394"/>
      <c r="S67" s="3"/>
      <c r="T67" s="3"/>
      <c r="U67" s="3"/>
      <c r="V67" s="3"/>
      <c r="W67" s="3"/>
      <c r="X67" s="3"/>
      <c r="Y67" s="3"/>
      <c r="Z67" s="3"/>
      <c r="AA67" s="3"/>
    </row>
    <row r="68" spans="1:27" x14ac:dyDescent="0.25">
      <c r="A68" s="261"/>
      <c r="B68" s="482"/>
      <c r="C68" s="286"/>
      <c r="D68" s="286"/>
      <c r="E68" s="286"/>
      <c r="F68" s="286"/>
      <c r="G68" s="286"/>
      <c r="H68" s="286"/>
      <c r="I68" s="286"/>
      <c r="J68" s="261"/>
      <c r="K68" s="190"/>
      <c r="L68" s="393">
        <f t="shared" ref="L68:L70" si="3">((C64*D64*E64*F64*G64/B64)/(H64*I64*J64))</f>
        <v>1.0509493457581975E-6</v>
      </c>
      <c r="M68" s="3" t="s">
        <v>307</v>
      </c>
      <c r="N68" s="394"/>
      <c r="O68" s="476"/>
      <c r="P68" s="3"/>
      <c r="Q68" s="476"/>
      <c r="R68" s="394"/>
      <c r="S68" s="3"/>
      <c r="T68" s="3"/>
      <c r="U68" s="3"/>
      <c r="V68" s="3"/>
      <c r="W68" s="3"/>
      <c r="X68" s="3"/>
      <c r="Y68" s="3"/>
      <c r="Z68" s="3"/>
      <c r="AA68" s="3"/>
    </row>
    <row r="69" spans="1:27" x14ac:dyDescent="0.25">
      <c r="A69" s="3"/>
      <c r="B69" s="3"/>
      <c r="C69" s="3"/>
      <c r="D69" s="3"/>
      <c r="E69" s="3"/>
      <c r="F69" s="3"/>
      <c r="G69" s="3"/>
      <c r="H69" s="3"/>
      <c r="I69" s="3"/>
      <c r="J69" s="3"/>
      <c r="K69" s="3"/>
      <c r="L69" s="393">
        <f t="shared" si="3"/>
        <v>7.2730729160980071E-7</v>
      </c>
      <c r="M69" s="3" t="s">
        <v>308</v>
      </c>
      <c r="N69" s="394"/>
      <c r="O69" s="476"/>
      <c r="P69" s="3"/>
      <c r="Q69" s="476"/>
      <c r="R69" s="394"/>
      <c r="S69" s="3"/>
      <c r="T69" s="3"/>
      <c r="U69" s="3"/>
      <c r="V69" s="3"/>
      <c r="W69" s="3"/>
      <c r="X69" s="3"/>
      <c r="Y69" s="3"/>
      <c r="Z69" s="3"/>
      <c r="AA69" s="3"/>
    </row>
    <row r="70" spans="1:27" x14ac:dyDescent="0.25">
      <c r="A70" s="3"/>
      <c r="B70" s="3"/>
      <c r="C70" s="3"/>
      <c r="D70" s="3"/>
      <c r="E70" s="3"/>
      <c r="F70" s="3"/>
      <c r="G70" s="3"/>
      <c r="H70" s="3"/>
      <c r="I70" s="3"/>
      <c r="J70" s="3"/>
      <c r="K70" s="3"/>
      <c r="L70" s="393">
        <f t="shared" si="3"/>
        <v>1.0037307336271064E-6</v>
      </c>
      <c r="M70" s="3" t="s">
        <v>309</v>
      </c>
      <c r="N70" s="394"/>
      <c r="O70" s="476"/>
      <c r="P70" s="3"/>
      <c r="Q70" s="476"/>
      <c r="R70" s="394"/>
      <c r="S70" s="3"/>
      <c r="T70" s="3"/>
      <c r="U70" s="3"/>
      <c r="V70" s="3"/>
      <c r="W70" s="3"/>
      <c r="X70" s="3"/>
      <c r="Y70" s="3"/>
      <c r="Z70" s="3"/>
      <c r="AA70" s="3"/>
    </row>
    <row r="71" spans="1:27" x14ac:dyDescent="0.25">
      <c r="A71" s="3"/>
      <c r="B71" s="3"/>
      <c r="C71" s="3"/>
      <c r="D71" s="3"/>
      <c r="E71" s="3"/>
      <c r="F71" s="3"/>
      <c r="G71" s="3"/>
      <c r="H71" s="3"/>
      <c r="I71" s="3"/>
      <c r="J71" s="3"/>
      <c r="K71" s="3"/>
      <c r="L71" s="3"/>
      <c r="M71" s="3"/>
      <c r="N71" s="3"/>
      <c r="O71" s="3"/>
      <c r="P71" s="3"/>
      <c r="Q71" s="3"/>
      <c r="R71" s="394"/>
      <c r="S71" s="476"/>
      <c r="T71" s="3"/>
      <c r="U71" s="3"/>
      <c r="V71" s="3"/>
      <c r="W71" s="3"/>
      <c r="X71" s="3"/>
      <c r="Y71" s="3"/>
      <c r="Z71" s="3"/>
      <c r="AA71" s="3"/>
    </row>
    <row r="72" spans="1:27" x14ac:dyDescent="0.25">
      <c r="A72" s="3"/>
      <c r="B72" s="3"/>
      <c r="C72" s="3"/>
      <c r="D72" s="3"/>
      <c r="E72" s="3"/>
      <c r="F72" s="3"/>
      <c r="G72" s="3"/>
      <c r="H72" s="3"/>
      <c r="I72" s="3"/>
      <c r="J72" s="3"/>
      <c r="K72" s="3"/>
      <c r="L72" s="3"/>
      <c r="M72" s="3"/>
      <c r="N72" s="3"/>
      <c r="O72" s="3"/>
      <c r="P72" s="3"/>
      <c r="Q72" s="3"/>
      <c r="R72" s="394"/>
      <c r="S72" s="3"/>
      <c r="T72" s="3"/>
      <c r="U72" s="3"/>
      <c r="V72" s="3"/>
      <c r="W72" s="3"/>
      <c r="X72" s="3"/>
      <c r="Y72" s="3"/>
      <c r="Z72" s="3"/>
      <c r="AA72" s="3"/>
    </row>
    <row r="73" spans="1:27" x14ac:dyDescent="0.25">
      <c r="A73" s="3"/>
      <c r="B73" s="3"/>
      <c r="C73" s="3"/>
      <c r="D73" s="3"/>
      <c r="E73" s="3"/>
      <c r="F73" s="3"/>
      <c r="G73" s="3"/>
      <c r="H73" s="3"/>
      <c r="I73" s="3"/>
      <c r="J73" s="3"/>
      <c r="K73" s="3"/>
      <c r="L73" s="3" t="s">
        <v>318</v>
      </c>
      <c r="M73" s="3"/>
      <c r="N73" s="3"/>
      <c r="O73" s="3"/>
      <c r="P73" s="3"/>
      <c r="Q73" s="3"/>
      <c r="R73" s="3"/>
      <c r="S73" s="3"/>
      <c r="T73" s="3"/>
      <c r="U73" s="3"/>
      <c r="V73" s="3"/>
      <c r="W73" s="3"/>
      <c r="X73" s="3"/>
      <c r="Y73" s="3"/>
      <c r="Z73" s="3"/>
      <c r="AA73" s="3"/>
    </row>
    <row r="74" spans="1:27" x14ac:dyDescent="0.25">
      <c r="A74" s="3"/>
      <c r="B74" s="3"/>
      <c r="C74" s="3"/>
      <c r="D74" s="3"/>
      <c r="E74" s="3"/>
      <c r="F74" s="3"/>
      <c r="G74" s="3"/>
      <c r="H74" s="3"/>
      <c r="I74" s="3"/>
      <c r="J74" s="3"/>
      <c r="K74" s="3"/>
      <c r="L74" s="3" t="s">
        <v>319</v>
      </c>
      <c r="M74" s="3"/>
      <c r="N74" s="3"/>
      <c r="O74" s="3"/>
      <c r="P74" s="3"/>
      <c r="Q74" s="3"/>
      <c r="R74" s="3"/>
      <c r="S74" s="3"/>
      <c r="T74" s="3"/>
      <c r="U74" s="3"/>
      <c r="V74" s="3"/>
      <c r="W74" s="3"/>
      <c r="X74" s="3"/>
      <c r="Y74" s="3"/>
      <c r="Z74" s="3"/>
      <c r="AA74" s="3"/>
    </row>
    <row r="75" spans="1:27" x14ac:dyDescent="0.25">
      <c r="A75" s="3"/>
      <c r="B75" s="3"/>
      <c r="C75" s="3"/>
      <c r="D75" s="3"/>
      <c r="E75" s="3"/>
      <c r="F75" s="3"/>
      <c r="G75" s="3"/>
      <c r="H75" s="3"/>
      <c r="I75" s="3"/>
      <c r="J75" s="3"/>
      <c r="K75" s="3"/>
      <c r="L75" s="3" t="s">
        <v>320</v>
      </c>
      <c r="M75" s="3"/>
      <c r="N75" s="3"/>
      <c r="O75" s="3"/>
      <c r="P75" s="3"/>
      <c r="Q75" s="3"/>
      <c r="R75" s="3"/>
      <c r="S75" s="3"/>
      <c r="T75" s="3"/>
      <c r="U75" s="3"/>
      <c r="V75" s="3"/>
      <c r="W75" s="3"/>
      <c r="X75" s="3"/>
      <c r="Y75" s="3"/>
      <c r="Z75" s="3"/>
      <c r="AA75" s="3"/>
    </row>
    <row r="76" spans="1:27" x14ac:dyDescent="0.25">
      <c r="A76" s="3"/>
      <c r="B76" s="3"/>
      <c r="C76" s="3"/>
      <c r="D76" s="3"/>
      <c r="E76" s="3"/>
      <c r="F76" s="3"/>
      <c r="G76" s="3"/>
      <c r="H76" s="3"/>
      <c r="I76" s="3"/>
      <c r="J76" s="3"/>
      <c r="K76" s="3"/>
      <c r="L76" s="3" t="s">
        <v>321</v>
      </c>
      <c r="M76" s="3"/>
      <c r="N76" s="3"/>
      <c r="O76" s="3"/>
      <c r="P76" s="3"/>
      <c r="Q76" s="3"/>
      <c r="R76" s="3"/>
      <c r="S76" s="3"/>
      <c r="T76" s="3"/>
      <c r="U76" s="3"/>
      <c r="V76" s="3"/>
      <c r="W76" s="3"/>
      <c r="X76" s="3"/>
      <c r="Y76" s="3"/>
      <c r="Z76" s="3"/>
      <c r="AA76" s="3"/>
    </row>
    <row r="77" spans="1:27" x14ac:dyDescent="0.25">
      <c r="A77" s="3"/>
      <c r="B77" s="3"/>
      <c r="C77" s="3"/>
      <c r="D77" s="3"/>
      <c r="E77" s="3"/>
      <c r="F77" s="3"/>
      <c r="G77" s="3"/>
      <c r="H77" s="3"/>
      <c r="I77" s="3"/>
      <c r="J77" s="3"/>
      <c r="K77" s="3"/>
      <c r="L77" s="397">
        <f>((C63*D63*E63*F63*G63/B63)/(G63*I63*J63))</f>
        <v>2.1744423287671235E-5</v>
      </c>
      <c r="M77" s="3"/>
      <c r="N77" s="3"/>
      <c r="O77" s="3"/>
      <c r="P77" s="3"/>
      <c r="Q77" s="3"/>
      <c r="R77" s="3"/>
      <c r="S77" s="3"/>
      <c r="T77" s="3"/>
      <c r="U77" s="3"/>
      <c r="V77" s="3"/>
      <c r="W77" s="3"/>
      <c r="X77" s="3"/>
      <c r="Y77" s="3"/>
      <c r="Z77" s="3"/>
      <c r="AA77" s="3"/>
    </row>
    <row r="78" spans="1:27" x14ac:dyDescent="0.25">
      <c r="A78" s="3"/>
      <c r="B78" s="3"/>
      <c r="C78" s="3"/>
      <c r="D78" s="3"/>
      <c r="E78" s="3"/>
      <c r="F78" s="3"/>
      <c r="G78" s="3"/>
      <c r="H78" s="3"/>
      <c r="I78" s="3"/>
      <c r="J78" s="3"/>
      <c r="K78" s="3"/>
      <c r="L78" s="3"/>
      <c r="M78" s="3"/>
      <c r="N78" s="3"/>
    </row>
    <row r="79" spans="1:27" x14ac:dyDescent="0.25">
      <c r="A79" s="3"/>
      <c r="B79" s="3"/>
      <c r="C79" s="3"/>
      <c r="D79" s="3"/>
      <c r="E79" s="3"/>
      <c r="F79" s="3"/>
      <c r="G79" s="3"/>
      <c r="H79" s="3"/>
      <c r="I79" s="3"/>
      <c r="J79" s="3"/>
      <c r="K79" s="3"/>
      <c r="L79" s="3"/>
      <c r="M79" s="3"/>
      <c r="N79" s="3"/>
    </row>
    <row r="80" spans="1:27" x14ac:dyDescent="0.25">
      <c r="A80" s="3"/>
      <c r="B80" s="3"/>
      <c r="C80" s="3"/>
      <c r="D80" s="3"/>
      <c r="E80" s="3"/>
      <c r="F80" s="3"/>
      <c r="G80" s="3"/>
      <c r="H80" s="3"/>
      <c r="I80" s="3"/>
      <c r="J80" s="3"/>
      <c r="K80" s="3"/>
      <c r="L80" s="3"/>
      <c r="M80" s="3"/>
      <c r="N80" s="3"/>
    </row>
  </sheetData>
  <sheetProtection sheet="1" objects="1" scenarios="1"/>
  <mergeCells count="1">
    <mergeCell ref="A1:C1"/>
  </mergeCells>
  <phoneticPr fontId="0" type="noConversion"/>
  <printOptions horizontalCentered="1"/>
  <pageMargins left="0.5" right="0.5" top="0.75" bottom="0.75" header="0.5" footer="0.4"/>
  <pageSetup orientation="landscape" horizontalDpi="1200" verticalDpi="1200" r:id="rId1"/>
  <headerFooter>
    <oddHeader>&amp;C&amp;"Arial,Bold"MCP Numerical Standards Derivation</oddHeader>
    <oddFooter>&amp;L&amp;8MassDEP&amp;C&amp;8 2024&amp;R&amp;8Workbook: &amp;F
Sheet: &amp;A
Page &amp;P of &amp;N</oddFooter>
  </headerFooter>
  <rowBreaks count="1" manualBreakCount="1">
    <brk id="37" max="16383" man="1"/>
  </rowBreaks>
  <colBreaks count="2" manualBreakCount="2">
    <brk id="13" max="1048575" man="1"/>
    <brk id="28"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
  <sheetViews>
    <sheetView showGridLines="0" workbookViewId="0">
      <selection sqref="A1:E1"/>
    </sheetView>
  </sheetViews>
  <sheetFormatPr defaultRowHeight="12.5" x14ac:dyDescent="0.25"/>
  <cols>
    <col min="1" max="1" width="23.54296875" customWidth="1"/>
    <col min="2" max="2" width="11.453125" customWidth="1"/>
    <col min="3" max="4" width="13.81640625" customWidth="1"/>
    <col min="5" max="5" width="19.81640625" bestFit="1" customWidth="1"/>
    <col min="7" max="7" width="12.453125" bestFit="1" customWidth="1"/>
  </cols>
  <sheetData>
    <row r="1" spans="1:5" ht="21.75" customHeight="1" x14ac:dyDescent="0.25">
      <c r="A1" s="510" t="s">
        <v>340</v>
      </c>
      <c r="B1" s="511"/>
      <c r="C1" s="511"/>
      <c r="D1" s="511"/>
      <c r="E1" s="512"/>
    </row>
    <row r="2" spans="1:5" ht="21.75" customHeight="1" x14ac:dyDescent="0.25">
      <c r="A2" s="318"/>
      <c r="B2" s="327"/>
      <c r="C2" s="31"/>
      <c r="D2" s="31"/>
      <c r="E2" s="319"/>
    </row>
    <row r="3" spans="1:5" ht="21.75" customHeight="1" x14ac:dyDescent="0.25">
      <c r="A3" s="328" t="s">
        <v>330</v>
      </c>
      <c r="B3" s="344">
        <v>3.6999999999999998E-2</v>
      </c>
      <c r="C3" s="346" t="s">
        <v>342</v>
      </c>
      <c r="D3" s="31"/>
      <c r="E3" s="319"/>
    </row>
    <row r="4" spans="1:5" ht="21.75" customHeight="1" x14ac:dyDescent="0.25">
      <c r="A4" s="329" t="s">
        <v>331</v>
      </c>
      <c r="B4" s="345">
        <v>9.2999999999999992E-3</v>
      </c>
      <c r="C4" s="347" t="s">
        <v>342</v>
      </c>
      <c r="D4" s="31"/>
      <c r="E4" s="319"/>
    </row>
    <row r="5" spans="1:5" x14ac:dyDescent="0.25">
      <c r="A5" s="320"/>
      <c r="B5" s="31"/>
      <c r="C5" s="31"/>
      <c r="D5" s="31"/>
      <c r="E5" s="319"/>
    </row>
    <row r="6" spans="1:5" ht="81" customHeight="1" thickBot="1" x14ac:dyDescent="0.3">
      <c r="A6" s="326" t="s">
        <v>111</v>
      </c>
      <c r="B6" s="337" t="s">
        <v>336</v>
      </c>
      <c r="C6" s="337" t="s">
        <v>337</v>
      </c>
      <c r="D6" s="338" t="s">
        <v>338</v>
      </c>
      <c r="E6" s="339" t="s">
        <v>339</v>
      </c>
    </row>
    <row r="7" spans="1:5" ht="13" thickBot="1" x14ac:dyDescent="0.3">
      <c r="A7" s="324" t="s">
        <v>5</v>
      </c>
      <c r="B7" s="340">
        <f>(((('S-1 Assumptions'!$K$26*(VLOOKUP(A7,[1]!TOX,25,FALSE)))+('S-1 Assumptions'!$L$59*(VLOOKUP(A7,[1]!TOX,27,FALSE))))*0.037))</f>
        <v>1.6103243428019562E-8</v>
      </c>
      <c r="C7" s="341">
        <f>((((('S-1 Assumptions'!$K$30*(VLOOKUP(A7,[1]!TOX,25,FALSE)))+('S-1 Assumptions'!$L$67*(VLOOKUP(A7,[1]!TOX,27,FALSE)))))*0.0093*10))+((((('S-1 Assumptions'!$K$31*(VLOOKUP(A7,[1]!TOX,25,FALSE)))+('S-1 Assumptions'!$L$68*(VLOOKUP(A7,[1]!TOX,27,FALSE)))))*(0.0093)*3))+((((('S-1 Assumptions'!$K$32*(VLOOKUP(A7,[1]!TOX,25,FALSE)))+('S-1 Assumptions'!$L$69*(VLOOKUP(A7,[1]!TOX,27,FALSE)))))*(0.0093)*3))+((('S-1 Assumptions'!$K$33*(VLOOKUP(A7,[1]!TOX,25,FALSE)))+(('S-1 Assumptions'!$L$70)*(VLOOKUP(A7,[1]!TOX,27,FALSE))))*0.0093*1)</f>
        <v>1.3445869024782351E-8</v>
      </c>
      <c r="D7" s="342">
        <f>SUM(B7:C7)</f>
        <v>2.9549112452801915E-8</v>
      </c>
      <c r="E7" s="343">
        <f>'[1]Target Risk'!$D$12/D7</f>
        <v>33.841964004748903</v>
      </c>
    </row>
    <row r="9" spans="1:5" ht="13.5" thickBot="1" x14ac:dyDescent="0.3">
      <c r="A9" s="29"/>
    </row>
    <row r="10" spans="1:5" ht="27.65" customHeight="1" x14ac:dyDescent="0.25">
      <c r="A10" s="317" t="s">
        <v>341</v>
      </c>
      <c r="B10" s="321"/>
      <c r="C10" s="321"/>
      <c r="D10" s="322"/>
      <c r="E10" s="29"/>
    </row>
    <row r="11" spans="1:5" ht="23" x14ac:dyDescent="0.25">
      <c r="A11" s="330"/>
      <c r="B11" s="331" t="s">
        <v>323</v>
      </c>
      <c r="C11" s="331" t="s">
        <v>322</v>
      </c>
      <c r="D11" s="332"/>
    </row>
    <row r="12" spans="1:5" ht="69.5" thickBot="1" x14ac:dyDescent="0.3">
      <c r="A12" s="325" t="s">
        <v>111</v>
      </c>
      <c r="B12" s="333" t="s">
        <v>335</v>
      </c>
      <c r="C12" s="333" t="s">
        <v>334</v>
      </c>
      <c r="D12" s="334" t="s">
        <v>332</v>
      </c>
    </row>
    <row r="13" spans="1:5" ht="13" thickBot="1" x14ac:dyDescent="0.3">
      <c r="A13" s="323" t="s">
        <v>1</v>
      </c>
      <c r="B13" s="335">
        <f>((('S-1 Assumptions'!$K$37*(VLOOKUP(A13,[1]!TOX,25,FALSE)))+('S-1 Assumptions'!$L$77*(VLOOKUP(A13,[1]!TOX,27,FALSE))))*(VLOOKUP(A13,[1]!TOX,12,FALSE)))</f>
        <v>2.9354329676712327E-6</v>
      </c>
      <c r="C13" s="335">
        <f>((('S-1 Assumptions'!$K$31*(VLOOKUP(A13,[1]!TOX,25,FALSE)))+('S-1 Assumptions'!$L$67*(VLOOKUP(A13,[1]!TOX,27,FALSE))))+(('S-1 Assumptions'!$K$32*(VLOOKUP(A13,[1]!TOX,25,FALSE)))+('S-1 Assumptions'!$L$68*(VLOOKUP(A13,[1]!TOX,27,FALSE))))+((('S-1 Assumptions'!$K$33*(VLOOKUP(A13,[1]!TOX,25,FALSE)))+('S-1 Assumptions'!$L$69*(VLOOKUP(A13,[1]!TOX,27,FALSE)))))*(VLOOKUP(A13,[1]!TOX,12,FALSE)))</f>
        <v>3.0723863021556866E-7</v>
      </c>
      <c r="D13" s="336">
        <f>('[1]Target Risk'!$D$12/(B13+C13))</f>
        <v>0.3083876889203595</v>
      </c>
    </row>
    <row r="16" spans="1:5" x14ac:dyDescent="0.25">
      <c r="A16" s="3" t="s">
        <v>343</v>
      </c>
    </row>
    <row r="17" spans="1:1" x14ac:dyDescent="0.25">
      <c r="A17" s="3" t="s">
        <v>344</v>
      </c>
    </row>
  </sheetData>
  <sheetProtection sheet="1" objects="1" scenarios="1"/>
  <mergeCells count="1">
    <mergeCell ref="A1:E1"/>
  </mergeCells>
  <printOptions horizontalCentered="1"/>
  <pageMargins left="0.7" right="0.7" top="1" bottom="1" header="0.5" footer="0.4"/>
  <pageSetup orientation="portrait" r:id="rId1"/>
  <headerFooter>
    <oddHeader>&amp;C&amp;"Arial,Bold"MCP Numerical Standards Derivation</oddHeader>
    <oddFooter>&amp;L&amp;8MassDEP&amp;C&amp;8 2024&amp;R&amp;8Workbook: &amp;F
Sheet: &amp;A
Page &amp;P of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411"/>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11" defaultRowHeight="13" x14ac:dyDescent="0.25"/>
  <cols>
    <col min="1" max="1" width="33.81640625" style="46" customWidth="1"/>
    <col min="2" max="2" width="12" style="371" customWidth="1"/>
    <col min="3" max="3" width="12.453125" style="66" bestFit="1" customWidth="1"/>
    <col min="4" max="4" width="11.453125" style="66" customWidth="1"/>
    <col min="5" max="5" width="14" style="66" customWidth="1"/>
    <col min="6" max="6" width="13.453125" style="66" customWidth="1"/>
    <col min="7" max="7" width="16" style="66" customWidth="1"/>
    <col min="8" max="8" width="13.54296875" style="70" customWidth="1"/>
    <col min="9" max="9" width="16.81640625" style="70" bestFit="1" customWidth="1"/>
    <col min="10" max="10" width="2.453125" style="49" customWidth="1"/>
    <col min="11" max="11" width="12.1796875" style="49" customWidth="1"/>
    <col min="12" max="12" width="11" style="49"/>
    <col min="13" max="13" width="16.54296875" style="49" customWidth="1"/>
    <col min="14" max="14" width="8.54296875" style="49" customWidth="1"/>
    <col min="15" max="15" width="1.81640625" style="49" customWidth="1"/>
    <col min="16" max="25" width="12.1796875" style="49" customWidth="1"/>
    <col min="26" max="27" width="19" style="49" customWidth="1"/>
    <col min="28" max="28" width="20.1796875" style="49" customWidth="1"/>
    <col min="29" max="31" width="12.1796875" style="49" customWidth="1"/>
    <col min="32" max="32" width="16.54296875" style="49" customWidth="1"/>
    <col min="33" max="33" width="7.54296875" style="49" customWidth="1"/>
    <col min="34" max="34" width="17.81640625" style="49" customWidth="1"/>
    <col min="35" max="35" width="7.54296875" style="49" customWidth="1"/>
    <col min="36" max="36" width="21.453125" style="49" customWidth="1"/>
    <col min="37" max="37" width="7.54296875" style="49" customWidth="1"/>
    <col min="38" max="38" width="9.81640625" style="49" customWidth="1"/>
    <col min="39" max="39" width="5.453125" style="49" customWidth="1"/>
    <col min="40" max="40" width="11" style="49"/>
    <col min="41" max="41" width="8.54296875" style="49" customWidth="1"/>
    <col min="42" max="42" width="11" style="49"/>
    <col min="43" max="43" width="5.453125" style="49" customWidth="1"/>
    <col min="44" max="47" width="14.453125" style="49" customWidth="1"/>
    <col min="48" max="16384" width="11" style="49"/>
  </cols>
  <sheetData>
    <row r="1" spans="1:23" ht="12.5" x14ac:dyDescent="0.25">
      <c r="A1" s="357"/>
      <c r="B1" s="515" t="s">
        <v>290</v>
      </c>
      <c r="C1" s="516"/>
      <c r="D1" s="523" t="s">
        <v>354</v>
      </c>
      <c r="E1" s="524"/>
      <c r="F1" s="523" t="s">
        <v>353</v>
      </c>
      <c r="G1" s="521" t="s">
        <v>352</v>
      </c>
      <c r="H1" s="517" t="s">
        <v>351</v>
      </c>
      <c r="I1" s="518"/>
      <c r="J1" s="93"/>
    </row>
    <row r="2" spans="1:23" ht="23" x14ac:dyDescent="0.25">
      <c r="A2" s="358" t="s">
        <v>198</v>
      </c>
      <c r="B2" s="513" t="s">
        <v>116</v>
      </c>
      <c r="C2" s="514"/>
      <c r="D2" s="503"/>
      <c r="E2" s="504"/>
      <c r="F2" s="503"/>
      <c r="G2" s="522"/>
      <c r="H2" s="519"/>
      <c r="I2" s="520"/>
      <c r="J2" s="94"/>
      <c r="K2" s="48"/>
      <c r="L2" s="48"/>
      <c r="M2" s="48"/>
      <c r="N2" s="48"/>
      <c r="O2" s="48"/>
      <c r="P2" s="48"/>
      <c r="Q2" s="55"/>
      <c r="R2" s="55"/>
      <c r="S2" s="55"/>
      <c r="T2" s="51"/>
    </row>
    <row r="3" spans="1:23" ht="15.5" x14ac:dyDescent="0.25">
      <c r="A3" s="359" t="s">
        <v>115</v>
      </c>
      <c r="B3" s="367" t="s">
        <v>114</v>
      </c>
      <c r="C3" s="125" t="s">
        <v>113</v>
      </c>
      <c r="D3" s="503"/>
      <c r="E3" s="504"/>
      <c r="F3" s="503"/>
      <c r="G3" s="522"/>
      <c r="H3" s="519"/>
      <c r="I3" s="520"/>
      <c r="J3" s="96"/>
      <c r="K3" s="48"/>
      <c r="L3" s="48"/>
      <c r="M3" s="48"/>
      <c r="N3" s="48"/>
      <c r="O3" s="48"/>
      <c r="P3" s="48"/>
      <c r="Q3" s="55"/>
      <c r="R3" s="55"/>
      <c r="S3" s="55"/>
      <c r="T3" s="51"/>
    </row>
    <row r="4" spans="1:23" ht="15.5" x14ac:dyDescent="0.25">
      <c r="A4" s="359" t="s">
        <v>296</v>
      </c>
      <c r="B4" s="367" t="s">
        <v>356</v>
      </c>
      <c r="C4" s="126" t="s">
        <v>360</v>
      </c>
      <c r="D4" s="503"/>
      <c r="E4" s="504"/>
      <c r="F4" s="503"/>
      <c r="G4" s="522"/>
      <c r="H4" s="519"/>
      <c r="I4" s="520"/>
      <c r="J4" s="98"/>
      <c r="K4" s="48"/>
      <c r="L4" s="48"/>
      <c r="M4" s="48"/>
      <c r="N4" s="48"/>
      <c r="O4" s="48"/>
      <c r="P4" s="48"/>
      <c r="Q4" s="55"/>
      <c r="R4" s="55"/>
      <c r="S4" s="55"/>
      <c r="T4" s="51"/>
    </row>
    <row r="5" spans="1:23" ht="13.4" customHeight="1" thickBot="1" x14ac:dyDescent="0.3">
      <c r="A5" s="360"/>
      <c r="B5" s="368"/>
      <c r="C5" s="127"/>
      <c r="D5" s="95"/>
      <c r="E5" s="97"/>
      <c r="F5" s="95"/>
      <c r="G5" s="112"/>
      <c r="H5" s="104"/>
      <c r="I5" s="102"/>
      <c r="J5" s="48"/>
      <c r="K5" s="48"/>
      <c r="L5" s="48"/>
      <c r="M5" s="48"/>
      <c r="N5" s="48"/>
      <c r="O5" s="48"/>
      <c r="P5" s="48"/>
      <c r="Q5" s="55"/>
      <c r="R5" s="55"/>
      <c r="S5" s="55"/>
      <c r="T5" s="51"/>
    </row>
    <row r="6" spans="1:23" s="101" customFormat="1" ht="12" thickBot="1" x14ac:dyDescent="0.3">
      <c r="A6" s="361" t="s">
        <v>380</v>
      </c>
      <c r="B6" s="368" t="s">
        <v>109</v>
      </c>
      <c r="C6" s="127" t="s">
        <v>109</v>
      </c>
      <c r="D6" s="99" t="s">
        <v>109</v>
      </c>
      <c r="E6" s="100" t="s">
        <v>110</v>
      </c>
      <c r="F6" s="99" t="s">
        <v>109</v>
      </c>
      <c r="G6" s="113" t="s">
        <v>109</v>
      </c>
      <c r="H6" s="105" t="s">
        <v>109</v>
      </c>
      <c r="I6" s="103" t="s">
        <v>108</v>
      </c>
    </row>
    <row r="7" spans="1:23" ht="14" x14ac:dyDescent="0.25">
      <c r="A7" s="362" t="s">
        <v>107</v>
      </c>
      <c r="B7" s="106">
        <f>IF(ISERR(1/+(VLOOKUP(A7,[1]!TOX,17,FALSE))),0,'[1]Target Risk'!$D$8*(VLOOKUP(A7,[1]!TOX,4,FALSE))/(('S-2 Assumptions'!$J$21*(VLOOKUP(A7,[1]!TOX,17,FALSE)))+('S-2 Assumptions'!$K$43*(VLOOKUP(A7,[1]!TOX,19,FALSE)))))</f>
        <v>103890.78113326877</v>
      </c>
      <c r="C7" s="128">
        <f>IF(ISERR(1/(VLOOKUP(A7,[1]!TOX,25,FALSE))),0,+'[1]Target Risk'!$D$12/((('S-2 Assumptions'!$J$29*(VLOOKUP(A7,[1]!TOX,25,FALSE)))+('S-2 Assumptions'!$K$51*(VLOOKUP(A7,[1]!TOX,27,FALSE))))*(VLOOKUP(A7,[1]!TOX,12,FALSE))))</f>
        <v>0</v>
      </c>
      <c r="D7" s="106">
        <f>IF(B7=0,MIN(C7,(VLOOKUP(A7,[1]!TOX,74,FALSE))),IF(C7=0,MIN(B7,(VLOOKUP(A7,[1]!TOX,74,FALSE))),MIN(B7,C7,(VLOOKUP(A7,[1]!TOX,74,FALSE)))))</f>
        <v>3000</v>
      </c>
      <c r="E7" s="128" t="str">
        <f>IF(D7=B7,"Noncancer Risk",IF(D7=C7,"Cancer Risk",(VLOOKUP(A7,[1]!TOX,75,FALSE))))</f>
        <v>Ceiling (High)</v>
      </c>
      <c r="F7" s="106">
        <f>MAX(D7,(VLOOKUP(A7,[1]!TOX,50,FALSE)),(VLOOKUP(A7,[1]!TOX,35,FALSE)))</f>
        <v>3000</v>
      </c>
      <c r="G7" s="114">
        <f>MIN(F7,'S-3'!J7)</f>
        <v>3000</v>
      </c>
      <c r="H7" s="107">
        <f>IF(G7&lt;&gt;0,ROUND(G7,1-(1+INT(LOG10(ABS(G7))))),"")</f>
        <v>3000</v>
      </c>
      <c r="I7" s="131" t="str">
        <f>IF(G7=0,"Not Calculated",IF(G7=D7,E7,IF(G7=[1]Toxicity!AI3,"Background",IF(G7='S-3'!J7,"S-3 Standard","PQL"))))</f>
        <v>Ceiling (High)</v>
      </c>
      <c r="J7" s="48"/>
      <c r="K7" s="54"/>
      <c r="L7" s="48"/>
      <c r="M7" s="48"/>
      <c r="N7" s="48"/>
      <c r="O7" s="48"/>
      <c r="P7" s="48"/>
      <c r="Q7" s="48"/>
      <c r="R7" s="48"/>
      <c r="S7" s="48"/>
    </row>
    <row r="8" spans="1:23" ht="14" x14ac:dyDescent="0.25">
      <c r="A8" s="363" t="s">
        <v>106</v>
      </c>
      <c r="B8" s="108">
        <f>IF(ISERR(1/+(VLOOKUP(A8,[1]!TOX,17,FALSE))),0,'[1]Target Risk'!$D$8*(VLOOKUP(A8,[1]!TOX,4,FALSE))/(('S-2 Assumptions'!$J$21*(VLOOKUP(A8,[1]!TOX,17,FALSE)))+('S-2 Assumptions'!$K$43*(VLOOKUP(A8,[1]!TOX,19,FALSE)))))</f>
        <v>51945.390566634385</v>
      </c>
      <c r="C8" s="129">
        <f>IF(ISERR(1/(VLOOKUP(A8,[1]!TOX,25,FALSE))),0,+'[1]Target Risk'!$D$12/((('S-2 Assumptions'!$J$29*(VLOOKUP(A8,[1]!TOX,25,FALSE)))+('S-2 Assumptions'!$K$51*(VLOOKUP(A8,[1]!TOX,27,FALSE))))*(VLOOKUP(A8,[1]!TOX,12,FALSE))))</f>
        <v>0</v>
      </c>
      <c r="D8" s="108">
        <f>IF(B8=0,MIN(C8,(VLOOKUP(A8,[1]!TOX,74,FALSE))),IF(C8=0,MIN(B8,(VLOOKUP(A8,[1]!TOX,74,FALSE))),MIN(B8,C8,(VLOOKUP(A8,[1]!TOX,74,FALSE)))))</f>
        <v>3000</v>
      </c>
      <c r="E8" s="129" t="str">
        <f>IF(D8=B8,"Noncancer Risk",IF(D8=C8,"Cancer Risk",(VLOOKUP(A8,[1]!TOX,75,FALSE))))</f>
        <v>Ceiling (High)</v>
      </c>
      <c r="F8" s="108">
        <f>MAX(D8,(VLOOKUP(A8,[1]!TOX,50,FALSE)),(VLOOKUP(A8,[1]!TOX,35,FALSE)))</f>
        <v>3000</v>
      </c>
      <c r="G8" s="115">
        <f>MIN(F8,'S-3'!J8)</f>
        <v>3000</v>
      </c>
      <c r="H8" s="109">
        <f t="shared" ref="H8:H35" si="0">IF(G8&lt;&gt;0,ROUND(G8,1-(1+INT(LOG10(ABS(G8))))),"")</f>
        <v>3000</v>
      </c>
      <c r="I8" s="132" t="str">
        <f>IF(G8=0,"Not Calculated",IF(G8=D8,E8,IF(G8=[1]Toxicity!AI4,"Background",IF(G8='S-3'!J8,"S-3 Standard","PQL"))))</f>
        <v>Ceiling (High)</v>
      </c>
      <c r="J8" s="48"/>
      <c r="K8" s="54"/>
      <c r="L8" s="48"/>
      <c r="M8" s="48"/>
      <c r="N8" s="48"/>
      <c r="O8" s="48"/>
      <c r="P8" s="48"/>
      <c r="Q8" s="48"/>
      <c r="R8" s="48"/>
      <c r="S8" s="48"/>
    </row>
    <row r="9" spans="1:23" ht="14" x14ac:dyDescent="0.25">
      <c r="A9" s="363" t="s">
        <v>105</v>
      </c>
      <c r="B9" s="108">
        <f>IF(ISERR(1/+(VLOOKUP(A9,[1]!TOX,17,FALSE))),0,'[1]Target Risk'!$D$8*(VLOOKUP(A9,[1]!TOX,4,FALSE))/(('S-2 Assumptions'!$J$21*(VLOOKUP(A9,[1]!TOX,17,FALSE)))+('S-2 Assumptions'!$K$43*(VLOOKUP(A9,[1]!TOX,19,FALSE)))))</f>
        <v>710431.99240612099</v>
      </c>
      <c r="C9" s="129">
        <f>IF(ISERR(1/(VLOOKUP(A9,[1]!TOX,25,FALSE))),0,+'[1]Target Risk'!$D$12/((('S-2 Assumptions'!$J$29*(VLOOKUP(A9,[1]!TOX,25,FALSE)))+('S-2 Assumptions'!$K$51*(VLOOKUP(A9,[1]!TOX,27,FALSE))))*(VLOOKUP(A9,[1]!TOX,12,FALSE))))</f>
        <v>0</v>
      </c>
      <c r="D9" s="108">
        <f>IF(B9=0,MIN(C9,(VLOOKUP(A9,[1]!TOX,74,FALSE))),IF(C9=0,MIN(B9,(VLOOKUP(A9,[1]!TOX,74,FALSE))),MIN(B9,C9,(VLOOKUP(A9,[1]!TOX,74,FALSE)))))</f>
        <v>1000</v>
      </c>
      <c r="E9" s="129" t="str">
        <f>IF(D9=B9,"Noncancer Risk",IF(D9=C9,"Cancer Risk",(VLOOKUP(A9,[1]!TOX,75,FALSE))))</f>
        <v>Ceiling (Medium)</v>
      </c>
      <c r="F9" s="108">
        <f>MAX(D9,(VLOOKUP(A9,[1]!TOX,50,FALSE)),(VLOOKUP(A9,[1]!TOX,35,FALSE)))</f>
        <v>1000</v>
      </c>
      <c r="G9" s="115">
        <f>MIN(F9,'S-3'!J9)</f>
        <v>1000</v>
      </c>
      <c r="H9" s="109">
        <f t="shared" si="0"/>
        <v>1000</v>
      </c>
      <c r="I9" s="132" t="str">
        <f>IF(G9=0,"Not Calculated",IF(G9=D9,E9,IF(G9=[1]Toxicity!AI5,"Background",IF(G9='S-3'!J9,"S-3 Standard","PQL"))))</f>
        <v>Ceiling (Medium)</v>
      </c>
      <c r="J9" s="48"/>
      <c r="K9" s="54"/>
      <c r="L9" s="48"/>
      <c r="M9" s="48"/>
      <c r="N9" s="48"/>
      <c r="O9" s="48"/>
      <c r="P9" s="48"/>
      <c r="Q9" s="48"/>
      <c r="R9" s="48"/>
      <c r="S9" s="48"/>
    </row>
    <row r="10" spans="1:23" ht="14" x14ac:dyDescent="0.25">
      <c r="A10" s="363" t="s">
        <v>104</v>
      </c>
      <c r="B10" s="108">
        <f>IF(ISERR(1/+(VLOOKUP(A10,[1]!TOX,17,FALSE))),0,'[1]Target Risk'!$D$8*(VLOOKUP(A10,[1]!TOX,4,FALSE))/(('S-2 Assumptions'!$J$21*(VLOOKUP(A10,[1]!TOX,17,FALSE)))+('S-2 Assumptions'!$K$43*(VLOOKUP(A10,[1]!TOX,19,FALSE)))))</f>
        <v>21.145495649367337</v>
      </c>
      <c r="C10" s="129">
        <f>IF(ISERR(1/(VLOOKUP(A10,[1]!TOX,25,FALSE))),0,+'[1]Target Risk'!$D$12/((('S-2 Assumptions'!$J$29*(VLOOKUP(A10,[1]!TOX,25,FALSE)))+('S-2 Assumptions'!$K$51*(VLOOKUP(A10,[1]!TOX,27,FALSE))))*(VLOOKUP(A10,[1]!TOX,12,FALSE))))</f>
        <v>0.53746720967890838</v>
      </c>
      <c r="D10" s="108">
        <f>IF(B10=0,MIN(C10,(VLOOKUP(A10,[1]!TOX,74,FALSE))),IF(C10=0,MIN(B10,(VLOOKUP(A10,[1]!TOX,74,FALSE))),MIN(B10,C10,(VLOOKUP(A10,[1]!TOX,74,FALSE)))))</f>
        <v>0.53746720967890838</v>
      </c>
      <c r="E10" s="129" t="str">
        <f>IF(D10=B10,"Noncancer Risk",IF(D10=C10,"Cancer Risk",(VLOOKUP(A10,[1]!TOX,75,FALSE))))</f>
        <v>Cancer Risk</v>
      </c>
      <c r="F10" s="108">
        <f>MAX(D10,(VLOOKUP(A10,[1]!TOX,50,FALSE)),(VLOOKUP(A10,[1]!TOX,35,FALSE)))</f>
        <v>0.53746720967890838</v>
      </c>
      <c r="G10" s="115">
        <f>MIN(F10,'S-3'!J10)</f>
        <v>0.53746720967890838</v>
      </c>
      <c r="H10" s="109">
        <f t="shared" si="0"/>
        <v>0.5</v>
      </c>
      <c r="I10" s="132" t="str">
        <f>IF(G10=0,"Not Calculated",IF(G10=D10,E10,IF(G10=[1]Toxicity!AI6,"Background",IF(G10='S-3'!J10,"S-3 Standard","PQL"))))</f>
        <v>Cancer Risk</v>
      </c>
      <c r="J10" s="48"/>
      <c r="K10" s="54"/>
      <c r="L10" s="48"/>
      <c r="M10" s="48"/>
      <c r="N10" s="48"/>
      <c r="O10" s="48"/>
      <c r="P10" s="48"/>
      <c r="Q10" s="48"/>
      <c r="R10" s="48"/>
      <c r="S10" s="48"/>
      <c r="W10" s="51"/>
    </row>
    <row r="11" spans="1:23" ht="14" x14ac:dyDescent="0.25">
      <c r="A11" s="363" t="s">
        <v>103</v>
      </c>
      <c r="B11" s="108">
        <f>IF(ISERR(1/+(VLOOKUP(A11,[1]!TOX,17,FALSE))),0,'[1]Target Risk'!$D$8*(VLOOKUP(A11,[1]!TOX,4,FALSE))/(('S-2 Assumptions'!$J$21*(VLOOKUP(A11,[1]!TOX,17,FALSE)))+('S-2 Assumptions'!$K$43*(VLOOKUP(A11,[1]!TOX,19,FALSE)))))</f>
        <v>519453.90566634381</v>
      </c>
      <c r="C11" s="129">
        <f>IF(ISERR(1/(VLOOKUP(A11,[1]!TOX,25,FALSE))),0,+'[1]Target Risk'!$D$12/((('S-2 Assumptions'!$J$29*(VLOOKUP(A11,[1]!TOX,25,FALSE)))+('S-2 Assumptions'!$K$51*(VLOOKUP(A11,[1]!TOX,27,FALSE))))*(VLOOKUP(A11,[1]!TOX,12,FALSE))))</f>
        <v>0</v>
      </c>
      <c r="D11" s="108">
        <f>IF(B11=0,MIN(C11,(VLOOKUP(A11,[1]!TOX,74,FALSE))),IF(C11=0,MIN(B11,(VLOOKUP(A11,[1]!TOX,74,FALSE))),MIN(B11,C11,(VLOOKUP(A11,[1]!TOX,74,FALSE)))))</f>
        <v>3000</v>
      </c>
      <c r="E11" s="129" t="str">
        <f>IF(D11=B11,"Noncancer Risk",IF(D11=C11,"Cancer Risk",(VLOOKUP(A11,[1]!TOX,75,FALSE))))</f>
        <v>Ceiling (High)</v>
      </c>
      <c r="F11" s="108">
        <f>MAX(D11,(VLOOKUP(A11,[1]!TOX,50,FALSE)),(VLOOKUP(A11,[1]!TOX,35,FALSE)))</f>
        <v>3000</v>
      </c>
      <c r="G11" s="115">
        <f>MIN(F11,'S-3'!J11)</f>
        <v>3000</v>
      </c>
      <c r="H11" s="109">
        <f t="shared" si="0"/>
        <v>3000</v>
      </c>
      <c r="I11" s="132" t="str">
        <f>IF(G11=0,"Not Calculated",IF(G11=D11,E11,IF(G11=[1]Toxicity!AI7,"Background",IF(G11='S-3'!J11,"S-3 Standard","PQL"))))</f>
        <v>Ceiling (High)</v>
      </c>
      <c r="J11" s="48"/>
      <c r="K11" s="54"/>
      <c r="L11" s="48"/>
      <c r="M11" s="48"/>
      <c r="N11" s="48"/>
      <c r="O11" s="48"/>
      <c r="P11" s="48"/>
      <c r="Q11" s="48"/>
      <c r="R11" s="48"/>
      <c r="S11" s="48"/>
      <c r="W11" s="51"/>
    </row>
    <row r="12" spans="1:23" ht="14" x14ac:dyDescent="0.25">
      <c r="A12" s="363" t="s">
        <v>102</v>
      </c>
      <c r="B12" s="108">
        <f>IF(ISERR(1/+(VLOOKUP(A12,[1]!TOX,17,FALSE))),0,'[1]Target Risk'!$D$8*(VLOOKUP(A12,[1]!TOX,4,FALSE))/(('S-2 Assumptions'!$J$21*(VLOOKUP(A12,[1]!TOX,17,FALSE)))+('S-2 Assumptions'!$K$43*(VLOOKUP(A12,[1]!TOX,19,FALSE)))))</f>
        <v>281.93994199156452</v>
      </c>
      <c r="C12" s="129">
        <f>IF(ISERR(1/(VLOOKUP(A12,[1]!TOX,25,FALSE))),0,+'[1]Target Risk'!$D$12/((('S-2 Assumptions'!$J$29*(VLOOKUP(A12,[1]!TOX,25,FALSE)))+('S-2 Assumptions'!$K$51*(VLOOKUP(A12,[1]!TOX,27,FALSE))))*(VLOOKUP(A12,[1]!TOX,12,FALSE))))</f>
        <v>0</v>
      </c>
      <c r="D12" s="108">
        <f>IF(B12=0,MIN(C12,(VLOOKUP(A12,[1]!TOX,74,FALSE))),IF(C12=0,MIN(B12,(VLOOKUP(A12,[1]!TOX,74,FALSE))),MIN(B12,C12,(VLOOKUP(A12,[1]!TOX,74,FALSE)))))</f>
        <v>281.93994199156452</v>
      </c>
      <c r="E12" s="129" t="str">
        <f>IF(D12=B12,"Noncancer Risk",IF(D12=C12,"Cancer Risk",(VLOOKUP(A12,[1]!TOX,75,FALSE))))</f>
        <v>Noncancer Risk</v>
      </c>
      <c r="F12" s="108">
        <f>MAX(D12,(VLOOKUP(A12,[1]!TOX,50,FALSE)),(VLOOKUP(A12,[1]!TOX,35,FALSE)))</f>
        <v>281.93994199156452</v>
      </c>
      <c r="G12" s="115">
        <f>MIN(F12,'S-3'!J12)</f>
        <v>35.170587540428727</v>
      </c>
      <c r="H12" s="109">
        <f t="shared" si="0"/>
        <v>40</v>
      </c>
      <c r="I12" s="132" t="str">
        <f>IF(G12=0,"Not Calculated",IF(G12=D12,E12,IF(G12=[1]Toxicity!AI8,"Background",IF(G12='S-3'!J12,"S-3 Standard","PQL"))))</f>
        <v>S-3 Standard</v>
      </c>
      <c r="J12" s="48"/>
      <c r="K12" s="54"/>
      <c r="L12" s="48"/>
      <c r="M12" s="48"/>
      <c r="N12" s="48"/>
      <c r="O12" s="48"/>
      <c r="P12" s="48"/>
      <c r="Q12" s="48"/>
      <c r="R12" s="48"/>
      <c r="S12" s="48"/>
      <c r="W12" s="51"/>
    </row>
    <row r="13" spans="1:23" ht="14" x14ac:dyDescent="0.25">
      <c r="A13" s="363" t="s">
        <v>101</v>
      </c>
      <c r="B13" s="108">
        <f>IF(ISERR(1/+(VLOOKUP(A13,[1]!TOX,17,FALSE))),0,'[1]Target Risk'!$D$8*(VLOOKUP(A13,[1]!TOX,4,FALSE))/(('S-2 Assumptions'!$J$21*(VLOOKUP(A13,[1]!TOX,17,FALSE)))+('S-2 Assumptions'!$K$43*(VLOOKUP(A13,[1]!TOX,19,FALSE)))))</f>
        <v>450.47146822110284</v>
      </c>
      <c r="C13" s="129">
        <f>IF(ISERR(1/(VLOOKUP(A13,[1]!TOX,25,FALSE))),0,+'[1]Target Risk'!$D$12/((('S-2 Assumptions'!$J$29*(VLOOKUP(A13,[1]!TOX,25,FALSE)))+('S-2 Assumptions'!$K$51*(VLOOKUP(A13,[1]!TOX,27,FALSE))))*(VLOOKUP(A13,[1]!TOX,12,FALSE))))</f>
        <v>12.976544352048231</v>
      </c>
      <c r="D13" s="108">
        <f>IF(B13=0,MIN(C13,(VLOOKUP(A13,[1]!TOX,74,FALSE))),IF(C13=0,MIN(B13,(VLOOKUP(A13,[1]!TOX,74,FALSE))),MIN(B13,C13,(VLOOKUP(A13,[1]!TOX,74,FALSE)))))</f>
        <v>12.976544352048231</v>
      </c>
      <c r="E13" s="129" t="str">
        <f>IF(D13=B13,"Noncancer Risk",IF(D13=C13,"Cancer Risk",(VLOOKUP(A13,[1]!TOX,75,FALSE))))</f>
        <v>Cancer Risk</v>
      </c>
      <c r="F13" s="108">
        <f>MAX(D13,(VLOOKUP(A13,[1]!TOX,50,FALSE)),(VLOOKUP(A13,[1]!TOX,35,FALSE)))</f>
        <v>20</v>
      </c>
      <c r="G13" s="115">
        <f>MIN(F13,'S-3'!J13)</f>
        <v>20</v>
      </c>
      <c r="H13" s="109">
        <f t="shared" si="0"/>
        <v>20</v>
      </c>
      <c r="I13" s="132" t="str">
        <f>IF(G13=0,"Not Calculated",IF(G13=D13,E13,IF(G13=[1]Toxicity!AI9,"Background",IF(G13='S-3'!J13,"S-3 Standard","PQL"))))</f>
        <v>Background</v>
      </c>
      <c r="J13" s="48"/>
      <c r="K13" s="54"/>
      <c r="L13" s="48"/>
      <c r="M13" s="48"/>
      <c r="N13" s="48"/>
      <c r="O13" s="48"/>
      <c r="P13" s="48"/>
      <c r="Q13" s="48"/>
      <c r="R13" s="48"/>
      <c r="S13" s="48"/>
      <c r="W13" s="52"/>
    </row>
    <row r="14" spans="1:23" ht="14" x14ac:dyDescent="0.25">
      <c r="A14" s="363" t="s">
        <v>100</v>
      </c>
      <c r="B14" s="108">
        <f>IF(ISERR(1/+(VLOOKUP(A14,[1]!TOX,17,FALSE))),0,'[1]Target Risk'!$D$8*(VLOOKUP(A14,[1]!TOX,4,FALSE))/(('S-2 Assumptions'!$J$21*(VLOOKUP(A14,[1]!TOX,17,FALSE)))+('S-2 Assumptions'!$K$43*(VLOOKUP(A14,[1]!TOX,19,FALSE)))))</f>
        <v>140969.97099578226</v>
      </c>
      <c r="C14" s="129">
        <f>IF(ISERR(1/(VLOOKUP(A14,[1]!TOX,25,FALSE))),0,+'[1]Target Risk'!$D$12/((('S-2 Assumptions'!$J$29*(VLOOKUP(A14,[1]!TOX,25,FALSE)))+('S-2 Assumptions'!$K$51*(VLOOKUP(A14,[1]!TOX,27,FALSE))))*(VLOOKUP(A14,[1]!TOX,12,FALSE))))</f>
        <v>0</v>
      </c>
      <c r="D14" s="108">
        <f>IF(B14=0,MIN(C14,(VLOOKUP(A14,[1]!TOX,74,FALSE))),IF(C14=0,MIN(B14,(VLOOKUP(A14,[1]!TOX,74,FALSE))),MIN(B14,C14,(VLOOKUP(A14,[1]!TOX,74,FALSE)))))</f>
        <v>3000</v>
      </c>
      <c r="E14" s="129" t="str">
        <f>IF(D14=B14,"Noncancer Risk",IF(D14=C14,"Cancer Risk",(VLOOKUP(A14,[1]!TOX,75,FALSE))))</f>
        <v>Ceiling (High)</v>
      </c>
      <c r="F14" s="108">
        <f>MAX(D14,(VLOOKUP(A14,[1]!TOX,50,FALSE)),(VLOOKUP(A14,[1]!TOX,35,FALSE)))</f>
        <v>3000</v>
      </c>
      <c r="G14" s="115">
        <f>MIN(F14,'S-3'!J14)</f>
        <v>3000</v>
      </c>
      <c r="H14" s="109">
        <f t="shared" si="0"/>
        <v>3000</v>
      </c>
      <c r="I14" s="132" t="str">
        <f>IF(G14=0,"Not Calculated",IF(G14=D14,E14,IF(G14=[1]Toxicity!AI10,"Background",IF(G14='S-3'!J14,"S-3 Standard","PQL"))))</f>
        <v>Ceiling (High)</v>
      </c>
      <c r="J14" s="48"/>
      <c r="K14" s="54"/>
      <c r="L14" s="48"/>
      <c r="M14" s="48"/>
      <c r="N14" s="48"/>
      <c r="O14" s="48"/>
      <c r="P14" s="48"/>
      <c r="Q14" s="48"/>
      <c r="R14" s="48"/>
      <c r="S14" s="48"/>
    </row>
    <row r="15" spans="1:23" ht="14" x14ac:dyDescent="0.25">
      <c r="A15" s="363" t="s">
        <v>99</v>
      </c>
      <c r="B15" s="108">
        <f>IF(ISERR(1/+(VLOOKUP(A15,[1]!TOX,17,FALSE))),0,'[1]Target Risk'!$D$8*(VLOOKUP(A15,[1]!TOX,4,FALSE))/(('S-2 Assumptions'!$J$21*(VLOOKUP(A15,[1]!TOX,17,FALSE)))+('S-2 Assumptions'!$K$43*(VLOOKUP(A15,[1]!TOX,19,FALSE)))))</f>
        <v>3157.4755218049818</v>
      </c>
      <c r="C15" s="129">
        <f>IF(ISERR(1/(VLOOKUP(A15,[1]!TOX,25,FALSE))),0,+'[1]Target Risk'!$D$12/((('S-2 Assumptions'!$J$29*(VLOOKUP(A15,[1]!TOX,25,FALSE)))+('S-2 Assumptions'!$K$51*(VLOOKUP(A15,[1]!TOX,27,FALSE))))*(VLOOKUP(A15,[1]!TOX,12,FALSE))))</f>
        <v>186.0465374800915</v>
      </c>
      <c r="D15" s="108">
        <f>IF(B15=0,MIN(C15,(VLOOKUP(A15,[1]!TOX,74,FALSE))),IF(C15=0,MIN(B15,(VLOOKUP(A15,[1]!TOX,74,FALSE))),MIN(B15,C15,(VLOOKUP(A15,[1]!TOX,74,FALSE)))))</f>
        <v>186.0465374800915</v>
      </c>
      <c r="E15" s="129" t="str">
        <f>IF(D15=B15,"Noncancer Risk",IF(D15=C15,"Cancer Risk",(VLOOKUP(A15,[1]!TOX,75,FALSE))))</f>
        <v>Cancer Risk</v>
      </c>
      <c r="F15" s="108">
        <f>MAX(D15,(VLOOKUP(A15,[1]!TOX,50,FALSE)),(VLOOKUP(A15,[1]!TOX,35,FALSE)))</f>
        <v>186.0465374800915</v>
      </c>
      <c r="G15" s="115">
        <f>MIN(F15,'S-3'!J15)</f>
        <v>186.0465374800915</v>
      </c>
      <c r="H15" s="109">
        <f t="shared" si="0"/>
        <v>200</v>
      </c>
      <c r="I15" s="132" t="str">
        <f>IF(G15=0,"Not Calculated",IF(G15=D15,E15,IF(G15=[1]Toxicity!AI11,"Background",IF(G15='S-3'!J15,"S-3 Standard","PQL"))))</f>
        <v>Cancer Risk</v>
      </c>
      <c r="J15" s="48"/>
      <c r="K15" s="54"/>
      <c r="L15" s="48"/>
      <c r="M15" s="48"/>
      <c r="N15" s="48"/>
      <c r="O15" s="48"/>
      <c r="P15" s="48"/>
      <c r="Q15" s="48"/>
      <c r="R15" s="48"/>
      <c r="S15" s="48"/>
      <c r="W15" s="51"/>
    </row>
    <row r="16" spans="1:23" ht="14" x14ac:dyDescent="0.25">
      <c r="A16" s="363" t="s">
        <v>98</v>
      </c>
      <c r="B16" s="108">
        <f>IF(ISERR(1/+(VLOOKUP(A16,[1]!TOX,17,FALSE))),0,'[1]Target Risk'!$D$8*(VLOOKUP(A16,[1]!TOX,4,FALSE))/(('S-2 Assumptions'!$J$21*(VLOOKUP(A16,[1]!TOX,17,FALSE)))+('S-2 Assumptions'!$K$43*(VLOOKUP(A16,[1]!TOX,19,FALSE)))))</f>
        <v>74271.846883894992</v>
      </c>
      <c r="C16" s="129">
        <f>IF(ISERR(1/(VLOOKUP(A16,[1]!TOX,25,FALSE))),0,+'[1]Target Risk'!$D$12/((('S-2 Assumptions'!$J$29*(VLOOKUP(A16,[1]!TOX,25,FALSE)))+('S-2 Assumptions'!$K$51*(VLOOKUP(A16,[1]!TOX,27,FALSE))))*(VLOOKUP(A16,[1]!TOX,12,FALSE))))</f>
        <v>320.9277334489289</v>
      </c>
      <c r="D16" s="108">
        <f>IF(B16=0,MIN(C16,(VLOOKUP(A16,[1]!TOX,74,FALSE))),IF(C16=0,MIN(B16,(VLOOKUP(A16,[1]!TOX,74,FALSE))),MIN(B16,C16,(VLOOKUP(A16,[1]!TOX,74,FALSE)))))</f>
        <v>320.9277334489289</v>
      </c>
      <c r="E16" s="129" t="str">
        <f>IF(D16=B16,"Noncancer Risk",IF(D16=C16,"Cancer Risk",(VLOOKUP(A16,[1]!TOX,75,FALSE))))</f>
        <v>Cancer Risk</v>
      </c>
      <c r="F16" s="108">
        <f>MAX(D16,(VLOOKUP(A16,[1]!TOX,50,FALSE)),(VLOOKUP(A16,[1]!TOX,35,FALSE)))</f>
        <v>320.9277334489289</v>
      </c>
      <c r="G16" s="115">
        <f>MIN(F16,'S-3'!J16)</f>
        <v>320.9277334489289</v>
      </c>
      <c r="H16" s="109">
        <f t="shared" si="0"/>
        <v>300</v>
      </c>
      <c r="I16" s="132" t="str">
        <f>IF(G16=0,"Not Calculated",IF(G16=D16,E16,IF(G16=[1]Toxicity!AI12,"Background",IF(G16='S-3'!J16,"S-3 Standard","PQL"))))</f>
        <v>Cancer Risk</v>
      </c>
      <c r="J16" s="48"/>
      <c r="K16" s="54"/>
      <c r="L16" s="48"/>
      <c r="M16" s="48"/>
      <c r="N16" s="48"/>
      <c r="O16" s="48"/>
      <c r="P16" s="48"/>
      <c r="Q16" s="48"/>
      <c r="R16" s="48"/>
      <c r="S16" s="48"/>
      <c r="W16" s="51"/>
    </row>
    <row r="17" spans="1:23" ht="14" x14ac:dyDescent="0.25">
      <c r="A17" s="363" t="s">
        <v>97</v>
      </c>
      <c r="B17" s="108">
        <f>IF(ISERR(1/+(VLOOKUP(A17,[1]!TOX,17,FALSE))),0,'[1]Target Risk'!$D$8*(VLOOKUP(A17,[1]!TOX,4,FALSE))/(('S-2 Assumptions'!$J$21*(VLOOKUP(A17,[1]!TOX,17,FALSE)))+('S-2 Assumptions'!$K$43*(VLOOKUP(A17,[1]!TOX,19,FALSE)))))</f>
        <v>742.71846883894989</v>
      </c>
      <c r="C17" s="129">
        <f>IF(ISERR(1/(VLOOKUP(A17,[1]!TOX,25,FALSE))),0,+'[1]Target Risk'!$D$12/((('S-2 Assumptions'!$J$29*(VLOOKUP(A17,[1]!TOX,25,FALSE)))+('S-2 Assumptions'!$K$51*(VLOOKUP(A17,[1]!TOX,27,FALSE))))*(VLOOKUP(A17,[1]!TOX,12,FALSE))))</f>
        <v>32.09277334489289</v>
      </c>
      <c r="D17" s="108">
        <f>IF(B17=0,MIN(C17,(VLOOKUP(A17,[1]!TOX,74,FALSE))),IF(C17=0,MIN(B17,(VLOOKUP(A17,[1]!TOX,74,FALSE))),MIN(B17,C17,(VLOOKUP(A17,[1]!TOX,74,FALSE)))))</f>
        <v>32.09277334489289</v>
      </c>
      <c r="E17" s="129" t="str">
        <f>IF(D17=B17,"Noncancer Risk",IF(D17=C17,"Cancer Risk",(VLOOKUP(A17,[1]!TOX,75,FALSE))))</f>
        <v>Cancer Risk</v>
      </c>
      <c r="F17" s="108">
        <f>MAX(D17,(VLOOKUP(A17,[1]!TOX,50,FALSE)),(VLOOKUP(A17,[1]!TOX,35,FALSE)))</f>
        <v>32.09277334489289</v>
      </c>
      <c r="G17" s="115">
        <f>MIN(F17,'S-3'!J17)</f>
        <v>26.786658178751324</v>
      </c>
      <c r="H17" s="109">
        <f t="shared" si="0"/>
        <v>30</v>
      </c>
      <c r="I17" s="132" t="str">
        <f>IF(G17=0,"Not Calculated",IF(G17=D17,E17,IF(G17=[1]Toxicity!AI13,"Background",IF(G17='S-3'!J17,"S-3 Standard","PQL"))))</f>
        <v>S-3 Standard</v>
      </c>
      <c r="J17" s="48"/>
      <c r="K17" s="54"/>
      <c r="L17" s="48"/>
      <c r="M17" s="48"/>
      <c r="N17" s="48"/>
      <c r="O17" s="48"/>
      <c r="P17" s="48"/>
      <c r="Q17" s="48"/>
      <c r="R17" s="48"/>
      <c r="S17" s="48"/>
      <c r="W17" s="51"/>
    </row>
    <row r="18" spans="1:23" ht="14" x14ac:dyDescent="0.25">
      <c r="A18" s="363" t="s">
        <v>96</v>
      </c>
      <c r="B18" s="108">
        <f>IF(ISERR(1/+(VLOOKUP(A18,[1]!TOX,17,FALSE))),0,'[1]Target Risk'!$D$8*(VLOOKUP(A18,[1]!TOX,4,FALSE))/(('S-2 Assumptions'!$J$21*(VLOOKUP(A18,[1]!TOX,17,FALSE)))+('S-2 Assumptions'!$K$43*(VLOOKUP(A18,[1]!TOX,19,FALSE)))))</f>
        <v>74271.846883894992</v>
      </c>
      <c r="C18" s="129">
        <f>IF(ISERR(1/(VLOOKUP(A18,[1]!TOX,25,FALSE))),0,+'[1]Target Risk'!$D$12/((('S-2 Assumptions'!$J$29*(VLOOKUP(A18,[1]!TOX,25,FALSE)))+('S-2 Assumptions'!$K$51*(VLOOKUP(A18,[1]!TOX,27,FALSE))))*(VLOOKUP(A18,[1]!TOX,12,FALSE))))</f>
        <v>320.9277334489289</v>
      </c>
      <c r="D18" s="108">
        <f>IF(B18=0,MIN(C18,(VLOOKUP(A18,[1]!TOX,74,FALSE))),IF(C18=0,MIN(B18,(VLOOKUP(A18,[1]!TOX,74,FALSE))),MIN(B18,C18,(VLOOKUP(A18,[1]!TOX,74,FALSE)))))</f>
        <v>320.9277334489289</v>
      </c>
      <c r="E18" s="129" t="str">
        <f>IF(D18=B18,"Noncancer Risk",IF(D18=C18,"Cancer Risk",(VLOOKUP(A18,[1]!TOX,75,FALSE))))</f>
        <v>Cancer Risk</v>
      </c>
      <c r="F18" s="108">
        <f>MAX(D18,(VLOOKUP(A18,[1]!TOX,50,FALSE)),(VLOOKUP(A18,[1]!TOX,35,FALSE)))</f>
        <v>320.9277334489289</v>
      </c>
      <c r="G18" s="115">
        <f>MIN(F18,'S-3'!J18)</f>
        <v>320.9277334489289</v>
      </c>
      <c r="H18" s="109">
        <f t="shared" si="0"/>
        <v>300</v>
      </c>
      <c r="I18" s="132" t="str">
        <f>IF(G18=0,"Not Calculated",IF(G18=D18,E18,IF(G18=[1]Toxicity!AI14,"Background",IF(G18='S-3'!J18,"S-3 Standard","PQL"))))</f>
        <v>Cancer Risk</v>
      </c>
      <c r="J18" s="48"/>
      <c r="K18" s="54"/>
      <c r="L18" s="48"/>
      <c r="M18" s="48"/>
      <c r="N18" s="48"/>
      <c r="O18" s="48"/>
      <c r="P18" s="48"/>
      <c r="Q18" s="48"/>
      <c r="R18" s="48"/>
      <c r="S18" s="48"/>
      <c r="W18" s="51"/>
    </row>
    <row r="19" spans="1:23" ht="14" x14ac:dyDescent="0.25">
      <c r="A19" s="363" t="s">
        <v>95</v>
      </c>
      <c r="B19" s="108">
        <f>IF(ISERR(1/+(VLOOKUP(A19,[1]!TOX,17,FALSE))),0,'[1]Target Risk'!$D$8*(VLOOKUP(A19,[1]!TOX,4,FALSE))/(('S-2 Assumptions'!$J$21*(VLOOKUP(A19,[1]!TOX,17,FALSE)))+('S-2 Assumptions'!$K$43*(VLOOKUP(A19,[1]!TOX,19,FALSE)))))</f>
        <v>51945.390566634385</v>
      </c>
      <c r="C19" s="129">
        <f>IF(ISERR(1/(VLOOKUP(A19,[1]!TOX,25,FALSE))),0,+'[1]Target Risk'!$D$12/((('S-2 Assumptions'!$J$29*(VLOOKUP(A19,[1]!TOX,25,FALSE)))+('S-2 Assumptions'!$K$51*(VLOOKUP(A19,[1]!TOX,27,FALSE))))*(VLOOKUP(A19,[1]!TOX,12,FALSE))))</f>
        <v>0</v>
      </c>
      <c r="D19" s="108">
        <f>IF(B19=0,MIN(C19,(VLOOKUP(A19,[1]!TOX,74,FALSE))),IF(C19=0,MIN(B19,(VLOOKUP(A19,[1]!TOX,74,FALSE))),MIN(B19,C19,(VLOOKUP(A19,[1]!TOX,74,FALSE)))))</f>
        <v>3000</v>
      </c>
      <c r="E19" s="129" t="str">
        <f>IF(D19=B19,"Noncancer Risk",IF(D19=C19,"Cancer Risk",(VLOOKUP(A19,[1]!TOX,75,FALSE))))</f>
        <v>Ceiling (High)</v>
      </c>
      <c r="F19" s="108">
        <f>MAX(D19,(VLOOKUP(A19,[1]!TOX,50,FALSE)),(VLOOKUP(A19,[1]!TOX,35,FALSE)))</f>
        <v>3000</v>
      </c>
      <c r="G19" s="115">
        <f>MIN(F19,'S-3'!J19)</f>
        <v>3000</v>
      </c>
      <c r="H19" s="109">
        <f t="shared" si="0"/>
        <v>3000</v>
      </c>
      <c r="I19" s="132" t="str">
        <f>IF(G19=0,"Not Calculated",IF(G19=D19,E19,IF(G19=[1]Toxicity!AI15,"Background",IF(G19='S-3'!J19,"S-3 Standard","PQL"))))</f>
        <v>Ceiling (High)</v>
      </c>
      <c r="J19" s="48"/>
      <c r="K19" s="54"/>
      <c r="L19" s="48"/>
      <c r="M19" s="48"/>
      <c r="N19" s="48"/>
      <c r="O19" s="48"/>
      <c r="P19" s="48"/>
      <c r="Q19" s="48"/>
      <c r="R19" s="48"/>
      <c r="S19" s="48"/>
      <c r="W19" s="53"/>
    </row>
    <row r="20" spans="1:23" ht="14" x14ac:dyDescent="0.25">
      <c r="A20" s="363" t="s">
        <v>94</v>
      </c>
      <c r="B20" s="108">
        <f>IF(ISERR(1/+(VLOOKUP(A20,[1]!TOX,17,FALSE))),0,'[1]Target Risk'!$D$8*(VLOOKUP(A20,[1]!TOX,4,FALSE))/(('S-2 Assumptions'!$J$21*(VLOOKUP(A20,[1]!TOX,17,FALSE)))+('S-2 Assumptions'!$K$43*(VLOOKUP(A20,[1]!TOX,19,FALSE)))))</f>
        <v>74271.846883894992</v>
      </c>
      <c r="C20" s="129">
        <f>IF(ISERR(1/(VLOOKUP(A20,[1]!TOX,25,FALSE))),0,+'[1]Target Risk'!$D$12/((('S-2 Assumptions'!$J$29*(VLOOKUP(A20,[1]!TOX,25,FALSE)))+('S-2 Assumptions'!$K$51*(VLOOKUP(A20,[1]!TOX,27,FALSE))))*(VLOOKUP(A20,[1]!TOX,12,FALSE))))</f>
        <v>3209.2773344892894</v>
      </c>
      <c r="D20" s="108">
        <f>IF(B20=0,MIN(C20,(VLOOKUP(A20,[1]!TOX,74,FALSE))),IF(C20=0,MIN(B20,(VLOOKUP(A20,[1]!TOX,74,FALSE))),MIN(B20,C20,(VLOOKUP(A20,[1]!TOX,74,FALSE)))))</f>
        <v>3000</v>
      </c>
      <c r="E20" s="129" t="str">
        <f>IF(D20=B20,"Noncancer Risk",IF(D20=C20,"Cancer Risk",(VLOOKUP(A20,[1]!TOX,75,FALSE))))</f>
        <v>Ceiling (High)</v>
      </c>
      <c r="F20" s="108">
        <f>MAX(D20,(VLOOKUP(A20,[1]!TOX,50,FALSE)),(VLOOKUP(A20,[1]!TOX,35,FALSE)))</f>
        <v>3000</v>
      </c>
      <c r="G20" s="115">
        <f>MIN(F20,'S-3'!J20)</f>
        <v>3000</v>
      </c>
      <c r="H20" s="109">
        <f t="shared" si="0"/>
        <v>3000</v>
      </c>
      <c r="I20" s="132" t="str">
        <f>IF(G20=0,"Not Calculated",IF(G20=D20,E20,IF(G20=[1]Toxicity!AI16,"Background",IF(G20='S-3'!J20,"S-3 Standard","PQL"))))</f>
        <v>Ceiling (High)</v>
      </c>
      <c r="J20" s="48"/>
      <c r="K20" s="54"/>
      <c r="L20" s="48"/>
      <c r="M20" s="48"/>
      <c r="N20" s="48"/>
      <c r="O20" s="48"/>
      <c r="P20" s="48"/>
      <c r="Q20" s="48"/>
      <c r="R20" s="48"/>
      <c r="S20" s="48"/>
      <c r="W20" s="53"/>
    </row>
    <row r="21" spans="1:23" ht="14" x14ac:dyDescent="0.25">
      <c r="A21" s="363" t="s">
        <v>93</v>
      </c>
      <c r="B21" s="108">
        <f>IF(ISERR(1/+(VLOOKUP(A21,[1]!TOX,17,FALSE))),0,'[1]Target Risk'!$D$8*(VLOOKUP(A21,[1]!TOX,4,FALSE))/(('S-2 Assumptions'!$J$21*(VLOOKUP(A21,[1]!TOX,17,FALSE)))+('S-2 Assumptions'!$K$43*(VLOOKUP(A21,[1]!TOX,19,FALSE)))))</f>
        <v>1409.6997099578225</v>
      </c>
      <c r="C21" s="129">
        <f>IF(ISERR(1/(VLOOKUP(A21,[1]!TOX,25,FALSE))),0,+'[1]Target Risk'!$D$12/((('S-2 Assumptions'!$J$29*(VLOOKUP(A21,[1]!TOX,25,FALSE)))+('S-2 Assumptions'!$K$51*(VLOOKUP(A21,[1]!TOX,27,FALSE))))*(VLOOKUP(A21,[1]!TOX,12,FALSE))))</f>
        <v>0</v>
      </c>
      <c r="D21" s="108">
        <f>IF(B21=0,MIN(C21,(VLOOKUP(A21,[1]!TOX,74,FALSE))),IF(C21=0,MIN(B21,(VLOOKUP(A21,[1]!TOX,74,FALSE))),MIN(B21,C21,(VLOOKUP(A21,[1]!TOX,74,FALSE)))))</f>
        <v>1409.6997099578225</v>
      </c>
      <c r="E21" s="129" t="str">
        <f>IF(D21=B21,"Noncancer Risk",IF(D21=C21,"Cancer Risk",(VLOOKUP(A21,[1]!TOX,75,FALSE))))</f>
        <v>Noncancer Risk</v>
      </c>
      <c r="F21" s="108">
        <f>MAX(D21,(VLOOKUP(A21,[1]!TOX,50,FALSE)),(VLOOKUP(A21,[1]!TOX,35,FALSE)))</f>
        <v>1409.6997099578225</v>
      </c>
      <c r="G21" s="115">
        <f>MIN(F21,'S-3'!J21)</f>
        <v>197.98801544443907</v>
      </c>
      <c r="H21" s="109">
        <f t="shared" si="0"/>
        <v>200</v>
      </c>
      <c r="I21" s="132" t="str">
        <f>IF(G21=0,"Not Calculated",IF(G21=D21,E21,IF(G21=[1]Toxicity!AI17,"Background",IF(G21='S-3'!J21,"S-3 Standard","PQL"))))</f>
        <v>S-3 Standard</v>
      </c>
      <c r="J21" s="48"/>
      <c r="K21" s="54"/>
      <c r="L21" s="48"/>
      <c r="M21" s="48"/>
      <c r="N21" s="48"/>
      <c r="O21" s="48"/>
      <c r="P21" s="48"/>
      <c r="Q21" s="48"/>
      <c r="R21" s="48"/>
      <c r="S21" s="48"/>
      <c r="W21" s="53"/>
    </row>
    <row r="22" spans="1:23" ht="14" x14ac:dyDescent="0.25">
      <c r="A22" s="363" t="s">
        <v>92</v>
      </c>
      <c r="B22" s="108">
        <f>IF(ISERR(1/+(VLOOKUP(A22,[1]!TOX,17,FALSE))),0,'[1]Target Risk'!$D$8*(VLOOKUP(A22,[1]!TOX,4,FALSE))/(('S-2 Assumptions'!$J$21*(VLOOKUP(A22,[1]!TOX,17,FALSE)))+('S-2 Assumptions'!$K$43*(VLOOKUP(A22,[1]!TOX,19,FALSE)))))</f>
        <v>35242.492748945566</v>
      </c>
      <c r="C22" s="129">
        <f>IF(ISERR(1/(VLOOKUP(A22,[1]!TOX,25,FALSE))),0,+'[1]Target Risk'!$D$12/((('S-2 Assumptions'!$J$29*(VLOOKUP(A22,[1]!TOX,25,FALSE)))+('S-2 Assumptions'!$K$51*(VLOOKUP(A22,[1]!TOX,27,FALSE))))*(VLOOKUP(A22,[1]!TOX,12,FALSE))))</f>
        <v>1142.1178205676802</v>
      </c>
      <c r="D22" s="108">
        <f>IF(B22=0,MIN(C22,(VLOOKUP(A22,[1]!TOX,74,FALSE))),IF(C22=0,MIN(B22,(VLOOKUP(A22,[1]!TOX,74,FALSE))),MIN(B22,C22,(VLOOKUP(A22,[1]!TOX,74,FALSE)))))</f>
        <v>1142.1178205676802</v>
      </c>
      <c r="E22" s="129" t="str">
        <f>IF(D22=B22,"Noncancer Risk",IF(D22=C22,"Cancer Risk",(VLOOKUP(A22,[1]!TOX,75,FALSE))))</f>
        <v>Cancer Risk</v>
      </c>
      <c r="F22" s="108">
        <f>MAX(D22,(VLOOKUP(A22,[1]!TOX,50,FALSE)),(VLOOKUP(A22,[1]!TOX,35,FALSE)))</f>
        <v>1142.1178205676802</v>
      </c>
      <c r="G22" s="115">
        <f>MIN(F22,'S-3'!J22)</f>
        <v>1142.1178205676802</v>
      </c>
      <c r="H22" s="109">
        <f t="shared" si="0"/>
        <v>1000</v>
      </c>
      <c r="I22" s="132" t="str">
        <f>IF(G22=0,"Not Calculated",IF(G22=D22,E22,IF(G22=[1]Toxicity!AI18,"Background",IF(G22='S-3'!J22,"S-3 Standard","PQL"))))</f>
        <v>Cancer Risk</v>
      </c>
      <c r="J22" s="48"/>
      <c r="K22" s="54"/>
      <c r="L22" s="48"/>
      <c r="M22" s="48"/>
      <c r="N22" s="48"/>
      <c r="O22" s="48"/>
      <c r="P22" s="48"/>
      <c r="Q22" s="48"/>
      <c r="R22" s="48"/>
      <c r="S22" s="48"/>
      <c r="W22" s="51"/>
    </row>
    <row r="23" spans="1:23" ht="14" x14ac:dyDescent="0.25">
      <c r="A23" s="363" t="s">
        <v>91</v>
      </c>
      <c r="B23" s="108">
        <f>IF(ISERR(1/+(VLOOKUP(A23,[1]!TOX,17,FALSE))),0,'[1]Target Risk'!$D$8*(VLOOKUP(A23,[1]!TOX,4,FALSE))/(('S-2 Assumptions'!$J$21*(VLOOKUP(A23,[1]!TOX,17,FALSE)))+('S-2 Assumptions'!$K$43*(VLOOKUP(A23,[1]!TOX,19,FALSE)))))</f>
        <v>0</v>
      </c>
      <c r="C23" s="129">
        <f>IF(ISERR(1/(VLOOKUP(A23,[1]!TOX,25,FALSE))),0,+'[1]Target Risk'!$D$12/((('S-2 Assumptions'!$J$29*(VLOOKUP(A23,[1]!TOX,25,FALSE)))+('S-2 Assumptions'!$K$51*(VLOOKUP(A23,[1]!TOX,27,FALSE))))*(VLOOKUP(A23,[1]!TOX,12,FALSE))))</f>
        <v>9.3023268740045744</v>
      </c>
      <c r="D23" s="108">
        <f>IF(B23=0,MIN(C23,(VLOOKUP(A23,[1]!TOX,74,FALSE))),IF(C23=0,MIN(B23,(VLOOKUP(A23,[1]!TOX,74,FALSE))),MIN(B23,C23,(VLOOKUP(A23,[1]!TOX,74,FALSE)))))</f>
        <v>9.3023268740045744</v>
      </c>
      <c r="E23" s="129" t="str">
        <f>IF(D23=B23,"Noncancer Risk",IF(D23=C23,"Cancer Risk",(VLOOKUP(A23,[1]!TOX,75,FALSE))))</f>
        <v>Cancer Risk</v>
      </c>
      <c r="F23" s="108">
        <f>MAX(D23,(VLOOKUP(A23,[1]!TOX,50,FALSE)),(VLOOKUP(A23,[1]!TOX,35,FALSE)))</f>
        <v>9.3023268740045744</v>
      </c>
      <c r="G23" s="115">
        <f>MIN(F23,'S-3'!J23)</f>
        <v>9.3023268740045744</v>
      </c>
      <c r="H23" s="109">
        <f t="shared" si="0"/>
        <v>9</v>
      </c>
      <c r="I23" s="132" t="str">
        <f>IF(G23=0,"Not Calculated",IF(G23=D23,E23,IF(G23=[1]Toxicity!AI19,"Background",IF(G23='S-3'!J23,"S-3 Standard","PQL"))))</f>
        <v>Cancer Risk</v>
      </c>
      <c r="J23" s="48"/>
      <c r="K23" s="54"/>
      <c r="L23" s="48"/>
      <c r="M23" s="48"/>
      <c r="N23" s="48"/>
      <c r="O23" s="48"/>
      <c r="P23" s="48"/>
      <c r="Q23" s="48"/>
      <c r="R23" s="48"/>
      <c r="S23" s="48"/>
      <c r="W23" s="53"/>
    </row>
    <row r="24" spans="1:23" ht="14" x14ac:dyDescent="0.25">
      <c r="A24" s="363" t="s">
        <v>90</v>
      </c>
      <c r="B24" s="108">
        <f>IF(ISERR(1/+(VLOOKUP(A24,[1]!TOX,17,FALSE))),0,'[1]Target Risk'!$D$8*(VLOOKUP(A24,[1]!TOX,4,FALSE))/(('S-2 Assumptions'!$J$21*(VLOOKUP(A24,[1]!TOX,17,FALSE)))+('S-2 Assumptions'!$K$43*(VLOOKUP(A24,[1]!TOX,19,FALSE)))))</f>
        <v>31574.755218049821</v>
      </c>
      <c r="C24" s="129">
        <f>IF(ISERR(1/(VLOOKUP(A24,[1]!TOX,25,FALSE))),0,+'[1]Target Risk'!$D$12/((('S-2 Assumptions'!$J$29*(VLOOKUP(A24,[1]!TOX,25,FALSE)))+('S-2 Assumptions'!$K$51*(VLOOKUP(A24,[1]!TOX,27,FALSE))))*(VLOOKUP(A24,[1]!TOX,12,FALSE))))</f>
        <v>146.17942230578615</v>
      </c>
      <c r="D24" s="108">
        <f>IF(B24=0,MIN(C24,(VLOOKUP(A24,[1]!TOX,74,FALSE))),IF(C24=0,MIN(B24,(VLOOKUP(A24,[1]!TOX,74,FALSE))),MIN(B24,C24,(VLOOKUP(A24,[1]!TOX,74,FALSE)))))</f>
        <v>146.17942230578615</v>
      </c>
      <c r="E24" s="129" t="str">
        <f>IF(D24=B24,"Noncancer Risk",IF(D24=C24,"Cancer Risk",(VLOOKUP(A24,[1]!TOX,75,FALSE))))</f>
        <v>Cancer Risk</v>
      </c>
      <c r="F24" s="108">
        <f>MAX(D24,(VLOOKUP(A24,[1]!TOX,50,FALSE)),(VLOOKUP(A24,[1]!TOX,35,FALSE)))</f>
        <v>146.17942230578615</v>
      </c>
      <c r="G24" s="115">
        <f>MIN(F24,'S-3'!J24)</f>
        <v>146.17942230578615</v>
      </c>
      <c r="H24" s="109">
        <f t="shared" si="0"/>
        <v>100</v>
      </c>
      <c r="I24" s="132" t="str">
        <f>IF(G24=0,"Not Calculated",IF(G24=D24,E24,IF(G24=[1]Toxicity!AI20,"Background",IF(G24='S-3'!J24,"S-3 Standard","PQL"))))</f>
        <v>Cancer Risk</v>
      </c>
      <c r="J24" s="48"/>
      <c r="K24" s="54"/>
      <c r="L24" s="48"/>
      <c r="M24" s="48"/>
      <c r="N24" s="48"/>
      <c r="O24" s="48"/>
      <c r="P24" s="48"/>
      <c r="Q24" s="48"/>
      <c r="R24" s="48"/>
      <c r="S24" s="48"/>
      <c r="W24" s="53"/>
    </row>
    <row r="25" spans="1:23" ht="14" x14ac:dyDescent="0.25">
      <c r="A25" s="363" t="s">
        <v>89</v>
      </c>
      <c r="B25" s="108">
        <f>IF(ISERR(1/+(VLOOKUP(A25,[1]!TOX,17,FALSE))),0,'[1]Target Risk'!$D$8*(VLOOKUP(A25,[1]!TOX,4,FALSE))/(('S-2 Assumptions'!$J$21*(VLOOKUP(A25,[1]!TOX,17,FALSE)))+('S-2 Assumptions'!$K$43*(VLOOKUP(A25,[1]!TOX,19,FALSE)))))</f>
        <v>14096.997099578226</v>
      </c>
      <c r="C25" s="129">
        <f>IF(ISERR(1/(VLOOKUP(A25,[1]!TOX,25,FALSE))),0,+'[1]Target Risk'!$D$12/((('S-2 Assumptions'!$J$29*(VLOOKUP(A25,[1]!TOX,25,FALSE)))+('S-2 Assumptions'!$K$51*(VLOOKUP(A25,[1]!TOX,27,FALSE))))*(VLOOKUP(A25,[1]!TOX,12,FALSE))))</f>
        <v>652.63875461010298</v>
      </c>
      <c r="D25" s="108">
        <f>IF(B25=0,MIN(C25,(VLOOKUP(A25,[1]!TOX,74,FALSE))),IF(C25=0,MIN(B25,(VLOOKUP(A25,[1]!TOX,74,FALSE))),MIN(B25,C25,(VLOOKUP(A25,[1]!TOX,74,FALSE)))))</f>
        <v>652.63875461010298</v>
      </c>
      <c r="E25" s="129" t="str">
        <f>IF(D25=B25,"Noncancer Risk",IF(D25=C25,"Cancer Risk",(VLOOKUP(A25,[1]!TOX,75,FALSE))))</f>
        <v>Cancer Risk</v>
      </c>
      <c r="F25" s="108">
        <f>MAX(D25,(VLOOKUP(A25,[1]!TOX,50,FALSE)),(VLOOKUP(A25,[1]!TOX,35,FALSE)))</f>
        <v>652.63875461010298</v>
      </c>
      <c r="G25" s="115">
        <f>MIN(F25,'S-3'!J25)</f>
        <v>652.63875461010298</v>
      </c>
      <c r="H25" s="109">
        <f t="shared" si="0"/>
        <v>700</v>
      </c>
      <c r="I25" s="132" t="str">
        <f>IF(G25=0,"Not Calculated",IF(G25=D25,E25,IF(G25=[1]Toxicity!AI21,"Background",IF(G25='S-3'!J25,"S-3 Standard","PQL"))))</f>
        <v>Cancer Risk</v>
      </c>
      <c r="J25" s="48"/>
      <c r="K25" s="54"/>
      <c r="L25" s="48"/>
      <c r="M25" s="48"/>
      <c r="N25" s="48"/>
      <c r="O25" s="48"/>
      <c r="P25" s="48"/>
      <c r="Q25" s="48"/>
      <c r="R25" s="48"/>
      <c r="S25" s="48"/>
      <c r="W25" s="51"/>
    </row>
    <row r="26" spans="1:23" ht="14" x14ac:dyDescent="0.25">
      <c r="A26" s="363" t="s">
        <v>88</v>
      </c>
      <c r="B26" s="108">
        <f>IF(ISERR(1/+(VLOOKUP(A26,[1]!TOX,17,FALSE))),0,'[1]Target Risk'!$D$8*(VLOOKUP(A26,[1]!TOX,4,FALSE))/(('S-2 Assumptions'!$J$21*(VLOOKUP(A26,[1]!TOX,17,FALSE)))+('S-2 Assumptions'!$K$43*(VLOOKUP(A26,[1]!TOX,19,FALSE)))))</f>
        <v>2368.1066413537364</v>
      </c>
      <c r="C26" s="129">
        <f>IF(ISERR(1/(VLOOKUP(A26,[1]!TOX,25,FALSE))),0,+'[1]Target Risk'!$D$12/((('S-2 Assumptions'!$J$29*(VLOOKUP(A26,[1]!TOX,25,FALSE)))+('S-2 Assumptions'!$K$51*(VLOOKUP(A26,[1]!TOX,27,FALSE))))*(VLOOKUP(A26,[1]!TOX,12,FALSE))))</f>
        <v>165.04128324846829</v>
      </c>
      <c r="D26" s="108">
        <f>IF(B26=0,MIN(C26,(VLOOKUP(A26,[1]!TOX,74,FALSE))),IF(C26=0,MIN(B26,(VLOOKUP(A26,[1]!TOX,74,FALSE))),MIN(B26,C26,(VLOOKUP(A26,[1]!TOX,74,FALSE)))))</f>
        <v>165.04128324846829</v>
      </c>
      <c r="E26" s="129" t="str">
        <f>IF(D26=B26,"Noncancer Risk",IF(D26=C26,"Cancer Risk",(VLOOKUP(A26,[1]!TOX,75,FALSE))))</f>
        <v>Cancer Risk</v>
      </c>
      <c r="F26" s="108">
        <f>MAX(D26,(VLOOKUP(A26,[1]!TOX,50,FALSE)),(VLOOKUP(A26,[1]!TOX,35,FALSE)))</f>
        <v>165.04128324846829</v>
      </c>
      <c r="G26" s="115">
        <f>MIN(F26,'S-3'!J26)</f>
        <v>165.04128324846829</v>
      </c>
      <c r="H26" s="109">
        <f t="shared" si="0"/>
        <v>200</v>
      </c>
      <c r="I26" s="132" t="str">
        <f>IF(G26=0,"Not Calculated",IF(G26=D26,E26,IF(G26=[1]Toxicity!AI22,"Background",IF(G26='S-3'!J26,"S-3 Standard","PQL"))))</f>
        <v>Cancer Risk</v>
      </c>
      <c r="J26" s="48"/>
      <c r="K26" s="54"/>
      <c r="L26" s="48"/>
      <c r="M26" s="48"/>
      <c r="N26" s="48"/>
      <c r="O26" s="48"/>
      <c r="P26" s="48"/>
      <c r="Q26" s="48"/>
      <c r="R26" s="48"/>
      <c r="S26" s="48"/>
      <c r="W26" s="53"/>
    </row>
    <row r="27" spans="1:23" ht="14" x14ac:dyDescent="0.25">
      <c r="A27" s="363" t="s">
        <v>87</v>
      </c>
      <c r="B27" s="108">
        <f>IF(ISERR(1/+(VLOOKUP(A27,[1]!TOX,17,FALSE))),0,'[1]Target Risk'!$D$8*(VLOOKUP(A27,[1]!TOX,4,FALSE))/(('S-2 Assumptions'!$J$21*(VLOOKUP(A27,[1]!TOX,17,FALSE)))+('S-2 Assumptions'!$K$43*(VLOOKUP(A27,[1]!TOX,19,FALSE)))))</f>
        <v>15787.37760902491</v>
      </c>
      <c r="C27" s="129">
        <f>IF(ISERR(1/(VLOOKUP(A27,[1]!TOX,25,FALSE))),0,+'[1]Target Risk'!$D$12/((('S-2 Assumptions'!$J$29*(VLOOKUP(A27,[1]!TOX,25,FALSE)))+('S-2 Assumptions'!$K$51*(VLOOKUP(A27,[1]!TOX,27,FALSE))))*(VLOOKUP(A27,[1]!TOX,12,FALSE))))</f>
        <v>1295.2607039753204</v>
      </c>
      <c r="D27" s="108">
        <f>IF(B27=0,MIN(C27,(VLOOKUP(A27,[1]!TOX,74,FALSE))),IF(C27=0,MIN(B27,(VLOOKUP(A27,[1]!TOX,74,FALSE))),MIN(B27,C27,(VLOOKUP(A27,[1]!TOX,74,FALSE)))))</f>
        <v>1000</v>
      </c>
      <c r="E27" s="129" t="str">
        <f>IF(D27=B27,"Noncancer Risk",IF(D27=C27,"Cancer Risk",(VLOOKUP(A27,[1]!TOX,75,FALSE))))</f>
        <v>Ceiling (Medium)</v>
      </c>
      <c r="F27" s="108">
        <f>MAX(D27,(VLOOKUP(A27,[1]!TOX,50,FALSE)),(VLOOKUP(A27,[1]!TOX,35,FALSE)))</f>
        <v>1000</v>
      </c>
      <c r="G27" s="115">
        <f>MIN(F27,'S-3'!J27)</f>
        <v>1000</v>
      </c>
      <c r="H27" s="109">
        <f t="shared" si="0"/>
        <v>1000</v>
      </c>
      <c r="I27" s="132" t="str">
        <f>IF(G27=0,"Not Calculated",IF(G27=D27,E27,IF(G27=[1]Toxicity!AI23,"Background",IF(G27='S-3'!J27,"S-3 Standard","PQL"))))</f>
        <v>Ceiling (Medium)</v>
      </c>
      <c r="J27" s="48"/>
      <c r="K27" s="54"/>
      <c r="L27" s="48"/>
      <c r="M27" s="48"/>
      <c r="N27" s="48"/>
      <c r="O27" s="48"/>
      <c r="P27" s="48"/>
      <c r="Q27" s="48"/>
      <c r="R27" s="48"/>
      <c r="S27" s="48"/>
      <c r="W27" s="51"/>
    </row>
    <row r="28" spans="1:23" ht="14" x14ac:dyDescent="0.25">
      <c r="A28" s="363" t="s">
        <v>86</v>
      </c>
      <c r="B28" s="108">
        <f>IF(ISERR(1/+(VLOOKUP(A28,[1]!TOX,17,FALSE))),0,'[1]Target Risk'!$D$8*(VLOOKUP(A28,[1]!TOX,4,FALSE))/(('S-2 Assumptions'!$J$21*(VLOOKUP(A28,[1]!TOX,17,FALSE)))+('S-2 Assumptions'!$K$43*(VLOOKUP(A28,[1]!TOX,19,FALSE)))))</f>
        <v>1105.1164326317437</v>
      </c>
      <c r="C28" s="129">
        <f>IF(ISERR(1/(VLOOKUP(A28,[1]!TOX,25,FALSE))),0,+'[1]Target Risk'!$D$12/((('S-2 Assumptions'!$J$29*(VLOOKUP(A28,[1]!TOX,25,FALSE)))+('S-2 Assumptions'!$K$51*(VLOOKUP(A28,[1]!TOX,27,FALSE))))*(VLOOKUP(A28,[1]!TOX,12,FALSE))))</f>
        <v>0</v>
      </c>
      <c r="D28" s="108">
        <f>IF(B28=0,MIN(C28,(VLOOKUP(A28,[1]!TOX,74,FALSE))),IF(C28=0,MIN(B28,(VLOOKUP(A28,[1]!TOX,74,FALSE))),MIN(B28,C28,(VLOOKUP(A28,[1]!TOX,74,FALSE)))))</f>
        <v>1000</v>
      </c>
      <c r="E28" s="129" t="str">
        <f>IF(D28=B28,"Noncancer Risk",IF(D28=C28,"Cancer Risk",(VLOOKUP(A28,[1]!TOX,75,FALSE))))</f>
        <v>Ceiling (Medium)</v>
      </c>
      <c r="F28" s="108">
        <f>MAX(D28,(VLOOKUP(A28,[1]!TOX,50,FALSE)),(VLOOKUP(A28,[1]!TOX,35,FALSE)))</f>
        <v>1000</v>
      </c>
      <c r="G28" s="115">
        <f>MIN(F28,'S-3'!J28)</f>
        <v>690.34841558674179</v>
      </c>
      <c r="H28" s="109">
        <f t="shared" si="0"/>
        <v>700</v>
      </c>
      <c r="I28" s="132" t="str">
        <f>IF(G28=0,"Not Calculated",IF(G28=D28,E28,IF(G28=[1]Toxicity!AI24,"Background",IF(G28='S-3'!J28,"S-3 Standard","PQL"))))</f>
        <v>S-3 Standard</v>
      </c>
      <c r="J28" s="48"/>
      <c r="K28" s="54"/>
      <c r="L28" s="48"/>
      <c r="M28" s="48"/>
      <c r="N28" s="48"/>
      <c r="O28" s="48"/>
      <c r="P28" s="48"/>
      <c r="Q28" s="48"/>
      <c r="R28" s="48"/>
      <c r="S28" s="48"/>
      <c r="W28" s="51"/>
    </row>
    <row r="29" spans="1:23" ht="14" x14ac:dyDescent="0.25">
      <c r="A29" s="363" t="s">
        <v>85</v>
      </c>
      <c r="B29" s="108">
        <f>IF(ISERR(1/+(VLOOKUP(A29,[1]!TOX,17,FALSE))),0,'[1]Target Risk'!$D$8*(VLOOKUP(A29,[1]!TOX,4,FALSE))/(('S-2 Assumptions'!$J$21*(VLOOKUP(A29,[1]!TOX,17,FALSE)))+('S-2 Assumptions'!$K$43*(VLOOKUP(A29,[1]!TOX,19,FALSE)))))</f>
        <v>803.12651569348247</v>
      </c>
      <c r="C29" s="129">
        <f>IF(ISERR(1/(VLOOKUP(A29,[1]!TOX,25,FALSE))),0,+'[1]Target Risk'!$D$12/((('S-2 Assumptions'!$J$29*(VLOOKUP(A29,[1]!TOX,25,FALSE)))+('S-2 Assumptions'!$K$51*(VLOOKUP(A29,[1]!TOX,27,FALSE))))*(VLOOKUP(A29,[1]!TOX,12,FALSE))))</f>
        <v>0</v>
      </c>
      <c r="D29" s="108">
        <f>IF(B29=0,MIN(C29,(VLOOKUP(A29,[1]!TOX,74,FALSE))),IF(C29=0,MIN(B29,(VLOOKUP(A29,[1]!TOX,74,FALSE))),MIN(B29,C29,(VLOOKUP(A29,[1]!TOX,74,FALSE)))))</f>
        <v>803.12651569348247</v>
      </c>
      <c r="E29" s="129" t="str">
        <f>IF(D29=B29,"Noncancer Risk",IF(D29=C29,"Cancer Risk",(VLOOKUP(A29,[1]!TOX,75,FALSE))))</f>
        <v>Noncancer Risk</v>
      </c>
      <c r="F29" s="108">
        <f>MAX(D29,(VLOOKUP(A29,[1]!TOX,50,FALSE)),(VLOOKUP(A29,[1]!TOX,35,FALSE)))</f>
        <v>803.12651569348247</v>
      </c>
      <c r="G29" s="115">
        <f>MIN(F29,'S-3'!J29)</f>
        <v>81.548801364092213</v>
      </c>
      <c r="H29" s="109">
        <f t="shared" si="0"/>
        <v>80</v>
      </c>
      <c r="I29" s="132" t="str">
        <f>IF(G29=0,"Not Calculated",IF(G29=D29,E29,IF(G29=[1]Toxicity!AI25,"Background",IF(G29='S-3'!J29,"S-3 Standard","PQL"))))</f>
        <v>S-3 Standard</v>
      </c>
      <c r="J29" s="48"/>
      <c r="K29" s="54"/>
      <c r="L29" s="48"/>
      <c r="M29" s="48"/>
      <c r="N29" s="48"/>
      <c r="O29" s="48"/>
      <c r="P29" s="48"/>
      <c r="Q29" s="48"/>
      <c r="R29" s="48"/>
      <c r="S29" s="48"/>
      <c r="W29" s="51"/>
    </row>
    <row r="30" spans="1:23" ht="14" x14ac:dyDescent="0.25">
      <c r="A30" s="363" t="s">
        <v>84</v>
      </c>
      <c r="B30" s="108">
        <f>IF(ISERR(1/+(VLOOKUP(A30,[1]!TOX,17,FALSE))),0,'[1]Target Risk'!$D$8*(VLOOKUP(A30,[1]!TOX,4,FALSE))/(('S-2 Assumptions'!$J$21*(VLOOKUP(A30,[1]!TOX,17,FALSE)))+('S-2 Assumptions'!$K$43*(VLOOKUP(A30,[1]!TOX,19,FALSE)))))</f>
        <v>3157.4755218049818</v>
      </c>
      <c r="C30" s="129">
        <f>IF(ISERR(1/(VLOOKUP(A30,[1]!TOX,25,FALSE))),0,+'[1]Target Risk'!$D$12/((('S-2 Assumptions'!$J$29*(VLOOKUP(A30,[1]!TOX,25,FALSE)))+('S-2 Assumptions'!$K$51*(VLOOKUP(A30,[1]!TOX,27,FALSE))))*(VLOOKUP(A30,[1]!TOX,12,FALSE))))</f>
        <v>146.17942230578615</v>
      </c>
      <c r="D30" s="108">
        <f>IF(B30=0,MIN(C30,(VLOOKUP(A30,[1]!TOX,74,FALSE))),IF(C30=0,MIN(B30,(VLOOKUP(A30,[1]!TOX,74,FALSE))),MIN(B30,C30,(VLOOKUP(A30,[1]!TOX,74,FALSE)))))</f>
        <v>146.17942230578615</v>
      </c>
      <c r="E30" s="129" t="str">
        <f>IF(D30=B30,"Noncancer Risk",IF(D30=C30,"Cancer Risk",(VLOOKUP(A30,[1]!TOX,75,FALSE))))</f>
        <v>Cancer Risk</v>
      </c>
      <c r="F30" s="108">
        <f>MAX(D30,(VLOOKUP(A30,[1]!TOX,50,FALSE)),(VLOOKUP(A30,[1]!TOX,35,FALSE)))</f>
        <v>146.17942230578615</v>
      </c>
      <c r="G30" s="115">
        <f>MIN(F30,'S-3'!J30)</f>
        <v>146.17942230578615</v>
      </c>
      <c r="H30" s="109">
        <f t="shared" si="0"/>
        <v>100</v>
      </c>
      <c r="I30" s="132" t="str">
        <f>IF(G30=0,"Not Calculated",IF(G30=D30,E30,IF(G30=[1]Toxicity!AI26,"Background",IF(G30='S-3'!J30,"S-3 Standard","PQL"))))</f>
        <v>Cancer Risk</v>
      </c>
      <c r="J30" s="48"/>
      <c r="K30" s="54"/>
      <c r="L30" s="48"/>
      <c r="M30" s="48"/>
      <c r="N30" s="48"/>
      <c r="O30" s="48"/>
      <c r="P30" s="48"/>
      <c r="Q30" s="48"/>
      <c r="R30" s="48"/>
      <c r="S30" s="48"/>
      <c r="W30" s="51"/>
    </row>
    <row r="31" spans="1:23" ht="14" x14ac:dyDescent="0.25">
      <c r="A31" s="363" t="s">
        <v>83</v>
      </c>
      <c r="B31" s="108">
        <f>IF(ISERR(1/+(VLOOKUP(A31,[1]!TOX,17,FALSE))),0,'[1]Target Risk'!$D$8*(VLOOKUP(A31,[1]!TOX,4,FALSE))/(('S-2 Assumptions'!$J$21*(VLOOKUP(A31,[1]!TOX,17,FALSE)))+('S-2 Assumptions'!$K$43*(VLOOKUP(A31,[1]!TOX,19,FALSE)))))</f>
        <v>388.0373231794776</v>
      </c>
      <c r="C31" s="129">
        <f>IF(ISERR(1/(VLOOKUP(A31,[1]!TOX,25,FALSE))),0,+'[1]Target Risk'!$D$12/((('S-2 Assumptions'!$J$29*(VLOOKUP(A31,[1]!TOX,25,FALSE)))+('S-2 Assumptions'!$K$51*(VLOOKUP(A31,[1]!TOX,27,FALSE))))*(VLOOKUP(A31,[1]!TOX,12,FALSE))))</f>
        <v>28.743505420702046</v>
      </c>
      <c r="D31" s="108">
        <f>IF(B31=0,MIN(C31,(VLOOKUP(A31,[1]!TOX,74,FALSE))),IF(C31=0,MIN(B31,(VLOOKUP(A31,[1]!TOX,74,FALSE))),MIN(B31,C31,(VLOOKUP(A31,[1]!TOX,74,FALSE)))))</f>
        <v>28.743505420702046</v>
      </c>
      <c r="E31" s="129" t="str">
        <f>IF(D31=B31,"Noncancer Risk",IF(D31=C31,"Cancer Risk",(VLOOKUP(A31,[1]!TOX,75,FALSE))))</f>
        <v>Cancer Risk</v>
      </c>
      <c r="F31" s="108">
        <f>MAX(D31,(VLOOKUP(A31,[1]!TOX,50,FALSE)),(VLOOKUP(A31,[1]!TOX,35,FALSE)))</f>
        <v>28.743505420702046</v>
      </c>
      <c r="G31" s="115">
        <f>MIN(F31,'S-3'!J31)</f>
        <v>28.743505420702046</v>
      </c>
      <c r="H31" s="109">
        <f t="shared" si="0"/>
        <v>30</v>
      </c>
      <c r="I31" s="132" t="str">
        <f>IF(G31=0,"Not Calculated",IF(G31=D31,E31,IF(G31=[1]Toxicity!AI27,"Background",IF(G31='S-3'!J31,"S-3 Standard","PQL"))))</f>
        <v>Cancer Risk</v>
      </c>
      <c r="J31" s="48"/>
      <c r="K31" s="54"/>
      <c r="L31" s="48"/>
      <c r="M31" s="48"/>
      <c r="N31" s="48"/>
      <c r="O31" s="48"/>
      <c r="P31" s="48"/>
      <c r="Q31" s="48"/>
      <c r="R31" s="48"/>
      <c r="S31" s="48"/>
      <c r="W31" s="51"/>
    </row>
    <row r="32" spans="1:23" ht="14" x14ac:dyDescent="0.25">
      <c r="A32" s="363" t="s">
        <v>82</v>
      </c>
      <c r="B32" s="108">
        <f>IF(ISERR(1/+(VLOOKUP(A32,[1]!TOX,17,FALSE))),0,'[1]Target Risk'!$D$8*(VLOOKUP(A32,[1]!TOX,4,FALSE))/(('S-2 Assumptions'!$J$21*(VLOOKUP(A32,[1]!TOX,17,FALSE)))+('S-2 Assumptions'!$K$43*(VLOOKUP(A32,[1]!TOX,19,FALSE)))))</f>
        <v>352.42492748945563</v>
      </c>
      <c r="C32" s="129">
        <f>IF(ISERR(1/(VLOOKUP(A32,[1]!TOX,25,FALSE))),0,+'[1]Target Risk'!$D$12/((('S-2 Assumptions'!$J$29*(VLOOKUP(A32,[1]!TOX,25,FALSE)))+('S-2 Assumptions'!$K$51*(VLOOKUP(A32,[1]!TOX,27,FALSE))))*(VLOOKUP(A32,[1]!TOX,12,FALSE))))</f>
        <v>45.684712822707205</v>
      </c>
      <c r="D32" s="108">
        <f>IF(B32=0,MIN(C32,(VLOOKUP(A32,[1]!TOX,74,FALSE))),IF(C32=0,MIN(B32,(VLOOKUP(A32,[1]!TOX,74,FALSE))),MIN(B32,C32,(VLOOKUP(A32,[1]!TOX,74,FALSE)))))</f>
        <v>45.684712822707205</v>
      </c>
      <c r="E32" s="129" t="str">
        <f>IF(D32=B32,"Noncancer Risk",IF(D32=C32,"Cancer Risk",(VLOOKUP(A32,[1]!TOX,75,FALSE))))</f>
        <v>Cancer Risk</v>
      </c>
      <c r="F32" s="108">
        <f>MAX(D32,(VLOOKUP(A32,[1]!TOX,50,FALSE)),(VLOOKUP(A32,[1]!TOX,35,FALSE)))</f>
        <v>45.684712822707205</v>
      </c>
      <c r="G32" s="115">
        <f>MIN(F32,'S-3'!J32)</f>
        <v>44.345152511661603</v>
      </c>
      <c r="H32" s="109">
        <f t="shared" si="0"/>
        <v>40</v>
      </c>
      <c r="I32" s="132" t="str">
        <f>IF(G32=0,"Not Calculated",IF(G32=D32,E32,IF(G32=[1]Toxicity!AI28,"Background",IF(G32='S-3'!J32,"S-3 Standard","PQL"))))</f>
        <v>S-3 Standard</v>
      </c>
      <c r="J32" s="48"/>
      <c r="K32" s="54"/>
      <c r="L32" s="48"/>
      <c r="M32" s="48"/>
      <c r="N32" s="48"/>
      <c r="O32" s="48"/>
      <c r="P32" s="48"/>
      <c r="Q32" s="48"/>
      <c r="R32" s="48"/>
      <c r="S32" s="48"/>
      <c r="W32" s="51"/>
    </row>
    <row r="33" spans="1:23" ht="14" x14ac:dyDescent="0.25">
      <c r="A33" s="363" t="s">
        <v>81</v>
      </c>
      <c r="B33" s="108">
        <f>IF(ISERR(1/+(VLOOKUP(A33,[1]!TOX,17,FALSE))),0,'[1]Target Risk'!$D$8*(VLOOKUP(A33,[1]!TOX,4,FALSE))/(('S-2 Assumptions'!$J$21*(VLOOKUP(A33,[1]!TOX,17,FALSE)))+('S-2 Assumptions'!$K$43*(VLOOKUP(A33,[1]!TOX,19,FALSE)))))</f>
        <v>15787.37760902491</v>
      </c>
      <c r="C33" s="129">
        <f>IF(ISERR(1/(VLOOKUP(A33,[1]!TOX,25,FALSE))),0,+'[1]Target Risk'!$D$12/((('S-2 Assumptions'!$J$29*(VLOOKUP(A33,[1]!TOX,25,FALSE)))+('S-2 Assumptions'!$K$51*(VLOOKUP(A33,[1]!TOX,27,FALSE))))*(VLOOKUP(A33,[1]!TOX,12,FALSE))))</f>
        <v>0</v>
      </c>
      <c r="D33" s="108">
        <f>IF(B33=0,MIN(C33,(VLOOKUP(A33,[1]!TOX,74,FALSE))),IF(C33=0,MIN(B33,(VLOOKUP(A33,[1]!TOX,74,FALSE))),MIN(B33,C33,(VLOOKUP(A33,[1]!TOX,74,FALSE)))))</f>
        <v>1000</v>
      </c>
      <c r="E33" s="129" t="str">
        <f>IF(D33=B33,"Noncancer Risk",IF(D33=C33,"Cancer Risk",(VLOOKUP(A33,[1]!TOX,75,FALSE))))</f>
        <v>Ceiling (Medium)</v>
      </c>
      <c r="F33" s="108">
        <f>MAX(D33,(VLOOKUP(A33,[1]!TOX,50,FALSE)),(VLOOKUP(A33,[1]!TOX,35,FALSE)))</f>
        <v>1000</v>
      </c>
      <c r="G33" s="115">
        <f>MIN(F33,'S-3'!J33)</f>
        <v>1000</v>
      </c>
      <c r="H33" s="109">
        <f t="shared" si="0"/>
        <v>1000</v>
      </c>
      <c r="I33" s="132" t="str">
        <f>IF(G33=0,"Not Calculated",IF(G33=D33,E33,IF(G33=[1]Toxicity!AI29,"Background",IF(G33='S-3'!J33,"S-3 Standard","PQL"))))</f>
        <v>Ceiling (Medium)</v>
      </c>
      <c r="J33" s="48"/>
      <c r="K33" s="54"/>
      <c r="L33" s="48"/>
      <c r="M33" s="48"/>
      <c r="N33" s="48"/>
      <c r="O33" s="48"/>
      <c r="P33" s="48"/>
      <c r="Q33" s="48"/>
      <c r="R33" s="48"/>
      <c r="S33" s="48"/>
      <c r="W33" s="51"/>
    </row>
    <row r="34" spans="1:23" ht="14" x14ac:dyDescent="0.25">
      <c r="A34" s="363" t="s">
        <v>80</v>
      </c>
      <c r="B34" s="108">
        <f>IF(ISERR(1/+(VLOOKUP(A34,[1]!TOX,17,FALSE))),0,'[1]Target Risk'!$D$8*(VLOOKUP(A34,[1]!TOX,4,FALSE))/(('S-2 Assumptions'!$J$21*(VLOOKUP(A34,[1]!TOX,17,FALSE)))+('S-2 Assumptions'!$K$43*(VLOOKUP(A34,[1]!TOX,19,FALSE)))))</f>
        <v>7893.6888045124551</v>
      </c>
      <c r="C34" s="129">
        <f>IF(ISERR(1/(VLOOKUP(A34,[1]!TOX,25,FALSE))),0,+'[1]Target Risk'!$D$12/((('S-2 Assumptions'!$J$29*(VLOOKUP(A34,[1]!TOX,25,FALSE)))+('S-2 Assumptions'!$K$51*(VLOOKUP(A34,[1]!TOX,27,FALSE))))*(VLOOKUP(A34,[1]!TOX,12,FALSE))))</f>
        <v>0</v>
      </c>
      <c r="D34" s="108">
        <f>IF(B34=0,MIN(C34,(VLOOKUP(A34,[1]!TOX,74,FALSE))),IF(C34=0,MIN(B34,(VLOOKUP(A34,[1]!TOX,74,FALSE))),MIN(B34,C34,(VLOOKUP(A34,[1]!TOX,74,FALSE)))))</f>
        <v>1000</v>
      </c>
      <c r="E34" s="129" t="str">
        <f>IF(D34=B34,"Noncancer Risk",IF(D34=C34,"Cancer Risk",(VLOOKUP(A34,[1]!TOX,75,FALSE))))</f>
        <v>Ceiling (Medium)</v>
      </c>
      <c r="F34" s="108">
        <f>MAX(D34,(VLOOKUP(A34,[1]!TOX,50,FALSE)),(VLOOKUP(A34,[1]!TOX,35,FALSE)))</f>
        <v>1000</v>
      </c>
      <c r="G34" s="115">
        <f>MIN(F34,'S-3'!J34)</f>
        <v>1000</v>
      </c>
      <c r="H34" s="109">
        <f t="shared" si="0"/>
        <v>1000</v>
      </c>
      <c r="I34" s="132" t="str">
        <f>IF(G34=0,"Not Calculated",IF(G34=D34,E34,IF(G34=[1]Toxicity!AI30,"Background",IF(G34='S-3'!J34,"S-3 Standard","PQL"))))</f>
        <v>Ceiling (Medium)</v>
      </c>
      <c r="J34" s="48"/>
      <c r="K34" s="54"/>
      <c r="L34" s="48"/>
      <c r="M34" s="48"/>
      <c r="N34" s="48"/>
      <c r="O34" s="48"/>
      <c r="P34" s="48"/>
      <c r="Q34" s="48"/>
      <c r="R34" s="48"/>
      <c r="S34" s="48"/>
      <c r="W34" s="53"/>
    </row>
    <row r="35" spans="1:23" ht="14" x14ac:dyDescent="0.25">
      <c r="A35" s="363" t="s">
        <v>79</v>
      </c>
      <c r="B35" s="108">
        <f>IF(ISERR(1/+(VLOOKUP(A35,[1]!TOX,17,FALSE))),0,'[1]Target Risk'!$D$8*(VLOOKUP(A35,[1]!TOX,4,FALSE))/(('S-2 Assumptions'!$J$21*(VLOOKUP(A35,[1]!TOX,17,FALSE)))+('S-2 Assumptions'!$K$43*(VLOOKUP(A35,[1]!TOX,19,FALSE)))))</f>
        <v>2698.6737342491383</v>
      </c>
      <c r="C35" s="129">
        <f>IF(ISERR(1/(VLOOKUP(A35,[1]!TOX,25,FALSE))),0,+'[1]Target Risk'!$D$12/((('S-2 Assumptions'!$J$29*(VLOOKUP(A35,[1]!TOX,25,FALSE)))+('S-2 Assumptions'!$K$51*(VLOOKUP(A35,[1]!TOX,27,FALSE))))*(VLOOKUP(A35,[1]!TOX,12,FALSE))))</f>
        <v>0</v>
      </c>
      <c r="D35" s="108">
        <f>IF(B35=0,MIN(C35,(VLOOKUP(A35,[1]!TOX,74,FALSE))),IF(C35=0,MIN(B35,(VLOOKUP(A35,[1]!TOX,74,FALSE))),MIN(B35,C35,(VLOOKUP(A35,[1]!TOX,74,FALSE)))))</f>
        <v>2698.6737342491383</v>
      </c>
      <c r="E35" s="129" t="str">
        <f>IF(D35=B35,"Noncancer Risk",IF(D35=C35,"Cancer Risk",(VLOOKUP(A35,[1]!TOX,75,FALSE))))</f>
        <v>Noncancer Risk</v>
      </c>
      <c r="F35" s="108">
        <f>MAX(D35,(VLOOKUP(A35,[1]!TOX,50,FALSE)),(VLOOKUP(A35,[1]!TOX,35,FALSE)))</f>
        <v>2698.6737342491383</v>
      </c>
      <c r="G35" s="115">
        <f>MIN(F35,'S-3'!J35)</f>
        <v>351.40921678267676</v>
      </c>
      <c r="H35" s="109">
        <f t="shared" si="0"/>
        <v>400</v>
      </c>
      <c r="I35" s="132" t="str">
        <f>IF(G35=0,"Not Calculated",IF(G35=D35,E35,IF(G35=[1]Toxicity!AI31,"Background",IF(G35='S-3'!J35,"S-3 Standard","PQL"))))</f>
        <v>S-3 Standard</v>
      </c>
      <c r="J35" s="48"/>
      <c r="K35" s="54"/>
      <c r="L35" s="48"/>
      <c r="M35" s="48"/>
      <c r="N35" s="48"/>
      <c r="O35" s="48"/>
      <c r="P35" s="48"/>
      <c r="Q35" s="48"/>
      <c r="R35" s="48"/>
      <c r="S35" s="48"/>
      <c r="W35" s="51"/>
    </row>
    <row r="36" spans="1:23" ht="14" x14ac:dyDescent="0.25">
      <c r="A36" s="363" t="s">
        <v>78</v>
      </c>
      <c r="B36" s="108">
        <f>IF(ISERR(1/+(VLOOKUP(A36,[1]!TOX,17,FALSE))),0,'[1]Target Risk'!$D$8*(VLOOKUP(A36,[1]!TOX,4,FALSE))/(('S-2 Assumptions'!$J$21*(VLOOKUP(A36,[1]!TOX,17,FALSE)))+('S-2 Assumptions'!$K$43*(VLOOKUP(A36,[1]!TOX,19,FALSE)))))</f>
        <v>2114.549564936734</v>
      </c>
      <c r="C36" s="129">
        <f>IF(ISERR(1/(VLOOKUP(A36,[1]!TOX,25,FALSE))),0,+'[1]Target Risk'!$D$12/((('S-2 Assumptions'!$J$29*(VLOOKUP(A36,[1]!TOX,25,FALSE)))+('S-2 Assumptions'!$K$51*(VLOOKUP(A36,[1]!TOX,27,FALSE))))*(VLOOKUP(A36,[1]!TOX,12,FALSE))))</f>
        <v>0</v>
      </c>
      <c r="D36" s="108">
        <f>IF(B36=0,MIN(C36,(VLOOKUP(A36,[1]!TOX,74,FALSE))),IF(C36=0,MIN(B36,(VLOOKUP(A36,[1]!TOX,74,FALSE))),MIN(B36,C36,(VLOOKUP(A36,[1]!TOX,74,FALSE)))))</f>
        <v>2114.549564936734</v>
      </c>
      <c r="E36" s="129" t="str">
        <f>IF(D36=B36,"Noncancer Risk",IF(D36=C36,"Cancer Risk",(VLOOKUP(A36,[1]!TOX,75,FALSE))))</f>
        <v>Noncancer Risk</v>
      </c>
      <c r="F36" s="108"/>
      <c r="G36" s="115">
        <f>MIN(F36,'S-3'!J36)</f>
        <v>1053.0092572967037</v>
      </c>
      <c r="H36" s="109">
        <f>MIN(H37:H38)</f>
        <v>200</v>
      </c>
      <c r="I36" s="132" t="s">
        <v>295</v>
      </c>
      <c r="J36" s="48"/>
      <c r="K36" s="54"/>
      <c r="L36" s="48"/>
      <c r="M36" s="48"/>
      <c r="N36" s="48"/>
      <c r="O36" s="48"/>
      <c r="P36" s="48"/>
      <c r="Q36" s="48"/>
      <c r="R36" s="48"/>
      <c r="S36" s="48"/>
      <c r="W36" s="51"/>
    </row>
    <row r="37" spans="1:23" ht="14" x14ac:dyDescent="0.25">
      <c r="A37" s="363" t="s">
        <v>77</v>
      </c>
      <c r="B37" s="108">
        <f>IF(ISERR(1/+(VLOOKUP(A37,[1]!TOX,17,FALSE))),0,'[1]Target Risk'!$D$8*(VLOOKUP(A37,[1]!TOX,4,FALSE))/(('S-2 Assumptions'!$J$21*(VLOOKUP(A37,[1]!TOX,17,FALSE)))+('S-2 Assumptions'!$K$43*(VLOOKUP(A37,[1]!TOX,19,FALSE)))))</f>
        <v>1057274.7824683671</v>
      </c>
      <c r="C37" s="129">
        <f>IF(ISERR(1/(VLOOKUP(A37,[1]!TOX,25,FALSE))),0,+'[1]Target Risk'!$D$12/((('S-2 Assumptions'!$J$29*(VLOOKUP(A37,[1]!TOX,25,FALSE)))+('S-2 Assumptions'!$K$51*(VLOOKUP(A37,[1]!TOX,27,FALSE))))*(VLOOKUP(A37,[1]!TOX,12,FALSE))))</f>
        <v>0</v>
      </c>
      <c r="D37" s="108">
        <f>IF(B37=0,MIN(C37,(VLOOKUP(A37,[1]!TOX,74,FALSE))),IF(C37=0,MIN(B37,(VLOOKUP(A37,[1]!TOX,74,FALSE))),MIN(B37,C37,(VLOOKUP(A37,[1]!TOX,74,FALSE)))))</f>
        <v>3000</v>
      </c>
      <c r="E37" s="129" t="str">
        <f>IF(D37=B37,"Noncancer Risk",IF(D37=C37,"Cancer Risk",(VLOOKUP(A37,[1]!TOX,75,FALSE))))</f>
        <v>Ceiling (High)</v>
      </c>
      <c r="F37" s="108">
        <f>MAX(D37,(VLOOKUP(A37,[1]!TOX,50,FALSE)),(VLOOKUP(A37,[1]!TOX,35,FALSE)))</f>
        <v>3000</v>
      </c>
      <c r="G37" s="115">
        <f>MIN(F37,'S-3'!J37)</f>
        <v>3000</v>
      </c>
      <c r="H37" s="109">
        <f>IF(G37&lt;&gt;0,ROUND(G37,1-(1+INT(LOG10(ABS(G37))))),"")</f>
        <v>3000</v>
      </c>
      <c r="I37" s="132" t="str">
        <f>IF(G37=0,"Not Calculated",IF(G37=D37,E37,IF(G37=[1]Toxicity!AI33,"Background",IF(G37='S-3'!J37,"S-3 Standard","PQL"))))</f>
        <v>Ceiling (High)</v>
      </c>
      <c r="J37" s="48"/>
      <c r="K37" s="54"/>
      <c r="L37" s="48"/>
      <c r="M37" s="48"/>
      <c r="N37" s="48"/>
      <c r="O37" s="48"/>
      <c r="P37" s="48"/>
      <c r="Q37" s="48"/>
      <c r="R37" s="48"/>
      <c r="S37" s="48"/>
      <c r="W37" s="51"/>
    </row>
    <row r="38" spans="1:23" ht="14" x14ac:dyDescent="0.25">
      <c r="A38" s="363" t="s">
        <v>76</v>
      </c>
      <c r="B38" s="108">
        <v>175</v>
      </c>
      <c r="C38" s="129">
        <f>IF(ISERR(1/(VLOOKUP(A38,[1]!TOX,25,FALSE))),0,+'[1]Target Risk'!$D$12/((('S-2 Assumptions'!$J$29*(VLOOKUP(A38,[1]!TOX,25,FALSE)))+('S-2 Assumptions'!$K$51*(VLOOKUP(A38,[1]!TOX,27,FALSE))))*(VLOOKUP(A38,[1]!TOX,12,FALSE))))</f>
        <v>0</v>
      </c>
      <c r="D38" s="108">
        <f>IF(B38=0,MIN(C38,(VLOOKUP(A38,[1]!TOX,74,FALSE))),IF(C38=0,MIN(B38,(VLOOKUP(A38,[1]!TOX,74,FALSE))),MIN(B38,C38,(VLOOKUP(A38,[1]!TOX,74,FALSE)))))</f>
        <v>175</v>
      </c>
      <c r="E38" s="129" t="str">
        <f>IF(D38=B38,"Noncancer Risk",IF(D38=C38,"Cancer Risk",(VLOOKUP(A38,[1]!TOX,75,FALSE))))</f>
        <v>Noncancer Risk</v>
      </c>
      <c r="F38" s="108">
        <f>MAX(D38,(VLOOKUP(A38,[1]!TOX,50,FALSE)),(VLOOKUP(A38,[1]!TOX,35,FALSE)))</f>
        <v>175</v>
      </c>
      <c r="G38" s="115">
        <f>MIN(F38,'S-3'!J38)</f>
        <v>169.46690553430494</v>
      </c>
      <c r="H38" s="109">
        <f t="shared" ref="H38:H80" si="1">IF(G38&lt;&gt;0,ROUND(G38,1-(1+INT(LOG10(ABS(G38))))),"")</f>
        <v>200</v>
      </c>
      <c r="I38" s="132" t="str">
        <f>IF(G38=0,"Not Calculated",IF(G38=D38,E38,IF(G38=[1]Toxicity!AI34,"Background",IF(G38='S-3'!J38,"S-3 Standard","PQL"))))</f>
        <v>S-3 Standard</v>
      </c>
      <c r="J38" s="48"/>
      <c r="K38" s="54"/>
      <c r="L38" s="48"/>
      <c r="M38" s="48"/>
      <c r="N38" s="48"/>
      <c r="O38" s="48"/>
      <c r="P38" s="48"/>
      <c r="Q38" s="48"/>
      <c r="R38" s="48"/>
      <c r="S38" s="48"/>
      <c r="W38" s="51"/>
    </row>
    <row r="39" spans="1:23" ht="14" x14ac:dyDescent="0.25">
      <c r="A39" s="363" t="s">
        <v>75</v>
      </c>
      <c r="B39" s="108">
        <f>IF(ISERR(1/+(VLOOKUP(A39,[1]!TOX,17,FALSE))),0,'[1]Target Risk'!$D$8*(VLOOKUP(A39,[1]!TOX,4,FALSE))/(('S-2 Assumptions'!$J$21*(VLOOKUP(A39,[1]!TOX,17,FALSE)))+('S-2 Assumptions'!$K$43*(VLOOKUP(A39,[1]!TOX,19,FALSE)))))</f>
        <v>74271.846883894992</v>
      </c>
      <c r="C39" s="129">
        <f>IF(ISERR(1/(VLOOKUP(A39,[1]!TOX,25,FALSE))),0,+'[1]Target Risk'!$D$12/((('S-2 Assumptions'!$J$29*(VLOOKUP(A39,[1]!TOX,25,FALSE)))+('S-2 Assumptions'!$K$51*(VLOOKUP(A39,[1]!TOX,27,FALSE))))*(VLOOKUP(A39,[1]!TOX,12,FALSE))))</f>
        <v>3209.2773344892894</v>
      </c>
      <c r="D39" s="108">
        <f>IF(B39=0,MIN(C39,(VLOOKUP(A39,[1]!TOX,74,FALSE))),IF(C39=0,MIN(B39,(VLOOKUP(A39,[1]!TOX,74,FALSE))),MIN(B39,C39,(VLOOKUP(A39,[1]!TOX,74,FALSE)))))</f>
        <v>3000</v>
      </c>
      <c r="E39" s="129" t="str">
        <f>IF(D39=B39,"Noncancer Risk",IF(D39=C39,"Cancer Risk",(VLOOKUP(A39,[1]!TOX,75,FALSE))))</f>
        <v>Ceiling (High)</v>
      </c>
      <c r="F39" s="108">
        <f>MAX(D39,(VLOOKUP(A39,[1]!TOX,50,FALSE)),(VLOOKUP(A39,[1]!TOX,35,FALSE)))</f>
        <v>3000</v>
      </c>
      <c r="G39" s="115">
        <f>MIN(F39,'S-3'!J39)</f>
        <v>3000</v>
      </c>
      <c r="H39" s="109">
        <f t="shared" si="1"/>
        <v>3000</v>
      </c>
      <c r="I39" s="132" t="str">
        <f>IF(G39=0,"Not Calculated",IF(G39=D39,E39,IF(G39=[1]Toxicity!AI35,"Background",IF(G39='S-3'!J39,"S-3 Standard","PQL"))))</f>
        <v>Ceiling (High)</v>
      </c>
      <c r="J39" s="48"/>
      <c r="K39" s="54"/>
      <c r="L39" s="48"/>
      <c r="M39" s="48"/>
      <c r="N39" s="48"/>
      <c r="O39" s="48"/>
      <c r="P39" s="48"/>
      <c r="Q39" s="48"/>
      <c r="R39" s="48"/>
      <c r="S39" s="48"/>
      <c r="W39" s="51"/>
    </row>
    <row r="40" spans="1:23" ht="14" x14ac:dyDescent="0.25">
      <c r="A40" s="363" t="s">
        <v>74</v>
      </c>
      <c r="B40" s="108">
        <f>IF(ISERR(1/+(VLOOKUP(A40,[1]!TOX,17,FALSE))),0,'[1]Target Risk'!$D$8*(VLOOKUP(A40,[1]!TOX,4,FALSE))/(('S-2 Assumptions'!$J$21*(VLOOKUP(A40,[1]!TOX,17,FALSE)))+('S-2 Assumptions'!$K$43*(VLOOKUP(A40,[1]!TOX,19,FALSE)))))</f>
        <v>422.90991298734673</v>
      </c>
      <c r="C40" s="129">
        <f>IF(ISERR(1/(VLOOKUP(A40,[1]!TOX,25,FALSE))),0,+'[1]Target Risk'!$D$12/((('S-2 Assumptions'!$J$29*(VLOOKUP(A40,[1]!TOX,25,FALSE)))+('S-2 Assumptions'!$K$51*(VLOOKUP(A40,[1]!TOX,27,FALSE))))*(VLOOKUP(A40,[1]!TOX,12,FALSE))))</f>
        <v>0</v>
      </c>
      <c r="D40" s="108">
        <f>IF(B40=0,MIN(C40,(VLOOKUP(A40,[1]!TOX,74,FALSE))),IF(C40=0,MIN(B40,(VLOOKUP(A40,[1]!TOX,74,FALSE))),MIN(B40,C40,(VLOOKUP(A40,[1]!TOX,74,FALSE)))))</f>
        <v>422.90991298734673</v>
      </c>
      <c r="E40" s="129" t="str">
        <f>IF(D40=B40,"Noncancer Risk",IF(D40=C40,"Cancer Risk",(VLOOKUP(A40,[1]!TOX,75,FALSE))))</f>
        <v>Noncancer Risk</v>
      </c>
      <c r="F40" s="108">
        <f>MAX(D40,(VLOOKUP(A40,[1]!TOX,50,FALSE)),(VLOOKUP(A40,[1]!TOX,35,FALSE)))</f>
        <v>422.90991298734673</v>
      </c>
      <c r="G40" s="115">
        <f>MIN(F40,'S-3'!J40)</f>
        <v>422.90991298734673</v>
      </c>
      <c r="H40" s="109">
        <f t="shared" si="1"/>
        <v>400</v>
      </c>
      <c r="I40" s="132" t="str">
        <f>IF(G40=0,"Not Calculated",IF(G40=D40,E40,IF(G40=[1]Toxicity!AI36,"Background",IF(G40='S-3'!J40,"S-3 Standard","PQL"))))</f>
        <v>Noncancer Risk</v>
      </c>
      <c r="J40" s="48"/>
      <c r="K40" s="54"/>
      <c r="L40" s="48"/>
      <c r="M40" s="48"/>
      <c r="N40" s="48"/>
      <c r="O40" s="48"/>
      <c r="P40" s="48"/>
      <c r="Q40" s="48"/>
      <c r="R40" s="48"/>
      <c r="S40" s="48"/>
      <c r="W40" s="51"/>
    </row>
    <row r="41" spans="1:23" ht="14" x14ac:dyDescent="0.25">
      <c r="A41" s="363" t="s">
        <v>73</v>
      </c>
      <c r="B41" s="108">
        <f>IF(ISERR(1/+(VLOOKUP(A41,[1]!TOX,17,FALSE))),0,'[1]Target Risk'!$D$8*(VLOOKUP(A41,[1]!TOX,4,FALSE))/(('S-2 Assumptions'!$J$21*(VLOOKUP(A41,[1]!TOX,17,FALSE)))+('S-2 Assumptions'!$K$43*(VLOOKUP(A41,[1]!TOX,19,FALSE)))))</f>
        <v>74271.846883894992</v>
      </c>
      <c r="C41" s="129">
        <f>IF(ISERR(1/(VLOOKUP(A41,[1]!TOX,25,FALSE))),0,+'[1]Target Risk'!$D$12/((('S-2 Assumptions'!$J$29*(VLOOKUP(A41,[1]!TOX,25,FALSE)))+('S-2 Assumptions'!$K$51*(VLOOKUP(A41,[1]!TOX,27,FALSE))))*(VLOOKUP(A41,[1]!TOX,12,FALSE))))</f>
        <v>32.09277334489289</v>
      </c>
      <c r="D41" s="108">
        <f>IF(B41=0,MIN(C41,(VLOOKUP(A41,[1]!TOX,74,FALSE))),IF(C41=0,MIN(B41,(VLOOKUP(A41,[1]!TOX,74,FALSE))),MIN(B41,C41,(VLOOKUP(A41,[1]!TOX,74,FALSE)))))</f>
        <v>32.09277334489289</v>
      </c>
      <c r="E41" s="129" t="str">
        <f>IF(D41=B41,"Noncancer Risk",IF(D41=C41,"Cancer Risk",(VLOOKUP(A41,[1]!TOX,75,FALSE))))</f>
        <v>Cancer Risk</v>
      </c>
      <c r="F41" s="108">
        <f>MAX(D41,(VLOOKUP(A41,[1]!TOX,50,FALSE)),(VLOOKUP(A41,[1]!TOX,35,FALSE)))</f>
        <v>32.09277334489289</v>
      </c>
      <c r="G41" s="115">
        <f>MIN(F41,'S-3'!J41)</f>
        <v>32.09277334489289</v>
      </c>
      <c r="H41" s="109">
        <f t="shared" si="1"/>
        <v>30</v>
      </c>
      <c r="I41" s="132" t="str">
        <f>IF(G41=0,"Not Calculated",IF(G41=D41,E41,IF(G41=[1]Toxicity!AI37,"Background",IF(G41='S-3'!J41,"S-3 Standard","PQL"))))</f>
        <v>Cancer Risk</v>
      </c>
      <c r="J41" s="48"/>
      <c r="K41" s="54"/>
      <c r="L41" s="48"/>
      <c r="M41" s="48"/>
      <c r="N41" s="48"/>
      <c r="O41" s="48"/>
      <c r="P41" s="48"/>
      <c r="Q41" s="48"/>
      <c r="R41" s="48"/>
      <c r="S41" s="48"/>
      <c r="W41" s="51"/>
    </row>
    <row r="42" spans="1:23" ht="14" x14ac:dyDescent="0.25">
      <c r="A42" s="363" t="s">
        <v>72</v>
      </c>
      <c r="B42" s="108">
        <f>IF(ISERR(1/+(VLOOKUP(A42,[1]!TOX,17,FALSE))),0,'[1]Target Risk'!$D$8*(VLOOKUP(A42,[1]!TOX,4,FALSE))/(('S-2 Assumptions'!$J$21*(VLOOKUP(A42,[1]!TOX,17,FALSE)))+('S-2 Assumptions'!$K$43*(VLOOKUP(A42,[1]!TOX,19,FALSE)))))</f>
        <v>15787.37760902491</v>
      </c>
      <c r="C42" s="129">
        <f>IF(ISERR(1/(VLOOKUP(A42,[1]!TOX,25,FALSE))),0,+'[1]Target Risk'!$D$12/((('S-2 Assumptions'!$J$29*(VLOOKUP(A42,[1]!TOX,25,FALSE)))+('S-2 Assumptions'!$K$51*(VLOOKUP(A42,[1]!TOX,27,FALSE))))*(VLOOKUP(A42,[1]!TOX,12,FALSE))))</f>
        <v>121.8161852548218</v>
      </c>
      <c r="D42" s="108">
        <f>IF(B42=0,MIN(C42,(VLOOKUP(A42,[1]!TOX,74,FALSE))),IF(C42=0,MIN(B42,(VLOOKUP(A42,[1]!TOX,74,FALSE))),MIN(B42,C42,(VLOOKUP(A42,[1]!TOX,74,FALSE)))))</f>
        <v>121.8161852548218</v>
      </c>
      <c r="E42" s="129" t="str">
        <f>IF(D42=B42,"Noncancer Risk",IF(D42=C42,"Cancer Risk",(VLOOKUP(A42,[1]!TOX,75,FALSE))))</f>
        <v>Cancer Risk</v>
      </c>
      <c r="F42" s="108">
        <f>MAX(D42,(VLOOKUP(A42,[1]!TOX,50,FALSE)),(VLOOKUP(A42,[1]!TOX,35,FALSE)))</f>
        <v>121.8161852548218</v>
      </c>
      <c r="G42" s="115">
        <f>MIN(F42,'S-3'!J42)</f>
        <v>121.8161852548218</v>
      </c>
      <c r="H42" s="109">
        <f t="shared" si="1"/>
        <v>100</v>
      </c>
      <c r="I42" s="132" t="str">
        <f>IF(G42=0,"Not Calculated",IF(G42=D42,E42,IF(G42=[1]Toxicity!AI38,"Background",IF(G42='S-3'!J42,"S-3 Standard","PQL"))))</f>
        <v>Cancer Risk</v>
      </c>
      <c r="J42" s="48"/>
      <c r="K42" s="54"/>
      <c r="L42" s="48"/>
      <c r="M42" s="48"/>
      <c r="N42" s="48"/>
      <c r="O42" s="48"/>
      <c r="P42" s="48"/>
      <c r="Q42" s="48"/>
      <c r="R42" s="48"/>
      <c r="S42" s="48"/>
      <c r="W42" s="53"/>
    </row>
    <row r="43" spans="1:23" ht="14" x14ac:dyDescent="0.25">
      <c r="A43" s="363" t="s">
        <v>71</v>
      </c>
      <c r="B43" s="108">
        <f>IF(ISERR(1/+(VLOOKUP(A43,[1]!TOX,17,FALSE))),0,'[1]Target Risk'!$D$8*(VLOOKUP(A43,[1]!TOX,4,FALSE))/(('S-2 Assumptions'!$J$21*(VLOOKUP(A43,[1]!TOX,17,FALSE)))+('S-2 Assumptions'!$K$43*(VLOOKUP(A43,[1]!TOX,19,FALSE)))))</f>
        <v>71043.199240612084</v>
      </c>
      <c r="C43" s="129">
        <f>IF(ISERR(1/(VLOOKUP(A43,[1]!TOX,25,FALSE))),0,+'[1]Target Risk'!$D$12/((('S-2 Assumptions'!$J$29*(VLOOKUP(A43,[1]!TOX,25,FALSE)))+('S-2 Assumptions'!$K$51*(VLOOKUP(A43,[1]!TOX,27,FALSE))))*(VLOOKUP(A43,[1]!TOX,12,FALSE))))</f>
        <v>0</v>
      </c>
      <c r="D43" s="108">
        <f>IF(B43=0,MIN(C43,(VLOOKUP(A43,[1]!TOX,74,FALSE))),IF(C43=0,MIN(B43,(VLOOKUP(A43,[1]!TOX,74,FALSE))),MIN(B43,C43,(VLOOKUP(A43,[1]!TOX,74,FALSE)))))</f>
        <v>3000</v>
      </c>
      <c r="E43" s="129" t="str">
        <f>IF(D43=B43,"Noncancer Risk",IF(D43=C43,"Cancer Risk",(VLOOKUP(A43,[1]!TOX,75,FALSE))))</f>
        <v>Ceiling (High)</v>
      </c>
      <c r="F43" s="108">
        <f>MAX(D43,(VLOOKUP(A43,[1]!TOX,50,FALSE)),(VLOOKUP(A43,[1]!TOX,35,FALSE)))</f>
        <v>3000</v>
      </c>
      <c r="G43" s="115">
        <f>MIN(F43,'S-3'!J43)</f>
        <v>3000</v>
      </c>
      <c r="H43" s="109">
        <f t="shared" si="1"/>
        <v>3000</v>
      </c>
      <c r="I43" s="132" t="str">
        <f>IF(G43=0,"Not Calculated",IF(G43=D43,E43,IF(G43=[1]Toxicity!AI39,"Background",IF(G43='S-3'!J43,"S-3 Standard","PQL"))))</f>
        <v>Ceiling (High)</v>
      </c>
      <c r="J43" s="48"/>
      <c r="K43" s="54"/>
      <c r="L43" s="48"/>
      <c r="M43" s="48"/>
      <c r="N43" s="48"/>
      <c r="O43" s="48"/>
      <c r="P43" s="48"/>
      <c r="Q43" s="48"/>
      <c r="R43" s="48"/>
      <c r="S43" s="48"/>
      <c r="W43" s="51"/>
    </row>
    <row r="44" spans="1:23" ht="14" x14ac:dyDescent="0.25">
      <c r="A44" s="363" t="s">
        <v>70</v>
      </c>
      <c r="B44" s="108">
        <f>IF(ISERR(1/+(VLOOKUP(A44,[1]!TOX,17,FALSE))),0,'[1]Target Risk'!$D$8*(VLOOKUP(A44,[1]!TOX,4,FALSE))/(('S-2 Assumptions'!$J$21*(VLOOKUP(A44,[1]!TOX,17,FALSE)))+('S-2 Assumptions'!$K$43*(VLOOKUP(A44,[1]!TOX,19,FALSE)))))</f>
        <v>71043.199240612084</v>
      </c>
      <c r="C44" s="129">
        <f>IF(ISERR(1/(VLOOKUP(A44,[1]!TOX,25,FALSE))),0,+'[1]Target Risk'!$D$12/((('S-2 Assumptions'!$J$29*(VLOOKUP(A44,[1]!TOX,25,FALSE)))+('S-2 Assumptions'!$K$51*(VLOOKUP(A44,[1]!TOX,27,FALSE))))*(VLOOKUP(A44,[1]!TOX,12,FALSE))))</f>
        <v>0</v>
      </c>
      <c r="D44" s="108">
        <f>IF(B44=0,MIN(C44,(VLOOKUP(A44,[1]!TOX,74,FALSE))),IF(C44=0,MIN(B44,(VLOOKUP(A44,[1]!TOX,74,FALSE))),MIN(B44,C44,(VLOOKUP(A44,[1]!TOX,74,FALSE)))))</f>
        <v>500</v>
      </c>
      <c r="E44" s="129" t="str">
        <f>IF(D44=B44,"Noncancer Risk",IF(D44=C44,"Cancer Risk",(VLOOKUP(A44,[1]!TOX,75,FALSE))))</f>
        <v>Ceiling (Low)</v>
      </c>
      <c r="F44" s="108">
        <f>MAX(D44,(VLOOKUP(A44,[1]!TOX,50,FALSE)),(VLOOKUP(A44,[1]!TOX,35,FALSE)))</f>
        <v>500</v>
      </c>
      <c r="G44" s="115">
        <f>MIN(F44,'S-3'!J44)</f>
        <v>500</v>
      </c>
      <c r="H44" s="109">
        <f t="shared" si="1"/>
        <v>500</v>
      </c>
      <c r="I44" s="132" t="str">
        <f>IF(G44=0,"Not Calculated",IF(G44=D44,E44,IF(G44=[1]Toxicity!AI40,"Background",IF(G44='S-3'!J44,"S-3 Standard","PQL"))))</f>
        <v>Ceiling (Low)</v>
      </c>
      <c r="J44" s="48"/>
      <c r="K44" s="54"/>
      <c r="L44" s="48"/>
      <c r="M44" s="48"/>
      <c r="N44" s="48"/>
      <c r="O44" s="48"/>
      <c r="P44" s="48"/>
      <c r="Q44" s="48"/>
      <c r="R44" s="48"/>
      <c r="S44" s="48"/>
      <c r="W44" s="53"/>
    </row>
    <row r="45" spans="1:23" ht="14" x14ac:dyDescent="0.25">
      <c r="A45" s="363" t="s">
        <v>69</v>
      </c>
      <c r="B45" s="108">
        <f>IF(ISERR(1/+(VLOOKUP(A45,[1]!TOX,17,FALSE))),0,'[1]Target Risk'!$D$8*(VLOOKUP(A45,[1]!TOX,4,FALSE))/(('S-2 Assumptions'!$J$21*(VLOOKUP(A45,[1]!TOX,17,FALSE)))+('S-2 Assumptions'!$K$43*(VLOOKUP(A45,[1]!TOX,19,FALSE)))))</f>
        <v>71043.199240612084</v>
      </c>
      <c r="C45" s="129">
        <f>IF(ISERR(1/(VLOOKUP(A45,[1]!TOX,25,FALSE))),0,+'[1]Target Risk'!$D$12/((('S-2 Assumptions'!$J$29*(VLOOKUP(A45,[1]!TOX,25,FALSE)))+('S-2 Assumptions'!$K$51*(VLOOKUP(A45,[1]!TOX,27,FALSE))))*(VLOOKUP(A45,[1]!TOX,12,FALSE))))</f>
        <v>426.35664839187632</v>
      </c>
      <c r="D45" s="108">
        <f>IF(B45=0,MIN(C45,(VLOOKUP(A45,[1]!TOX,74,FALSE))),IF(C45=0,MIN(B45,(VLOOKUP(A45,[1]!TOX,74,FALSE))),MIN(B45,C45,(VLOOKUP(A45,[1]!TOX,74,FALSE)))))</f>
        <v>426.35664839187632</v>
      </c>
      <c r="E45" s="129" t="str">
        <f>IF(D45=B45,"Noncancer Risk",IF(D45=C45,"Cancer Risk",(VLOOKUP(A45,[1]!TOX,75,FALSE))))</f>
        <v>Cancer Risk</v>
      </c>
      <c r="F45" s="108">
        <f>MAX(D45,(VLOOKUP(A45,[1]!TOX,50,FALSE)),(VLOOKUP(A45,[1]!TOX,35,FALSE)))</f>
        <v>426.35664839187632</v>
      </c>
      <c r="G45" s="115">
        <f>MIN(F45,'S-3'!J45)</f>
        <v>426.35664839187632</v>
      </c>
      <c r="H45" s="109">
        <f t="shared" si="1"/>
        <v>400</v>
      </c>
      <c r="I45" s="132" t="str">
        <f>IF(G45=0,"Not Calculated",IF(G45=D45,E45,IF(G45=[1]Toxicity!AI41,"Background",IF(G45='S-3'!J45,"S-3 Standard","PQL"))))</f>
        <v>Cancer Risk</v>
      </c>
      <c r="J45" s="48"/>
      <c r="K45" s="54"/>
      <c r="L45" s="48"/>
      <c r="M45" s="48"/>
      <c r="N45" s="48"/>
      <c r="O45" s="48"/>
      <c r="P45" s="48"/>
      <c r="Q45" s="48"/>
      <c r="R45" s="48"/>
      <c r="S45" s="48"/>
      <c r="W45" s="51"/>
    </row>
    <row r="46" spans="1:23" ht="14" x14ac:dyDescent="0.25">
      <c r="A46" s="363" t="s">
        <v>68</v>
      </c>
      <c r="B46" s="108">
        <f>IF(ISERR(1/+(VLOOKUP(A46,[1]!TOX,17,FALSE))),0,'[1]Target Risk'!$D$8*(VLOOKUP(A46,[1]!TOX,4,FALSE))/(('S-2 Assumptions'!$J$21*(VLOOKUP(A46,[1]!TOX,17,FALSE)))+('S-2 Assumptions'!$K$43*(VLOOKUP(A46,[1]!TOX,19,FALSE)))))</f>
        <v>0</v>
      </c>
      <c r="C46" s="129">
        <f>IF(ISERR(1/(VLOOKUP(A46,[1]!TOX,25,FALSE))),0,+'[1]Target Risk'!$D$12/((('S-2 Assumptions'!$J$29*(VLOOKUP(A46,[1]!TOX,25,FALSE)))+('S-2 Assumptions'!$K$51*(VLOOKUP(A46,[1]!TOX,27,FALSE))))*(VLOOKUP(A46,[1]!TOX,12,FALSE))))</f>
        <v>20.304316810092093</v>
      </c>
      <c r="D46" s="108">
        <f>IF(B46=0,MIN(C46,(VLOOKUP(A46,[1]!TOX,74,FALSE))),IF(C46=0,MIN(B46,(VLOOKUP(A46,[1]!TOX,74,FALSE))),MIN(B46,C46,(VLOOKUP(A46,[1]!TOX,74,FALSE)))))</f>
        <v>20.304316810092093</v>
      </c>
      <c r="E46" s="129" t="str">
        <f>IF(D46=B46,"Noncancer Risk",IF(D46=C46,"Cancer Risk",(VLOOKUP(A46,[1]!TOX,75,FALSE))))</f>
        <v>Cancer Risk</v>
      </c>
      <c r="F46" s="108">
        <f>MAX(D46,(VLOOKUP(A46,[1]!TOX,50,FALSE)),(VLOOKUP(A46,[1]!TOX,35,FALSE)))</f>
        <v>20.304316810092093</v>
      </c>
      <c r="G46" s="115">
        <f>MIN(F46,'S-3'!J46)</f>
        <v>20.304316810092093</v>
      </c>
      <c r="H46" s="109">
        <f t="shared" si="1"/>
        <v>20</v>
      </c>
      <c r="I46" s="132" t="str">
        <f>IF(G46=0,"Not Calculated",IF(G46=D46,E46,IF(G46=[1]Toxicity!AI42,"Background",IF(G46='S-3'!J46,"S-3 Standard","PQL"))))</f>
        <v>Cancer Risk</v>
      </c>
      <c r="J46" s="48"/>
      <c r="K46" s="54"/>
      <c r="L46" s="48"/>
      <c r="M46" s="48"/>
      <c r="N46" s="48"/>
      <c r="O46" s="48"/>
      <c r="P46" s="48"/>
      <c r="Q46" s="48"/>
      <c r="R46" s="48"/>
      <c r="S46" s="48"/>
      <c r="W46" s="51"/>
    </row>
    <row r="47" spans="1:23" ht="20" x14ac:dyDescent="0.25">
      <c r="A47" s="363" t="s">
        <v>67</v>
      </c>
      <c r="B47" s="108">
        <f>IF(ISERR(1/+(VLOOKUP(A47,[1]!TOX,17,FALSE))),0,'[1]Target Risk'!$D$8*(VLOOKUP(A47,[1]!TOX,4,FALSE))/(('S-2 Assumptions'!$J$21*(VLOOKUP(A47,[1]!TOX,17,FALSE)))+('S-2 Assumptions'!$K$43*(VLOOKUP(A47,[1]!TOX,19,FALSE)))))</f>
        <v>394.68444022562272</v>
      </c>
      <c r="C47" s="129">
        <f>IF(ISERR(1/(VLOOKUP(A47,[1]!TOX,25,FALSE))),0,+'[1]Target Risk'!$D$12/((('S-2 Assumptions'!$J$29*(VLOOKUP(A47,[1]!TOX,25,FALSE)))+('S-2 Assumptions'!$K$51*(VLOOKUP(A47,[1]!TOX,27,FALSE))))*(VLOOKUP(A47,[1]!TOX,12,FALSE))))</f>
        <v>42.63566483918764</v>
      </c>
      <c r="D47" s="108">
        <f>IF(B47=0,MIN(C47,(VLOOKUP(A47,[1]!TOX,74,FALSE))),IF(C47=0,MIN(B47,(VLOOKUP(A47,[1]!TOX,74,FALSE))),MIN(B47,C47,(VLOOKUP(A47,[1]!TOX,74,FALSE)))))</f>
        <v>42.63566483918764</v>
      </c>
      <c r="E47" s="129" t="str">
        <f>IF(D47=B47,"Noncancer Risk",IF(D47=C47,"Cancer Risk",(VLOOKUP(A47,[1]!TOX,75,FALSE))))</f>
        <v>Cancer Risk</v>
      </c>
      <c r="F47" s="108">
        <f>MAX(D47,(VLOOKUP(A47,[1]!TOX,50,FALSE)),(VLOOKUP(A47,[1]!TOX,35,FALSE)))</f>
        <v>42.63566483918764</v>
      </c>
      <c r="G47" s="115">
        <f>MIN(F47,'S-3'!J47)</f>
        <v>42.63566483918764</v>
      </c>
      <c r="H47" s="109">
        <f t="shared" si="1"/>
        <v>40</v>
      </c>
      <c r="I47" s="132" t="str">
        <f>IF(G47=0,"Not Calculated",IF(G47=D47,E47,IF(G47=[1]Toxicity!AI43,"Background",IF(G47='S-3'!J47,"S-3 Standard","PQL"))))</f>
        <v>Cancer Risk</v>
      </c>
      <c r="J47" s="48"/>
      <c r="K47" s="54"/>
      <c r="L47" s="48"/>
      <c r="M47" s="48"/>
      <c r="N47" s="48"/>
      <c r="O47" s="48"/>
      <c r="P47" s="48"/>
      <c r="Q47" s="48"/>
      <c r="R47" s="48"/>
      <c r="S47" s="48"/>
      <c r="W47" s="53"/>
    </row>
    <row r="48" spans="1:23" ht="20" x14ac:dyDescent="0.25">
      <c r="A48" s="363" t="s">
        <v>66</v>
      </c>
      <c r="B48" s="108">
        <f>IF(ISERR(1/+(VLOOKUP(A48,[1]!TOX,17,FALSE))),0,'[1]Target Risk'!$D$8*(VLOOKUP(A48,[1]!TOX,4,FALSE))/(('S-2 Assumptions'!$J$21*(VLOOKUP(A48,[1]!TOX,17,FALSE)))+('S-2 Assumptions'!$K$43*(VLOOKUP(A48,[1]!TOX,19,FALSE)))))</f>
        <v>394.68444022562272</v>
      </c>
      <c r="C48" s="129">
        <f>IF(ISERR(1/(VLOOKUP(A48,[1]!TOX,25,FALSE))),0,+'[1]Target Risk'!$D$12/((('S-2 Assumptions'!$J$29*(VLOOKUP(A48,[1]!TOX,25,FALSE)))+('S-2 Assumptions'!$K$51*(VLOOKUP(A48,[1]!TOX,27,FALSE))))*(VLOOKUP(A48,[1]!TOX,12,FALSE))))</f>
        <v>30.095763415897149</v>
      </c>
      <c r="D48" s="108">
        <f>IF(B48=0,MIN(C48,(VLOOKUP(A48,[1]!TOX,74,FALSE))),IF(C48=0,MIN(B48,(VLOOKUP(A48,[1]!TOX,74,FALSE))),MIN(B48,C48,(VLOOKUP(A48,[1]!TOX,74,FALSE)))))</f>
        <v>30.095763415897149</v>
      </c>
      <c r="E48" s="129" t="str">
        <f>IF(D48=B48,"Noncancer Risk",IF(D48=C48,"Cancer Risk",(VLOOKUP(A48,[1]!TOX,75,FALSE))))</f>
        <v>Cancer Risk</v>
      </c>
      <c r="F48" s="108">
        <f>MAX(D48,(VLOOKUP(A48,[1]!TOX,50,FALSE)),(VLOOKUP(A48,[1]!TOX,35,FALSE)))</f>
        <v>30.095763415897149</v>
      </c>
      <c r="G48" s="115">
        <f>MIN(F48,'S-3'!J48)</f>
        <v>30.095763415897149</v>
      </c>
      <c r="H48" s="109">
        <f t="shared" si="1"/>
        <v>30</v>
      </c>
      <c r="I48" s="132" t="str">
        <f>IF(G48=0,"Not Calculated",IF(G48=D48,E48,IF(G48=[1]Toxicity!AI44,"Background",IF(G48='S-3'!J48,"S-3 Standard","PQL"))))</f>
        <v>Cancer Risk</v>
      </c>
      <c r="J48" s="48"/>
      <c r="K48" s="54"/>
      <c r="L48" s="48"/>
      <c r="M48" s="48"/>
      <c r="N48" s="48"/>
      <c r="O48" s="48"/>
      <c r="P48" s="48"/>
      <c r="Q48" s="48"/>
      <c r="R48" s="48"/>
      <c r="S48" s="48"/>
      <c r="W48" s="51"/>
    </row>
    <row r="49" spans="1:23" ht="20" x14ac:dyDescent="0.25">
      <c r="A49" s="363" t="s">
        <v>65</v>
      </c>
      <c r="B49" s="108">
        <f>IF(ISERR(1/+(VLOOKUP(A49,[1]!TOX,17,FALSE))),0,'[1]Target Risk'!$D$8*(VLOOKUP(A49,[1]!TOX,4,FALSE))/(('S-2 Assumptions'!$J$21*(VLOOKUP(A49,[1]!TOX,17,FALSE)))+('S-2 Assumptions'!$K$43*(VLOOKUP(A49,[1]!TOX,19,FALSE)))))</f>
        <v>394.68444022562272</v>
      </c>
      <c r="C49" s="129">
        <f>IF(ISERR(1/(VLOOKUP(A49,[1]!TOX,25,FALSE))),0,+'[1]Target Risk'!$D$12/((('S-2 Assumptions'!$J$29*(VLOOKUP(A49,[1]!TOX,25,FALSE)))+('S-2 Assumptions'!$K$51*(VLOOKUP(A49,[1]!TOX,27,FALSE))))*(VLOOKUP(A49,[1]!TOX,12,FALSE))))</f>
        <v>30.095763415897149</v>
      </c>
      <c r="D49" s="108">
        <f>IF(B49=0,MIN(C49,(VLOOKUP(A49,[1]!TOX,74,FALSE))),IF(C49=0,MIN(B49,(VLOOKUP(A49,[1]!TOX,74,FALSE))),MIN(B49,C49,(VLOOKUP(A49,[1]!TOX,74,FALSE)))))</f>
        <v>30.095763415897149</v>
      </c>
      <c r="E49" s="129" t="str">
        <f>IF(D49=B49,"Noncancer Risk",IF(D49=C49,"Cancer Risk",(VLOOKUP(A49,[1]!TOX,75,FALSE))))</f>
        <v>Cancer Risk</v>
      </c>
      <c r="F49" s="108">
        <f>MAX(D49,(VLOOKUP(A49,[1]!TOX,50,FALSE)),(VLOOKUP(A49,[1]!TOX,35,FALSE)))</f>
        <v>30.095763415897149</v>
      </c>
      <c r="G49" s="115">
        <f>MIN(F49,'S-3'!J49)</f>
        <v>30.095763415897149</v>
      </c>
      <c r="H49" s="109">
        <f t="shared" si="1"/>
        <v>30</v>
      </c>
      <c r="I49" s="132" t="str">
        <f>IF(G49=0,"Not Calculated",IF(G49=D49,E49,IF(G49=[1]Toxicity!AI45,"Background",IF(G49='S-3'!J49,"S-3 Standard","PQL"))))</f>
        <v>Cancer Risk</v>
      </c>
      <c r="J49" s="48"/>
      <c r="K49" s="54"/>
      <c r="L49" s="48"/>
      <c r="M49" s="48"/>
      <c r="N49" s="48"/>
      <c r="O49" s="48"/>
      <c r="P49" s="48"/>
      <c r="Q49" s="48"/>
      <c r="R49" s="48"/>
      <c r="S49" s="48"/>
      <c r="W49" s="51"/>
    </row>
    <row r="50" spans="1:23" ht="14" x14ac:dyDescent="0.25">
      <c r="A50" s="363" t="s">
        <v>64</v>
      </c>
      <c r="B50" s="108">
        <f>IF(ISERR(1/+(VLOOKUP(A50,[1]!TOX,17,FALSE))),0,'[1]Target Risk'!$D$8*(VLOOKUP(A50,[1]!TOX,4,FALSE))/(('S-2 Assumptions'!$J$21*(VLOOKUP(A50,[1]!TOX,17,FALSE)))+('S-2 Assumptions'!$K$43*(VLOOKUP(A50,[1]!TOX,19,FALSE)))))</f>
        <v>157873.77609024913</v>
      </c>
      <c r="C50" s="129">
        <f>IF(ISERR(1/(VLOOKUP(A50,[1]!TOX,25,FALSE))),0,+'[1]Target Risk'!$D$12/((('S-2 Assumptions'!$J$29*(VLOOKUP(A50,[1]!TOX,25,FALSE)))+('S-2 Assumptions'!$K$51*(VLOOKUP(A50,[1]!TOX,27,FALSE))))*(VLOOKUP(A50,[1]!TOX,12,FALSE))))</f>
        <v>0</v>
      </c>
      <c r="D50" s="108">
        <f>IF(B50=0,MIN(C50,(VLOOKUP(A50,[1]!TOX,74,FALSE))),IF(C50=0,MIN(B50,(VLOOKUP(A50,[1]!TOX,74,FALSE))),MIN(B50,C50,(VLOOKUP(A50,[1]!TOX,74,FALSE)))))</f>
        <v>1000</v>
      </c>
      <c r="E50" s="129" t="str">
        <f>IF(D50=B50,"Noncancer Risk",IF(D50=C50,"Cancer Risk",(VLOOKUP(A50,[1]!TOX,75,FALSE))))</f>
        <v>Ceiling (Medium)</v>
      </c>
      <c r="F50" s="108">
        <f>MAX(D50,(VLOOKUP(A50,[1]!TOX,50,FALSE)),(VLOOKUP(A50,[1]!TOX,35,FALSE)))</f>
        <v>1000</v>
      </c>
      <c r="G50" s="115">
        <f>MIN(F50,'S-3'!J50)</f>
        <v>1000</v>
      </c>
      <c r="H50" s="109">
        <f t="shared" si="1"/>
        <v>1000</v>
      </c>
      <c r="I50" s="132" t="str">
        <f>IF(G50=0,"Not Calculated",IF(G50=D50,E50,IF(G50=[1]Toxicity!AI46,"Background",IF(G50='S-3'!J50,"S-3 Standard","PQL"))))</f>
        <v>Ceiling (Medium)</v>
      </c>
      <c r="J50" s="48"/>
      <c r="K50" s="54"/>
      <c r="L50" s="48"/>
      <c r="M50" s="48"/>
      <c r="N50" s="48"/>
      <c r="O50" s="48"/>
      <c r="P50" s="48"/>
      <c r="Q50" s="48"/>
      <c r="R50" s="48"/>
      <c r="S50" s="48"/>
      <c r="W50" s="51"/>
    </row>
    <row r="51" spans="1:23" ht="14" x14ac:dyDescent="0.25">
      <c r="A51" s="363" t="s">
        <v>63</v>
      </c>
      <c r="B51" s="108">
        <f>IF(ISERR(1/+(VLOOKUP(A51,[1]!TOX,17,FALSE))),0,'[1]Target Risk'!$D$8*(VLOOKUP(A51,[1]!TOX,4,FALSE))/(('S-2 Assumptions'!$J$21*(VLOOKUP(A51,[1]!TOX,17,FALSE)))+('S-2 Assumptions'!$K$43*(VLOOKUP(A51,[1]!TOX,19,FALSE)))))</f>
        <v>15787.37760902491</v>
      </c>
      <c r="C51" s="129">
        <f>IF(ISERR(1/(VLOOKUP(A51,[1]!TOX,25,FALSE))),0,+'[1]Target Risk'!$D$12/((('S-2 Assumptions'!$J$29*(VLOOKUP(A51,[1]!TOX,25,FALSE)))+('S-2 Assumptions'!$K$51*(VLOOKUP(A51,[1]!TOX,27,FALSE))))*(VLOOKUP(A51,[1]!TOX,12,FALSE))))</f>
        <v>112.44570946598937</v>
      </c>
      <c r="D51" s="108">
        <f>IF(B51=0,MIN(C51,(VLOOKUP(A51,[1]!TOX,74,FALSE))),IF(C51=0,MIN(B51,(VLOOKUP(A51,[1]!TOX,74,FALSE))),MIN(B51,C51,(VLOOKUP(A51,[1]!TOX,74,FALSE)))))</f>
        <v>112.44570946598937</v>
      </c>
      <c r="E51" s="129" t="str">
        <f>IF(D51=B51,"Noncancer Risk",IF(D51=C51,"Cancer Risk",(VLOOKUP(A51,[1]!TOX,75,FALSE))))</f>
        <v>Cancer Risk</v>
      </c>
      <c r="F51" s="108">
        <f>MAX(D51,(VLOOKUP(A51,[1]!TOX,50,FALSE)),(VLOOKUP(A51,[1]!TOX,35,FALSE)))</f>
        <v>112.44570946598937</v>
      </c>
      <c r="G51" s="115">
        <f>MIN(F51,'S-3'!J51)</f>
        <v>112.44570946598937</v>
      </c>
      <c r="H51" s="109">
        <f t="shared" si="1"/>
        <v>100</v>
      </c>
      <c r="I51" s="132" t="str">
        <f>IF(G51=0,"Not Calculated",IF(G51=D51,E51,IF(G51=[1]Toxicity!AI47,"Background",IF(G51='S-3'!J51,"S-3 Standard","PQL"))))</f>
        <v>Cancer Risk</v>
      </c>
      <c r="J51" s="48"/>
      <c r="K51" s="54"/>
      <c r="L51" s="48"/>
      <c r="M51" s="48"/>
      <c r="N51" s="48"/>
      <c r="O51" s="48"/>
      <c r="P51" s="48"/>
      <c r="Q51" s="48"/>
      <c r="R51" s="48"/>
      <c r="S51" s="48"/>
      <c r="W51" s="51"/>
    </row>
    <row r="52" spans="1:23" ht="14" x14ac:dyDescent="0.25">
      <c r="A52" s="363" t="s">
        <v>62</v>
      </c>
      <c r="B52" s="108">
        <f>IF(ISERR(1/+(VLOOKUP(A52,[1]!TOX,17,FALSE))),0,'[1]Target Risk'!$D$8*(VLOOKUP(A52,[1]!TOX,4,FALSE))/(('S-2 Assumptions'!$J$21*(VLOOKUP(A52,[1]!TOX,17,FALSE)))+('S-2 Assumptions'!$K$43*(VLOOKUP(A52,[1]!TOX,19,FALSE)))))</f>
        <v>39468.444022562282</v>
      </c>
      <c r="C52" s="129">
        <f>IF(ISERR(1/(VLOOKUP(A52,[1]!TOX,25,FALSE))),0,+'[1]Target Risk'!$D$12/((('S-2 Assumptions'!$J$29*(VLOOKUP(A52,[1]!TOX,25,FALSE)))+('S-2 Assumptions'!$K$51*(VLOOKUP(A52,[1]!TOX,27,FALSE))))*(VLOOKUP(A52,[1]!TOX,12,FALSE))))</f>
        <v>0</v>
      </c>
      <c r="D52" s="108">
        <f>IF(B52=0,MIN(C52,(VLOOKUP(A52,[1]!TOX,74,FALSE))),IF(C52=0,MIN(B52,(VLOOKUP(A52,[1]!TOX,74,FALSE))),MIN(B52,C52,(VLOOKUP(A52,[1]!TOX,74,FALSE)))))</f>
        <v>1000</v>
      </c>
      <c r="E52" s="129" t="str">
        <f>IF(D52=B52,"Noncancer Risk",IF(D52=C52,"Cancer Risk",(VLOOKUP(A52,[1]!TOX,75,FALSE))))</f>
        <v>Ceiling (Medium)</v>
      </c>
      <c r="F52" s="108">
        <f>MAX(D52,(VLOOKUP(A52,[1]!TOX,50,FALSE)),(VLOOKUP(A52,[1]!TOX,35,FALSE)))</f>
        <v>1000</v>
      </c>
      <c r="G52" s="115">
        <f>MIN(F52,'S-3'!J52)</f>
        <v>1000</v>
      </c>
      <c r="H52" s="109">
        <f t="shared" si="1"/>
        <v>1000</v>
      </c>
      <c r="I52" s="132" t="str">
        <f>IF(G52=0,"Not Calculated",IF(G52=D52,E52,IF(G52=[1]Toxicity!AI48,"Background",IF(G52='S-3'!J52,"S-3 Standard","PQL"))))</f>
        <v>Ceiling (Medium)</v>
      </c>
      <c r="J52" s="48"/>
      <c r="K52" s="54"/>
      <c r="L52" s="48"/>
      <c r="M52" s="48"/>
      <c r="N52" s="48"/>
      <c r="O52" s="48"/>
      <c r="P52" s="48"/>
      <c r="Q52" s="48"/>
      <c r="R52" s="48"/>
      <c r="S52" s="48"/>
      <c r="W52" s="51"/>
    </row>
    <row r="53" spans="1:23" ht="14" x14ac:dyDescent="0.25">
      <c r="A53" s="363" t="s">
        <v>61</v>
      </c>
      <c r="B53" s="108">
        <f>IF(ISERR(1/+(VLOOKUP(A53,[1]!TOX,17,FALSE))),0,'[1]Target Risk'!$D$8*(VLOOKUP(A53,[1]!TOX,4,FALSE))/(('S-2 Assumptions'!$J$21*(VLOOKUP(A53,[1]!TOX,17,FALSE)))+('S-2 Assumptions'!$K$43*(VLOOKUP(A53,[1]!TOX,19,FALSE)))))</f>
        <v>1578.7377609024909</v>
      </c>
      <c r="C53" s="129">
        <f>IF(ISERR(1/(VLOOKUP(A53,[1]!TOX,25,FALSE))),0,+'[1]Target Risk'!$D$12/((('S-2 Assumptions'!$J$29*(VLOOKUP(A53,[1]!TOX,25,FALSE)))+('S-2 Assumptions'!$K$51*(VLOOKUP(A53,[1]!TOX,27,FALSE))))*(VLOOKUP(A53,[1]!TOX,12,FALSE))))</f>
        <v>0</v>
      </c>
      <c r="D53" s="108">
        <f>IF(B53=0,MIN(C53,(VLOOKUP(A53,[1]!TOX,74,FALSE))),IF(C53=0,MIN(B53,(VLOOKUP(A53,[1]!TOX,74,FALSE))),MIN(B53,C53,(VLOOKUP(A53,[1]!TOX,74,FALSE)))))</f>
        <v>500</v>
      </c>
      <c r="E53" s="129" t="str">
        <f>IF(D53=B53,"Noncancer Risk",IF(D53=C53,"Cancer Risk",(VLOOKUP(A53,[1]!TOX,75,FALSE))))</f>
        <v>Ceiling (Low)</v>
      </c>
      <c r="F53" s="108">
        <f>MAX(D53,(VLOOKUP(A53,[1]!TOX,50,FALSE)),(VLOOKUP(A53,[1]!TOX,35,FALSE)))</f>
        <v>500</v>
      </c>
      <c r="G53" s="115">
        <f>MIN(F53,'S-3'!J53)</f>
        <v>500</v>
      </c>
      <c r="H53" s="109">
        <f t="shared" si="1"/>
        <v>500</v>
      </c>
      <c r="I53" s="132" t="str">
        <f>IF(G53=0,"Not Calculated",IF(G53=D53,E53,IF(G53=[1]Toxicity!AI49,"Background",IF(G53='S-3'!J53,"S-3 Standard","PQL"))))</f>
        <v>Ceiling (Low)</v>
      </c>
      <c r="J53" s="48"/>
      <c r="K53" s="54"/>
      <c r="L53" s="48"/>
      <c r="M53" s="48"/>
      <c r="N53" s="48"/>
      <c r="O53" s="48"/>
      <c r="P53" s="48"/>
      <c r="Q53" s="48"/>
      <c r="R53" s="48"/>
      <c r="S53" s="48"/>
      <c r="W53" s="51"/>
    </row>
    <row r="54" spans="1:23" ht="14" x14ac:dyDescent="0.25">
      <c r="A54" s="363" t="s">
        <v>60</v>
      </c>
      <c r="B54" s="108">
        <f>IF(ISERR(1/+(VLOOKUP(A54,[1]!TOX,17,FALSE))),0,'[1]Target Risk'!$D$8*(VLOOKUP(A54,[1]!TOX,4,FALSE))/(('S-2 Assumptions'!$J$21*(VLOOKUP(A54,[1]!TOX,17,FALSE)))+('S-2 Assumptions'!$K$43*(VLOOKUP(A54,[1]!TOX,19,FALSE)))))</f>
        <v>15787.37760902491</v>
      </c>
      <c r="C54" s="129">
        <f>IF(ISERR(1/(VLOOKUP(A54,[1]!TOX,25,FALSE))),0,+'[1]Target Risk'!$D$12/((('S-2 Assumptions'!$J$29*(VLOOKUP(A54,[1]!TOX,25,FALSE)))+('S-2 Assumptions'!$K$51*(VLOOKUP(A54,[1]!TOX,27,FALSE))))*(VLOOKUP(A54,[1]!TOX,12,FALSE))))</f>
        <v>0</v>
      </c>
      <c r="D54" s="108">
        <f>IF(B54=0,MIN(C54,(VLOOKUP(A54,[1]!TOX,74,FALSE))),IF(C54=0,MIN(B54,(VLOOKUP(A54,[1]!TOX,74,FALSE))),MIN(B54,C54,(VLOOKUP(A54,[1]!TOX,74,FALSE)))))</f>
        <v>1000</v>
      </c>
      <c r="E54" s="129" t="str">
        <f>IF(D54=B54,"Noncancer Risk",IF(D54=C54,"Cancer Risk",(VLOOKUP(A54,[1]!TOX,75,FALSE))))</f>
        <v>Ceiling (Medium)</v>
      </c>
      <c r="F54" s="108">
        <f>MAX(D54,(VLOOKUP(A54,[1]!TOX,50,FALSE)),(VLOOKUP(A54,[1]!TOX,35,FALSE)))</f>
        <v>1000</v>
      </c>
      <c r="G54" s="115">
        <f>MIN(F54,'S-3'!J54)</f>
        <v>1000</v>
      </c>
      <c r="H54" s="109">
        <f t="shared" si="1"/>
        <v>1000</v>
      </c>
      <c r="I54" s="132" t="str">
        <f>IF(G54=0,"Not Calculated",IF(G54=D54,E54,IF(G54=[1]Toxicity!AI50,"Background",IF(G54='S-3'!J54,"S-3 Standard","PQL"))))</f>
        <v>Ceiling (Medium)</v>
      </c>
      <c r="J54" s="48"/>
      <c r="K54" s="54"/>
      <c r="L54" s="48"/>
      <c r="M54" s="48"/>
      <c r="N54" s="48"/>
      <c r="O54" s="48"/>
      <c r="P54" s="48"/>
      <c r="Q54" s="48"/>
      <c r="R54" s="48"/>
      <c r="S54" s="48"/>
      <c r="W54" s="51"/>
    </row>
    <row r="55" spans="1:23" ht="14" x14ac:dyDescent="0.25">
      <c r="A55" s="363" t="s">
        <v>59</v>
      </c>
      <c r="B55" s="108">
        <f>IF(ISERR(1/+(VLOOKUP(A55,[1]!TOX,17,FALSE))),0,'[1]Target Risk'!$D$8*(VLOOKUP(A55,[1]!TOX,4,FALSE))/(('S-2 Assumptions'!$J$21*(VLOOKUP(A55,[1]!TOX,17,FALSE)))+('S-2 Assumptions'!$K$43*(VLOOKUP(A55,[1]!TOX,19,FALSE)))))</f>
        <v>4736.2132827074729</v>
      </c>
      <c r="C55" s="129">
        <f>IF(ISERR(1/(VLOOKUP(A55,[1]!TOX,25,FALSE))),0,+'[1]Target Risk'!$D$12/((('S-2 Assumptions'!$J$29*(VLOOKUP(A55,[1]!TOX,25,FALSE)))+('S-2 Assumptions'!$K$51*(VLOOKUP(A55,[1]!TOX,27,FALSE))))*(VLOOKUP(A55,[1]!TOX,12,FALSE))))</f>
        <v>5116.2797807025163</v>
      </c>
      <c r="D55" s="108">
        <f>IF(B55=0,MIN(C55,(VLOOKUP(A55,[1]!TOX,74,FALSE))),IF(C55=0,MIN(B55,(VLOOKUP(A55,[1]!TOX,74,FALSE))),MIN(B55,C55,(VLOOKUP(A55,[1]!TOX,74,FALSE)))))</f>
        <v>1000</v>
      </c>
      <c r="E55" s="129" t="str">
        <f>IF(D55=B55,"Noncancer Risk",IF(D55=C55,"Cancer Risk",(VLOOKUP(A55,[1]!TOX,75,FALSE))))</f>
        <v>Ceiling (Medium)</v>
      </c>
      <c r="F55" s="108">
        <f>MAX(D55,(VLOOKUP(A55,[1]!TOX,50,FALSE)),(VLOOKUP(A55,[1]!TOX,35,FALSE)))</f>
        <v>1000</v>
      </c>
      <c r="G55" s="115">
        <f>MIN(F55,'S-3'!J55)</f>
        <v>828.67425707859252</v>
      </c>
      <c r="H55" s="109">
        <f t="shared" si="1"/>
        <v>800</v>
      </c>
      <c r="I55" s="132" t="str">
        <f>IF(G55=0,"Not Calculated",IF(G55=D55,E55,IF(G55=[1]Toxicity!AI51,"Background",IF(G55='S-3'!J55,"S-3 Standard","PQL"))))</f>
        <v>S-3 Standard</v>
      </c>
      <c r="J55" s="48"/>
      <c r="K55" s="54"/>
      <c r="L55" s="48"/>
      <c r="M55" s="48"/>
      <c r="N55" s="48"/>
      <c r="O55" s="48"/>
      <c r="P55" s="48"/>
      <c r="Q55" s="48"/>
      <c r="R55" s="48"/>
      <c r="S55" s="48"/>
      <c r="W55" s="51"/>
    </row>
    <row r="56" spans="1:23" ht="14" x14ac:dyDescent="0.25">
      <c r="A56" s="363" t="s">
        <v>58</v>
      </c>
      <c r="B56" s="108">
        <f>IF(ISERR(1/+(VLOOKUP(A56,[1]!TOX,17,FALSE))),0,'[1]Target Risk'!$D$8*(VLOOKUP(A56,[1]!TOX,4,FALSE))/(('S-2 Assumptions'!$J$21*(VLOOKUP(A56,[1]!TOX,17,FALSE)))+('S-2 Assumptions'!$K$43*(VLOOKUP(A56,[1]!TOX,19,FALSE)))))</f>
        <v>1619.2042405494831</v>
      </c>
      <c r="C56" s="129">
        <f>IF(ISERR(1/(VLOOKUP(A56,[1]!TOX,25,FALSE))),0,+'[1]Target Risk'!$D$12/((('S-2 Assumptions'!$J$29*(VLOOKUP(A56,[1]!TOX,25,FALSE)))+('S-2 Assumptions'!$K$51*(VLOOKUP(A56,[1]!TOX,27,FALSE))))*(VLOOKUP(A56,[1]!TOX,12,FALSE))))</f>
        <v>0</v>
      </c>
      <c r="D56" s="108">
        <f>IF(B56=0,MIN(C56,(VLOOKUP(A56,[1]!TOX,74,FALSE))),IF(C56=0,MIN(B56,(VLOOKUP(A56,[1]!TOX,74,FALSE))),MIN(B56,C56,(VLOOKUP(A56,[1]!TOX,74,FALSE)))))</f>
        <v>1000</v>
      </c>
      <c r="E56" s="129" t="str">
        <f>IF(D56=B56,"Noncancer Risk",IF(D56=C56,"Cancer Risk",(VLOOKUP(A56,[1]!TOX,75,FALSE))))</f>
        <v>Ceiling (Medium)</v>
      </c>
      <c r="F56" s="108">
        <f>MAX(D56,(VLOOKUP(A56,[1]!TOX,50,FALSE)),(VLOOKUP(A56,[1]!TOX,35,FALSE)))</f>
        <v>1000</v>
      </c>
      <c r="G56" s="115">
        <f>MIN(F56,'S-3'!J56)</f>
        <v>878.37906921598437</v>
      </c>
      <c r="H56" s="109">
        <f t="shared" si="1"/>
        <v>900</v>
      </c>
      <c r="I56" s="132" t="str">
        <f>IF(G56=0,"Not Calculated",IF(G56=D56,E56,IF(G56=[1]Toxicity!AI52,"Background",IF(G56='S-3'!J56,"S-3 Standard","PQL"))))</f>
        <v>S-3 Standard</v>
      </c>
      <c r="J56" s="48"/>
      <c r="K56" s="54"/>
      <c r="L56" s="48"/>
      <c r="M56" s="48"/>
      <c r="N56" s="48"/>
      <c r="O56" s="48"/>
      <c r="P56" s="48"/>
      <c r="Q56" s="48"/>
      <c r="R56" s="48"/>
      <c r="S56" s="48"/>
      <c r="W56" s="51"/>
    </row>
    <row r="57" spans="1:23" ht="14" x14ac:dyDescent="0.25">
      <c r="A57" s="363" t="s">
        <v>57</v>
      </c>
      <c r="B57" s="108">
        <f>IF(ISERR(1/+(VLOOKUP(A57,[1]!TOX,17,FALSE))),0,'[1]Target Risk'!$D$8*(VLOOKUP(A57,[1]!TOX,4,FALSE))/(('S-2 Assumptions'!$J$21*(VLOOKUP(A57,[1]!TOX,17,FALSE)))+('S-2 Assumptions'!$K$43*(VLOOKUP(A57,[1]!TOX,19,FALSE)))))</f>
        <v>31574.755218049821</v>
      </c>
      <c r="C57" s="129">
        <f>IF(ISERR(1/(VLOOKUP(A57,[1]!TOX,25,FALSE))),0,+'[1]Target Risk'!$D$12/((('S-2 Assumptions'!$J$29*(VLOOKUP(A57,[1]!TOX,25,FALSE)))+('S-2 Assumptions'!$K$51*(VLOOKUP(A57,[1]!TOX,27,FALSE))))*(VLOOKUP(A57,[1]!TOX,12,FALSE))))</f>
        <v>276.55566382175761</v>
      </c>
      <c r="D57" s="108">
        <f>IF(B57=0,MIN(C57,(VLOOKUP(A57,[1]!TOX,74,FALSE))),IF(C57=0,MIN(B57,(VLOOKUP(A57,[1]!TOX,74,FALSE))),MIN(B57,C57,(VLOOKUP(A57,[1]!TOX,74,FALSE)))))</f>
        <v>276.55566382175761</v>
      </c>
      <c r="E57" s="129" t="str">
        <f>IF(D57=B57,"Noncancer Risk",IF(D57=C57,"Cancer Risk",(VLOOKUP(A57,[1]!TOX,75,FALSE))))</f>
        <v>Cancer Risk</v>
      </c>
      <c r="F57" s="108">
        <f>MAX(D57,(VLOOKUP(A57,[1]!TOX,50,FALSE)),(VLOOKUP(A57,[1]!TOX,35,FALSE)))</f>
        <v>276.55566382175761</v>
      </c>
      <c r="G57" s="115">
        <f>MIN(F57,'S-3'!J57)</f>
        <v>276.55566382175761</v>
      </c>
      <c r="H57" s="109">
        <f t="shared" si="1"/>
        <v>300</v>
      </c>
      <c r="I57" s="132" t="str">
        <f>IF(G57=0,"Not Calculated",IF(G57=D57,E57,IF(G57=[1]Toxicity!AI53,"Background",IF(G57='S-3'!J57,"S-3 Standard","PQL"))))</f>
        <v>Cancer Risk</v>
      </c>
      <c r="J57" s="48"/>
      <c r="K57" s="54"/>
      <c r="L57" s="48"/>
      <c r="M57" s="48"/>
      <c r="N57" s="48"/>
      <c r="O57" s="48"/>
      <c r="P57" s="48"/>
      <c r="Q57" s="48"/>
      <c r="R57" s="48"/>
      <c r="S57" s="48"/>
      <c r="W57" s="51"/>
    </row>
    <row r="58" spans="1:23" ht="14" x14ac:dyDescent="0.25">
      <c r="A58" s="363" t="s">
        <v>56</v>
      </c>
      <c r="B58" s="108">
        <f>IF(ISERR(1/+(VLOOKUP(A58,[1]!TOX,17,FALSE))),0,'[1]Target Risk'!$D$8*(VLOOKUP(A58,[1]!TOX,4,FALSE))/(('S-2 Assumptions'!$J$21*(VLOOKUP(A58,[1]!TOX,17,FALSE)))+('S-2 Assumptions'!$K$43*(VLOOKUP(A58,[1]!TOX,19,FALSE)))))</f>
        <v>23681.066413537363</v>
      </c>
      <c r="C58" s="129">
        <f>IF(ISERR(1/(VLOOKUP(A58,[1]!TOX,25,FALSE))),0,+'[1]Target Risk'!$D$12/((('S-2 Assumptions'!$J$29*(VLOOKUP(A58,[1]!TOX,25,FALSE)))+('S-2 Assumptions'!$K$51*(VLOOKUP(A58,[1]!TOX,27,FALSE))))*(VLOOKUP(A58,[1]!TOX,12,FALSE))))</f>
        <v>102.32559561405033</v>
      </c>
      <c r="D58" s="108">
        <f>IF(B58=0,MIN(C58,(VLOOKUP(A58,[1]!TOX,74,FALSE))),IF(C58=0,MIN(B58,(VLOOKUP(A58,[1]!TOX,74,FALSE))),MIN(B58,C58,(VLOOKUP(A58,[1]!TOX,74,FALSE)))))</f>
        <v>102.32559561405033</v>
      </c>
      <c r="E58" s="129" t="str">
        <f>IF(D58=B58,"Noncancer Risk",IF(D58=C58,"Cancer Risk",(VLOOKUP(A58,[1]!TOX,75,FALSE))))</f>
        <v>Cancer Risk</v>
      </c>
      <c r="F58" s="108">
        <f>MAX(D58,(VLOOKUP(A58,[1]!TOX,50,FALSE)),(VLOOKUP(A58,[1]!TOX,35,FALSE)))</f>
        <v>102.32559561405033</v>
      </c>
      <c r="G58" s="115">
        <f>MIN(F58,'S-3'!J58)</f>
        <v>102.32559561405033</v>
      </c>
      <c r="H58" s="109">
        <f t="shared" si="1"/>
        <v>100</v>
      </c>
      <c r="I58" s="132" t="str">
        <f>IF(G58=0,"Not Calculated",IF(G58=D58,E58,IF(G58=[1]Toxicity!AI54,"Background",IF(G58='S-3'!J58,"S-3 Standard","PQL"))))</f>
        <v>Cancer Risk</v>
      </c>
      <c r="J58" s="48"/>
      <c r="K58" s="54"/>
      <c r="L58" s="48"/>
      <c r="M58" s="48"/>
      <c r="N58" s="48"/>
      <c r="O58" s="48"/>
      <c r="P58" s="48"/>
      <c r="Q58" s="48"/>
      <c r="R58" s="48"/>
      <c r="S58" s="48"/>
      <c r="W58" s="51"/>
    </row>
    <row r="59" spans="1:23" ht="14" x14ac:dyDescent="0.25">
      <c r="A59" s="363" t="s">
        <v>55</v>
      </c>
      <c r="B59" s="108">
        <f>IF(ISERR(1/+(VLOOKUP(A59,[1]!TOX,17,FALSE))),0,'[1]Target Risk'!$D$8*(VLOOKUP(A59,[1]!TOX,4,FALSE))/(('S-2 Assumptions'!$J$21*(VLOOKUP(A59,[1]!TOX,17,FALSE)))+('S-2 Assumptions'!$K$43*(VLOOKUP(A59,[1]!TOX,19,FALSE)))))</f>
        <v>35.242492748945565</v>
      </c>
      <c r="C59" s="129">
        <f>IF(ISERR(1/(VLOOKUP(A59,[1]!TOX,25,FALSE))),0,+'[1]Target Risk'!$D$12/((('S-2 Assumptions'!$J$29*(VLOOKUP(A59,[1]!TOX,25,FALSE)))+('S-2 Assumptions'!$K$51*(VLOOKUP(A59,[1]!TOX,27,FALSE))))*(VLOOKUP(A59,[1]!TOX,12,FALSE))))</f>
        <v>0.57105891028384004</v>
      </c>
      <c r="D59" s="108">
        <f>IF(B59=0,MIN(C59,(VLOOKUP(A59,[1]!TOX,74,FALSE))),IF(C59=0,MIN(B59,(VLOOKUP(A59,[1]!TOX,74,FALSE))),MIN(B59,C59,(VLOOKUP(A59,[1]!TOX,74,FALSE)))))</f>
        <v>0.57105891028384004</v>
      </c>
      <c r="E59" s="129" t="str">
        <f>IF(D59=B59,"Noncancer Risk",IF(D59=C59,"Cancer Risk",(VLOOKUP(A59,[1]!TOX,75,FALSE))))</f>
        <v>Cancer Risk</v>
      </c>
      <c r="F59" s="108">
        <f>MAX(D59,(VLOOKUP(A59,[1]!TOX,50,FALSE)),(VLOOKUP(A59,[1]!TOX,35,FALSE)))</f>
        <v>0.57105891028384004</v>
      </c>
      <c r="G59" s="115">
        <f>MIN(F59,'S-3'!J59)</f>
        <v>0.57105891028384004</v>
      </c>
      <c r="H59" s="109">
        <f t="shared" si="1"/>
        <v>0.6</v>
      </c>
      <c r="I59" s="132" t="str">
        <f>IF(G59=0,"Not Calculated",IF(G59=D59,E59,IF(G59=[1]Toxicity!AI55,"Background",IF(G59='S-3'!J59,"S-3 Standard","PQL"))))</f>
        <v>Cancer Risk</v>
      </c>
      <c r="J59" s="48"/>
      <c r="K59" s="54"/>
      <c r="L59" s="48"/>
      <c r="M59" s="48"/>
      <c r="N59" s="48"/>
      <c r="O59" s="48"/>
      <c r="P59" s="48"/>
      <c r="Q59" s="48"/>
      <c r="R59" s="48"/>
      <c r="S59" s="48"/>
      <c r="W59" s="51"/>
    </row>
    <row r="60" spans="1:23" ht="14" x14ac:dyDescent="0.25">
      <c r="A60" s="363" t="s">
        <v>54</v>
      </c>
      <c r="B60" s="108">
        <f>IF(ISERR(1/+(VLOOKUP(A60,[1]!TOX,17,FALSE))),0,'[1]Target Risk'!$D$8*(VLOOKUP(A60,[1]!TOX,4,FALSE))/(('S-2 Assumptions'!$J$21*(VLOOKUP(A60,[1]!TOX,17,FALSE)))+('S-2 Assumptions'!$K$43*(VLOOKUP(A60,[1]!TOX,19,FALSE)))))</f>
        <v>563879.88398312905</v>
      </c>
      <c r="C60" s="129">
        <f>IF(ISERR(1/(VLOOKUP(A60,[1]!TOX,25,FALSE))),0,+'[1]Target Risk'!$D$12/((('S-2 Assumptions'!$J$29*(VLOOKUP(A60,[1]!TOX,25,FALSE)))+('S-2 Assumptions'!$K$51*(VLOOKUP(A60,[1]!TOX,27,FALSE))))*(VLOOKUP(A60,[1]!TOX,12,FALSE))))</f>
        <v>0</v>
      </c>
      <c r="D60" s="108">
        <f>IF(B60=0,MIN(C60,(VLOOKUP(A60,[1]!TOX,74,FALSE))),IF(C60=0,MIN(B60,(VLOOKUP(A60,[1]!TOX,74,FALSE))),MIN(B60,C60,(VLOOKUP(A60,[1]!TOX,74,FALSE)))))</f>
        <v>3000</v>
      </c>
      <c r="E60" s="129" t="str">
        <f>IF(D60=B60,"Noncancer Risk",IF(D60=C60,"Cancer Risk",(VLOOKUP(A60,[1]!TOX,75,FALSE))))</f>
        <v>Ceiling (High)</v>
      </c>
      <c r="F60" s="108">
        <f>MAX(D60,(VLOOKUP(A60,[1]!TOX,50,FALSE)),(VLOOKUP(A60,[1]!TOX,35,FALSE)))</f>
        <v>3000</v>
      </c>
      <c r="G60" s="115">
        <f>MIN(F60,'S-3'!J60)</f>
        <v>3000</v>
      </c>
      <c r="H60" s="109">
        <f t="shared" si="1"/>
        <v>3000</v>
      </c>
      <c r="I60" s="132" t="str">
        <f>IF(G60=0,"Not Calculated",IF(G60=D60,E60,IF(G60=[1]Toxicity!AI56,"Background",IF(G60='S-3'!J60,"S-3 Standard","PQL"))))</f>
        <v>Ceiling (High)</v>
      </c>
      <c r="J60" s="48"/>
      <c r="K60" s="54"/>
      <c r="L60" s="48"/>
      <c r="M60" s="48"/>
      <c r="N60" s="48"/>
      <c r="O60" s="48"/>
      <c r="P60" s="48"/>
      <c r="Q60" s="48"/>
      <c r="R60" s="48"/>
      <c r="S60" s="48"/>
      <c r="W60" s="51"/>
    </row>
    <row r="61" spans="1:23" ht="14" x14ac:dyDescent="0.25">
      <c r="A61" s="363" t="s">
        <v>53</v>
      </c>
      <c r="B61" s="108">
        <f>IF(ISERR(1/+(VLOOKUP(A61,[1]!TOX,17,FALSE))),0,'[1]Target Risk'!$D$8*(VLOOKUP(A61,[1]!TOX,4,FALSE))/(('S-2 Assumptions'!$J$21*(VLOOKUP(A61,[1]!TOX,17,FALSE)))+('S-2 Assumptions'!$K$43*(VLOOKUP(A61,[1]!TOX,19,FALSE)))))</f>
        <v>70484.985497891132</v>
      </c>
      <c r="C61" s="129">
        <f>IF(ISERR(1/(VLOOKUP(A61,[1]!TOX,25,FALSE))),0,+'[1]Target Risk'!$D$12/((('S-2 Assumptions'!$J$29*(VLOOKUP(A61,[1]!TOX,25,FALSE)))+('S-2 Assumptions'!$K$51*(VLOOKUP(A61,[1]!TOX,27,FALSE))))*(VLOOKUP(A61,[1]!TOX,12,FALSE))))</f>
        <v>0</v>
      </c>
      <c r="D61" s="108">
        <f>IF(B61=0,MIN(C61,(VLOOKUP(A61,[1]!TOX,74,FALSE))),IF(C61=0,MIN(B61,(VLOOKUP(A61,[1]!TOX,74,FALSE))),MIN(B61,C61,(VLOOKUP(A61,[1]!TOX,74,FALSE)))))</f>
        <v>3000</v>
      </c>
      <c r="E61" s="129" t="str">
        <f>IF(D61=B61,"Noncancer Risk",IF(D61=C61,"Cancer Risk",(VLOOKUP(A61,[1]!TOX,75,FALSE))))</f>
        <v>Ceiling (High)</v>
      </c>
      <c r="F61" s="108">
        <f>MAX(D61,(VLOOKUP(A61,[1]!TOX,50,FALSE)),(VLOOKUP(A61,[1]!TOX,35,FALSE)))</f>
        <v>3000</v>
      </c>
      <c r="G61" s="115">
        <f>MIN(F61,'S-3'!J61)</f>
        <v>3000</v>
      </c>
      <c r="H61" s="109">
        <f t="shared" si="1"/>
        <v>3000</v>
      </c>
      <c r="I61" s="132" t="str">
        <f>IF(G61=0,"Not Calculated",IF(G61=D61,E61,IF(G61=[1]Toxicity!AI57,"Background",IF(G61='S-3'!J61,"S-3 Standard","PQL"))))</f>
        <v>Ceiling (High)</v>
      </c>
      <c r="J61" s="48"/>
      <c r="K61" s="54"/>
      <c r="L61" s="48"/>
      <c r="M61" s="48"/>
      <c r="N61" s="48"/>
      <c r="O61" s="48"/>
      <c r="P61" s="48"/>
      <c r="Q61" s="48"/>
      <c r="R61" s="48"/>
      <c r="S61" s="48"/>
      <c r="W61" s="51"/>
    </row>
    <row r="62" spans="1:23" ht="14" x14ac:dyDescent="0.25">
      <c r="A62" s="363" t="s">
        <v>52</v>
      </c>
      <c r="B62" s="108">
        <f>IF(ISERR(1/+(VLOOKUP(A62,[1]!TOX,17,FALSE))),0,'[1]Target Risk'!$D$8*(VLOOKUP(A62,[1]!TOX,4,FALSE))/(('S-2 Assumptions'!$J$21*(VLOOKUP(A62,[1]!TOX,17,FALSE)))+('S-2 Assumptions'!$K$43*(VLOOKUP(A62,[1]!TOX,19,FALSE)))))</f>
        <v>10794.694936996553</v>
      </c>
      <c r="C62" s="129">
        <f>IF(ISERR(1/(VLOOKUP(A62,[1]!TOX,25,FALSE))),0,+'[1]Target Risk'!$D$12/((('S-2 Assumptions'!$J$29*(VLOOKUP(A62,[1]!TOX,25,FALSE)))+('S-2 Assumptions'!$K$51*(VLOOKUP(A62,[1]!TOX,27,FALSE))))*(VLOOKUP(A62,[1]!TOX,12,FALSE))))</f>
        <v>0</v>
      </c>
      <c r="D62" s="108">
        <f>IF(B62=0,MIN(C62,(VLOOKUP(A62,[1]!TOX,74,FALSE))),IF(C62=0,MIN(B62,(VLOOKUP(A62,[1]!TOX,74,FALSE))),MIN(B62,C62,(VLOOKUP(A62,[1]!TOX,74,FALSE)))))</f>
        <v>3000</v>
      </c>
      <c r="E62" s="129" t="str">
        <f>IF(D62=B62,"Noncancer Risk",IF(D62=C62,"Cancer Risk",(VLOOKUP(A62,[1]!TOX,75,FALSE))))</f>
        <v>Ceiling (High)</v>
      </c>
      <c r="F62" s="108">
        <f>MAX(D62,(VLOOKUP(A62,[1]!TOX,50,FALSE)),(VLOOKUP(A62,[1]!TOX,35,FALSE)))</f>
        <v>3000</v>
      </c>
      <c r="G62" s="115">
        <f>MIN(F62,'S-3'!J62)</f>
        <v>2196.3976062915085</v>
      </c>
      <c r="H62" s="109">
        <f t="shared" si="1"/>
        <v>2000</v>
      </c>
      <c r="I62" s="132" t="str">
        <f>IF(G62=0,"Not Calculated",IF(G62=D62,E62,IF(G62=[1]Toxicity!AI58,"Background",IF(G62='S-3'!J62,"S-3 Standard","PQL"))))</f>
        <v>S-3 Standard</v>
      </c>
      <c r="J62" s="48"/>
      <c r="K62" s="54"/>
      <c r="L62" s="48"/>
      <c r="M62" s="48"/>
      <c r="N62" s="48"/>
      <c r="O62" s="48"/>
      <c r="P62" s="48"/>
      <c r="Q62" s="48"/>
      <c r="R62" s="48"/>
      <c r="S62" s="48"/>
      <c r="W62" s="52"/>
    </row>
    <row r="63" spans="1:23" ht="14" x14ac:dyDescent="0.25">
      <c r="A63" s="363" t="s">
        <v>51</v>
      </c>
      <c r="B63" s="108">
        <f>IF(ISERR(1/+(VLOOKUP(A63,[1]!TOX,17,FALSE))),0,'[1]Target Risk'!$D$8*(VLOOKUP(A63,[1]!TOX,4,FALSE))/(('S-2 Assumptions'!$J$21*(VLOOKUP(A63,[1]!TOX,17,FALSE)))+('S-2 Assumptions'!$K$43*(VLOOKUP(A63,[1]!TOX,19,FALSE)))))</f>
        <v>1079.4694936996552</v>
      </c>
      <c r="C63" s="129">
        <f>IF(ISERR(1/(VLOOKUP(A63,[1]!TOX,25,FALSE))),0,+'[1]Target Risk'!$D$12/((('S-2 Assumptions'!$J$29*(VLOOKUP(A63,[1]!TOX,25,FALSE)))+('S-2 Assumptions'!$K$51*(VLOOKUP(A63,[1]!TOX,27,FALSE))))*(VLOOKUP(A63,[1]!TOX,12,FALSE))))</f>
        <v>0</v>
      </c>
      <c r="D63" s="108">
        <f>IF(B63=0,MIN(C63,(VLOOKUP(A63,[1]!TOX,74,FALSE))),IF(C63=0,MIN(B63,(VLOOKUP(A63,[1]!TOX,74,FALSE))),MIN(B63,C63,(VLOOKUP(A63,[1]!TOX,74,FALSE)))))</f>
        <v>1079.4694936996552</v>
      </c>
      <c r="E63" s="129" t="str">
        <f>IF(D63=B63,"Noncancer Risk",IF(D63=C63,"Cancer Risk",(VLOOKUP(A63,[1]!TOX,75,FALSE))))</f>
        <v>Noncancer Risk</v>
      </c>
      <c r="F63" s="108">
        <f>MAX(D63,(VLOOKUP(A63,[1]!TOX,50,FALSE)),(VLOOKUP(A63,[1]!TOX,35,FALSE)))</f>
        <v>1079.4694936996552</v>
      </c>
      <c r="G63" s="115">
        <f>MIN(F63,'S-3'!J63)</f>
        <v>878.48190207218806</v>
      </c>
      <c r="H63" s="109">
        <f t="shared" si="1"/>
        <v>900</v>
      </c>
      <c r="I63" s="132" t="str">
        <f>IF(G63=0,"Not Calculated",IF(G63=D63,E63,IF(G63=[1]Toxicity!AI59,"Background",IF(G63='S-3'!J63,"S-3 Standard","PQL"))))</f>
        <v>S-3 Standard</v>
      </c>
      <c r="J63" s="48"/>
      <c r="K63" s="54"/>
      <c r="L63" s="48"/>
      <c r="M63" s="48"/>
      <c r="N63" s="48"/>
      <c r="O63" s="48"/>
      <c r="P63" s="48"/>
      <c r="Q63" s="48"/>
      <c r="R63" s="48"/>
      <c r="S63" s="48"/>
      <c r="W63" s="51"/>
    </row>
    <row r="64" spans="1:23" ht="14" x14ac:dyDescent="0.25">
      <c r="A64" s="363" t="s">
        <v>50</v>
      </c>
      <c r="B64" s="108">
        <f>IF(ISERR(1/+(VLOOKUP(A64,[1]!TOX,17,FALSE))),0,'[1]Target Risk'!$D$8*(VLOOKUP(A64,[1]!TOX,4,FALSE))/(('S-2 Assumptions'!$J$21*(VLOOKUP(A64,[1]!TOX,17,FALSE)))+('S-2 Assumptions'!$K$43*(VLOOKUP(A64,[1]!TOX,19,FALSE)))))</f>
        <v>14096.997099578226</v>
      </c>
      <c r="C64" s="129">
        <f>IF(ISERR(1/(VLOOKUP(A64,[1]!TOX,25,FALSE))),0,+'[1]Target Risk'!$D$12/((('S-2 Assumptions'!$J$29*(VLOOKUP(A64,[1]!TOX,25,FALSE)))+('S-2 Assumptions'!$K$51*(VLOOKUP(A64,[1]!TOX,27,FALSE))))*(VLOOKUP(A64,[1]!TOX,12,FALSE))))</f>
        <v>13.436680241972708</v>
      </c>
      <c r="D64" s="108">
        <f>IF(B64=0,MIN(C64,(VLOOKUP(A64,[1]!TOX,74,FALSE))),IF(C64=0,MIN(B64,(VLOOKUP(A64,[1]!TOX,74,FALSE))),MIN(B64,C64,(VLOOKUP(A64,[1]!TOX,74,FALSE)))))</f>
        <v>13.436680241972708</v>
      </c>
      <c r="E64" s="129" t="str">
        <f>IF(D64=B64,"Noncancer Risk",IF(D64=C64,"Cancer Risk",(VLOOKUP(A64,[1]!TOX,75,FALSE))))</f>
        <v>Cancer Risk</v>
      </c>
      <c r="F64" s="108">
        <f>MAX(D64,(VLOOKUP(A64,[1]!TOX,50,FALSE)),(VLOOKUP(A64,[1]!TOX,35,FALSE)))</f>
        <v>13.436680241972708</v>
      </c>
      <c r="G64" s="115">
        <f>MIN(F64,'S-3'!J64)</f>
        <v>13.436680241972708</v>
      </c>
      <c r="H64" s="109">
        <f t="shared" si="1"/>
        <v>10</v>
      </c>
      <c r="I64" s="132" t="str">
        <f>IF(G64=0,"Not Calculated",IF(G64=D64,E64,IF(G64=[1]Toxicity!AI60,"Background",IF(G64='S-3'!J64,"S-3 Standard","PQL"))))</f>
        <v>Cancer Risk</v>
      </c>
      <c r="J64" s="48"/>
      <c r="K64" s="54"/>
      <c r="L64" s="48"/>
      <c r="M64" s="48"/>
      <c r="N64" s="48"/>
      <c r="O64" s="48"/>
      <c r="P64" s="48"/>
      <c r="Q64" s="48"/>
      <c r="R64" s="48"/>
      <c r="S64" s="48"/>
      <c r="W64" s="51"/>
    </row>
    <row r="65" spans="1:23" ht="14" x14ac:dyDescent="0.25">
      <c r="A65" s="363" t="s">
        <v>49</v>
      </c>
      <c r="B65" s="108">
        <f>IF(ISERR(1/+(VLOOKUP(A65,[1]!TOX,17,FALSE))),0,'[1]Target Risk'!$D$8*(VLOOKUP(A65,[1]!TOX,4,FALSE))/(('S-2 Assumptions'!$J$21*(VLOOKUP(A65,[1]!TOX,17,FALSE)))+('S-2 Assumptions'!$K$43*(VLOOKUP(A65,[1]!TOX,19,FALSE)))))</f>
        <v>23681.066413537363</v>
      </c>
      <c r="C65" s="129">
        <f>IF(ISERR(1/(VLOOKUP(A65,[1]!TOX,25,FALSE))),0,+'[1]Target Risk'!$D$12/((('S-2 Assumptions'!$J$29*(VLOOKUP(A65,[1]!TOX,25,FALSE)))+('S-2 Assumptions'!$K$51*(VLOOKUP(A65,[1]!TOX,27,FALSE))))*(VLOOKUP(A65,[1]!TOX,12,FALSE))))</f>
        <v>102.32559561405033</v>
      </c>
      <c r="D65" s="108">
        <f>IF(B65=0,MIN(C65,(VLOOKUP(A65,[1]!TOX,74,FALSE))),IF(C65=0,MIN(B65,(VLOOKUP(A65,[1]!TOX,74,FALSE))),MIN(B65,C65,(VLOOKUP(A65,[1]!TOX,74,FALSE)))))</f>
        <v>102.32559561405033</v>
      </c>
      <c r="E65" s="129" t="str">
        <f>IF(D65=B65,"Noncancer Risk",IF(D65=C65,"Cancer Risk",(VLOOKUP(A65,[1]!TOX,75,FALSE))))</f>
        <v>Cancer Risk</v>
      </c>
      <c r="F65" s="108">
        <f>MAX(D65,(VLOOKUP(A65,[1]!TOX,50,FALSE)),(VLOOKUP(A65,[1]!TOX,35,FALSE)))</f>
        <v>102.32559561405033</v>
      </c>
      <c r="G65" s="115">
        <f>MIN(F65,'S-3'!J65)</f>
        <v>102.32559561405033</v>
      </c>
      <c r="H65" s="109">
        <f t="shared" si="1"/>
        <v>100</v>
      </c>
      <c r="I65" s="132" t="str">
        <f>IF(G65=0,"Not Calculated",IF(G65=D65,E65,IF(G65=[1]Toxicity!AI61,"Background",IF(G65='S-3'!J65,"S-3 Standard","PQL"))))</f>
        <v>Cancer Risk</v>
      </c>
      <c r="J65" s="48"/>
      <c r="K65" s="54"/>
      <c r="L65" s="48"/>
      <c r="M65" s="48"/>
      <c r="N65" s="48"/>
      <c r="O65" s="48"/>
      <c r="P65" s="48"/>
      <c r="Q65" s="48"/>
      <c r="R65" s="48"/>
      <c r="S65" s="48"/>
      <c r="W65" s="51"/>
    </row>
    <row r="66" spans="1:23" ht="14" x14ac:dyDescent="0.25">
      <c r="A66" s="363" t="s">
        <v>48</v>
      </c>
      <c r="B66" s="108">
        <f>IF(ISERR(1/+(VLOOKUP(A66,[1]!TOX,17,FALSE))),0,'[1]Target Risk'!$D$8*(VLOOKUP(A66,[1]!TOX,4,FALSE))/(('S-2 Assumptions'!$J$21*(VLOOKUP(A66,[1]!TOX,17,FALSE)))+('S-2 Assumptions'!$K$43*(VLOOKUP(A66,[1]!TOX,19,FALSE)))))</f>
        <v>4229.099129873468</v>
      </c>
      <c r="C66" s="129">
        <f>IF(ISERR(1/(VLOOKUP(A66,[1]!TOX,25,FALSE))),0,+'[1]Target Risk'!$D$12/((('S-2 Assumptions'!$J$29*(VLOOKUP(A66,[1]!TOX,25,FALSE)))+('S-2 Assumptions'!$K$51*(VLOOKUP(A66,[1]!TOX,27,FALSE))))*(VLOOKUP(A66,[1]!TOX,12,FALSE))))</f>
        <v>0</v>
      </c>
      <c r="D66" s="108">
        <f>IF(B66=0,MIN(C66,(VLOOKUP(A66,[1]!TOX,74,FALSE))),IF(C66=0,MIN(B66,(VLOOKUP(A66,[1]!TOX,74,FALSE))),MIN(B66,C66,(VLOOKUP(A66,[1]!TOX,74,FALSE)))))</f>
        <v>3000</v>
      </c>
      <c r="E66" s="129" t="str">
        <f>IF(D66=B66,"Noncancer Risk",IF(D66=C66,"Cancer Risk",(VLOOKUP(A66,[1]!TOX,75,FALSE))))</f>
        <v>Ceiling (High)</v>
      </c>
      <c r="F66" s="108">
        <f>MAX(D66,(VLOOKUP(A66,[1]!TOX,50,FALSE)),(VLOOKUP(A66,[1]!TOX,35,FALSE)))</f>
        <v>3000</v>
      </c>
      <c r="G66" s="115">
        <f>MIN(F66,'S-3'!J66)</f>
        <v>532.04750337968062</v>
      </c>
      <c r="H66" s="109">
        <f t="shared" si="1"/>
        <v>500</v>
      </c>
      <c r="I66" s="132" t="str">
        <f>IF(G66=0,"Not Calculated",IF(G66=D66,E66,IF(G66=[1]Toxicity!AI62,"Background",IF(G66='S-3'!J66,"S-3 Standard","PQL"))))</f>
        <v>S-3 Standard</v>
      </c>
      <c r="J66" s="48"/>
      <c r="K66" s="54"/>
      <c r="L66" s="48"/>
      <c r="M66" s="48"/>
      <c r="N66" s="48"/>
      <c r="O66" s="48"/>
      <c r="P66" s="48"/>
      <c r="Q66" s="48"/>
      <c r="R66" s="48"/>
      <c r="S66" s="48"/>
      <c r="W66" s="51"/>
    </row>
    <row r="67" spans="1:23" ht="14" x14ac:dyDescent="0.25">
      <c r="A67" s="363" t="s">
        <v>47</v>
      </c>
      <c r="B67" s="108">
        <f>IF(ISERR(1/+(VLOOKUP(A67,[1]!TOX,17,FALSE))),0,'[1]Target Risk'!$D$8*(VLOOKUP(A67,[1]!TOX,4,FALSE))/(('S-2 Assumptions'!$J$21*(VLOOKUP(A67,[1]!TOX,17,FALSE)))+('S-2 Assumptions'!$K$43*(VLOOKUP(A67,[1]!TOX,19,FALSE)))))</f>
        <v>211.45495649367336</v>
      </c>
      <c r="C67" s="129">
        <f>IF(ISERR(1/(VLOOKUP(A67,[1]!TOX,25,FALSE))),0,+'[1]Target Risk'!$D$12/((('S-2 Assumptions'!$J$29*(VLOOKUP(A67,[1]!TOX,25,FALSE)))+('S-2 Assumptions'!$K$51*(VLOOKUP(A67,[1]!TOX,27,FALSE))))*(VLOOKUP(A67,[1]!TOX,12,FALSE))))</f>
        <v>0</v>
      </c>
      <c r="D67" s="108">
        <f>IF(B67=0,MIN(C67,(VLOOKUP(A67,[1]!TOX,74,FALSE))),IF(C67=0,MIN(B67,(VLOOKUP(A67,[1]!TOX,74,FALSE))),MIN(B67,C67,(VLOOKUP(A67,[1]!TOX,74,FALSE)))))</f>
        <v>211.45495649367336</v>
      </c>
      <c r="E67" s="129" t="str">
        <f>IF(D67=B67,"Noncancer Risk",IF(D67=C67,"Cancer Risk",(VLOOKUP(A67,[1]!TOX,75,FALSE))))</f>
        <v>Noncancer Risk</v>
      </c>
      <c r="F67" s="108">
        <f>MAX(D67,(VLOOKUP(A67,[1]!TOX,50,FALSE)),(VLOOKUP(A67,[1]!TOX,35,FALSE)))</f>
        <v>211.45495649367336</v>
      </c>
      <c r="G67" s="115">
        <f>MIN(F67,'S-3'!J67)</f>
        <v>26.604090007518966</v>
      </c>
      <c r="H67" s="109">
        <f t="shared" si="1"/>
        <v>30</v>
      </c>
      <c r="I67" s="132" t="str">
        <f>IF(G67=0,"Not Calculated",IF(G67=D67,E67,IF(G67=[1]Toxicity!AI63,"Background",IF(G67='S-3'!J67,"S-3 Standard","PQL"))))</f>
        <v>S-3 Standard</v>
      </c>
      <c r="J67" s="48"/>
      <c r="K67" s="54"/>
      <c r="L67" s="48"/>
      <c r="M67" s="48"/>
      <c r="N67" s="48"/>
      <c r="O67" s="48"/>
      <c r="P67" s="48"/>
      <c r="Q67" s="48"/>
      <c r="R67" s="48"/>
      <c r="S67" s="48"/>
      <c r="W67" s="51"/>
    </row>
    <row r="68" spans="1:23" ht="14" x14ac:dyDescent="0.25">
      <c r="A68" s="363" t="s">
        <v>46</v>
      </c>
      <c r="B68" s="108">
        <f>IF(ISERR(1/+(VLOOKUP(A68,[1]!TOX,17,FALSE))),0,'[1]Target Risk'!$D$8*(VLOOKUP(A68,[1]!TOX,4,FALSE))/(('S-2 Assumptions'!$J$21*(VLOOKUP(A68,[1]!TOX,17,FALSE)))+('S-2 Assumptions'!$K$43*(VLOOKUP(A68,[1]!TOX,19,FALSE)))))</f>
        <v>39468.444022562282</v>
      </c>
      <c r="C68" s="129">
        <f>IF(ISERR(1/(VLOOKUP(A68,[1]!TOX,25,FALSE))),0,+'[1]Target Risk'!$D$12/((('S-2 Assumptions'!$J$29*(VLOOKUP(A68,[1]!TOX,25,FALSE)))+('S-2 Assumptions'!$K$51*(VLOOKUP(A68,[1]!TOX,27,FALSE))))*(VLOOKUP(A68,[1]!TOX,12,FALSE))))</f>
        <v>0</v>
      </c>
      <c r="D68" s="108">
        <f>IF(B68=0,MIN(C68,(VLOOKUP(A68,[1]!TOX,74,FALSE))),IF(C68=0,MIN(B68,(VLOOKUP(A68,[1]!TOX,74,FALSE))),MIN(B68,C68,(VLOOKUP(A68,[1]!TOX,74,FALSE)))))</f>
        <v>1000</v>
      </c>
      <c r="E68" s="129" t="str">
        <f>IF(D68=B68,"Noncancer Risk",IF(D68=C68,"Cancer Risk",(VLOOKUP(A68,[1]!TOX,75,FALSE))))</f>
        <v>Ceiling (Medium)</v>
      </c>
      <c r="F68" s="108">
        <f>MAX(D68,(VLOOKUP(A68,[1]!TOX,50,FALSE)),(VLOOKUP(A68,[1]!TOX,35,FALSE)))</f>
        <v>1000</v>
      </c>
      <c r="G68" s="115">
        <f>MIN(F68,'S-3'!J68)</f>
        <v>1000</v>
      </c>
      <c r="H68" s="109">
        <f t="shared" si="1"/>
        <v>1000</v>
      </c>
      <c r="I68" s="132" t="str">
        <f>IF(G68=0,"Not Calculated",IF(G68=D68,E68,IF(G68=[1]Toxicity!AI64,"Background",IF(G68='S-3'!J68,"S-3 Standard","PQL"))))</f>
        <v>Ceiling (Medium)</v>
      </c>
      <c r="J68" s="48"/>
      <c r="K68" s="54"/>
      <c r="L68" s="48"/>
      <c r="M68" s="48"/>
      <c r="N68" s="48"/>
      <c r="O68" s="48"/>
      <c r="P68" s="48"/>
      <c r="Q68" s="48"/>
      <c r="R68" s="48"/>
      <c r="S68" s="48"/>
      <c r="W68" s="51"/>
    </row>
    <row r="69" spans="1:23" ht="14" x14ac:dyDescent="0.25">
      <c r="A69" s="363" t="s">
        <v>45</v>
      </c>
      <c r="B69" s="108">
        <f>IF(ISERR(1/+(VLOOKUP(A69,[1]!TOX,17,FALSE))),0,'[1]Target Risk'!$D$8*(VLOOKUP(A69,[1]!TOX,4,FALSE))/(('S-2 Assumptions'!$J$21*(VLOOKUP(A69,[1]!TOX,17,FALSE)))+('S-2 Assumptions'!$K$43*(VLOOKUP(A69,[1]!TOX,19,FALSE)))))</f>
        <v>7104.3199240612093</v>
      </c>
      <c r="C69" s="129">
        <f>IF(ISERR(1/(VLOOKUP(A69,[1]!TOX,25,FALSE))),0,+'[1]Target Risk'!$D$12/((('S-2 Assumptions'!$J$29*(VLOOKUP(A69,[1]!TOX,25,FALSE)))+('S-2 Assumptions'!$K$51*(VLOOKUP(A69,[1]!TOX,27,FALSE))))*(VLOOKUP(A69,[1]!TOX,12,FALSE))))</f>
        <v>5.1162797807025164</v>
      </c>
      <c r="D69" s="108">
        <f>IF(B69=0,MIN(C69,(VLOOKUP(A69,[1]!TOX,74,FALSE))),IF(C69=0,MIN(B69,(VLOOKUP(A69,[1]!TOX,74,FALSE))),MIN(B69,C69,(VLOOKUP(A69,[1]!TOX,74,FALSE)))))</f>
        <v>5.1162797807025164</v>
      </c>
      <c r="E69" s="129" t="str">
        <f>IF(D69=B69,"Noncancer Risk",IF(D69=C69,"Cancer Risk",(VLOOKUP(A69,[1]!TOX,75,FALSE))))</f>
        <v>Cancer Risk</v>
      </c>
      <c r="F69" s="108">
        <f>MAX(D69,(VLOOKUP(A69,[1]!TOX,50,FALSE)),(VLOOKUP(A69,[1]!TOX,35,FALSE)))</f>
        <v>5.1162797807025164</v>
      </c>
      <c r="G69" s="115">
        <f>MIN(F69,'S-3'!J69)</f>
        <v>5.1162797807025164</v>
      </c>
      <c r="H69" s="109">
        <f t="shared" si="1"/>
        <v>5</v>
      </c>
      <c r="I69" s="132" t="str">
        <f>IF(G69=0,"Not Calculated",IF(G69=D69,E69,IF(G69=[1]Toxicity!AI65,"Background",IF(G69='S-3'!J69,"S-3 Standard","PQL"))))</f>
        <v>Cancer Risk</v>
      </c>
      <c r="J69" s="48"/>
      <c r="K69" s="54"/>
      <c r="L69" s="48"/>
      <c r="M69" s="48"/>
      <c r="N69" s="48"/>
      <c r="O69" s="48"/>
      <c r="P69" s="48"/>
      <c r="Q69" s="48"/>
      <c r="R69" s="48"/>
      <c r="S69" s="48"/>
      <c r="W69" s="51"/>
    </row>
    <row r="70" spans="1:23" ht="14" x14ac:dyDescent="0.25">
      <c r="A70" s="363" t="s">
        <v>44</v>
      </c>
      <c r="B70" s="108">
        <f>IF(ISERR(1/+(VLOOKUP(A70,[1]!TOX,17,FALSE))),0,'[1]Target Risk'!$D$8*(VLOOKUP(A70,[1]!TOX,4,FALSE))/(('S-2 Assumptions'!$J$21*(VLOOKUP(A70,[1]!TOX,17,FALSE)))+('S-2 Assumptions'!$K$43*(VLOOKUP(A70,[1]!TOX,19,FALSE)))))</f>
        <v>69260.520755512509</v>
      </c>
      <c r="C70" s="129">
        <f>IF(ISERR(1/(VLOOKUP(A70,[1]!TOX,25,FALSE))),0,+'[1]Target Risk'!$D$12/((('S-2 Assumptions'!$J$29*(VLOOKUP(A70,[1]!TOX,25,FALSE)))+('S-2 Assumptions'!$K$51*(VLOOKUP(A70,[1]!TOX,27,FALSE))))*(VLOOKUP(A70,[1]!TOX,12,FALSE))))</f>
        <v>0</v>
      </c>
      <c r="D70" s="108">
        <f>IF(B70=0,MIN(C70,(VLOOKUP(A70,[1]!TOX,74,FALSE))),IF(C70=0,MIN(B70,(VLOOKUP(A70,[1]!TOX,74,FALSE))),MIN(B70,C70,(VLOOKUP(A70,[1]!TOX,74,FALSE)))))</f>
        <v>3000</v>
      </c>
      <c r="E70" s="129" t="str">
        <f>IF(D70=B70,"Noncancer Risk",IF(D70=C70,"Cancer Risk",(VLOOKUP(A70,[1]!TOX,75,FALSE))))</f>
        <v>Ceiling (High)</v>
      </c>
      <c r="F70" s="108">
        <f>MAX(D70,(VLOOKUP(A70,[1]!TOX,50,FALSE)),(VLOOKUP(A70,[1]!TOX,35,FALSE)))</f>
        <v>3000</v>
      </c>
      <c r="G70" s="115">
        <f>MIN(F70,'S-3'!J70)</f>
        <v>3000</v>
      </c>
      <c r="H70" s="109">
        <f t="shared" si="1"/>
        <v>3000</v>
      </c>
      <c r="I70" s="132" t="str">
        <f>IF(G70=0,"Not Calculated",IF(G70=D70,E70,IF(G70=[1]Toxicity!AI66,"Background",IF(G70='S-3'!J70,"S-3 Standard","PQL"))))</f>
        <v>Ceiling (High)</v>
      </c>
      <c r="J70" s="48"/>
      <c r="K70" s="54"/>
      <c r="L70" s="48"/>
      <c r="M70" s="48"/>
      <c r="N70" s="48"/>
      <c r="O70" s="48"/>
      <c r="P70" s="48"/>
      <c r="Q70" s="48"/>
      <c r="R70" s="48"/>
      <c r="S70" s="48"/>
      <c r="W70" s="51"/>
    </row>
    <row r="71" spans="1:23" ht="14" x14ac:dyDescent="0.25">
      <c r="A71" s="363" t="s">
        <v>43</v>
      </c>
      <c r="B71" s="108">
        <f>IF(ISERR(1/+(VLOOKUP(A71,[1]!TOX,17,FALSE))),0,'[1]Target Risk'!$D$8*(VLOOKUP(A71,[1]!TOX,4,FALSE))/(('S-2 Assumptions'!$J$21*(VLOOKUP(A71,[1]!TOX,17,FALSE)))+('S-2 Assumptions'!$K$43*(VLOOKUP(A71,[1]!TOX,19,FALSE)))))</f>
        <v>69260.520755512509</v>
      </c>
      <c r="C71" s="129">
        <f>IF(ISERR(1/(VLOOKUP(A71,[1]!TOX,25,FALSE))),0,+'[1]Target Risk'!$D$12/((('S-2 Assumptions'!$J$29*(VLOOKUP(A71,[1]!TOX,25,FALSE)))+('S-2 Assumptions'!$K$51*(VLOOKUP(A71,[1]!TOX,27,FALSE))))*(VLOOKUP(A71,[1]!TOX,12,FALSE))))</f>
        <v>0</v>
      </c>
      <c r="D71" s="108">
        <f>IF(B71=0,MIN(C71,(VLOOKUP(A71,[1]!TOX,74,FALSE))),IF(C71=0,MIN(B71,(VLOOKUP(A71,[1]!TOX,74,FALSE))),MIN(B71,C71,(VLOOKUP(A71,[1]!TOX,74,FALSE)))))</f>
        <v>3000</v>
      </c>
      <c r="E71" s="129" t="str">
        <f>IF(D71=B71,"Noncancer Risk",IF(D71=C71,"Cancer Risk",(VLOOKUP(A71,[1]!TOX,75,FALSE))))</f>
        <v>Ceiling (High)</v>
      </c>
      <c r="F71" s="108">
        <f>MAX(D71,(VLOOKUP(A71,[1]!TOX,50,FALSE)),(VLOOKUP(A71,[1]!TOX,35,FALSE)))</f>
        <v>3000</v>
      </c>
      <c r="G71" s="115">
        <f>MIN(F71,'S-3'!J71)</f>
        <v>3000</v>
      </c>
      <c r="H71" s="109">
        <f t="shared" si="1"/>
        <v>3000</v>
      </c>
      <c r="I71" s="132" t="str">
        <f>IF(G71=0,"Not Calculated",IF(G71=D71,E71,IF(G71=[1]Toxicity!AI67,"Background",IF(G71='S-3'!J71,"S-3 Standard","PQL"))))</f>
        <v>Ceiling (High)</v>
      </c>
      <c r="J71" s="48"/>
      <c r="K71" s="54"/>
      <c r="L71" s="48"/>
      <c r="M71" s="48"/>
      <c r="N71" s="48"/>
      <c r="O71" s="48"/>
      <c r="P71" s="48"/>
      <c r="Q71" s="48"/>
      <c r="R71" s="48"/>
      <c r="S71" s="48"/>
      <c r="W71" s="51"/>
    </row>
    <row r="72" spans="1:23" ht="14" x14ac:dyDescent="0.25">
      <c r="A72" s="363" t="s">
        <v>42</v>
      </c>
      <c r="B72" s="108">
        <f>IF(ISERR(1/+(VLOOKUP(A72,[1]!TOX,17,FALSE))),0,'[1]Target Risk'!$D$8*(VLOOKUP(A72,[1]!TOX,4,FALSE))/(('S-2 Assumptions'!$J$21*(VLOOKUP(A72,[1]!TOX,17,FALSE)))+('S-2 Assumptions'!$K$43*(VLOOKUP(A72,[1]!TOX,19,FALSE)))))</f>
        <v>352.42492748945563</v>
      </c>
      <c r="C72" s="129">
        <f>IF(ISERR(1/(VLOOKUP(A72,[1]!TOX,25,FALSE))),0,+'[1]Target Risk'!$D$12/((('S-2 Assumptions'!$J$29*(VLOOKUP(A72,[1]!TOX,25,FALSE)))+('S-2 Assumptions'!$K$51*(VLOOKUP(A72,[1]!TOX,27,FALSE))))*(VLOOKUP(A72,[1]!TOX,12,FALSE))))</f>
        <v>2.0304316810092091</v>
      </c>
      <c r="D72" s="108">
        <f>IF(B72=0,MIN(C72,(VLOOKUP(A72,[1]!TOX,74,FALSE))),IF(C72=0,MIN(B72,(VLOOKUP(A72,[1]!TOX,74,FALSE))),MIN(B72,C72,(VLOOKUP(A72,[1]!TOX,74,FALSE)))))</f>
        <v>2.0304316810092091</v>
      </c>
      <c r="E72" s="129" t="str">
        <f>IF(D72=B72,"Noncancer Risk",IF(D72=C72,"Cancer Risk",(VLOOKUP(A72,[1]!TOX,75,FALSE))))</f>
        <v>Cancer Risk</v>
      </c>
      <c r="F72" s="108">
        <f>MAX(D72,(VLOOKUP(A72,[1]!TOX,50,FALSE)),(VLOOKUP(A72,[1]!TOX,35,FALSE)))</f>
        <v>2.0304316810092091</v>
      </c>
      <c r="G72" s="115">
        <f>MIN(F72,'S-3'!J72)</f>
        <v>2.0304316810092091</v>
      </c>
      <c r="H72" s="109">
        <f t="shared" si="1"/>
        <v>2</v>
      </c>
      <c r="I72" s="132" t="str">
        <f>IF(G72=0,"Not Calculated",IF(G72=D72,E72,IF(G72=[1]Toxicity!AI68,"Background",IF(G72='S-3'!J72,"S-3 Standard","PQL"))))</f>
        <v>Cancer Risk</v>
      </c>
      <c r="J72" s="48"/>
      <c r="K72" s="54"/>
      <c r="L72" s="48"/>
      <c r="M72" s="48"/>
      <c r="N72" s="48"/>
      <c r="O72" s="48"/>
      <c r="P72" s="48"/>
      <c r="Q72" s="48"/>
      <c r="R72" s="48"/>
      <c r="S72" s="48"/>
      <c r="W72" s="52"/>
    </row>
    <row r="73" spans="1:23" ht="14" x14ac:dyDescent="0.25">
      <c r="A73" s="363" t="s">
        <v>41</v>
      </c>
      <c r="B73" s="108">
        <f>IF(ISERR(1/+(VLOOKUP(A73,[1]!TOX,17,FALSE))),0,'[1]Target Risk'!$D$8*(VLOOKUP(A73,[1]!TOX,4,FALSE))/(('S-2 Assumptions'!$J$21*(VLOOKUP(A73,[1]!TOX,17,FALSE)))+('S-2 Assumptions'!$K$43*(VLOOKUP(A73,[1]!TOX,19,FALSE)))))</f>
        <v>9.1630481147258465</v>
      </c>
      <c r="C73" s="129">
        <f>IF(ISERR(1/(VLOOKUP(A73,[1]!TOX,25,FALSE))),0,+'[1]Target Risk'!$D$12/((('S-2 Assumptions'!$J$29*(VLOOKUP(A73,[1]!TOX,25,FALSE)))+('S-2 Assumptions'!$K$51*(VLOOKUP(A73,[1]!TOX,27,FALSE))))*(VLOOKUP(A73,[1]!TOX,12,FALSE))))</f>
        <v>1.0040596224770815</v>
      </c>
      <c r="D73" s="108">
        <f>IF(B73=0,MIN(C73,(VLOOKUP(A73,[1]!TOX,74,FALSE))),IF(C73=0,MIN(B73,(VLOOKUP(A73,[1]!TOX,74,FALSE))),MIN(B73,C73,(VLOOKUP(A73,[1]!TOX,74,FALSE)))))</f>
        <v>1.0040596224770815</v>
      </c>
      <c r="E73" s="129" t="str">
        <f>IF(D73=B73,"Noncancer Risk",IF(D73=C73,"Cancer Risk",(VLOOKUP(A73,[1]!TOX,75,FALSE))))</f>
        <v>Cancer Risk</v>
      </c>
      <c r="F73" s="108">
        <f>MAX(D73,(VLOOKUP(A73,[1]!TOX,50,FALSE)),(VLOOKUP(A73,[1]!TOX,35,FALSE)))</f>
        <v>1.0040596224770815</v>
      </c>
      <c r="G73" s="115">
        <f>MIN(F73,'S-3'!J73)</f>
        <v>1.0040596224770815</v>
      </c>
      <c r="H73" s="109">
        <f t="shared" si="1"/>
        <v>1</v>
      </c>
      <c r="I73" s="132" t="str">
        <f>IF(G73=0,"Not Calculated",IF(G73=D73,E73,IF(G73=[1]Toxicity!AI69,"Background",IF(G73='S-3'!J73,"S-3 Standard","PQL"))))</f>
        <v>Cancer Risk</v>
      </c>
      <c r="J73" s="48"/>
      <c r="K73" s="54"/>
      <c r="L73" s="48"/>
      <c r="M73" s="48"/>
      <c r="N73" s="48"/>
      <c r="O73" s="48"/>
      <c r="P73" s="48"/>
      <c r="Q73" s="48"/>
      <c r="R73" s="48"/>
      <c r="S73" s="48"/>
      <c r="W73" s="51"/>
    </row>
    <row r="74" spans="1:23" ht="14" x14ac:dyDescent="0.25">
      <c r="A74" s="363" t="s">
        <v>40</v>
      </c>
      <c r="B74" s="108">
        <f>IF(ISERR(1/+(VLOOKUP(A74,[1]!TOX,17,FALSE))),0,'[1]Target Risk'!$D$8*(VLOOKUP(A74,[1]!TOX,4,FALSE))/(('S-2 Assumptions'!$J$21*(VLOOKUP(A74,[1]!TOX,17,FALSE)))+('S-2 Assumptions'!$K$43*(VLOOKUP(A74,[1]!TOX,19,FALSE)))))</f>
        <v>7.0484985497891133</v>
      </c>
      <c r="C74" s="129">
        <f>IF(ISERR(1/(VLOOKUP(A74,[1]!TOX,25,FALSE))),0,+'[1]Target Risk'!$D$12/((('S-2 Assumptions'!$J$29*(VLOOKUP(A74,[1]!TOX,25,FALSE)))+('S-2 Assumptions'!$K$51*(VLOOKUP(A74,[1]!TOX,27,FALSE))))*(VLOOKUP(A74,[1]!TOX,12,FALSE))))</f>
        <v>5.7105891028384006</v>
      </c>
      <c r="D74" s="108">
        <f>IF(B74=0,MIN(C74,(VLOOKUP(A74,[1]!TOX,74,FALSE))),IF(C74=0,MIN(B74,(VLOOKUP(A74,[1]!TOX,74,FALSE))),MIN(B74,C74,(VLOOKUP(A74,[1]!TOX,74,FALSE)))))</f>
        <v>5.7105891028384006</v>
      </c>
      <c r="E74" s="129" t="str">
        <f>IF(D74=B74,"Noncancer Risk",IF(D74=C74,"Cancer Risk",(VLOOKUP(A74,[1]!TOX,75,FALSE))))</f>
        <v>Cancer Risk</v>
      </c>
      <c r="F74" s="108">
        <f>MAX(D74,(VLOOKUP(A74,[1]!TOX,50,FALSE)),(VLOOKUP(A74,[1]!TOX,35,FALSE)))</f>
        <v>5.7105891028384006</v>
      </c>
      <c r="G74" s="115">
        <f>MIN(F74,'S-3'!J74)</f>
        <v>0.88690305023323202</v>
      </c>
      <c r="H74" s="109">
        <f t="shared" si="1"/>
        <v>0.9</v>
      </c>
      <c r="I74" s="132" t="str">
        <f>IF(G74=0,"Not Calculated",IF(G74=D74,E74,IF(G74=[1]Toxicity!AI70,"Background",IF(G74='S-3'!J74,"S-3 Standard","PQL"))))</f>
        <v>S-3 Standard</v>
      </c>
      <c r="J74" s="48"/>
      <c r="K74" s="54"/>
      <c r="L74" s="48"/>
      <c r="M74" s="48"/>
      <c r="N74" s="48"/>
      <c r="O74" s="48"/>
      <c r="P74" s="48"/>
      <c r="Q74" s="48"/>
      <c r="R74" s="48"/>
      <c r="S74" s="48"/>
      <c r="W74" s="51"/>
    </row>
    <row r="75" spans="1:23" ht="14" x14ac:dyDescent="0.25">
      <c r="A75" s="363" t="s">
        <v>39</v>
      </c>
      <c r="B75" s="108">
        <f>IF(ISERR(1/+(VLOOKUP(A75,[1]!TOX,17,FALSE))),0,'[1]Target Risk'!$D$8*(VLOOKUP(A75,[1]!TOX,4,FALSE))/(('S-2 Assumptions'!$J$21*(VLOOKUP(A75,[1]!TOX,17,FALSE)))+('S-2 Assumptions'!$K$43*(VLOOKUP(A75,[1]!TOX,19,FALSE)))))</f>
        <v>789.36888045124545</v>
      </c>
      <c r="C75" s="129">
        <f>IF(ISERR(1/(VLOOKUP(A75,[1]!TOX,25,FALSE))),0,+'[1]Target Risk'!$D$12/((('S-2 Assumptions'!$J$29*(VLOOKUP(A75,[1]!TOX,25,FALSE)))+('S-2 Assumptions'!$K$51*(VLOOKUP(A75,[1]!TOX,27,FALSE))))*(VLOOKUP(A75,[1]!TOX,12,FALSE))))</f>
        <v>131.18666104365425</v>
      </c>
      <c r="D75" s="108">
        <f>IF(B75=0,MIN(C75,(VLOOKUP(A75,[1]!TOX,74,FALSE))),IF(C75=0,MIN(B75,(VLOOKUP(A75,[1]!TOX,74,FALSE))),MIN(B75,C75,(VLOOKUP(A75,[1]!TOX,74,FALSE)))))</f>
        <v>131.18666104365425</v>
      </c>
      <c r="E75" s="129" t="str">
        <f>IF(D75=B75,"Noncancer Risk",IF(D75=C75,"Cancer Risk",(VLOOKUP(A75,[1]!TOX,75,FALSE))))</f>
        <v>Cancer Risk</v>
      </c>
      <c r="F75" s="108">
        <f>MAX(D75,(VLOOKUP(A75,[1]!TOX,50,FALSE)),(VLOOKUP(A75,[1]!TOX,35,FALSE)))</f>
        <v>131.18666104365425</v>
      </c>
      <c r="G75" s="115">
        <f>MIN(F75,'S-3'!J75)</f>
        <v>131.18666104365425</v>
      </c>
      <c r="H75" s="109">
        <f t="shared" si="1"/>
        <v>100</v>
      </c>
      <c r="I75" s="132" t="str">
        <f>IF(G75=0,"Not Calculated",IF(G75=D75,E75,IF(G75=[1]Toxicity!AI71,"Background",IF(G75='S-3'!J75,"S-3 Standard","PQL"))))</f>
        <v>Cancer Risk</v>
      </c>
      <c r="J75" s="48"/>
      <c r="K75" s="54"/>
      <c r="L75" s="48"/>
      <c r="M75" s="48"/>
      <c r="N75" s="48"/>
      <c r="O75" s="48"/>
      <c r="P75" s="48"/>
      <c r="Q75" s="48"/>
      <c r="R75" s="48"/>
      <c r="S75" s="48"/>
      <c r="W75" s="53"/>
    </row>
    <row r="76" spans="1:23" ht="20" x14ac:dyDescent="0.25">
      <c r="A76" s="363" t="s">
        <v>38</v>
      </c>
      <c r="B76" s="108">
        <f>IF(ISERR(1/+(VLOOKUP(A76,[1]!TOX,17,FALSE))),0,'[1]Target Risk'!$D$8*(VLOOKUP(A76,[1]!TOX,4,FALSE))/(('S-2 Assumptions'!$J$21*(VLOOKUP(A76,[1]!TOX,17,FALSE)))+('S-2 Assumptions'!$K$43*(VLOOKUP(A76,[1]!TOX,19,FALSE)))))</f>
        <v>232.82239390768652</v>
      </c>
      <c r="C76" s="129">
        <f>IF(ISERR(1/(VLOOKUP(A76,[1]!TOX,25,FALSE))),0,+'[1]Target Risk'!$D$12/((('S-2 Assumptions'!$J$29*(VLOOKUP(A76,[1]!TOX,25,FALSE)))+('S-2 Assumptions'!$K$51*(VLOOKUP(A76,[1]!TOX,27,FALSE))))*(VLOOKUP(A76,[1]!TOX,12,FALSE))))</f>
        <v>7.738636074804397</v>
      </c>
      <c r="D76" s="108">
        <f>IF(B76=0,MIN(C76,(VLOOKUP(A76,[1]!TOX,74,FALSE))),IF(C76=0,MIN(B76,(VLOOKUP(A76,[1]!TOX,74,FALSE))),MIN(B76,C76,(VLOOKUP(A76,[1]!TOX,74,FALSE)))))</f>
        <v>7.738636074804397</v>
      </c>
      <c r="E76" s="129" t="str">
        <f>IF(D76=B76,"Noncancer Risk",IF(D76=C76,"Cancer Risk",(VLOOKUP(A76,[1]!TOX,75,FALSE))))</f>
        <v>Cancer Risk</v>
      </c>
      <c r="F76" s="108">
        <f>MAX(D76,(VLOOKUP(A76,[1]!TOX,50,FALSE)),(VLOOKUP(A76,[1]!TOX,35,FALSE)))</f>
        <v>7.738636074804397</v>
      </c>
      <c r="G76" s="115">
        <f>MIN(F76,'S-3'!J76)</f>
        <v>7.738636074804397</v>
      </c>
      <c r="H76" s="109">
        <f t="shared" si="1"/>
        <v>8</v>
      </c>
      <c r="I76" s="132" t="str">
        <f>IF(G76=0,"Not Calculated",IF(G76=D76,E76,IF(G76=[1]Toxicity!AI72,"Background",IF(G76='S-3'!J76,"S-3 Standard","PQL"))))</f>
        <v>Cancer Risk</v>
      </c>
      <c r="J76" s="48"/>
      <c r="K76" s="54"/>
      <c r="L76" s="48"/>
      <c r="M76" s="48"/>
      <c r="N76" s="48"/>
      <c r="O76" s="48"/>
      <c r="P76" s="48"/>
      <c r="Q76" s="48"/>
      <c r="R76" s="48"/>
      <c r="S76" s="48"/>
      <c r="W76" s="53"/>
    </row>
    <row r="77" spans="1:23" ht="14" x14ac:dyDescent="0.25">
      <c r="A77" s="363" t="s">
        <v>37</v>
      </c>
      <c r="B77" s="108">
        <f>IF(ISERR(1/+(VLOOKUP(A77,[1]!TOX,17,FALSE))),0,'[1]Target Risk'!$D$8*(VLOOKUP(A77,[1]!TOX,4,FALSE))/(('S-2 Assumptions'!$J$21*(VLOOKUP(A77,[1]!TOX,17,FALSE)))+('S-2 Assumptions'!$K$43*(VLOOKUP(A77,[1]!TOX,19,FALSE)))))</f>
        <v>552.55821631587185</v>
      </c>
      <c r="C77" s="129">
        <f>IF(ISERR(1/(VLOOKUP(A77,[1]!TOX,25,FALSE))),0,+'[1]Target Risk'!$D$12/((('S-2 Assumptions'!$J$29*(VLOOKUP(A77,[1]!TOX,25,FALSE)))+('S-2 Assumptions'!$K$51*(VLOOKUP(A77,[1]!TOX,27,FALSE))))*(VLOOKUP(A77,[1]!TOX,12,FALSE))))</f>
        <v>255.81398903512579</v>
      </c>
      <c r="D77" s="108">
        <f>IF(B77=0,MIN(C77,(VLOOKUP(A77,[1]!TOX,74,FALSE))),IF(C77=0,MIN(B77,(VLOOKUP(A77,[1]!TOX,74,FALSE))),MIN(B77,C77,(VLOOKUP(A77,[1]!TOX,74,FALSE)))))</f>
        <v>255.81398903512579</v>
      </c>
      <c r="E77" s="129" t="str">
        <f>IF(D77=B77,"Noncancer Risk",IF(D77=C77,"Cancer Risk",(VLOOKUP(A77,[1]!TOX,75,FALSE))))</f>
        <v>Cancer Risk</v>
      </c>
      <c r="F77" s="108">
        <f>MAX(D77,(VLOOKUP(A77,[1]!TOX,50,FALSE)),(VLOOKUP(A77,[1]!TOX,35,FALSE)))</f>
        <v>255.81398903512579</v>
      </c>
      <c r="G77" s="115">
        <f>MIN(F77,'S-3'!J77)</f>
        <v>255.81398903512579</v>
      </c>
      <c r="H77" s="109">
        <f t="shared" si="1"/>
        <v>300</v>
      </c>
      <c r="I77" s="132" t="str">
        <f>IF(G77=0,"Not Calculated",IF(G77=D77,E77,IF(G77=[1]Toxicity!AI73,"Background",IF(G77='S-3'!J77,"S-3 Standard","PQL"))))</f>
        <v>Cancer Risk</v>
      </c>
      <c r="J77" s="48"/>
      <c r="K77" s="54"/>
      <c r="L77" s="48"/>
      <c r="M77" s="48"/>
      <c r="N77" s="48"/>
      <c r="O77" s="48"/>
      <c r="P77" s="48"/>
      <c r="Q77" s="48"/>
      <c r="R77" s="48"/>
      <c r="S77" s="48"/>
      <c r="W77" s="53"/>
    </row>
    <row r="78" spans="1:23" ht="14" x14ac:dyDescent="0.25">
      <c r="A78" s="363" t="s">
        <v>36</v>
      </c>
      <c r="B78" s="108">
        <f>IF(ISERR(1/+(VLOOKUP(A78,[1]!TOX,17,FALSE))),0,'[1]Target Risk'!$D$8*(VLOOKUP(A78,[1]!TOX,4,FALSE))/(('S-2 Assumptions'!$J$21*(VLOOKUP(A78,[1]!TOX,17,FALSE)))+('S-2 Assumptions'!$K$43*(VLOOKUP(A78,[1]!TOX,19,FALSE)))))</f>
        <v>39468.444022562282</v>
      </c>
      <c r="C78" s="129">
        <f>IF(ISERR(1/(VLOOKUP(A78,[1]!TOX,25,FALSE))),0,+'[1]Target Risk'!$D$12/((('S-2 Assumptions'!$J$29*(VLOOKUP(A78,[1]!TOX,25,FALSE)))+('S-2 Assumptions'!$K$51*(VLOOKUP(A78,[1]!TOX,27,FALSE))))*(VLOOKUP(A78,[1]!TOX,12,FALSE))))</f>
        <v>0</v>
      </c>
      <c r="D78" s="108">
        <f>IF(B78=0,MIN(C78,(VLOOKUP(A78,[1]!TOX,74,FALSE))),IF(C78=0,MIN(B78,(VLOOKUP(A78,[1]!TOX,74,FALSE))),MIN(B78,C78,(VLOOKUP(A78,[1]!TOX,74,FALSE)))))</f>
        <v>3000</v>
      </c>
      <c r="E78" s="129" t="str">
        <f>IF(D78=B78,"Noncancer Risk",IF(D78=C78,"Cancer Risk",(VLOOKUP(A78,[1]!TOX,75,FALSE))))</f>
        <v>Ceiling (High)</v>
      </c>
      <c r="F78" s="108">
        <f>MAX(D78,(VLOOKUP(A78,[1]!TOX,50,FALSE)),(VLOOKUP(A78,[1]!TOX,35,FALSE)))</f>
        <v>3000</v>
      </c>
      <c r="G78" s="115">
        <f>MIN(F78,'S-3'!J78)</f>
        <v>3000</v>
      </c>
      <c r="H78" s="109">
        <f t="shared" si="1"/>
        <v>3000</v>
      </c>
      <c r="I78" s="132" t="str">
        <f>IF(G78=0,"Not Calculated",IF(G78=D78,E78,IF(G78=[1]Toxicity!AI74,"Background",IF(G78='S-3'!J78,"S-3 Standard","PQL"))))</f>
        <v>Ceiling (High)</v>
      </c>
      <c r="J78" s="48"/>
      <c r="K78" s="54"/>
      <c r="L78" s="48"/>
      <c r="M78" s="48"/>
      <c r="N78" s="48"/>
      <c r="O78" s="48"/>
      <c r="P78" s="48"/>
      <c r="Q78" s="48"/>
      <c r="R78" s="48"/>
      <c r="S78" s="48"/>
      <c r="W78" s="53"/>
    </row>
    <row r="79" spans="1:23" ht="14" x14ac:dyDescent="0.25">
      <c r="A79" s="363" t="s">
        <v>35</v>
      </c>
      <c r="B79" s="108">
        <f>IF(ISERR(1/+(VLOOKUP(A79,[1]!TOX,17,FALSE))),0,'[1]Target Risk'!$D$8*(VLOOKUP(A79,[1]!TOX,4,FALSE))/(('S-2 Assumptions'!$J$21*(VLOOKUP(A79,[1]!TOX,17,FALSE)))+('S-2 Assumptions'!$K$43*(VLOOKUP(A79,[1]!TOX,19,FALSE)))))</f>
        <v>74271.846883894992</v>
      </c>
      <c r="C79" s="129">
        <f>IF(ISERR(1/(VLOOKUP(A79,[1]!TOX,25,FALSE))),0,+'[1]Target Risk'!$D$12/((('S-2 Assumptions'!$J$29*(VLOOKUP(A79,[1]!TOX,25,FALSE)))+('S-2 Assumptions'!$K$51*(VLOOKUP(A79,[1]!TOX,27,FALSE))))*(VLOOKUP(A79,[1]!TOX,12,FALSE))))</f>
        <v>320.9277334489289</v>
      </c>
      <c r="D79" s="108">
        <f>IF(B79=0,MIN(C79,(VLOOKUP(A79,[1]!TOX,74,FALSE))),IF(C79=0,MIN(B79,(VLOOKUP(A79,[1]!TOX,74,FALSE))),MIN(B79,C79,(VLOOKUP(A79,[1]!TOX,74,FALSE)))))</f>
        <v>320.9277334489289</v>
      </c>
      <c r="E79" s="129" t="str">
        <f>IF(D79=B79,"Noncancer Risk",IF(D79=C79,"Cancer Risk",(VLOOKUP(A79,[1]!TOX,75,FALSE))))</f>
        <v>Cancer Risk</v>
      </c>
      <c r="F79" s="108">
        <f>MAX(D79,(VLOOKUP(A79,[1]!TOX,50,FALSE)),(VLOOKUP(A79,[1]!TOX,35,FALSE)))</f>
        <v>320.9277334489289</v>
      </c>
      <c r="G79" s="115">
        <f>MIN(F79,'S-3'!J79)</f>
        <v>320.9277334489289</v>
      </c>
      <c r="H79" s="109">
        <f t="shared" si="1"/>
        <v>300</v>
      </c>
      <c r="I79" s="132" t="str">
        <f>IF(G79=0,"Not Calculated",IF(G79=D79,E79,IF(G79=[1]Toxicity!AI75,"Background",IF(G79='S-3'!J79,"S-3 Standard","PQL"))))</f>
        <v>Cancer Risk</v>
      </c>
      <c r="J79" s="48"/>
      <c r="K79" s="54"/>
      <c r="L79" s="48"/>
      <c r="M79" s="48"/>
      <c r="N79" s="48"/>
      <c r="O79" s="48"/>
      <c r="P79" s="48"/>
      <c r="Q79" s="48"/>
      <c r="R79" s="48"/>
      <c r="S79" s="48"/>
      <c r="W79" s="51"/>
    </row>
    <row r="80" spans="1:23" ht="14" x14ac:dyDescent="0.25">
      <c r="A80" s="363" t="s">
        <v>34</v>
      </c>
      <c r="B80" s="108">
        <f>IF(ISERR(1/+(VLOOKUP(A80,[1]!TOX,17,FALSE))),0,'[1]Target Risk'!$D$8*(VLOOKUP(A80,[1]!TOX,4,FALSE))/(('S-2 Assumptions'!$J$21*(VLOOKUP(A80,[1]!TOX,17,FALSE)))+('S-2 Assumptions'!$K$43*(VLOOKUP(A80,[1]!TOX,19,FALSE)))))</f>
        <v>1221.7241776254566</v>
      </c>
      <c r="C80" s="129">
        <f>IF(ISERR(1/(VLOOKUP(A80,[1]!TOX,25,FALSE))),0,+'[1]Target Risk'!$D$12/((('S-2 Assumptions'!$J$29*(VLOOKUP(A80,[1]!TOX,25,FALSE)))+('S-2 Assumptions'!$K$51*(VLOOKUP(A80,[1]!TOX,27,FALSE))))*(VLOOKUP(A80,[1]!TOX,12,FALSE))))</f>
        <v>0</v>
      </c>
      <c r="D80" s="108">
        <f>IF(B80=0,MIN(C80,(VLOOKUP(A80,[1]!TOX,74,FALSE))),IF(C80=0,MIN(B80,(VLOOKUP(A80,[1]!TOX,74,FALSE))),MIN(B80,C80,(VLOOKUP(A80,[1]!TOX,74,FALSE)))))</f>
        <v>1221.7241776254566</v>
      </c>
      <c r="E80" s="129" t="str">
        <f>IF(D80=B80,"Noncancer Risk",IF(D80=C80,"Cancer Risk",(VLOOKUP(A80,[1]!TOX,75,FALSE))))</f>
        <v>Noncancer Risk</v>
      </c>
      <c r="F80" s="108">
        <f>MAX(D80,(VLOOKUP(A80,[1]!TOX,50,FALSE)),(VLOOKUP(A80,[1]!TOX,35,FALSE)))</f>
        <v>1221.7241776254566</v>
      </c>
      <c r="G80" s="115">
        <f>MIN(F80,'S-3'!J80)</f>
        <v>600</v>
      </c>
      <c r="H80" s="109">
        <f t="shared" si="1"/>
        <v>600</v>
      </c>
      <c r="I80" s="132" t="str">
        <f>IF(G80=0,"Not Calculated",IF(G80=D80,E80,IF(G80=[1]Toxicity!AI76,"Background",IF(G80='S-3'!J80,"S-3 Standard","PQL"))))</f>
        <v>Background</v>
      </c>
      <c r="J80" s="48"/>
      <c r="K80" s="54"/>
      <c r="L80" s="48"/>
      <c r="M80" s="48"/>
      <c r="N80" s="48"/>
      <c r="O80" s="48"/>
      <c r="P80" s="48"/>
      <c r="Q80" s="48"/>
      <c r="R80" s="48"/>
      <c r="S80" s="48"/>
      <c r="W80" s="53"/>
    </row>
    <row r="81" spans="1:23" ht="14" x14ac:dyDescent="0.25">
      <c r="A81" s="363" t="s">
        <v>33</v>
      </c>
      <c r="B81" s="108">
        <f>IF(ISERR(1/+(VLOOKUP(A81,[1]!TOX,17,FALSE))),0,'[1]Target Risk'!$D$8*(VLOOKUP(A81,[1]!TOX,4,FALSE))/(('S-2 Assumptions'!$J$21*(VLOOKUP(A81,[1]!TOX,17,FALSE)))+('S-2 Assumptions'!$K$43*(VLOOKUP(A81,[1]!TOX,19,FALSE)))))</f>
        <v>366.80379058380447</v>
      </c>
      <c r="C81" s="129">
        <f>IF(ISERR(1/(VLOOKUP(A81,[1]!TOX,25,FALSE))),0,+'[1]Target Risk'!$D$12/((('S-2 Assumptions'!$J$29*(VLOOKUP(A81,[1]!TOX,25,FALSE)))+('S-2 Assumptions'!$K$51*(VLOOKUP(A81,[1]!TOX,27,FALSE))))*(VLOOKUP(A81,[1]!TOX,12,FALSE))))</f>
        <v>0</v>
      </c>
      <c r="D81" s="108">
        <f>IF(B81=0,MIN(C81,(VLOOKUP(A81,[1]!TOX,74,FALSE))),IF(C81=0,MIN(B81,(VLOOKUP(A81,[1]!TOX,74,FALSE))),MIN(B81,C81,(VLOOKUP(A81,[1]!TOX,74,FALSE)))))</f>
        <v>366.80379058380447</v>
      </c>
      <c r="E81" s="129" t="str">
        <f>IF(D81=B81,"Noncancer Risk",IF(D81=C81,"Cancer Risk",(VLOOKUP(A81,[1]!TOX,75,FALSE))))</f>
        <v>Noncancer Risk</v>
      </c>
      <c r="F81" s="108">
        <f>MAX(D81,(VLOOKUP(A81,[1]!TOX,50,FALSE)),(VLOOKUP(A81,[1]!TOX,35,FALSE)))</f>
        <v>366.80379058380447</v>
      </c>
      <c r="G81" s="115">
        <f>MIN(F81,'S-3'!J81)</f>
        <v>35.05119418968976</v>
      </c>
      <c r="H81" s="109">
        <f>IF(G81&lt;&gt;0,ROUND(G81,1-(1+INT(LOG10(ABS(G81))))),"")</f>
        <v>40</v>
      </c>
      <c r="I81" s="132" t="str">
        <f>IF(G81=0,"Not Calculated",IF(G81=D81,E81,IF(G81=[1]Toxicity!AI77,"Background",IF(G81='S-3'!J81,"S-3 Standard","PQL"))))</f>
        <v>S-3 Standard</v>
      </c>
      <c r="J81" s="48"/>
      <c r="K81" s="54"/>
      <c r="L81" s="48"/>
      <c r="M81" s="48"/>
      <c r="N81" s="48"/>
      <c r="O81" s="48"/>
      <c r="P81" s="48"/>
      <c r="Q81" s="48"/>
      <c r="R81" s="48"/>
      <c r="S81" s="48"/>
      <c r="W81" s="51"/>
    </row>
    <row r="82" spans="1:23" ht="14" x14ac:dyDescent="0.25">
      <c r="A82" s="363" t="s">
        <v>32</v>
      </c>
      <c r="B82" s="108">
        <f>IF(ISERR(1/+(VLOOKUP(A82,[1]!TOX,17,FALSE))),0,'[1]Target Risk'!$D$8*(VLOOKUP(A82,[1]!TOX,4,FALSE))/(('S-2 Assumptions'!$J$21*(VLOOKUP(A82,[1]!TOX,17,FALSE)))+('S-2 Assumptions'!$K$43*(VLOOKUP(A82,[1]!TOX,19,FALSE)))))</f>
        <v>3524.2492748945565</v>
      </c>
      <c r="C82" s="129">
        <f>IF(ISERR(1/(VLOOKUP(A82,[1]!TOX,25,FALSE))),0,+'[1]Target Risk'!$D$12/((('S-2 Assumptions'!$J$29*(VLOOKUP(A82,[1]!TOX,25,FALSE)))+('S-2 Assumptions'!$K$51*(VLOOKUP(A82,[1]!TOX,27,FALSE))))*(VLOOKUP(A82,[1]!TOX,12,FALSE))))</f>
        <v>0</v>
      </c>
      <c r="D82" s="108">
        <f>IF(B82=0,MIN(C82,(VLOOKUP(A82,[1]!TOX,74,FALSE))),IF(C82=0,MIN(B82,(VLOOKUP(A82,[1]!TOX,74,FALSE))),MIN(B82,C82,(VLOOKUP(A82,[1]!TOX,74,FALSE)))))</f>
        <v>3000</v>
      </c>
      <c r="E82" s="129" t="str">
        <f>IF(D82=B82,"Noncancer Risk",IF(D82=C82,"Cancer Risk",(VLOOKUP(A82,[1]!TOX,75,FALSE))))</f>
        <v>Ceiling (High)</v>
      </c>
      <c r="F82" s="108">
        <f>MAX(D82,(VLOOKUP(A82,[1]!TOX,50,FALSE)),(VLOOKUP(A82,[1]!TOX,35,FALSE)))</f>
        <v>3000</v>
      </c>
      <c r="G82" s="115">
        <f>MIN(F82,'S-3'!J82)</f>
        <v>443.39038499327404</v>
      </c>
      <c r="H82" s="109">
        <f t="shared" ref="H82:H97" si="2">IF(G82&lt;&gt;0,ROUND(G82,1-(1+INT(LOG10(ABS(G82))))),"")</f>
        <v>400</v>
      </c>
      <c r="I82" s="132" t="str">
        <f>IF(G82=0,"Not Calculated",IF(G82=D82,E82,IF(G82=[1]Toxicity!AI78,"Background",IF(G82='S-3'!J82,"S-3 Standard","PQL"))))</f>
        <v>S-3 Standard</v>
      </c>
      <c r="J82" s="48"/>
      <c r="K82" s="54"/>
      <c r="L82" s="48"/>
      <c r="M82" s="48"/>
      <c r="N82" s="48"/>
      <c r="O82" s="48"/>
      <c r="P82" s="48"/>
      <c r="Q82" s="48"/>
      <c r="R82" s="48"/>
      <c r="S82" s="48"/>
      <c r="W82" s="53"/>
    </row>
    <row r="83" spans="1:23" ht="14" x14ac:dyDescent="0.25">
      <c r="A83" s="363" t="s">
        <v>31</v>
      </c>
      <c r="B83" s="108">
        <f>IF(ISERR(1/+(VLOOKUP(A83,[1]!TOX,17,FALSE))),0,'[1]Target Risk'!$D$8*(VLOOKUP(A83,[1]!TOX,4,FALSE))/(('S-2 Assumptions'!$J$21*(VLOOKUP(A83,[1]!TOX,17,FALSE)))+('S-2 Assumptions'!$K$43*(VLOOKUP(A83,[1]!TOX,19,FALSE)))))</f>
        <v>473621.32827074727</v>
      </c>
      <c r="C83" s="129">
        <f>IF(ISERR(1/(VLOOKUP(A83,[1]!TOX,25,FALSE))),0,+'[1]Target Risk'!$D$12/((('S-2 Assumptions'!$J$29*(VLOOKUP(A83,[1]!TOX,25,FALSE)))+('S-2 Assumptions'!$K$51*(VLOOKUP(A83,[1]!TOX,27,FALSE))))*(VLOOKUP(A83,[1]!TOX,12,FALSE))))</f>
        <v>0</v>
      </c>
      <c r="D83" s="108">
        <f>IF(B83=0,MIN(C83,(VLOOKUP(A83,[1]!TOX,74,FALSE))),IF(C83=0,MIN(B83,(VLOOKUP(A83,[1]!TOX,74,FALSE))),MIN(B83,C83,(VLOOKUP(A83,[1]!TOX,74,FALSE)))))</f>
        <v>1000</v>
      </c>
      <c r="E83" s="129" t="str">
        <f>IF(D83=B83,"Noncancer Risk",IF(D83=C83,"Cancer Risk",(VLOOKUP(A83,[1]!TOX,75,FALSE))))</f>
        <v>Ceiling (Medium)</v>
      </c>
      <c r="F83" s="108">
        <f>MAX(D83,(VLOOKUP(A83,[1]!TOX,50,FALSE)),(VLOOKUP(A83,[1]!TOX,35,FALSE)))</f>
        <v>1000</v>
      </c>
      <c r="G83" s="115">
        <f>MIN(F83,'S-3'!J83)</f>
        <v>1000</v>
      </c>
      <c r="H83" s="109">
        <f t="shared" si="2"/>
        <v>1000</v>
      </c>
      <c r="I83" s="132" t="str">
        <f>IF(G83=0,"Not Calculated",IF(G83=D83,E83,IF(G83=[1]Toxicity!AI79,"Background",IF(G83='S-3'!J83,"S-3 Standard","PQL"))))</f>
        <v>Ceiling (Medium)</v>
      </c>
      <c r="J83" s="48"/>
      <c r="K83" s="54"/>
      <c r="L83" s="48"/>
      <c r="M83" s="48"/>
      <c r="N83" s="48"/>
      <c r="O83" s="48"/>
      <c r="P83" s="48"/>
      <c r="Q83" s="48"/>
      <c r="R83" s="48"/>
      <c r="S83" s="48"/>
      <c r="W83" s="51"/>
    </row>
    <row r="84" spans="1:23" ht="14" x14ac:dyDescent="0.25">
      <c r="A84" s="363" t="s">
        <v>30</v>
      </c>
      <c r="B84" s="108">
        <f>IF(ISERR(1/+(VLOOKUP(A84,[1]!TOX,17,FALSE))),0,'[1]Target Risk'!$D$8*(VLOOKUP(A84,[1]!TOX,4,FALSE))/(('S-2 Assumptions'!$J$21*(VLOOKUP(A84,[1]!TOX,17,FALSE)))+('S-2 Assumptions'!$K$43*(VLOOKUP(A84,[1]!TOX,19,FALSE)))))</f>
        <v>63149.510436099641</v>
      </c>
      <c r="C84" s="129">
        <f>IF(ISERR(1/(VLOOKUP(A84,[1]!TOX,25,FALSE))),0,+'[1]Target Risk'!$D$12/((('S-2 Assumptions'!$J$29*(VLOOKUP(A84,[1]!TOX,25,FALSE)))+('S-2 Assumptions'!$K$51*(VLOOKUP(A84,[1]!TOX,27,FALSE))))*(VLOOKUP(A84,[1]!TOX,12,FALSE))))</f>
        <v>0</v>
      </c>
      <c r="D84" s="108">
        <f>IF(B84=0,MIN(C84,(VLOOKUP(A84,[1]!TOX,74,FALSE))),IF(C84=0,MIN(B84,(VLOOKUP(A84,[1]!TOX,74,FALSE))),MIN(B84,C84,(VLOOKUP(A84,[1]!TOX,74,FALSE)))))</f>
        <v>1000</v>
      </c>
      <c r="E84" s="129" t="str">
        <f>IF(D84=B84,"Noncancer Risk",IF(D84=C84,"Cancer Risk",(VLOOKUP(A84,[1]!TOX,75,FALSE))))</f>
        <v>Ceiling (Medium)</v>
      </c>
      <c r="F84" s="108">
        <f>MAX(D84,(VLOOKUP(A84,[1]!TOX,50,FALSE)),(VLOOKUP(A84,[1]!TOX,35,FALSE)))</f>
        <v>1000</v>
      </c>
      <c r="G84" s="115">
        <f>MIN(F84,'S-3'!J84)</f>
        <v>1000</v>
      </c>
      <c r="H84" s="109">
        <f t="shared" si="2"/>
        <v>1000</v>
      </c>
      <c r="I84" s="132" t="str">
        <f>IF(G84=0,"Not Calculated",IF(G84=D84,E84,IF(G84=[1]Toxicity!AI80,"Background",IF(G84='S-3'!J84,"S-3 Standard","PQL"))))</f>
        <v>Ceiling (Medium)</v>
      </c>
      <c r="J84" s="48"/>
      <c r="K84" s="54"/>
      <c r="L84" s="48"/>
      <c r="M84" s="48"/>
      <c r="N84" s="48"/>
      <c r="O84" s="48"/>
      <c r="P84" s="48"/>
      <c r="Q84" s="48"/>
      <c r="R84" s="48"/>
      <c r="S84" s="48"/>
      <c r="W84" s="51"/>
    </row>
    <row r="85" spans="1:23" ht="14" x14ac:dyDescent="0.25">
      <c r="A85" s="363" t="s">
        <v>29</v>
      </c>
      <c r="B85" s="108">
        <f>IF(ISERR(1/+(VLOOKUP(A85,[1]!TOX,17,FALSE))),0,'[1]Target Risk'!$D$8*(VLOOKUP(A85,[1]!TOX,4,FALSE))/(('S-2 Assumptions'!$J$21*(VLOOKUP(A85,[1]!TOX,17,FALSE)))+('S-2 Assumptions'!$K$43*(VLOOKUP(A85,[1]!TOX,19,FALSE)))))</f>
        <v>70.484985497891131</v>
      </c>
      <c r="C85" s="129">
        <f>IF(ISERR(1/(VLOOKUP(A85,[1]!TOX,25,FALSE))),0,+'[1]Target Risk'!$D$12/((('S-2 Assumptions'!$J$29*(VLOOKUP(A85,[1]!TOX,25,FALSE)))+('S-2 Assumptions'!$K$51*(VLOOKUP(A85,[1]!TOX,27,FALSE))))*(VLOOKUP(A85,[1]!TOX,12,FALSE))))</f>
        <v>0</v>
      </c>
      <c r="D85" s="108">
        <f>IF(B85=0,MIN(C85,(VLOOKUP(A85,[1]!TOX,74,FALSE))),IF(C85=0,MIN(B85,(VLOOKUP(A85,[1]!TOX,74,FALSE))),MIN(B85,C85,(VLOOKUP(A85,[1]!TOX,74,FALSE)))))</f>
        <v>70.484985497891131</v>
      </c>
      <c r="E85" s="129" t="str">
        <f>IF(D85=B85,"Noncancer Risk",IF(D85=C85,"Cancer Risk",(VLOOKUP(A85,[1]!TOX,75,FALSE))))</f>
        <v>Noncancer Risk</v>
      </c>
      <c r="F85" s="108">
        <f>MAX(D85,(VLOOKUP(A85,[1]!TOX,50,FALSE)),(VLOOKUP(A85,[1]!TOX,35,FALSE)))</f>
        <v>70.484985497891131</v>
      </c>
      <c r="G85" s="115">
        <f>MIN(F85,'S-3'!J85)</f>
        <v>8.664720004007501</v>
      </c>
      <c r="H85" s="109">
        <f t="shared" si="2"/>
        <v>9</v>
      </c>
      <c r="I85" s="132" t="str">
        <f>IF(G85=0,"Not Calculated",IF(G85=D85,E85,IF(G85=[1]Toxicity!AI81,"Background",IF(G85='S-3'!J85,"S-3 Standard","PQL"))))</f>
        <v>S-3 Standard</v>
      </c>
      <c r="J85" s="48"/>
      <c r="K85" s="54"/>
      <c r="L85" s="48"/>
      <c r="M85" s="48"/>
      <c r="N85" s="48"/>
      <c r="O85" s="48"/>
      <c r="P85" s="48"/>
      <c r="Q85" s="48"/>
      <c r="R85" s="48"/>
      <c r="S85" s="48"/>
      <c r="W85" s="51"/>
    </row>
    <row r="86" spans="1:23" ht="14" x14ac:dyDescent="0.25">
      <c r="A86" s="363" t="s">
        <v>28</v>
      </c>
      <c r="B86" s="108">
        <f>IF(ISERR(1/+(VLOOKUP(A86,[1]!TOX,17,FALSE))),0,'[1]Target Risk'!$D$8*(VLOOKUP(A86,[1]!TOX,4,FALSE))/(('S-2 Assumptions'!$J$21*(VLOOKUP(A86,[1]!TOX,17,FALSE)))+('S-2 Assumptions'!$K$43*(VLOOKUP(A86,[1]!TOX,19,FALSE)))))</f>
        <v>78936.888045124564</v>
      </c>
      <c r="C86" s="129">
        <f>IF(ISERR(1/(VLOOKUP(A86,[1]!TOX,25,FALSE))),0,+'[1]Target Risk'!$D$12/((('S-2 Assumptions'!$J$29*(VLOOKUP(A86,[1]!TOX,25,FALSE)))+('S-2 Assumptions'!$K$51*(VLOOKUP(A86,[1]!TOX,27,FALSE))))*(VLOOKUP(A86,[1]!TOX,12,FALSE))))</f>
        <v>0</v>
      </c>
      <c r="D86" s="108">
        <f>IF(B86=0,MIN(C86,(VLOOKUP(A86,[1]!TOX,74,FALSE))),IF(C86=0,MIN(B86,(VLOOKUP(A86,[1]!TOX,74,FALSE))),MIN(B86,C86,(VLOOKUP(A86,[1]!TOX,74,FALSE)))))</f>
        <v>500</v>
      </c>
      <c r="E86" s="129" t="str">
        <f>IF(D86=B86,"Noncancer Risk",IF(D86=C86,"Cancer Risk",(VLOOKUP(A86,[1]!TOX,75,FALSE))))</f>
        <v>Ceiling (Low)</v>
      </c>
      <c r="F86" s="108">
        <f>MAX(D86,(VLOOKUP(A86,[1]!TOX,50,FALSE)),(VLOOKUP(A86,[1]!TOX,35,FALSE)))</f>
        <v>500</v>
      </c>
      <c r="G86" s="115">
        <f>MIN(F86,'S-3'!J86)</f>
        <v>500</v>
      </c>
      <c r="H86" s="109">
        <f t="shared" si="2"/>
        <v>500</v>
      </c>
      <c r="I86" s="132" t="str">
        <f>IF(G86=0,"Not Calculated",IF(G86=D86,E86,IF(G86=[1]Toxicity!AI82,"Background",IF(G86='S-3'!J86,"S-3 Standard","PQL"))))</f>
        <v>Ceiling (Low)</v>
      </c>
      <c r="J86" s="48"/>
      <c r="K86" s="54"/>
      <c r="L86" s="48"/>
      <c r="M86" s="48"/>
      <c r="N86" s="48"/>
      <c r="O86" s="48"/>
      <c r="P86" s="48"/>
      <c r="Q86" s="48"/>
      <c r="R86" s="48"/>
      <c r="S86" s="48"/>
      <c r="W86" s="51"/>
    </row>
    <row r="87" spans="1:23" ht="14" x14ac:dyDescent="0.25">
      <c r="A87" s="363" t="s">
        <v>27</v>
      </c>
      <c r="B87" s="108">
        <f>IF(ISERR(1/+(VLOOKUP(A87,[1]!TOX,17,FALSE))),0,'[1]Target Risk'!$D$8*(VLOOKUP(A87,[1]!TOX,4,FALSE))/(('S-2 Assumptions'!$J$21*(VLOOKUP(A87,[1]!TOX,17,FALSE)))+('S-2 Assumptions'!$K$43*(VLOOKUP(A87,[1]!TOX,19,FALSE)))))</f>
        <v>6926.0520755512516</v>
      </c>
      <c r="C87" s="129">
        <f>IF(ISERR(1/(VLOOKUP(A87,[1]!TOX,25,FALSE))),0,+'[1]Target Risk'!$D$12/((('S-2 Assumptions'!$J$29*(VLOOKUP(A87,[1]!TOX,25,FALSE)))+('S-2 Assumptions'!$K$51*(VLOOKUP(A87,[1]!TOX,27,FALSE))))*(VLOOKUP(A87,[1]!TOX,12,FALSE))))</f>
        <v>0</v>
      </c>
      <c r="D87" s="108">
        <f>IF(B87=0,MIN(C87,(VLOOKUP(A87,[1]!TOX,74,FALSE))),IF(C87=0,MIN(B87,(VLOOKUP(A87,[1]!TOX,74,FALSE))),MIN(B87,C87,(VLOOKUP(A87,[1]!TOX,74,FALSE)))))</f>
        <v>1000</v>
      </c>
      <c r="E87" s="129" t="str">
        <f>IF(D87=B87,"Noncancer Risk",IF(D87=C87,"Cancer Risk",(VLOOKUP(A87,[1]!TOX,75,FALSE))))</f>
        <v>Ceiling (Medium)</v>
      </c>
      <c r="F87" s="108">
        <f>MAX(D87,(VLOOKUP(A87,[1]!TOX,50,FALSE)),(VLOOKUP(A87,[1]!TOX,35,FALSE)))</f>
        <v>1000</v>
      </c>
      <c r="G87" s="115">
        <f>MIN(F87,'S-3'!J87)</f>
        <v>540.53451880323973</v>
      </c>
      <c r="H87" s="109">
        <f t="shared" si="2"/>
        <v>500</v>
      </c>
      <c r="I87" s="132" t="str">
        <f>IF(G87=0,"Not Calculated",IF(G87=D87,E87,IF(G87=[1]Toxicity!AI83,"Background",IF(G87='S-3'!J87,"S-3 Standard","PQL"))))</f>
        <v>S-3 Standard</v>
      </c>
      <c r="J87" s="48"/>
      <c r="K87" s="54"/>
      <c r="L87" s="48"/>
      <c r="M87" s="48"/>
      <c r="N87" s="48"/>
      <c r="O87" s="48"/>
      <c r="P87" s="48"/>
      <c r="Q87" s="48"/>
      <c r="R87" s="48"/>
      <c r="S87" s="48"/>
      <c r="W87" s="51"/>
    </row>
    <row r="88" spans="1:23" ht="14" x14ac:dyDescent="0.25">
      <c r="A88" s="363" t="s">
        <v>26</v>
      </c>
      <c r="B88" s="108">
        <f>IF(ISERR(1/+(VLOOKUP(A88,[1]!TOX,17,FALSE))),0,'[1]Target Risk'!$D$8*(VLOOKUP(A88,[1]!TOX,4,FALSE))/(('S-2 Assumptions'!$J$21*(VLOOKUP(A88,[1]!TOX,17,FALSE)))+('S-2 Assumptions'!$K$43*(VLOOKUP(A88,[1]!TOX,19,FALSE)))))</f>
        <v>34630.260377756254</v>
      </c>
      <c r="C88" s="129">
        <f>IF(ISERR(1/(VLOOKUP(A88,[1]!TOX,25,FALSE))),0,+'[1]Target Risk'!$D$12/((('S-2 Assumptions'!$J$29*(VLOOKUP(A88,[1]!TOX,25,FALSE)))+('S-2 Assumptions'!$K$51*(VLOOKUP(A88,[1]!TOX,27,FALSE))))*(VLOOKUP(A88,[1]!TOX,12,FALSE))))</f>
        <v>0</v>
      </c>
      <c r="D88" s="108">
        <f>IF(B88=0,MIN(C88,(VLOOKUP(A88,[1]!TOX,74,FALSE))),IF(C88=0,MIN(B88,(VLOOKUP(A88,[1]!TOX,74,FALSE))),MIN(B88,C88,(VLOOKUP(A88,[1]!TOX,74,FALSE)))))</f>
        <v>1000</v>
      </c>
      <c r="E88" s="129" t="str">
        <f>IF(D88=B88,"Noncancer Risk",IF(D88=C88,"Cancer Risk",(VLOOKUP(A88,[1]!TOX,75,FALSE))))</f>
        <v>Ceiling (Medium)</v>
      </c>
      <c r="F88" s="108">
        <f>MAX(D88,(VLOOKUP(A88,[1]!TOX,50,FALSE)),(VLOOKUP(A88,[1]!TOX,35,FALSE)))</f>
        <v>1000</v>
      </c>
      <c r="G88" s="115">
        <f>MIN(F88,'S-3'!J88)</f>
        <v>1000</v>
      </c>
      <c r="H88" s="109">
        <f t="shared" si="2"/>
        <v>1000</v>
      </c>
      <c r="I88" s="132" t="str">
        <f>IF(G88=0,"Not Calculated",IF(G88=D88,E88,IF(G88=[1]Toxicity!AI84,"Background",IF(G88='S-3'!J88,"S-3 Standard","PQL"))))</f>
        <v>Ceiling (Medium)</v>
      </c>
      <c r="J88" s="48"/>
      <c r="K88" s="54"/>
      <c r="L88" s="48"/>
      <c r="M88" s="48"/>
      <c r="N88" s="48"/>
      <c r="O88" s="48"/>
      <c r="P88" s="48"/>
      <c r="Q88" s="48"/>
      <c r="R88" s="48"/>
      <c r="S88" s="48"/>
      <c r="W88" s="51"/>
    </row>
    <row r="89" spans="1:23" ht="14" x14ac:dyDescent="0.25">
      <c r="A89" s="363" t="s">
        <v>25</v>
      </c>
      <c r="B89" s="108">
        <f>IF(ISERR(1/+(VLOOKUP(A89,[1]!TOX,17,FALSE))),0,'[1]Target Risk'!$D$8*(VLOOKUP(A89,[1]!TOX,4,FALSE))/(('S-2 Assumptions'!$J$21*(VLOOKUP(A89,[1]!TOX,17,FALSE)))+('S-2 Assumptions'!$K$43*(VLOOKUP(A89,[1]!TOX,19,FALSE)))))</f>
        <v>12226.79301946015</v>
      </c>
      <c r="C89" s="129">
        <f>IF(ISERR(1/(VLOOKUP(A89,[1]!TOX,25,FALSE))),0,+'[1]Target Risk'!$D$12/((('S-2 Assumptions'!$J$29*(VLOOKUP(A89,[1]!TOX,25,FALSE)))+('S-2 Assumptions'!$K$51*(VLOOKUP(A89,[1]!TOX,27,FALSE))))*(VLOOKUP(A89,[1]!TOX,12,FALSE))))</f>
        <v>0</v>
      </c>
      <c r="D89" s="108">
        <f>IF(B89=0,MIN(C89,(VLOOKUP(A89,[1]!TOX,74,FALSE))),IF(C89=0,MIN(B89,(VLOOKUP(A89,[1]!TOX,74,FALSE))),MIN(B89,C89,(VLOOKUP(A89,[1]!TOX,74,FALSE)))))</f>
        <v>3000</v>
      </c>
      <c r="E89" s="129" t="str">
        <f>IF(D89=B89,"Noncancer Risk",IF(D89=C89,"Cancer Risk",(VLOOKUP(A89,[1]!TOX,75,FALSE))))</f>
        <v>Ceiling (High)</v>
      </c>
      <c r="F89" s="108">
        <f>MAX(D89,(VLOOKUP(A89,[1]!TOX,50,FALSE)),(VLOOKUP(A89,[1]!TOX,35,FALSE)))</f>
        <v>3000</v>
      </c>
      <c r="G89" s="115">
        <f>MIN(F89,'S-3'!J89)</f>
        <v>1103.4297215029126</v>
      </c>
      <c r="H89" s="109">
        <f t="shared" si="2"/>
        <v>1000</v>
      </c>
      <c r="I89" s="132" t="str">
        <f>IF(G89=0,"Not Calculated",IF(G89=D89,E89,IF(G89=[1]Toxicity!AI85,"Background",IF(G89='S-3'!J89,"S-3 Standard","PQL"))))</f>
        <v>S-3 Standard</v>
      </c>
      <c r="J89" s="48"/>
      <c r="K89" s="54"/>
      <c r="L89" s="48"/>
      <c r="M89" s="48"/>
      <c r="N89" s="48"/>
      <c r="O89" s="48"/>
      <c r="P89" s="48"/>
      <c r="Q89" s="48"/>
      <c r="R89" s="48"/>
      <c r="S89" s="48"/>
      <c r="W89" s="51"/>
    </row>
    <row r="90" spans="1:23" ht="14" x14ac:dyDescent="0.25">
      <c r="A90" s="363" t="s">
        <v>24</v>
      </c>
      <c r="B90" s="108">
        <f>IF(ISERR(1/+(VLOOKUP(A90,[1]!TOX,17,FALSE))),0,'[1]Target Risk'!$D$8*(VLOOKUP(A90,[1]!TOX,4,FALSE))/(('S-2 Assumptions'!$J$21*(VLOOKUP(A90,[1]!TOX,17,FALSE)))+('S-2 Assumptions'!$K$43*(VLOOKUP(A90,[1]!TOX,19,FALSE)))))</f>
        <v>2698.6737342491383</v>
      </c>
      <c r="C90" s="129">
        <f>IF(ISERR(1/(VLOOKUP(A90,[1]!TOX,25,FALSE))),0,+'[1]Target Risk'!$D$12/((('S-2 Assumptions'!$J$29*(VLOOKUP(A90,[1]!TOX,25,FALSE)))+('S-2 Assumptions'!$K$51*(VLOOKUP(A90,[1]!TOX,27,FALSE))))*(VLOOKUP(A90,[1]!TOX,12,FALSE))))</f>
        <v>17.49140383309626</v>
      </c>
      <c r="D90" s="108">
        <f>IF(B90=0,MIN(C90,(VLOOKUP(A90,[1]!TOX,74,FALSE))),IF(C90=0,MIN(B90,(VLOOKUP(A90,[1]!TOX,74,FALSE))),MIN(B90,C90,(VLOOKUP(A90,[1]!TOX,74,FALSE)))))</f>
        <v>17.49140383309626</v>
      </c>
      <c r="E90" s="129" t="str">
        <f>IF(D90=B90,"Noncancer Risk",IF(D90=C90,"Cancer Risk",(VLOOKUP(A90,[1]!TOX,75,FALSE))))</f>
        <v>Cancer Risk</v>
      </c>
      <c r="F90" s="108">
        <f>MAX(D90,(VLOOKUP(A90,[1]!TOX,50,FALSE)),(VLOOKUP(A90,[1]!TOX,35,FALSE)))</f>
        <v>17.49140383309626</v>
      </c>
      <c r="G90" s="115">
        <f>MIN(F90,'S-3'!J90)</f>
        <v>17.49140383309626</v>
      </c>
      <c r="H90" s="109">
        <f t="shared" si="2"/>
        <v>20</v>
      </c>
      <c r="I90" s="132" t="str">
        <f>IF(G90=0,"Not Calculated",IF(G90=D90,E90,IF(G90=[1]Toxicity!AI86,"Background",IF(G90='S-3'!J90,"S-3 Standard","PQL"))))</f>
        <v>Cancer Risk</v>
      </c>
      <c r="J90" s="48"/>
      <c r="K90" s="54"/>
      <c r="L90" s="48"/>
      <c r="M90" s="48"/>
      <c r="N90" s="48"/>
      <c r="O90" s="48"/>
      <c r="P90" s="48"/>
      <c r="Q90" s="48"/>
      <c r="R90" s="48"/>
      <c r="S90" s="48"/>
      <c r="W90" s="51"/>
    </row>
    <row r="91" spans="1:23" ht="20" x14ac:dyDescent="0.25">
      <c r="A91" s="364" t="s">
        <v>328</v>
      </c>
      <c r="B91" s="108">
        <f>IF(ISERR(1/+(VLOOKUP(A91,[1]!TOX,17,FALSE))),0,'[1]Target Risk'!$D$8*(VLOOKUP(A91,[1]!TOX,4,FALSE))/(('S-2 Assumptions'!$J$21*(VLOOKUP(A91,[1]!TOX,17,FALSE)))+('S-2 Assumptions'!$K$43*(VLOOKUP(A91,[1]!TOX,19,FALSE)))))</f>
        <v>3.5242492748945566</v>
      </c>
      <c r="C91" s="129">
        <f>IF(ISERR(1/(VLOOKUP(A91,[1]!TOX,25,FALSE))),0,+'[1]Target Risk'!$D$12/((('S-2 Assumptions'!$J$29*(VLOOKUP(A91,[1]!TOX,25,FALSE)))+('S-2 Assumptions'!$K$51*(VLOOKUP(A91,[1]!TOX,27,FALSE))))*(VLOOKUP(A91,[1]!TOX,12,FALSE))))</f>
        <v>0</v>
      </c>
      <c r="D91" s="108">
        <f>IF(B91=0,MIN(C91,(VLOOKUP(A91,[1]!TOX,74,FALSE))),IF(C91=0,MIN(B91,(VLOOKUP(A91,[1]!TOX,74,FALSE))),MIN(B91,C91,(VLOOKUP(A91,[1]!TOX,74,FALSE)))))</f>
        <v>3.5242492748945566</v>
      </c>
      <c r="E91" s="129" t="str">
        <f>IF(D91=B91,"Noncancer Risk",IF(D91=C91,"Cancer Risk",(VLOOKUP(A91,[1]!TOX,75,FALSE))))</f>
        <v>Noncancer Risk</v>
      </c>
      <c r="F91" s="108">
        <f>MAX(D91,(VLOOKUP(A91,[1]!TOX,50,FALSE)),(VLOOKUP(A91,[1]!TOX,35,FALSE)))</f>
        <v>3.5242492748945566</v>
      </c>
      <c r="G91" s="115">
        <f>MIN(F91,'S-3'!J91)</f>
        <v>0.44345152511661601</v>
      </c>
      <c r="H91" s="109">
        <f t="shared" si="2"/>
        <v>0.4</v>
      </c>
      <c r="I91" s="132" t="str">
        <f>IF(G91=0,"Not Calculated",IF(G91=D91,E91,IF(G91=[1]Toxicity!AI87,"Background",IF(G91='S-3'!J91,"S-3 Standard","PQL"))))</f>
        <v>S-3 Standard</v>
      </c>
      <c r="J91" s="48"/>
      <c r="K91" s="54"/>
      <c r="L91" s="48"/>
      <c r="M91" s="48"/>
      <c r="N91" s="48"/>
      <c r="O91" s="48"/>
      <c r="P91" s="48"/>
      <c r="Q91" s="48"/>
      <c r="R91" s="48"/>
      <c r="S91" s="48"/>
      <c r="W91" s="51"/>
    </row>
    <row r="92" spans="1:23" ht="14" x14ac:dyDescent="0.25">
      <c r="A92" s="363" t="s">
        <v>329</v>
      </c>
      <c r="B92" s="108">
        <f>IF(ISERR(1/+(VLOOKUP(A92,[1]!TOX,17,FALSE))),0,'[1]Target Risk'!$D$8*(VLOOKUP(A92,[1]!TOX,4,FALSE))/(('S-2 Assumptions'!$J$21*(VLOOKUP(A92,[1]!TOX,17,FALSE)))+('S-2 Assumptions'!$K$43*(VLOOKUP(A92,[1]!TOX,19,FALSE)))))</f>
        <v>3.5242492748945566</v>
      </c>
      <c r="C92" s="129">
        <f>IF(ISERR(1/(VLOOKUP(A92,[1]!TOX,25,FALSE))),0,+'[1]Target Risk'!$D$12/((('S-2 Assumptions'!$J$29*(VLOOKUP(A92,[1]!TOX,25,FALSE)))+('S-2 Assumptions'!$K$51*(VLOOKUP(A92,[1]!TOX,27,FALSE))))*(VLOOKUP(A92,[1]!TOX,12,FALSE))))</f>
        <v>0</v>
      </c>
      <c r="D92" s="108">
        <f>IF(B92=0,MIN(C92,(VLOOKUP(A92,[1]!TOX,74,FALSE))),IF(C92=0,MIN(B92,(VLOOKUP(A92,[1]!TOX,74,FALSE))),MIN(B92,C92,(VLOOKUP(A92,[1]!TOX,74,FALSE)))))</f>
        <v>3.5242492748945566</v>
      </c>
      <c r="E92" s="129" t="str">
        <f>IF(D92=B92,"Noncancer Risk",IF(D92=C92,"Cancer Risk",(VLOOKUP(A92,[1]!TOX,75,FALSE))))</f>
        <v>Noncancer Risk</v>
      </c>
      <c r="F92" s="108">
        <f>MAX(D92,(VLOOKUP(A92,[1]!TOX,50,FALSE)),(VLOOKUP(A92,[1]!TOX,35,FALSE)))</f>
        <v>3.5242492748945566</v>
      </c>
      <c r="G92" s="115">
        <f>MIN(F92,'S-3'!J92)</f>
        <v>0.44345152511661601</v>
      </c>
      <c r="H92" s="109">
        <f t="shared" si="2"/>
        <v>0.4</v>
      </c>
      <c r="I92" s="132" t="str">
        <f>IF(G92=0,"Not Calculated",IF(G92=D92,E92,IF(G92=[1]Toxicity!AI88,"Background",IF(G92='S-3'!J92,"S-3 Standard","PQL"))))</f>
        <v>S-3 Standard</v>
      </c>
      <c r="J92" s="48"/>
      <c r="K92" s="54"/>
      <c r="L92" s="48"/>
      <c r="M92" s="48"/>
      <c r="N92" s="48"/>
      <c r="O92" s="48"/>
      <c r="P92" s="48"/>
      <c r="Q92" s="48"/>
      <c r="R92" s="48"/>
      <c r="S92" s="48"/>
      <c r="W92" s="51"/>
    </row>
    <row r="93" spans="1:23" ht="14" x14ac:dyDescent="0.25">
      <c r="A93" s="363" t="s">
        <v>299</v>
      </c>
      <c r="B93" s="108">
        <f>IF(ISERR(1/+(VLOOKUP(A93,[1]!TOX,17,FALSE))),0,'[1]Target Risk'!$D$8*(VLOOKUP(A93,[1]!TOX,4,FALSE))/(('S-2 Assumptions'!$J$21*(VLOOKUP(A93,[1]!TOX,17,FALSE)))+('S-2 Assumptions'!$K$43*(VLOOKUP(A93,[1]!TOX,19,FALSE)))))</f>
        <v>3.5242492748945566</v>
      </c>
      <c r="C93" s="129">
        <f>IF(ISERR(1/(VLOOKUP(A93,[1]!TOX,25,FALSE))),0,+'[1]Target Risk'!$D$12/((('S-2 Assumptions'!$J$29*(VLOOKUP(A93,[1]!TOX,25,FALSE)))+('S-2 Assumptions'!$K$51*(VLOOKUP(A93,[1]!TOX,27,FALSE))))*(VLOOKUP(A93,[1]!TOX,12,FALSE))))</f>
        <v>0</v>
      </c>
      <c r="D93" s="108">
        <f>IF(B93=0,MIN(C93,(VLOOKUP(A93,[1]!TOX,74,FALSE))),IF(C93=0,MIN(B93,(VLOOKUP(A93,[1]!TOX,74,FALSE))),MIN(B93,C93,(VLOOKUP(A93,[1]!TOX,74,FALSE)))))</f>
        <v>3.5242492748945566</v>
      </c>
      <c r="E93" s="129" t="str">
        <f>IF(D93=B93,"Noncancer Risk",IF(D93=C93,"Cancer Risk",(VLOOKUP(A93,[1]!TOX,75,FALSE))))</f>
        <v>Noncancer Risk</v>
      </c>
      <c r="F93" s="108">
        <f>MAX(D93,(VLOOKUP(A93,[1]!TOX,50,FALSE)),(VLOOKUP(A93,[1]!TOX,35,FALSE)))</f>
        <v>3.5242492748945566</v>
      </c>
      <c r="G93" s="115">
        <f>MIN(F93,'S-3'!J93)</f>
        <v>0.44345152511661601</v>
      </c>
      <c r="H93" s="109">
        <f t="shared" si="2"/>
        <v>0.4</v>
      </c>
      <c r="I93" s="132" t="str">
        <f>IF(G93=0,"Not Calculated",IF(G93=D93,E93,IF(G93=[1]Toxicity!AI89,"Background",IF(G93='S-3'!J93,"S-3 Standard","PQL"))))</f>
        <v>S-3 Standard</v>
      </c>
      <c r="J93" s="48"/>
      <c r="K93" s="54"/>
      <c r="L93" s="48"/>
      <c r="M93" s="48"/>
      <c r="N93" s="48"/>
      <c r="O93" s="48"/>
      <c r="P93" s="48"/>
      <c r="Q93" s="48"/>
      <c r="R93" s="48"/>
      <c r="S93" s="48"/>
      <c r="W93" s="51"/>
    </row>
    <row r="94" spans="1:23" ht="14" x14ac:dyDescent="0.25">
      <c r="A94" s="363" t="s">
        <v>300</v>
      </c>
      <c r="B94" s="108">
        <f>IF(ISERR(1/+(VLOOKUP(A94,[1]!TOX,17,FALSE))),0,'[1]Target Risk'!$D$8*(VLOOKUP(A94,[1]!TOX,4,FALSE))/(('S-2 Assumptions'!$J$21*(VLOOKUP(A94,[1]!TOX,17,FALSE)))+('S-2 Assumptions'!$K$43*(VLOOKUP(A94,[1]!TOX,19,FALSE)))))</f>
        <v>3.5242492748945566</v>
      </c>
      <c r="C94" s="129">
        <f>IF(ISERR(1/(VLOOKUP(A94,[1]!TOX,25,FALSE))),0,+'[1]Target Risk'!$D$12/((('S-2 Assumptions'!$J$29*(VLOOKUP(A94,[1]!TOX,25,FALSE)))+('S-2 Assumptions'!$K$51*(VLOOKUP(A94,[1]!TOX,27,FALSE))))*(VLOOKUP(A94,[1]!TOX,12,FALSE))))</f>
        <v>0</v>
      </c>
      <c r="D94" s="108">
        <f>IF(B94=0,MIN(C94,(VLOOKUP(A94,[1]!TOX,74,FALSE))),IF(C94=0,MIN(B94,(VLOOKUP(A94,[1]!TOX,74,FALSE))),MIN(B94,C94,(VLOOKUP(A94,[1]!TOX,74,FALSE)))))</f>
        <v>3.5242492748945566</v>
      </c>
      <c r="E94" s="129" t="str">
        <f>IF(D94=B94,"Noncancer Risk",IF(D94=C94,"Cancer Risk",(VLOOKUP(A94,[1]!TOX,75,FALSE))))</f>
        <v>Noncancer Risk</v>
      </c>
      <c r="F94" s="108">
        <f>MAX(D94,(VLOOKUP(A94,[1]!TOX,50,FALSE)),(VLOOKUP(A94,[1]!TOX,35,FALSE)))</f>
        <v>3.5242492748945566</v>
      </c>
      <c r="G94" s="115">
        <f>MIN(F94,'S-3'!J94)</f>
        <v>0.44345152511661601</v>
      </c>
      <c r="H94" s="109">
        <f t="shared" si="2"/>
        <v>0.4</v>
      </c>
      <c r="I94" s="132" t="str">
        <f>IF(G94=0,"Not Calculated",IF(G94=D94,E94,IF(G94=[1]Toxicity!AI90,"Background",IF(G94='S-3'!J94,"S-3 Standard","PQL"))))</f>
        <v>S-3 Standard</v>
      </c>
      <c r="J94" s="48"/>
      <c r="K94" s="54"/>
      <c r="L94" s="48"/>
      <c r="M94" s="48"/>
      <c r="N94" s="48"/>
      <c r="O94" s="48"/>
      <c r="P94" s="48"/>
      <c r="Q94" s="48"/>
      <c r="R94" s="48"/>
      <c r="S94" s="48"/>
      <c r="W94" s="51"/>
    </row>
    <row r="95" spans="1:23" ht="14" x14ac:dyDescent="0.25">
      <c r="A95" s="363" t="s">
        <v>298</v>
      </c>
      <c r="B95" s="108">
        <f>IF(ISERR(1/+(VLOOKUP(A95,[1]!TOX,17,FALSE))),0,'[1]Target Risk'!$D$8*(VLOOKUP(A95,[1]!TOX,4,FALSE))/(('S-2 Assumptions'!$J$21*(VLOOKUP(A95,[1]!TOX,17,FALSE)))+('S-2 Assumptions'!$K$43*(VLOOKUP(A95,[1]!TOX,19,FALSE)))))</f>
        <v>3.5242492748945566</v>
      </c>
      <c r="C95" s="129">
        <f>IF(ISERR(1/(VLOOKUP(A95,[1]!TOX,25,FALSE))),0,+'[1]Target Risk'!$D$12/((('S-2 Assumptions'!$J$29*(VLOOKUP(A95,[1]!TOX,25,FALSE)))+('S-2 Assumptions'!$K$51*(VLOOKUP(A95,[1]!TOX,27,FALSE))))*(VLOOKUP(A95,[1]!TOX,12,FALSE))))</f>
        <v>0</v>
      </c>
      <c r="D95" s="108">
        <f>IF(B95=0,MIN(C95,(VLOOKUP(A95,[1]!TOX,74,FALSE))),IF(C95=0,MIN(B95,(VLOOKUP(A95,[1]!TOX,74,FALSE))),MIN(B95,C95,(VLOOKUP(A95,[1]!TOX,74,FALSE)))))</f>
        <v>3.5242492748945566</v>
      </c>
      <c r="E95" s="129" t="str">
        <f>IF(D95=B95,"Noncancer Risk",IF(D95=C95,"Cancer Risk",(VLOOKUP(A95,[1]!TOX,75,FALSE))))</f>
        <v>Noncancer Risk</v>
      </c>
      <c r="F95" s="108">
        <f>MAX(D95,(VLOOKUP(A95,[1]!TOX,50,FALSE)),(VLOOKUP(A95,[1]!TOX,35,FALSE)))</f>
        <v>3.5242492748945566</v>
      </c>
      <c r="G95" s="115">
        <f>MIN(F95,'S-3'!J95)</f>
        <v>0.44345152511661601</v>
      </c>
      <c r="H95" s="109">
        <f t="shared" si="2"/>
        <v>0.4</v>
      </c>
      <c r="I95" s="132" t="str">
        <f>IF(G95=0,"Not Calculated",IF(G95=D95,E95,IF(G95=[1]Toxicity!AI91,"Background",IF(G95='S-3'!J95,"S-3 Standard","PQL"))))</f>
        <v>S-3 Standard</v>
      </c>
      <c r="J95" s="48"/>
      <c r="K95" s="54"/>
      <c r="L95" s="48"/>
      <c r="M95" s="48"/>
      <c r="N95" s="48"/>
      <c r="O95" s="48"/>
      <c r="P95" s="48"/>
      <c r="Q95" s="48"/>
      <c r="R95" s="48"/>
      <c r="S95" s="48"/>
      <c r="W95" s="51"/>
    </row>
    <row r="96" spans="1:23" ht="14" x14ac:dyDescent="0.25">
      <c r="A96" s="363" t="s">
        <v>325</v>
      </c>
      <c r="B96" s="108">
        <f>IF(ISERR(1/+(VLOOKUP(A96,[1]!TOX,17,FALSE))),0,'[1]Target Risk'!$D$8*(VLOOKUP(A96,[1]!TOX,4,FALSE))/(('S-2 Assumptions'!$J$21*(VLOOKUP(A96,[1]!TOX,17,FALSE)))+('S-2 Assumptions'!$K$43*(VLOOKUP(A96,[1]!TOX,19,FALSE)))))</f>
        <v>3.5242492748945566</v>
      </c>
      <c r="C96" s="129">
        <f>IF(ISERR(1/(VLOOKUP(A96,[1]!TOX,25,FALSE))),0,+'[1]Target Risk'!$D$12/((('S-2 Assumptions'!$J$29*(VLOOKUP(A96,[1]!TOX,25,FALSE)))+('S-2 Assumptions'!$K$51*(VLOOKUP(A96,[1]!TOX,27,FALSE))))*(VLOOKUP(A96,[1]!TOX,12,FALSE))))</f>
        <v>0</v>
      </c>
      <c r="D96" s="108">
        <f>IF(B96=0,MIN(C96,(VLOOKUP(A96,[1]!TOX,74,FALSE))),IF(C96=0,MIN(B96,(VLOOKUP(A96,[1]!TOX,74,FALSE))),MIN(B96,C96,(VLOOKUP(A96,[1]!TOX,74,FALSE)))))</f>
        <v>3.5242492748945566</v>
      </c>
      <c r="E96" s="129" t="str">
        <f>IF(D96=B96,"Noncancer Risk",IF(D96=C96,"Cancer Risk",(VLOOKUP(A96,[1]!TOX,75,FALSE))))</f>
        <v>Noncancer Risk</v>
      </c>
      <c r="F96" s="108">
        <f>MAX(D96,(VLOOKUP(A96,[1]!TOX,50,FALSE)),(VLOOKUP(A96,[1]!TOX,35,FALSE)))</f>
        <v>3.5242492748945566</v>
      </c>
      <c r="G96" s="115">
        <f>MIN(F96,'S-3'!J96)</f>
        <v>0.44345152511661601</v>
      </c>
      <c r="H96" s="109">
        <f t="shared" si="2"/>
        <v>0.4</v>
      </c>
      <c r="I96" s="132" t="str">
        <f>IF(G96=0,"Not Calculated",IF(G96=D96,E96,IF(G96=[1]Toxicity!AI92,"Background",IF(G96='S-3'!J96,"S-3 Standard","PQL"))))</f>
        <v>S-3 Standard</v>
      </c>
      <c r="J96" s="48"/>
      <c r="K96" s="54"/>
      <c r="L96" s="48"/>
      <c r="M96" s="48"/>
      <c r="N96" s="48"/>
      <c r="O96" s="48"/>
      <c r="P96" s="48"/>
      <c r="Q96" s="48"/>
      <c r="R96" s="48"/>
      <c r="S96" s="48"/>
      <c r="W96" s="51"/>
    </row>
    <row r="97" spans="1:23" ht="14" x14ac:dyDescent="0.25">
      <c r="A97" s="363" t="s">
        <v>301</v>
      </c>
      <c r="B97" s="108">
        <f>IF(ISERR(1/+(VLOOKUP(A97,[1]!TOX,17,FALSE))),0,'[1]Target Risk'!$D$8*(VLOOKUP(A97,[1]!TOX,4,FALSE))/(('S-2 Assumptions'!$J$21*(VLOOKUP(A97,[1]!TOX,17,FALSE)))+('S-2 Assumptions'!$K$43*(VLOOKUP(A97,[1]!TOX,19,FALSE)))))</f>
        <v>3.5242492748945566</v>
      </c>
      <c r="C97" s="129">
        <f>IF(ISERR(1/(VLOOKUP(A97,[1]!TOX,25,FALSE))),0,+'[1]Target Risk'!$D$12/((('S-2 Assumptions'!$J$29*(VLOOKUP(A97,[1]!TOX,25,FALSE)))+('S-2 Assumptions'!$K$51*(VLOOKUP(A97,[1]!TOX,27,FALSE))))*(VLOOKUP(A97,[1]!TOX,12,FALSE))))</f>
        <v>0</v>
      </c>
      <c r="D97" s="108">
        <f>IF(B97=0,MIN(C97,(VLOOKUP(A97,[1]!TOX,74,FALSE))),IF(C97=0,MIN(B97,(VLOOKUP(A97,[1]!TOX,74,FALSE))),MIN(B97,C97,(VLOOKUP(A97,[1]!TOX,74,FALSE)))))</f>
        <v>3.5242492748945566</v>
      </c>
      <c r="E97" s="129" t="str">
        <f>IF(D97=B97,"Noncancer Risk",IF(D97=C97,"Cancer Risk",(VLOOKUP(A97,[1]!TOX,75,FALSE))))</f>
        <v>Noncancer Risk</v>
      </c>
      <c r="F97" s="108">
        <f>MAX(D97,(VLOOKUP(A97,[1]!TOX,50,FALSE)),(VLOOKUP(A97,[1]!TOX,35,FALSE)))</f>
        <v>3.5242492748945566</v>
      </c>
      <c r="G97" s="115">
        <f>MIN(F97,'S-3'!J97)</f>
        <v>0.44345152511661601</v>
      </c>
      <c r="H97" s="109">
        <f t="shared" si="2"/>
        <v>0.4</v>
      </c>
      <c r="I97" s="132" t="str">
        <f>IF(G97=0,"Not Calculated",IF(G97=D97,E97,IF(G97=[1]Toxicity!AI93,"Background",IF(G97='S-3'!J97,"S-3 Standard","PQL"))))</f>
        <v>S-3 Standard</v>
      </c>
      <c r="J97" s="48"/>
      <c r="K97" s="54"/>
      <c r="L97" s="48"/>
      <c r="M97" s="48"/>
      <c r="N97" s="48"/>
      <c r="O97" s="48"/>
      <c r="P97" s="48"/>
      <c r="Q97" s="48"/>
      <c r="R97" s="48"/>
      <c r="S97" s="48"/>
      <c r="W97" s="51"/>
    </row>
    <row r="98" spans="1:23" ht="14" x14ac:dyDescent="0.25">
      <c r="A98" s="363" t="s">
        <v>288</v>
      </c>
      <c r="B98" s="108">
        <f>IF(ISERR(1/+(VLOOKUP(A98,[1]!TOX,17,FALSE))),0,'[1]Target Risk'!$D$8*(VLOOKUP(A98,[1]!TOX,4,FALSE))/(('S-2 Assumptions'!$J$21*(VLOOKUP(A98,[1]!TOX,17,FALSE)))+('S-2 Assumptions'!$K$43*(VLOOKUP(A98,[1]!TOX,19,FALSE)))))</f>
        <v>49.339489848523783</v>
      </c>
      <c r="C98" s="129">
        <f>IF(ISERR(1/(VLOOKUP(A98,[1]!TOX,25,FALSE))),0,+'[1]Target Risk'!$D$12/((('S-2 Assumptions'!$J$29*(VLOOKUP(A98,[1]!TOX,25,FALSE)))+('S-2 Assumptions'!$K$51*(VLOOKUP(A98,[1]!TOX,27,FALSE))))*(VLOOKUP(A98,[1]!TOX,12,FALSE))))</f>
        <v>0</v>
      </c>
      <c r="D98" s="108">
        <f>IF(B98=0,MIN(C98,(VLOOKUP(A98,[1]!TOX,74,FALSE))),IF(C98=0,MIN(B98,(VLOOKUP(A98,[1]!TOX,74,FALSE))),MIN(B98,C98,(VLOOKUP(A98,[1]!TOX,74,FALSE)))))</f>
        <v>49.339489848523783</v>
      </c>
      <c r="E98" s="129" t="str">
        <f>IF(D98=B98,"Noncancer Risk",IF(D98=C98,"Cancer Risk",(VLOOKUP(A98,[1]!TOX,75,FALSE))))</f>
        <v>Noncancer Risk</v>
      </c>
      <c r="F98" s="108">
        <f>MAX(D98,(VLOOKUP(A98,[1]!TOX,50,FALSE)),(VLOOKUP(A98,[1]!TOX,35,FALSE)))</f>
        <v>49.339489848523783</v>
      </c>
      <c r="G98" s="115">
        <f>MIN(F98,'S-3'!J98)</f>
        <v>6.2052409936338755</v>
      </c>
      <c r="H98" s="109">
        <f>IF(G98&lt;&gt;0,ROUND(G98,1-(1+INT(LOG10(ABS(G98))))),"")</f>
        <v>6</v>
      </c>
      <c r="I98" s="132" t="str">
        <f>IF(G98=0,"Not Calculated",IF(G98=D98,E98,IF(G98=[1]Toxicity!AI94,"Background",IF(G98='S-3'!J98,"S-3 Standard","PQL"))))</f>
        <v>S-3 Standard</v>
      </c>
      <c r="J98" s="48"/>
      <c r="K98" s="54"/>
      <c r="L98" s="48"/>
      <c r="M98" s="48"/>
      <c r="N98" s="48"/>
      <c r="O98" s="48"/>
      <c r="P98" s="48"/>
      <c r="Q98" s="48"/>
      <c r="R98" s="48"/>
      <c r="S98" s="48"/>
      <c r="W98" s="51"/>
    </row>
    <row r="99" spans="1:23" ht="14" x14ac:dyDescent="0.25">
      <c r="A99" s="363" t="s">
        <v>23</v>
      </c>
      <c r="B99" s="108">
        <f>IF(ISERR(1/+(VLOOKUP(A99,[1]!TOX,17,FALSE))),0,'[1]Target Risk'!$D$8*(VLOOKUP(A99,[1]!TOX,4,FALSE))/(('S-2 Assumptions'!$J$21*(VLOOKUP(A99,[1]!TOX,17,FALSE)))+('S-2 Assumptions'!$K$43*(VLOOKUP(A99,[1]!TOX,19,FALSE)))))</f>
        <v>0</v>
      </c>
      <c r="C99" s="129">
        <f>IF(ISERR(1/(VLOOKUP(A99,[1]!TOX,25,FALSE))),0,+'[1]Target Risk'!$D$12/((('S-2 Assumptions'!$J$29*(VLOOKUP(A99,[1]!TOX,25,FALSE)))+('S-2 Assumptions'!$K$51*(VLOOKUP(A99,[1]!TOX,27,FALSE))))*(VLOOKUP(A99,[1]!TOX,12,FALSE))))</f>
        <v>0</v>
      </c>
      <c r="D99" s="108">
        <f>IF(B99=0,MIN(C99,(VLOOKUP(A99,[1]!TOX,74,FALSE))),IF(C99=0,MIN(B99,(VLOOKUP(A99,[1]!TOX,74,FALSE))),MIN(B99,C99,(VLOOKUP(A99,[1]!TOX,74,FALSE)))))</f>
        <v>0</v>
      </c>
      <c r="E99" s="129" t="str">
        <f>IF(D99=B99,"Noncancer Risk",IF(D99=C99,"Cancer Risk",(VLOOKUP(A99,[1]!TOX,75,FALSE))))</f>
        <v>Noncancer Risk</v>
      </c>
      <c r="F99" s="108">
        <f>MAX(D99,(VLOOKUP(A99,[1]!TOX,50,FALSE)),(VLOOKUP(A99,[1]!TOX,35,FALSE)))</f>
        <v>0</v>
      </c>
      <c r="G99" s="115">
        <f>MIN(F99,'S-3'!J99)</f>
        <v>0</v>
      </c>
      <c r="H99" s="109">
        <f>MIN(H102:H103,H105)</f>
        <v>3000</v>
      </c>
      <c r="I99" s="132" t="str">
        <f>IF(G99=0,"Not Calculated",IF(G99=D99,E99,IF(G99=[1]Toxicity!AI95,"Background",IF(G99='S-3'!J99,"S-3 Standard","PQL"))))</f>
        <v>Not Calculated</v>
      </c>
      <c r="J99" s="55"/>
      <c r="K99" s="54"/>
      <c r="L99" s="48"/>
      <c r="M99" s="48"/>
      <c r="N99" s="48"/>
      <c r="O99" s="48"/>
      <c r="P99" s="48"/>
      <c r="Q99" s="48"/>
      <c r="R99" s="48"/>
      <c r="S99" s="48"/>
      <c r="W99" s="51"/>
    </row>
    <row r="100" spans="1:23" ht="20" x14ac:dyDescent="0.25">
      <c r="A100" s="363" t="s">
        <v>381</v>
      </c>
      <c r="B100" s="108">
        <f>IF(ISERR(1/+(VLOOKUP(A100,[1]!TOX,17,FALSE))),0,'[1]Target Risk'!$D$8*(VLOOKUP(A100,[1]!TOX,4,FALSE))/(('S-2 Assumptions'!$J$21*(VLOOKUP(A100,[1]!TOX,17,FALSE)))+('S-2 Assumptions'!$K$43*(VLOOKUP(A100,[1]!TOX,19,FALSE)))))</f>
        <v>24453.586038920301</v>
      </c>
      <c r="C100" s="129">
        <f>IF(ISERR(1/(VLOOKUP(A100,[1]!TOX,25,FALSE))),0,+'[1]Target Risk'!$D$12/((('S-2 Assumptions'!$J$29*(VLOOKUP(A100,[1]!TOX,25,FALSE)))+('S-2 Assumptions'!$K$51*(VLOOKUP(A100,[1]!TOX,27,FALSE))))*(VLOOKUP(A100,[1]!TOX,12,FALSE))))</f>
        <v>0</v>
      </c>
      <c r="D100" s="108">
        <f>IF(B100=0,MIN(C100,(VLOOKUP(A100,[1]!TOX,74,FALSE))),IF(C100=0,MIN(B100,(VLOOKUP(A100,[1]!TOX,74,FALSE))),MIN(B100,C100,(VLOOKUP(A100,[1]!TOX,74,FALSE)))))</f>
        <v>500</v>
      </c>
      <c r="E100" s="129" t="str">
        <f>IF(D100=B100,"Noncancer Risk",IF(D100=C100,"Cancer Risk",(VLOOKUP(A100,[1]!TOX,75,FALSE))))</f>
        <v>Ceiling (Low)</v>
      </c>
      <c r="F100" s="108">
        <f>MAX(D100,(VLOOKUP(A100,[1]!TOX,50,FALSE)),(VLOOKUP(A100,[1]!TOX,35,FALSE)))</f>
        <v>500</v>
      </c>
      <c r="G100" s="115">
        <f>MIN(F100,'S-3'!J100)</f>
        <v>500</v>
      </c>
      <c r="H100" s="109">
        <f>IF(G100&lt;&gt;0,ROUND(G100,1-(1+INT(LOG10(ABS(G100))))),"")</f>
        <v>500</v>
      </c>
      <c r="I100" s="132" t="str">
        <f>IF(G100=0,"Not Calculated",IF(G100=D100,E100,IF(G100=[1]Toxicity!AI96,"Background",IF(G100='S-3'!J100,"S-3 Standard","PQL"))))</f>
        <v>Ceiling (Low)</v>
      </c>
      <c r="J100" s="55"/>
      <c r="K100" s="54"/>
      <c r="L100" s="48"/>
      <c r="M100" s="48"/>
      <c r="N100" s="48"/>
      <c r="O100" s="48"/>
      <c r="P100" s="48"/>
      <c r="Q100" s="48"/>
      <c r="R100" s="48"/>
      <c r="S100" s="48"/>
      <c r="W100" s="51"/>
    </row>
    <row r="101" spans="1:23" ht="20" x14ac:dyDescent="0.25">
      <c r="A101" s="365" t="s">
        <v>382</v>
      </c>
      <c r="B101" s="108">
        <f>IF(ISERR(1/+(VLOOKUP(A101,[1]!TOX,17,FALSE))),0,'[1]Target Risk'!$D$8*(VLOOKUP(A101,[1]!TOX,4,FALSE))/(('S-2 Assumptions'!$J$21*(VLOOKUP(A101,[1]!TOX,17,FALSE)))+('S-2 Assumptions'!$K$43*(VLOOKUP(A101,[1]!TOX,19,FALSE)))))</f>
        <v>61133.965097300767</v>
      </c>
      <c r="C101" s="129">
        <f>IF(ISERR(1/(VLOOKUP(A101,[1]!TOX,25,FALSE))),0,+'[1]Target Risk'!$D$12/((('S-2 Assumptions'!$J$29*(VLOOKUP(A101,[1]!TOX,25,FALSE)))+('S-2 Assumptions'!$K$51*(VLOOKUP(A101,[1]!TOX,27,FALSE))))*(VLOOKUP(A101,[1]!TOX,12,FALSE))))</f>
        <v>0</v>
      </c>
      <c r="D101" s="108">
        <f>IF(B101=0,MIN(C101,(VLOOKUP(A101,[1]!TOX,74,FALSE))),IF(C101=0,MIN(B101,(VLOOKUP(A101,[1]!TOX,74,FALSE))),MIN(B101,C101,(VLOOKUP(A101,[1]!TOX,74,FALSE)))))</f>
        <v>3000</v>
      </c>
      <c r="E101" s="129" t="str">
        <f>IF(D101=B101,"Noncancer Risk",IF(D101=C101,"Cancer Risk",(VLOOKUP(A101,[1]!TOX,75,FALSE))))</f>
        <v>Ceiling (High)</v>
      </c>
      <c r="F101" s="108">
        <f>MAX(D101,(VLOOKUP(A101,[1]!TOX,50,FALSE)),(VLOOKUP(A101,[1]!TOX,35,FALSE)))</f>
        <v>3000</v>
      </c>
      <c r="G101" s="115">
        <f>MIN(F101,'S-3'!J101)</f>
        <v>3000</v>
      </c>
      <c r="H101" s="109">
        <f t="shared" ref="H101:H129" si="3">IF(G101&lt;&gt;0,ROUND(G101,1-(1+INT(LOG10(ABS(G101))))),"")</f>
        <v>3000</v>
      </c>
      <c r="I101" s="132" t="str">
        <f>IF(G101=0,"Not Calculated",IF(G101=D101,E101,IF(G101=[1]Toxicity!AI97,"Background",IF(G101='S-3'!J101,"S-3 Standard","PQL"))))</f>
        <v>Ceiling (High)</v>
      </c>
      <c r="J101" s="55"/>
      <c r="K101" s="54"/>
      <c r="L101" s="48"/>
      <c r="M101" s="48"/>
      <c r="N101" s="48"/>
      <c r="O101" s="48"/>
      <c r="P101" s="48"/>
      <c r="Q101" s="48"/>
      <c r="R101" s="48"/>
      <c r="S101" s="48"/>
      <c r="W101" s="51"/>
    </row>
    <row r="102" spans="1:23" ht="20" x14ac:dyDescent="0.25">
      <c r="A102" s="363" t="s">
        <v>383</v>
      </c>
      <c r="B102" s="108">
        <f>IF(ISERR(1/+(VLOOKUP(A102,[1]!TOX,17,FALSE))),0,'[1]Target Risk'!$D$8*(VLOOKUP(A102,[1]!TOX,4,FALSE))/(('S-2 Assumptions'!$J$21*(VLOOKUP(A102,[1]!TOX,17,FALSE)))+('S-2 Assumptions'!$K$43*(VLOOKUP(A102,[1]!TOX,19,FALSE)))))</f>
        <v>61133.965097300767</v>
      </c>
      <c r="C102" s="129">
        <f>IF(ISERR(1/(VLOOKUP(A102,[1]!TOX,25,FALSE))),0,+'[1]Target Risk'!$D$12/((('S-2 Assumptions'!$J$29*(VLOOKUP(A102,[1]!TOX,25,FALSE)))+('S-2 Assumptions'!$K$51*(VLOOKUP(A102,[1]!TOX,27,FALSE))))*(VLOOKUP(A102,[1]!TOX,12,FALSE))))</f>
        <v>0</v>
      </c>
      <c r="D102" s="108">
        <f>IF(B102=0,MIN(C102,(VLOOKUP(A102,[1]!TOX,74,FALSE))),IF(C102=0,MIN(B102,(VLOOKUP(A102,[1]!TOX,74,FALSE))),MIN(B102,C102,(VLOOKUP(A102,[1]!TOX,74,FALSE)))))</f>
        <v>3000</v>
      </c>
      <c r="E102" s="129" t="str">
        <f>IF(D102=B102,"Noncancer Risk",IF(D102=C102,"Cancer Risk",(VLOOKUP(A102,[1]!TOX,75,FALSE))))</f>
        <v>Ceiling (High)</v>
      </c>
      <c r="F102" s="108">
        <f>MAX(D102,(VLOOKUP(A102,[1]!TOX,50,FALSE)),(VLOOKUP(A102,[1]!TOX,35,FALSE)))</f>
        <v>3000</v>
      </c>
      <c r="G102" s="115">
        <f>MIN(F102,'S-3'!J102)</f>
        <v>3000</v>
      </c>
      <c r="H102" s="109">
        <f t="shared" si="3"/>
        <v>3000</v>
      </c>
      <c r="I102" s="132" t="str">
        <f>IF(G102=0,"Not Calculated",IF(G102=D102,E102,IF(G102=[1]Toxicity!AI98,"Background",IF(G102='S-3'!J102,"S-3 Standard","PQL"))))</f>
        <v>Ceiling (High)</v>
      </c>
      <c r="J102" s="55"/>
      <c r="K102" s="54"/>
      <c r="L102" s="48"/>
      <c r="M102" s="48"/>
      <c r="N102" s="48"/>
      <c r="O102" s="48"/>
      <c r="P102" s="48"/>
      <c r="Q102" s="48"/>
      <c r="R102" s="48"/>
      <c r="S102" s="48"/>
      <c r="W102" s="51"/>
    </row>
    <row r="103" spans="1:23" ht="20" x14ac:dyDescent="0.25">
      <c r="A103" s="363" t="s">
        <v>384</v>
      </c>
      <c r="B103" s="108">
        <f>IF(ISERR(1/+(VLOOKUP(A103,[1]!TOX,17,FALSE))),0,'[1]Target Risk'!$D$8*(VLOOKUP(A103,[1]!TOX,4,FALSE))/(('S-2 Assumptions'!$J$21*(VLOOKUP(A103,[1]!TOX,17,FALSE)))+('S-2 Assumptions'!$K$43*(VLOOKUP(A103,[1]!TOX,19,FALSE)))))</f>
        <v>1222679.3019460151</v>
      </c>
      <c r="C103" s="129">
        <f>IF(ISERR(1/(VLOOKUP(A103,[1]!TOX,25,FALSE))),0,+'[1]Target Risk'!$D$12/((('S-2 Assumptions'!$J$29*(VLOOKUP(A103,[1]!TOX,25,FALSE)))+('S-2 Assumptions'!$K$51*(VLOOKUP(A103,[1]!TOX,27,FALSE))))*(VLOOKUP(A103,[1]!TOX,12,FALSE))))</f>
        <v>0</v>
      </c>
      <c r="D103" s="108">
        <f>IF(B103=0,MIN(C103,(VLOOKUP(A103,[1]!TOX,74,FALSE))),IF(C103=0,MIN(B103,(VLOOKUP(A103,[1]!TOX,74,FALSE))),MIN(B103,C103,(VLOOKUP(A103,[1]!TOX,74,FALSE)))))</f>
        <v>5000</v>
      </c>
      <c r="E103" s="129" t="str">
        <f>IF(D103=B103,"Noncancer Risk",IF(D103=C103,"Cancer Risk",(VLOOKUP(A103,[1]!TOX,75,FALSE))))</f>
        <v>Ceiling (High)</v>
      </c>
      <c r="F103" s="108">
        <f>MAX(D103,(VLOOKUP(A103,[1]!TOX,50,FALSE)),(VLOOKUP(A103,[1]!TOX,35,FALSE)))</f>
        <v>5000</v>
      </c>
      <c r="G103" s="115">
        <f>MIN(F103,'S-3'!J103)</f>
        <v>5000</v>
      </c>
      <c r="H103" s="109">
        <f t="shared" si="3"/>
        <v>5000</v>
      </c>
      <c r="I103" s="132" t="str">
        <f>IF(G103=0,"Not Calculated",IF(G103=D103,E103,IF(G103=[1]Toxicity!AI99,"Background",IF(G103='S-3'!J103,"S-3 Standard","PQL"))))</f>
        <v>Ceiling (High)</v>
      </c>
      <c r="J103" s="55"/>
      <c r="K103" s="54"/>
      <c r="L103" s="48"/>
      <c r="M103" s="48"/>
      <c r="N103" s="48"/>
      <c r="O103" s="48"/>
      <c r="P103" s="48"/>
      <c r="Q103" s="48"/>
      <c r="R103" s="48"/>
      <c r="S103" s="48"/>
      <c r="W103" s="51"/>
    </row>
    <row r="104" spans="1:23" ht="20" x14ac:dyDescent="0.25">
      <c r="A104" s="363" t="s">
        <v>385</v>
      </c>
      <c r="B104" s="108">
        <f>IF(ISERR(1/+(VLOOKUP(A104,[1]!TOX,17,FALSE))),0,'[1]Target Risk'!$D$8*(VLOOKUP(A104,[1]!TOX,4,FALSE))/(('S-2 Assumptions'!$J$21*(VLOOKUP(A104,[1]!TOX,17,FALSE)))+('S-2 Assumptions'!$K$43*(VLOOKUP(A104,[1]!TOX,19,FALSE)))))</f>
        <v>18340.189529190226</v>
      </c>
      <c r="C104" s="129">
        <f>IF(ISERR(1/(VLOOKUP(A104,[1]!TOX,25,FALSE))),0,+'[1]Target Risk'!$D$12/((('S-2 Assumptions'!$J$29*(VLOOKUP(A104,[1]!TOX,25,FALSE)))+('S-2 Assumptions'!$K$51*(VLOOKUP(A104,[1]!TOX,27,FALSE))))*(VLOOKUP(A104,[1]!TOX,12,FALSE))))</f>
        <v>0</v>
      </c>
      <c r="D104" s="108">
        <f>IF(B104=0,MIN(C104,(VLOOKUP(A104,[1]!TOX,74,FALSE))),IF(C104=0,MIN(B104,(VLOOKUP(A104,[1]!TOX,74,FALSE))),MIN(B104,C104,(VLOOKUP(A104,[1]!TOX,74,FALSE)))))</f>
        <v>500</v>
      </c>
      <c r="E104" s="129" t="str">
        <f>IF(D104=B104,"Noncancer Risk",IF(D104=C104,"Cancer Risk",(VLOOKUP(A104,[1]!TOX,75,FALSE))))</f>
        <v>Ceiling (Low)</v>
      </c>
      <c r="F104" s="108">
        <f>MAX(D104,(VLOOKUP(A104,[1]!TOX,50,FALSE)),(VLOOKUP(A104,[1]!TOX,35,FALSE)))</f>
        <v>500</v>
      </c>
      <c r="G104" s="115">
        <f>MIN(F104,'S-3'!J104)</f>
        <v>500</v>
      </c>
      <c r="H104" s="109">
        <f t="shared" si="3"/>
        <v>500</v>
      </c>
      <c r="I104" s="132" t="str">
        <f>IF(G104=0,"Not Calculated",IF(G104=D104,E104,IF(G104=[1]Toxicity!AI100,"Background",IF(G104='S-3'!J104,"S-3 Standard","PQL"))))</f>
        <v>Ceiling (Low)</v>
      </c>
      <c r="J104" s="55"/>
      <c r="K104" s="54"/>
      <c r="L104" s="48"/>
      <c r="M104" s="48"/>
      <c r="N104" s="48"/>
      <c r="O104" s="48"/>
      <c r="P104" s="48"/>
      <c r="Q104" s="48"/>
      <c r="R104" s="48"/>
      <c r="S104" s="48"/>
      <c r="W104" s="51"/>
    </row>
    <row r="105" spans="1:23" ht="20" x14ac:dyDescent="0.25">
      <c r="A105" s="363" t="s">
        <v>386</v>
      </c>
      <c r="B105" s="108">
        <f>IF(ISERR(1/+(VLOOKUP(A105,[1]!TOX,17,FALSE))),0,'[1]Target Risk'!$D$8*(VLOOKUP(A105,[1]!TOX,4,FALSE))/(('S-2 Assumptions'!$J$21*(VLOOKUP(A105,[1]!TOX,17,FALSE)))+('S-2 Assumptions'!$K$43*(VLOOKUP(A105,[1]!TOX,19,FALSE)))))</f>
        <v>51945.390566634385</v>
      </c>
      <c r="C105" s="129">
        <f>IF(ISERR(1/(VLOOKUP(A105,[1]!TOX,25,FALSE))),0,+'[1]Target Risk'!$D$12/((('S-2 Assumptions'!$J$29*(VLOOKUP(A105,[1]!TOX,25,FALSE)))+('S-2 Assumptions'!$K$51*(VLOOKUP(A105,[1]!TOX,27,FALSE))))*(VLOOKUP(A105,[1]!TOX,12,FALSE))))</f>
        <v>0</v>
      </c>
      <c r="D105" s="108">
        <f>IF(B105=0,MIN(C105,(VLOOKUP(A105,[1]!TOX,74,FALSE))),IF(C105=0,MIN(B105,(VLOOKUP(A105,[1]!TOX,74,FALSE))),MIN(B105,C105,(VLOOKUP(A105,[1]!TOX,74,FALSE)))))</f>
        <v>3000</v>
      </c>
      <c r="E105" s="129" t="str">
        <f>IF(D105=B105,"Noncancer Risk",IF(D105=C105,"Cancer Risk",(VLOOKUP(A105,[1]!TOX,75,FALSE))))</f>
        <v>Ceiling (High)</v>
      </c>
      <c r="F105" s="108">
        <f>MAX(D105,(VLOOKUP(A105,[1]!TOX,50,FALSE)),(VLOOKUP(A105,[1]!TOX,35,FALSE)))</f>
        <v>3000</v>
      </c>
      <c r="G105" s="115">
        <f>MIN(F105,'S-3'!J105)</f>
        <v>3000</v>
      </c>
      <c r="H105" s="109">
        <f t="shared" si="3"/>
        <v>3000</v>
      </c>
      <c r="I105" s="132" t="str">
        <f>IF(G105=0,"Not Calculated",IF(G105=D105,E105,IF(G105=[1]Toxicity!AI101,"Background",IF(G105='S-3'!J105,"S-3 Standard","PQL"))))</f>
        <v>Ceiling (High)</v>
      </c>
      <c r="J105" s="55"/>
      <c r="K105" s="54"/>
      <c r="L105" s="48"/>
      <c r="M105" s="48"/>
      <c r="N105" s="48"/>
      <c r="O105" s="48"/>
      <c r="P105" s="48"/>
      <c r="Q105" s="48"/>
      <c r="R105" s="48"/>
      <c r="S105" s="48"/>
      <c r="W105" s="51"/>
    </row>
    <row r="106" spans="1:23" ht="14" x14ac:dyDescent="0.25">
      <c r="A106" s="363" t="s">
        <v>22</v>
      </c>
      <c r="B106" s="108">
        <f>IF(ISERR(1/+(VLOOKUP(A106,[1]!TOX,17,FALSE))),0,'[1]Target Risk'!$D$8*(VLOOKUP(A106,[1]!TOX,4,FALSE))/(('S-2 Assumptions'!$J$21*(VLOOKUP(A106,[1]!TOX,17,FALSE)))+('S-2 Assumptions'!$K$43*(VLOOKUP(A106,[1]!TOX,19,FALSE)))))</f>
        <v>51945.390566634385</v>
      </c>
      <c r="C106" s="129">
        <f>IF(ISERR(1/(VLOOKUP(A106,[1]!TOX,25,FALSE))),0,+'[1]Target Risk'!$D$12/((('S-2 Assumptions'!$J$29*(VLOOKUP(A106,[1]!TOX,25,FALSE)))+('S-2 Assumptions'!$K$51*(VLOOKUP(A106,[1]!TOX,27,FALSE))))*(VLOOKUP(A106,[1]!TOX,12,FALSE))))</f>
        <v>0</v>
      </c>
      <c r="D106" s="108">
        <f>IF(B106=0,MIN(C106,(VLOOKUP(A106,[1]!TOX,74,FALSE))),IF(C106=0,MIN(B106,(VLOOKUP(A106,[1]!TOX,74,FALSE))),MIN(B106,C106,(VLOOKUP(A106,[1]!TOX,74,FALSE)))))</f>
        <v>1000</v>
      </c>
      <c r="E106" s="129" t="str">
        <f>IF(D106=B106,"Noncancer Risk",IF(D106=C106,"Cancer Risk",(VLOOKUP(A106,[1]!TOX,75,FALSE))))</f>
        <v>Ceiling (Medium)</v>
      </c>
      <c r="F106" s="108">
        <f>MAX(D106,(VLOOKUP(A106,[1]!TOX,50,FALSE)),(VLOOKUP(A106,[1]!TOX,35,FALSE)))</f>
        <v>1000</v>
      </c>
      <c r="G106" s="115">
        <f>MIN(F106,'S-3'!J106)</f>
        <v>1000</v>
      </c>
      <c r="H106" s="109">
        <f t="shared" si="3"/>
        <v>1000</v>
      </c>
      <c r="I106" s="132" t="str">
        <f>IF(G106=0,"Not Calculated",IF(G106=D106,E106,IF(G106=[1]Toxicity!AI102,"Background",IF(G106='S-3'!J106,"S-3 Standard","PQL"))))</f>
        <v>Ceiling (Medium)</v>
      </c>
      <c r="J106" s="48"/>
      <c r="K106" s="54"/>
      <c r="L106" s="48"/>
      <c r="M106" s="48"/>
      <c r="N106" s="48"/>
      <c r="O106" s="48"/>
      <c r="P106" s="48"/>
      <c r="Q106" s="48"/>
      <c r="R106" s="48"/>
      <c r="S106" s="48"/>
      <c r="W106" s="51"/>
    </row>
    <row r="107" spans="1:23" ht="14" x14ac:dyDescent="0.25">
      <c r="A107" s="363" t="s">
        <v>21</v>
      </c>
      <c r="B107" s="108">
        <f>IF(ISERR(1/+(VLOOKUP(A107,[1]!TOX,17,FALSE))),0,'[1]Target Risk'!$D$8*(VLOOKUP(A107,[1]!TOX,4,FALSE))/(('S-2 Assumptions'!$J$21*(VLOOKUP(A107,[1]!TOX,17,FALSE)))+('S-2 Assumptions'!$K$43*(VLOOKUP(A107,[1]!TOX,19,FALSE)))))</f>
        <v>161920.42405494829</v>
      </c>
      <c r="C107" s="129">
        <f>IF(ISERR(1/(VLOOKUP(A107,[1]!TOX,25,FALSE))),0,+'[1]Target Risk'!$D$12/((('S-2 Assumptions'!$J$29*(VLOOKUP(A107,[1]!TOX,25,FALSE)))+('S-2 Assumptions'!$K$51*(VLOOKUP(A107,[1]!TOX,27,FALSE))))*(VLOOKUP(A107,[1]!TOX,12,FALSE))))</f>
        <v>0</v>
      </c>
      <c r="D107" s="108">
        <f>IF(B107=0,MIN(C107,(VLOOKUP(A107,[1]!TOX,74,FALSE))),IF(C107=0,MIN(B107,(VLOOKUP(A107,[1]!TOX,74,FALSE))),MIN(B107,C107,(VLOOKUP(A107,[1]!TOX,74,FALSE)))))</f>
        <v>1000</v>
      </c>
      <c r="E107" s="129" t="str">
        <f>IF(D107=B107,"Noncancer Risk",IF(D107=C107,"Cancer Risk",(VLOOKUP(A107,[1]!TOX,75,FALSE))))</f>
        <v>Ceiling (Medium)</v>
      </c>
      <c r="F107" s="108">
        <f>MAX(D107,(VLOOKUP(A107,[1]!TOX,50,FALSE)),(VLOOKUP(A107,[1]!TOX,35,FALSE)))</f>
        <v>1000</v>
      </c>
      <c r="G107" s="115">
        <f>MIN(F107,'S-3'!J107)</f>
        <v>1000</v>
      </c>
      <c r="H107" s="109">
        <f t="shared" si="3"/>
        <v>1000</v>
      </c>
      <c r="I107" s="132" t="str">
        <f>IF(G107=0,"Not Calculated",IF(G107=D107,E107,IF(G107=[1]Toxicity!AI103,"Background",IF(G107='S-3'!J107,"S-3 Standard","PQL"))))</f>
        <v>Ceiling (Medium)</v>
      </c>
      <c r="J107" s="48"/>
      <c r="K107" s="54"/>
      <c r="L107" s="48"/>
      <c r="M107" s="48"/>
      <c r="N107" s="48"/>
      <c r="O107" s="48"/>
      <c r="P107" s="48"/>
      <c r="Q107" s="48"/>
      <c r="R107" s="48"/>
      <c r="S107" s="48"/>
      <c r="W107" s="51"/>
    </row>
    <row r="108" spans="1:23" ht="14" x14ac:dyDescent="0.25">
      <c r="A108" s="363" t="s">
        <v>20</v>
      </c>
      <c r="B108" s="108">
        <f>IF(ISERR(1/+(VLOOKUP(A108,[1]!TOX,17,FALSE))),0,'[1]Target Risk'!$D$8*(VLOOKUP(A108,[1]!TOX,4,FALSE))/(('S-2 Assumptions'!$J$21*(VLOOKUP(A108,[1]!TOX,17,FALSE)))+('S-2 Assumptions'!$K$43*(VLOOKUP(A108,[1]!TOX,19,FALSE)))))</f>
        <v>14.096997099578227</v>
      </c>
      <c r="C108" s="129">
        <f>IF(ISERR(1/(VLOOKUP(A108,[1]!TOX,25,FALSE))),0,+'[1]Target Risk'!$D$12/((('S-2 Assumptions'!$J$29*(VLOOKUP(A108,[1]!TOX,25,FALSE)))+('S-2 Assumptions'!$K$51*(VLOOKUP(A108,[1]!TOX,27,FALSE))))*(VLOOKUP(A108,[1]!TOX,12,FALSE))))</f>
        <v>4.5684712822707203</v>
      </c>
      <c r="D108" s="108">
        <f>IF(B108=0,MIN(C108,(VLOOKUP(A108,[1]!TOX,74,FALSE))),IF(C108=0,MIN(B108,(VLOOKUP(A108,[1]!TOX,74,FALSE))),MIN(B108,C108,(VLOOKUP(A108,[1]!TOX,74,FALSE)))))</f>
        <v>4.5684712822707203</v>
      </c>
      <c r="E108" s="129" t="str">
        <f>IF(D108=B108,"Noncancer Risk",IF(D108=C108,"Cancer Risk",(VLOOKUP(A108,[1]!TOX,75,FALSE))))</f>
        <v>Cancer Risk</v>
      </c>
      <c r="F108" s="108">
        <f>MAX(D108,(VLOOKUP(A108,[1]!TOX,50,FALSE)),(VLOOKUP(A108,[1]!TOX,35,FALSE)))</f>
        <v>4.5684712822707203</v>
      </c>
      <c r="G108" s="115">
        <f>MIN(F108,'S-3'!J108)</f>
        <v>4.3855320295162148</v>
      </c>
      <c r="H108" s="109">
        <f t="shared" si="3"/>
        <v>4</v>
      </c>
      <c r="I108" s="132" t="str">
        <f>IF(G108=0,"Not Calculated",IF(G108=D108,E108,IF(G108=[1]Toxicity!AI104,"Background",IF(G108='S-3'!J108,"S-3 Standard","PQL"))))</f>
        <v>S-3 Standard</v>
      </c>
      <c r="J108" s="48"/>
      <c r="K108" s="54"/>
      <c r="L108" s="48"/>
      <c r="M108" s="48"/>
      <c r="N108" s="48"/>
      <c r="O108" s="48"/>
      <c r="P108" s="48"/>
      <c r="Q108" s="48"/>
      <c r="R108" s="48"/>
      <c r="S108" s="48"/>
      <c r="W108" s="51"/>
    </row>
    <row r="109" spans="1:23" ht="14" x14ac:dyDescent="0.25">
      <c r="A109" s="363" t="s">
        <v>19</v>
      </c>
      <c r="B109" s="108">
        <f>IF(ISERR(1/+(VLOOKUP(A109,[1]!TOX,17,FALSE))),0,'[1]Target Risk'!$D$8*(VLOOKUP(A109,[1]!TOX,4,FALSE))/(('S-2 Assumptions'!$J$21*(VLOOKUP(A109,[1]!TOX,17,FALSE)))+('S-2 Assumptions'!$K$43*(VLOOKUP(A109,[1]!TOX,19,FALSE)))))</f>
        <v>51945.390566634385</v>
      </c>
      <c r="C109" s="129">
        <f>IF(ISERR(1/(VLOOKUP(A109,[1]!TOX,25,FALSE))),0,+'[1]Target Risk'!$D$12/((('S-2 Assumptions'!$J$29*(VLOOKUP(A109,[1]!TOX,25,FALSE)))+('S-2 Assumptions'!$K$51*(VLOOKUP(A109,[1]!TOX,27,FALSE))))*(VLOOKUP(A109,[1]!TOX,12,FALSE))))</f>
        <v>0</v>
      </c>
      <c r="D109" s="108">
        <f>IF(B109=0,MIN(C109,(VLOOKUP(A109,[1]!TOX,74,FALSE))),IF(C109=0,MIN(B109,(VLOOKUP(A109,[1]!TOX,74,FALSE))),MIN(B109,C109,(VLOOKUP(A109,[1]!TOX,74,FALSE)))))</f>
        <v>3000</v>
      </c>
      <c r="E109" s="129" t="str">
        <f>IF(D109=B109,"Noncancer Risk",IF(D109=C109,"Cancer Risk",(VLOOKUP(A109,[1]!TOX,75,FALSE))))</f>
        <v>Ceiling (High)</v>
      </c>
      <c r="F109" s="108">
        <f>MAX(D109,(VLOOKUP(A109,[1]!TOX,50,FALSE)),(VLOOKUP(A109,[1]!TOX,35,FALSE)))</f>
        <v>3000</v>
      </c>
      <c r="G109" s="115">
        <f>MIN(F109,'S-3'!J109)</f>
        <v>3000</v>
      </c>
      <c r="H109" s="109">
        <f t="shared" si="3"/>
        <v>3000</v>
      </c>
      <c r="I109" s="132" t="str">
        <f>IF(G109=0,"Not Calculated",IF(G109=D109,E109,IF(G109=[1]Toxicity!AI105,"Background",IF(G109='S-3'!J109,"S-3 Standard","PQL"))))</f>
        <v>Ceiling (High)</v>
      </c>
      <c r="J109" s="48"/>
      <c r="K109" s="54"/>
      <c r="L109" s="48"/>
      <c r="M109" s="48"/>
      <c r="N109" s="48"/>
      <c r="O109" s="48"/>
      <c r="P109" s="48"/>
      <c r="Q109" s="48"/>
      <c r="R109" s="48"/>
      <c r="S109" s="48"/>
      <c r="W109" s="51"/>
    </row>
    <row r="110" spans="1:23" ht="14" x14ac:dyDescent="0.25">
      <c r="A110" s="363" t="s">
        <v>18</v>
      </c>
      <c r="B110" s="108">
        <f>IF(ISERR(1/+(VLOOKUP(A110,[1]!TOX,17,FALSE))),0,'[1]Target Risk'!$D$8*(VLOOKUP(A110,[1]!TOX,4,FALSE))/(('S-2 Assumptions'!$J$21*(VLOOKUP(A110,[1]!TOX,17,FALSE)))+('S-2 Assumptions'!$K$43*(VLOOKUP(A110,[1]!TOX,19,FALSE)))))</f>
        <v>2409.3795470804475</v>
      </c>
      <c r="C110" s="129">
        <f>IF(ISERR(1/(VLOOKUP(A110,[1]!TOX,25,FALSE))),0,+'[1]Target Risk'!$D$12/((('S-2 Assumptions'!$J$29*(VLOOKUP(A110,[1]!TOX,25,FALSE)))+('S-2 Assumptions'!$K$51*(VLOOKUP(A110,[1]!TOX,27,FALSE))))*(VLOOKUP(A110,[1]!TOX,12,FALSE))))</f>
        <v>94.644538886437317</v>
      </c>
      <c r="D110" s="108">
        <f>IF(B110=0,MIN(C110,(VLOOKUP(A110,[1]!TOX,74,FALSE))),IF(C110=0,MIN(B110,(VLOOKUP(A110,[1]!TOX,74,FALSE))),MIN(B110,C110,(VLOOKUP(A110,[1]!TOX,74,FALSE)))))</f>
        <v>94.644538886437317</v>
      </c>
      <c r="E110" s="129" t="str">
        <f>IF(D110=B110,"Noncancer Risk",IF(D110=C110,"Cancer Risk",(VLOOKUP(A110,[1]!TOX,75,FALSE))))</f>
        <v>Cancer Risk</v>
      </c>
      <c r="F110" s="108">
        <f>MAX(D110,(VLOOKUP(A110,[1]!TOX,50,FALSE)),(VLOOKUP(A110,[1]!TOX,35,FALSE)))</f>
        <v>94.644538886437317</v>
      </c>
      <c r="G110" s="115">
        <f>MIN(F110,'S-3'!J110)</f>
        <v>94.644538886437317</v>
      </c>
      <c r="H110" s="109">
        <f t="shared" si="3"/>
        <v>90</v>
      </c>
      <c r="I110" s="132" t="str">
        <f>IF(G110=0,"Not Calculated",IF(G110=D110,E110,IF(G110=[1]Toxicity!AI106,"Background",IF(G110='S-3'!J110,"S-3 Standard","PQL"))))</f>
        <v>Cancer Risk</v>
      </c>
      <c r="J110" s="48"/>
      <c r="K110" s="54"/>
      <c r="L110" s="48"/>
      <c r="M110" s="48"/>
      <c r="N110" s="48"/>
      <c r="O110" s="48"/>
      <c r="P110" s="48"/>
      <c r="Q110" s="48"/>
      <c r="R110" s="48"/>
      <c r="S110" s="48"/>
      <c r="W110" s="51"/>
    </row>
    <row r="111" spans="1:23" ht="14" x14ac:dyDescent="0.25">
      <c r="A111" s="363" t="s">
        <v>17</v>
      </c>
      <c r="B111" s="108">
        <f>IF(ISERR(1/+(VLOOKUP(A111,[1]!TOX,17,FALSE))),0,'[1]Target Risk'!$D$8*(VLOOKUP(A111,[1]!TOX,4,FALSE))/(('S-2 Assumptions'!$J$21*(VLOOKUP(A111,[1]!TOX,17,FALSE)))+('S-2 Assumptions'!$K$43*(VLOOKUP(A111,[1]!TOX,19,FALSE)))))</f>
        <v>4086.8610561650385</v>
      </c>
      <c r="C111" s="129">
        <f>IF(ISERR(1/(VLOOKUP(A111,[1]!TOX,25,FALSE))),0,+'[1]Target Risk'!$D$12/((('S-2 Assumptions'!$J$29*(VLOOKUP(A111,[1]!TOX,25,FALSE)))+('S-2 Assumptions'!$K$51*(VLOOKUP(A111,[1]!TOX,27,FALSE))))*(VLOOKUP(A111,[1]!TOX,12,FALSE))))</f>
        <v>0</v>
      </c>
      <c r="D111" s="108">
        <f>IF(B111=0,MIN(C111,(VLOOKUP(A111,[1]!TOX,74,FALSE))),IF(C111=0,MIN(B111,(VLOOKUP(A111,[1]!TOX,74,FALSE))),MIN(B111,C111,(VLOOKUP(A111,[1]!TOX,74,FALSE)))))</f>
        <v>3000</v>
      </c>
      <c r="E111" s="129" t="str">
        <f>IF(D111=B111,"Noncancer Risk",IF(D111=C111,"Cancer Risk",(VLOOKUP(A111,[1]!TOX,75,FALSE))))</f>
        <v>Ceiling (High)</v>
      </c>
      <c r="F111" s="108">
        <f>MAX(D111,(VLOOKUP(A111,[1]!TOX,50,FALSE)),(VLOOKUP(A111,[1]!TOX,35,FALSE)))</f>
        <v>3000</v>
      </c>
      <c r="G111" s="115">
        <f>MIN(F111,'S-3'!J111)</f>
        <v>808.50275318591298</v>
      </c>
      <c r="H111" s="109">
        <f t="shared" si="3"/>
        <v>800</v>
      </c>
      <c r="I111" s="132" t="str">
        <f>IF(G111=0,"Not Calculated",IF(G111=D111,E111,IF(G111=[1]Toxicity!AI107,"Background",IF(G111='S-3'!J111,"S-3 Standard","PQL"))))</f>
        <v>S-3 Standard</v>
      </c>
      <c r="J111" s="48"/>
      <c r="K111" s="54"/>
      <c r="L111" s="48"/>
      <c r="M111" s="48"/>
      <c r="N111" s="48"/>
      <c r="O111" s="48"/>
      <c r="P111" s="48"/>
      <c r="Q111" s="48"/>
      <c r="R111" s="48"/>
      <c r="S111" s="48"/>
      <c r="W111" s="51"/>
    </row>
    <row r="112" spans="1:23" ht="14" x14ac:dyDescent="0.25">
      <c r="A112" s="363" t="s">
        <v>16</v>
      </c>
      <c r="B112" s="108">
        <f>IF(ISERR(1/+(VLOOKUP(A112,[1]!TOX,17,FALSE))),0,'[1]Target Risk'!$D$8*(VLOOKUP(A112,[1]!TOX,4,FALSE))/(('S-2 Assumptions'!$J$21*(VLOOKUP(A112,[1]!TOX,17,FALSE)))+('S-2 Assumptions'!$K$43*(VLOOKUP(A112,[1]!TOX,19,FALSE)))))</f>
        <v>2698.6737342491383</v>
      </c>
      <c r="C112" s="129">
        <f>IF(ISERR(1/(VLOOKUP(A112,[1]!TOX,25,FALSE))),0,+'[1]Target Risk'!$D$12/((('S-2 Assumptions'!$J$29*(VLOOKUP(A112,[1]!TOX,25,FALSE)))+('S-2 Assumptions'!$K$51*(VLOOKUP(A112,[1]!TOX,27,FALSE))))*(VLOOKUP(A112,[1]!TOX,12,FALSE))))</f>
        <v>0</v>
      </c>
      <c r="D112" s="108">
        <f>IF(B112=0,MIN(C112,(VLOOKUP(A112,[1]!TOX,74,FALSE))),IF(C112=0,MIN(B112,(VLOOKUP(A112,[1]!TOX,74,FALSE))),MIN(B112,C112,(VLOOKUP(A112,[1]!TOX,74,FALSE)))))</f>
        <v>2698.6737342491383</v>
      </c>
      <c r="E112" s="129" t="str">
        <f>IF(D112=B112,"Noncancer Risk",IF(D112=C112,"Cancer Risk",(VLOOKUP(A112,[1]!TOX,75,FALSE))))</f>
        <v>Noncancer Risk</v>
      </c>
      <c r="F112" s="108">
        <f>MAX(D112,(VLOOKUP(A112,[1]!TOX,50,FALSE)),(VLOOKUP(A112,[1]!TOX,35,FALSE)))</f>
        <v>2698.6737342491383</v>
      </c>
      <c r="G112" s="115">
        <f>MIN(F112,'S-3'!J112)</f>
        <v>202.02399508882164</v>
      </c>
      <c r="H112" s="109">
        <f t="shared" si="3"/>
        <v>200</v>
      </c>
      <c r="I112" s="132" t="str">
        <f>IF(G112=0,"Not Calculated",IF(G112=D112,E112,IF(G112=[1]Toxicity!AI108,"Background",IF(G112='S-3'!J112,"S-3 Standard","PQL"))))</f>
        <v>S-3 Standard</v>
      </c>
      <c r="J112" s="48"/>
      <c r="K112" s="54"/>
      <c r="L112" s="48"/>
      <c r="M112" s="48"/>
      <c r="N112" s="48"/>
      <c r="O112" s="48"/>
      <c r="P112" s="48"/>
      <c r="Q112" s="48"/>
      <c r="R112" s="48"/>
      <c r="S112" s="48"/>
      <c r="W112" s="51"/>
    </row>
    <row r="113" spans="1:23" ht="14" x14ac:dyDescent="0.25">
      <c r="A113" s="363" t="s">
        <v>15</v>
      </c>
      <c r="B113" s="108">
        <f>IF(ISERR(1/+(VLOOKUP(A113,[1]!TOX,17,FALSE))),0,'[1]Target Risk'!$D$8*(VLOOKUP(A113,[1]!TOX,4,FALSE))/(('S-2 Assumptions'!$J$21*(VLOOKUP(A113,[1]!TOX,17,FALSE)))+('S-2 Assumptions'!$K$43*(VLOOKUP(A113,[1]!TOX,19,FALSE)))))</f>
        <v>157873.77609024913</v>
      </c>
      <c r="C113" s="129">
        <f>IF(ISERR(1/(VLOOKUP(A113,[1]!TOX,25,FALSE))),0,+'[1]Target Risk'!$D$12/((('S-2 Assumptions'!$J$29*(VLOOKUP(A113,[1]!TOX,25,FALSE)))+('S-2 Assumptions'!$K$51*(VLOOKUP(A113,[1]!TOX,27,FALSE))))*(VLOOKUP(A113,[1]!TOX,12,FALSE))))</f>
        <v>341.08531871350112</v>
      </c>
      <c r="D113" s="108">
        <f>IF(B113=0,MIN(C113,(VLOOKUP(A113,[1]!TOX,74,FALSE))),IF(C113=0,MIN(B113,(VLOOKUP(A113,[1]!TOX,74,FALSE))),MIN(B113,C113,(VLOOKUP(A113,[1]!TOX,74,FALSE)))))</f>
        <v>341.08531871350112</v>
      </c>
      <c r="E113" s="129" t="str">
        <f>IF(D113=B113,"Noncancer Risk",IF(D113=C113,"Cancer Risk",(VLOOKUP(A113,[1]!TOX,75,FALSE))))</f>
        <v>Cancer Risk</v>
      </c>
      <c r="F113" s="108">
        <f>MAX(D113,(VLOOKUP(A113,[1]!TOX,50,FALSE)),(VLOOKUP(A113,[1]!TOX,35,FALSE)))</f>
        <v>341.08531871350112</v>
      </c>
      <c r="G113" s="115">
        <f>MIN(F113,'S-3'!J113)</f>
        <v>341.08531871350112</v>
      </c>
      <c r="H113" s="109">
        <f t="shared" si="3"/>
        <v>300</v>
      </c>
      <c r="I113" s="132" t="str">
        <f>IF(G113=0,"Not Calculated",IF(G113=D113,E113,IF(G113=[1]Toxicity!AI109,"Background",IF(G113='S-3'!J113,"S-3 Standard","PQL"))))</f>
        <v>Cancer Risk</v>
      </c>
      <c r="J113" s="48"/>
      <c r="K113" s="54"/>
      <c r="L113" s="48"/>
      <c r="M113" s="48"/>
      <c r="N113" s="48"/>
      <c r="O113" s="48"/>
      <c r="P113" s="48"/>
      <c r="Q113" s="48"/>
      <c r="R113" s="48"/>
      <c r="S113" s="48"/>
      <c r="W113" s="51"/>
    </row>
    <row r="114" spans="1:23" ht="14" x14ac:dyDescent="0.25">
      <c r="A114" s="363" t="s">
        <v>14</v>
      </c>
      <c r="B114" s="108">
        <f>IF(ISERR(1/+(VLOOKUP(A114,[1]!TOX,17,FALSE))),0,'[1]Target Risk'!$D$8*(VLOOKUP(A114,[1]!TOX,4,FALSE))/(('S-2 Assumptions'!$J$21*(VLOOKUP(A114,[1]!TOX,17,FALSE)))+('S-2 Assumptions'!$K$43*(VLOOKUP(A114,[1]!TOX,19,FALSE)))))</f>
        <v>4.933948984852379E-4</v>
      </c>
      <c r="C114" s="129">
        <f>IF(ISERR(1/(VLOOKUP(A114,[1]!TOX,25,FALSE))),0,+'[1]Target Risk'!$D$12/((('S-2 Assumptions'!$J$29*(VLOOKUP(A114,[1]!TOX,25,FALSE)))+('S-2 Assumptions'!$K$51*(VLOOKUP(A114,[1]!TOX,27,FALSE))))*(VLOOKUP(A114,[1]!TOX,12,FALSE))))</f>
        <v>6.0912950430276272E-5</v>
      </c>
      <c r="D114" s="108">
        <f>IF(B114=0,MIN(C114,(VLOOKUP(A114,[1]!TOX,74,FALSE))),IF(C114=0,MIN(B114,(VLOOKUP(A114,[1]!TOX,74,FALSE))),MIN(B114,C114,(VLOOKUP(A114,[1]!TOX,74,FALSE)))))</f>
        <v>6.0912950430276272E-5</v>
      </c>
      <c r="E114" s="129" t="str">
        <f>IF(D114=B114,"Noncancer Risk",IF(D114=C114,"Cancer Risk",(VLOOKUP(A114,[1]!TOX,75,FALSE))))</f>
        <v>Cancer Risk</v>
      </c>
      <c r="F114" s="108">
        <f>MAX(D114,(VLOOKUP(A114,[1]!TOX,50,FALSE)),(VLOOKUP(A114,[1]!TOX,35,FALSE)))</f>
        <v>6.0912950430276272E-5</v>
      </c>
      <c r="G114" s="115">
        <f>MIN(F114,'S-3'!J114)</f>
        <v>6.0912950430276272E-5</v>
      </c>
      <c r="H114" s="109">
        <f t="shared" si="3"/>
        <v>6.0000000000000002E-5</v>
      </c>
      <c r="I114" s="132" t="str">
        <f>IF(G114=0,"Not Calculated",IF(G114=D114,E114,IF(G114=[1]Toxicity!AI110,"Background",IF(G114='S-3'!J114,"S-3 Standard","PQL"))))</f>
        <v>Cancer Risk</v>
      </c>
      <c r="J114" s="48"/>
      <c r="K114" s="54"/>
      <c r="L114" s="48"/>
      <c r="M114" s="48"/>
      <c r="N114" s="48"/>
      <c r="O114" s="48"/>
      <c r="P114" s="48"/>
      <c r="Q114" s="48"/>
      <c r="R114" s="48"/>
      <c r="S114" s="48"/>
      <c r="W114" s="51"/>
    </row>
    <row r="115" spans="1:23" ht="14" x14ac:dyDescent="0.25">
      <c r="A115" s="363" t="s">
        <v>13</v>
      </c>
      <c r="B115" s="108">
        <f>IF(ISERR(1/+(VLOOKUP(A115,[1]!TOX,17,FALSE))),0,'[1]Target Risk'!$D$8*(VLOOKUP(A115,[1]!TOX,4,FALSE))/(('S-2 Assumptions'!$J$21*(VLOOKUP(A115,[1]!TOX,17,FALSE)))+('S-2 Assumptions'!$K$43*(VLOOKUP(A115,[1]!TOX,19,FALSE)))))</f>
        <v>23681.066413537363</v>
      </c>
      <c r="C115" s="129">
        <f>IF(ISERR(1/(VLOOKUP(A115,[1]!TOX,25,FALSE))),0,+'[1]Target Risk'!$D$12/((('S-2 Assumptions'!$J$29*(VLOOKUP(A115,[1]!TOX,25,FALSE)))+('S-2 Assumptions'!$K$51*(VLOOKUP(A115,[1]!TOX,27,FALSE))))*(VLOOKUP(A115,[1]!TOX,12,FALSE))))</f>
        <v>393.55998313096279</v>
      </c>
      <c r="D115" s="108">
        <f>IF(B115=0,MIN(C115,(VLOOKUP(A115,[1]!TOX,74,FALSE))),IF(C115=0,MIN(B115,(VLOOKUP(A115,[1]!TOX,74,FALSE))),MIN(B115,C115,(VLOOKUP(A115,[1]!TOX,74,FALSE)))))</f>
        <v>393.55998313096279</v>
      </c>
      <c r="E115" s="129" t="str">
        <f>IF(D115=B115,"Noncancer Risk",IF(D115=C115,"Cancer Risk",(VLOOKUP(A115,[1]!TOX,75,FALSE))))</f>
        <v>Cancer Risk</v>
      </c>
      <c r="F115" s="108">
        <f>MAX(D115,(VLOOKUP(A115,[1]!TOX,50,FALSE)),(VLOOKUP(A115,[1]!TOX,35,FALSE)))</f>
        <v>393.55998313096279</v>
      </c>
      <c r="G115" s="115">
        <f>MIN(F115,'S-3'!J115)</f>
        <v>393.55998313096279</v>
      </c>
      <c r="H115" s="109">
        <f t="shared" si="3"/>
        <v>400</v>
      </c>
      <c r="I115" s="132" t="str">
        <f>IF(G115=0,"Not Calculated",IF(G115=D115,E115,IF(G115=[1]Toxicity!AI111,"Background",IF(G115='S-3'!J115,"S-3 Standard","PQL"))))</f>
        <v>Cancer Risk</v>
      </c>
      <c r="J115" s="48"/>
      <c r="K115" s="54"/>
      <c r="L115" s="48"/>
      <c r="M115" s="48"/>
      <c r="N115" s="48"/>
      <c r="O115" s="48"/>
      <c r="P115" s="48"/>
      <c r="Q115" s="48"/>
      <c r="R115" s="48"/>
      <c r="S115" s="48"/>
      <c r="W115" s="51"/>
    </row>
    <row r="116" spans="1:23" ht="14" x14ac:dyDescent="0.25">
      <c r="A116" s="363" t="s">
        <v>12</v>
      </c>
      <c r="B116" s="108">
        <f>IF(ISERR(1/+(VLOOKUP(A116,[1]!TOX,17,FALSE))),0,'[1]Target Risk'!$D$8*(VLOOKUP(A116,[1]!TOX,4,FALSE))/(('S-2 Assumptions'!$J$21*(VLOOKUP(A116,[1]!TOX,17,FALSE)))+('S-2 Assumptions'!$K$43*(VLOOKUP(A116,[1]!TOX,19,FALSE)))))</f>
        <v>15787.37760902491</v>
      </c>
      <c r="C116" s="129">
        <f>IF(ISERR(1/(VLOOKUP(A116,[1]!TOX,25,FALSE))),0,+'[1]Target Risk'!$D$12/((('S-2 Assumptions'!$J$29*(VLOOKUP(A116,[1]!TOX,25,FALSE)))+('S-2 Assumptions'!$K$51*(VLOOKUP(A116,[1]!TOX,27,FALSE))))*(VLOOKUP(A116,[1]!TOX,12,FALSE))))</f>
        <v>51.162797807025164</v>
      </c>
      <c r="D116" s="108">
        <f>IF(B116=0,MIN(C116,(VLOOKUP(A116,[1]!TOX,74,FALSE))),IF(C116=0,MIN(B116,(VLOOKUP(A116,[1]!TOX,74,FALSE))),MIN(B116,C116,(VLOOKUP(A116,[1]!TOX,74,FALSE)))))</f>
        <v>51.162797807025164</v>
      </c>
      <c r="E116" s="129" t="str">
        <f>IF(D116=B116,"Noncancer Risk",IF(D116=C116,"Cancer Risk",(VLOOKUP(A116,[1]!TOX,75,FALSE))))</f>
        <v>Cancer Risk</v>
      </c>
      <c r="F116" s="108">
        <f>MAX(D116,(VLOOKUP(A116,[1]!TOX,50,FALSE)),(VLOOKUP(A116,[1]!TOX,35,FALSE)))</f>
        <v>51.162797807025164</v>
      </c>
      <c r="G116" s="115">
        <f>MIN(F116,'S-3'!J116)</f>
        <v>51.162797807025164</v>
      </c>
      <c r="H116" s="109">
        <f t="shared" si="3"/>
        <v>50</v>
      </c>
      <c r="I116" s="132" t="str">
        <f>IF(G116=0,"Not Calculated",IF(G116=D116,E116,IF(G116=[1]Toxicity!AI112,"Background",IF(G116='S-3'!J116,"S-3 Standard","PQL"))))</f>
        <v>Cancer Risk</v>
      </c>
      <c r="J116" s="48"/>
      <c r="K116" s="54"/>
      <c r="L116" s="48"/>
      <c r="M116" s="48"/>
      <c r="N116" s="48"/>
      <c r="O116" s="48"/>
      <c r="P116" s="48"/>
      <c r="Q116" s="48"/>
      <c r="R116" s="48"/>
      <c r="S116" s="48"/>
      <c r="W116" s="51"/>
    </row>
    <row r="117" spans="1:23" ht="14" x14ac:dyDescent="0.25">
      <c r="A117" s="363" t="s">
        <v>11</v>
      </c>
      <c r="B117" s="108">
        <f>IF(ISERR(1/+(VLOOKUP(A117,[1]!TOX,17,FALSE))),0,'[1]Target Risk'!$D$8*(VLOOKUP(A117,[1]!TOX,4,FALSE))/(('S-2 Assumptions'!$J$21*(VLOOKUP(A117,[1]!TOX,17,FALSE)))+('S-2 Assumptions'!$K$43*(VLOOKUP(A117,[1]!TOX,19,FALSE)))))</f>
        <v>4736.2132827074729</v>
      </c>
      <c r="C117" s="129">
        <f>IF(ISERR(1/(VLOOKUP(A117,[1]!TOX,25,FALSE))),0,+'[1]Target Risk'!$D$12/((('S-2 Assumptions'!$J$29*(VLOOKUP(A117,[1]!TOX,25,FALSE)))+('S-2 Assumptions'!$K$51*(VLOOKUP(A117,[1]!TOX,27,FALSE))))*(VLOOKUP(A117,[1]!TOX,12,FALSE))))</f>
        <v>511.62797807025157</v>
      </c>
      <c r="D117" s="108">
        <f>IF(B117=0,MIN(C117,(VLOOKUP(A117,[1]!TOX,74,FALSE))),IF(C117=0,MIN(B117,(VLOOKUP(A117,[1]!TOX,74,FALSE))),MIN(B117,C117,(VLOOKUP(A117,[1]!TOX,74,FALSE)))))</f>
        <v>511.62797807025157</v>
      </c>
      <c r="E117" s="129" t="str">
        <f>IF(D117=B117,"Noncancer Risk",IF(D117=C117,"Cancer Risk",(VLOOKUP(A117,[1]!TOX,75,FALSE))))</f>
        <v>Cancer Risk</v>
      </c>
      <c r="F117" s="108">
        <f>MAX(D117,(VLOOKUP(A117,[1]!TOX,50,FALSE)),(VLOOKUP(A117,[1]!TOX,35,FALSE)))</f>
        <v>511.62797807025157</v>
      </c>
      <c r="G117" s="115">
        <f>MIN(F117,'S-3'!J117)</f>
        <v>511.62797807025157</v>
      </c>
      <c r="H117" s="109">
        <f t="shared" si="3"/>
        <v>500</v>
      </c>
      <c r="I117" s="132" t="str">
        <f>IF(G117=0,"Not Calculated",IF(G117=D117,E117,IF(G117=[1]Toxicity!AI113,"Background",IF(G117='S-3'!J117,"S-3 Standard","PQL"))))</f>
        <v>Cancer Risk</v>
      </c>
      <c r="J117" s="48"/>
      <c r="K117" s="54"/>
      <c r="L117" s="48"/>
      <c r="M117" s="48"/>
      <c r="N117" s="48"/>
      <c r="O117" s="48"/>
      <c r="P117" s="48"/>
      <c r="Q117" s="48"/>
      <c r="R117" s="48"/>
      <c r="S117" s="48"/>
      <c r="W117" s="56"/>
    </row>
    <row r="118" spans="1:23" ht="14" x14ac:dyDescent="0.25">
      <c r="A118" s="363" t="s">
        <v>10</v>
      </c>
      <c r="B118" s="108">
        <f>IF(ISERR(1/+(VLOOKUP(A118,[1]!TOX,17,FALSE))),0,'[1]Target Risk'!$D$8*(VLOOKUP(A118,[1]!TOX,4,FALSE))/(('S-2 Assumptions'!$J$21*(VLOOKUP(A118,[1]!TOX,17,FALSE)))+('S-2 Assumptions'!$K$43*(VLOOKUP(A118,[1]!TOX,19,FALSE)))))</f>
        <v>65.389776898640619</v>
      </c>
      <c r="C118" s="129">
        <f>IF(ISERR(1/(VLOOKUP(A118,[1]!TOX,25,FALSE))),0,+'[1]Target Risk'!$D$12/((('S-2 Assumptions'!$J$29*(VLOOKUP(A118,[1]!TOX,25,FALSE)))+('S-2 Assumptions'!$K$51*(VLOOKUP(A118,[1]!TOX,27,FALSE))))*(VLOOKUP(A118,[1]!TOX,12,FALSE))))</f>
        <v>0</v>
      </c>
      <c r="D118" s="108">
        <f>IF(B118=0,MIN(C118,(VLOOKUP(A118,[1]!TOX,74,FALSE))),IF(C118=0,MIN(B118,(VLOOKUP(A118,[1]!TOX,74,FALSE))),MIN(B118,C118,(VLOOKUP(A118,[1]!TOX,74,FALSE)))))</f>
        <v>65.389776898640619</v>
      </c>
      <c r="E118" s="129" t="str">
        <f>IF(D118=B118,"Noncancer Risk",IF(D118=C118,"Cancer Risk",(VLOOKUP(A118,[1]!TOX,75,FALSE))))</f>
        <v>Noncancer Risk</v>
      </c>
      <c r="F118" s="108">
        <f>MAX(D118,(VLOOKUP(A118,[1]!TOX,50,FALSE)),(VLOOKUP(A118,[1]!TOX,35,FALSE)))</f>
        <v>65.389776898640619</v>
      </c>
      <c r="G118" s="115">
        <f>MIN(F118,'S-3'!J118)</f>
        <v>65.389776898640619</v>
      </c>
      <c r="H118" s="109">
        <f t="shared" si="3"/>
        <v>70</v>
      </c>
      <c r="I118" s="132" t="str">
        <f>IF(G118=0,"Not Calculated",IF(G118=D118,E118,IF(G118=[1]Toxicity!AI114,"Background",IF(G118='S-3'!J118,"S-3 Standard","PQL"))))</f>
        <v>Noncancer Risk</v>
      </c>
      <c r="J118" s="48"/>
      <c r="K118" s="54"/>
      <c r="L118" s="48"/>
      <c r="M118" s="48"/>
      <c r="N118" s="48"/>
      <c r="O118" s="48"/>
      <c r="P118" s="48"/>
      <c r="Q118" s="48"/>
      <c r="R118" s="48"/>
      <c r="S118" s="48"/>
      <c r="W118" s="51"/>
    </row>
    <row r="119" spans="1:23" ht="14" x14ac:dyDescent="0.25">
      <c r="A119" s="363" t="s">
        <v>9</v>
      </c>
      <c r="B119" s="108">
        <f>IF(ISERR(1/+(VLOOKUP(A119,[1]!TOX,17,FALSE))),0,'[1]Target Risk'!$D$8*(VLOOKUP(A119,[1]!TOX,4,FALSE))/(('S-2 Assumptions'!$J$21*(VLOOKUP(A119,[1]!TOX,17,FALSE)))+('S-2 Assumptions'!$K$43*(VLOOKUP(A119,[1]!TOX,19,FALSE)))))</f>
        <v>63149.510436099641</v>
      </c>
      <c r="C119" s="129">
        <f>IF(ISERR(1/(VLOOKUP(A119,[1]!TOX,25,FALSE))),0,+'[1]Target Risk'!$D$12/((('S-2 Assumptions'!$J$29*(VLOOKUP(A119,[1]!TOX,25,FALSE)))+('S-2 Assumptions'!$K$51*(VLOOKUP(A119,[1]!TOX,27,FALSE))))*(VLOOKUP(A119,[1]!TOX,12,FALSE))))</f>
        <v>0</v>
      </c>
      <c r="D119" s="108">
        <f>IF(B119=0,MIN(C119,(VLOOKUP(A119,[1]!TOX,74,FALSE))),IF(C119=0,MIN(B119,(VLOOKUP(A119,[1]!TOX,74,FALSE))),MIN(B119,C119,(VLOOKUP(A119,[1]!TOX,74,FALSE)))))</f>
        <v>1000</v>
      </c>
      <c r="E119" s="129" t="str">
        <f>IF(D119=B119,"Noncancer Risk",IF(D119=C119,"Cancer Risk",(VLOOKUP(A119,[1]!TOX,75,FALSE))))</f>
        <v>Ceiling (Medium)</v>
      </c>
      <c r="F119" s="108">
        <f>MAX(D119,(VLOOKUP(A119,[1]!TOX,50,FALSE)),(VLOOKUP(A119,[1]!TOX,35,FALSE)))</f>
        <v>1000</v>
      </c>
      <c r="G119" s="115">
        <f>MIN(F119,'S-3'!J119)</f>
        <v>1000</v>
      </c>
      <c r="H119" s="109">
        <f t="shared" si="3"/>
        <v>1000</v>
      </c>
      <c r="I119" s="132" t="str">
        <f>IF(G119=0,"Not Calculated",IF(G119=D119,E119,IF(G119=[1]Toxicity!AI115,"Background",IF(G119='S-3'!J119,"S-3 Standard","PQL"))))</f>
        <v>Ceiling (Medium)</v>
      </c>
      <c r="J119" s="48"/>
      <c r="K119" s="54"/>
      <c r="L119" s="48"/>
      <c r="M119" s="48"/>
      <c r="N119" s="48"/>
      <c r="O119" s="48"/>
      <c r="P119" s="48"/>
      <c r="Q119" s="48"/>
      <c r="R119" s="48"/>
      <c r="S119" s="48"/>
      <c r="W119" s="53"/>
    </row>
    <row r="120" spans="1:23" ht="14" x14ac:dyDescent="0.25">
      <c r="A120" s="363" t="s">
        <v>8</v>
      </c>
      <c r="B120" s="108">
        <f>IF(ISERR(1/+(VLOOKUP(A120,[1]!TOX,17,FALSE))),0,'[1]Target Risk'!$D$8*(VLOOKUP(A120,[1]!TOX,4,FALSE))/(('S-2 Assumptions'!$J$21*(VLOOKUP(A120,[1]!TOX,17,FALSE)))+('S-2 Assumptions'!$K$43*(VLOOKUP(A120,[1]!TOX,19,FALSE)))))</f>
        <v>7893.6888045124551</v>
      </c>
      <c r="C120" s="129">
        <f>IF(ISERR(1/(VLOOKUP(A120,[1]!TOX,25,FALSE))),0,+'[1]Target Risk'!$D$12/((('S-2 Assumptions'!$J$29*(VLOOKUP(A120,[1]!TOX,25,FALSE)))+('S-2 Assumptions'!$K$51*(VLOOKUP(A120,[1]!TOX,27,FALSE))))*(VLOOKUP(A120,[1]!TOX,12,FALSE))))</f>
        <v>0</v>
      </c>
      <c r="D120" s="108">
        <f>IF(B120=0,MIN(C120,(VLOOKUP(A120,[1]!TOX,74,FALSE))),IF(C120=0,MIN(B120,(VLOOKUP(A120,[1]!TOX,74,FALSE))),MIN(B120,C120,(VLOOKUP(A120,[1]!TOX,74,FALSE)))))</f>
        <v>3000</v>
      </c>
      <c r="E120" s="129" t="str">
        <f>IF(D120=B120,"Noncancer Risk",IF(D120=C120,"Cancer Risk",(VLOOKUP(A120,[1]!TOX,75,FALSE))))</f>
        <v>Ceiling (High)</v>
      </c>
      <c r="F120" s="108">
        <f>MAX(D120,(VLOOKUP(A120,[1]!TOX,50,FALSE)),(VLOOKUP(A120,[1]!TOX,35,FALSE)))</f>
        <v>3000</v>
      </c>
      <c r="G120" s="115">
        <f>MIN(F120,'S-3'!J120)</f>
        <v>3000</v>
      </c>
      <c r="H120" s="109">
        <f t="shared" si="3"/>
        <v>3000</v>
      </c>
      <c r="I120" s="132" t="str">
        <f>IF(G120=0,"Not Calculated",IF(G120=D120,E120,IF(G120=[1]Toxicity!AI116,"Background",IF(G120='S-3'!J120,"S-3 Standard","PQL"))))</f>
        <v>Ceiling (High)</v>
      </c>
      <c r="J120" s="48"/>
      <c r="K120" s="54"/>
      <c r="L120" s="48"/>
      <c r="M120" s="48"/>
      <c r="N120" s="48"/>
      <c r="O120" s="48"/>
      <c r="P120" s="48"/>
      <c r="Q120" s="48"/>
      <c r="R120" s="48"/>
      <c r="S120" s="48"/>
      <c r="W120" s="51"/>
    </row>
    <row r="121" spans="1:23" ht="14" x14ac:dyDescent="0.25">
      <c r="A121" s="363" t="s">
        <v>7</v>
      </c>
      <c r="B121" s="108">
        <f>IF(ISERR(1/+(VLOOKUP(A121,[1]!TOX,17,FALSE))),0,'[1]Target Risk'!$D$8*(VLOOKUP(A121,[1]!TOX,4,FALSE))/(('S-2 Assumptions'!$J$21*(VLOOKUP(A121,[1]!TOX,17,FALSE)))+('S-2 Assumptions'!$K$43*(VLOOKUP(A121,[1]!TOX,19,FALSE)))))</f>
        <v>1578737.7609024909</v>
      </c>
      <c r="C121" s="129">
        <f>IF(ISERR(1/(VLOOKUP(A121,[1]!TOX,25,FALSE))),0,+'[1]Target Risk'!$D$12/((('S-2 Assumptions'!$J$29*(VLOOKUP(A121,[1]!TOX,25,FALSE)))+('S-2 Assumptions'!$K$51*(VLOOKUP(A121,[1]!TOX,27,FALSE))))*(VLOOKUP(A121,[1]!TOX,12,FALSE))))</f>
        <v>0</v>
      </c>
      <c r="D121" s="108">
        <f>IF(B121=0,MIN(C121,(VLOOKUP(A121,[1]!TOX,74,FALSE))),IF(C121=0,MIN(B121,(VLOOKUP(A121,[1]!TOX,74,FALSE))),MIN(B121,C121,(VLOOKUP(A121,[1]!TOX,74,FALSE)))))</f>
        <v>1000</v>
      </c>
      <c r="E121" s="129" t="str">
        <f>IF(D121=B121,"Noncancer Risk",IF(D121=C121,"Cancer Risk",(VLOOKUP(A121,[1]!TOX,75,FALSE))))</f>
        <v>Ceiling (Medium)</v>
      </c>
      <c r="F121" s="108">
        <f>MAX(D121,(VLOOKUP(A121,[1]!TOX,50,FALSE)),(VLOOKUP(A121,[1]!TOX,35,FALSE)))</f>
        <v>1000</v>
      </c>
      <c r="G121" s="115">
        <f>MIN(F121,'S-3'!J121)</f>
        <v>1000</v>
      </c>
      <c r="H121" s="109">
        <f t="shared" si="3"/>
        <v>1000</v>
      </c>
      <c r="I121" s="132" t="str">
        <f>IF(G121=0,"Not Calculated",IF(G121=D121,E121,IF(G121=[1]Toxicity!AI117,"Background",IF(G121='S-3'!J121,"S-3 Standard","PQL"))))</f>
        <v>Ceiling (Medium)</v>
      </c>
      <c r="J121" s="48"/>
      <c r="K121" s="54"/>
      <c r="L121" s="48"/>
      <c r="M121" s="48"/>
      <c r="N121" s="48"/>
      <c r="O121" s="48"/>
      <c r="P121" s="48"/>
      <c r="Q121" s="48"/>
      <c r="R121" s="48"/>
      <c r="S121" s="48"/>
      <c r="W121" s="51"/>
    </row>
    <row r="122" spans="1:23" ht="14" x14ac:dyDescent="0.25">
      <c r="A122" s="363" t="s">
        <v>6</v>
      </c>
      <c r="B122" s="108">
        <f>IF(ISERR(1/+(VLOOKUP(A122,[1]!TOX,17,FALSE))),0,'[1]Target Risk'!$D$8*(VLOOKUP(A122,[1]!TOX,4,FALSE))/(('S-2 Assumptions'!$J$21*(VLOOKUP(A122,[1]!TOX,17,FALSE)))+('S-2 Assumptions'!$K$43*(VLOOKUP(A122,[1]!TOX,19,FALSE)))))</f>
        <v>3157.4755218049818</v>
      </c>
      <c r="C122" s="129">
        <f>IF(ISERR(1/(VLOOKUP(A122,[1]!TOX,25,FALSE))),0,+'[1]Target Risk'!$D$12/((('S-2 Assumptions'!$J$29*(VLOOKUP(A122,[1]!TOX,25,FALSE)))+('S-2 Assumptions'!$K$51*(VLOOKUP(A122,[1]!TOX,27,FALSE))))*(VLOOKUP(A122,[1]!TOX,12,FALSE))))</f>
        <v>179.51858879657951</v>
      </c>
      <c r="D122" s="108">
        <f>IF(B122=0,MIN(C122,(VLOOKUP(A122,[1]!TOX,74,FALSE))),IF(C122=0,MIN(B122,(VLOOKUP(A122,[1]!TOX,74,FALSE))),MIN(B122,C122,(VLOOKUP(A122,[1]!TOX,74,FALSE)))))</f>
        <v>179.51858879657951</v>
      </c>
      <c r="E122" s="129" t="str">
        <f>IF(D122=B122,"Noncancer Risk",IF(D122=C122,"Cancer Risk",(VLOOKUP(A122,[1]!TOX,75,FALSE))))</f>
        <v>Cancer Risk</v>
      </c>
      <c r="F122" s="108">
        <f>MAX(D122,(VLOOKUP(A122,[1]!TOX,50,FALSE)),(VLOOKUP(A122,[1]!TOX,35,FALSE)))</f>
        <v>179.51858879657951</v>
      </c>
      <c r="G122" s="115">
        <f>MIN(F122,'S-3'!J122)</f>
        <v>179.51858879657951</v>
      </c>
      <c r="H122" s="109">
        <f t="shared" si="3"/>
        <v>200</v>
      </c>
      <c r="I122" s="132" t="str">
        <f>IF(G122=0,"Not Calculated",IF(G122=D122,E122,IF(G122=[1]Toxicity!AI118,"Background",IF(G122='S-3'!J122,"S-3 Standard","PQL"))))</f>
        <v>Cancer Risk</v>
      </c>
      <c r="J122" s="48"/>
      <c r="K122" s="54"/>
      <c r="L122" s="48"/>
      <c r="M122" s="48"/>
      <c r="N122" s="48"/>
      <c r="O122" s="48"/>
      <c r="P122" s="48"/>
      <c r="Q122" s="48"/>
      <c r="R122" s="48"/>
      <c r="S122" s="48"/>
      <c r="W122" s="51"/>
    </row>
    <row r="123" spans="1:23" ht="14" x14ac:dyDescent="0.25">
      <c r="A123" s="363" t="s">
        <v>5</v>
      </c>
      <c r="B123" s="108">
        <f>IF(ISERR(1/+(VLOOKUP(A123,[1]!TOX,17,FALSE))),0,'[1]Target Risk'!$D$8*(VLOOKUP(A123,[1]!TOX,4,FALSE))/(('S-2 Assumptions'!$J$21*(VLOOKUP(A123,[1]!TOX,17,FALSE)))+('S-2 Assumptions'!$K$43*(VLOOKUP(A123,[1]!TOX,19,FALSE)))))</f>
        <v>394.68444022562272</v>
      </c>
      <c r="C123" s="129">
        <f>IF(ISERR(1/(VLOOKUP(A123,[1]!TOX,25,FALSE))),0,+'[1]Target Risk'!$D$12/((('S-2 Assumptions'!$J$29*(VLOOKUP(A123,[1]!TOX,25,FALSE)))+('S-2 Assumptions'!$K$51*(VLOOKUP(A123,[1]!TOX,27,FALSE))))*(VLOOKUP(A123,[1]!TOX,12,FALSE))))</f>
        <v>221.00560607786247</v>
      </c>
      <c r="D123" s="108">
        <f>IF(B123=0,MIN(C123,(VLOOKUP(A123,[1]!TOX,74,FALSE))),IF(C123=0,MIN(B123,(VLOOKUP(A123,[1]!TOX,74,FALSE))),MIN(B123,C123,(VLOOKUP(A123,[1]!TOX,74,FALSE)))))</f>
        <v>221.00560607786247</v>
      </c>
      <c r="E123" s="129" t="str">
        <f>IF(D123=B123,"Noncancer Risk",IF(D123=C123,"Cancer Risk",(VLOOKUP(A123,[1]!TOX,75,FALSE))))</f>
        <v>Cancer Risk</v>
      </c>
      <c r="F123" s="108">
        <f>MAX(D123,(VLOOKUP(A123,[1]!TOX,50,FALSE)),(VLOOKUP(A123,[1]!TOX,35,FALSE)))</f>
        <v>221.00560607786247</v>
      </c>
      <c r="G123" s="115">
        <f>MIN(F123,'S-3'!J123)</f>
        <v>68.928306555242202</v>
      </c>
      <c r="H123" s="109">
        <f t="shared" si="3"/>
        <v>70</v>
      </c>
      <c r="I123" s="132" t="str">
        <f>IF(G123=0,"Not Calculated",IF(G123=D123,E123,IF(G123=[1]Toxicity!AI119,"Background",IF(G123='S-3'!J123,"S-3 Standard","PQL"))))</f>
        <v>S-3 Standard</v>
      </c>
      <c r="J123" s="48"/>
      <c r="K123" s="54"/>
      <c r="L123" s="48"/>
      <c r="M123" s="48"/>
      <c r="N123" s="48"/>
      <c r="O123" s="48"/>
      <c r="P123" s="48"/>
      <c r="Q123" s="48"/>
      <c r="R123" s="48"/>
      <c r="S123" s="48"/>
      <c r="W123" s="51"/>
    </row>
    <row r="124" spans="1:23" ht="14" x14ac:dyDescent="0.25">
      <c r="A124" s="363" t="s">
        <v>4</v>
      </c>
      <c r="B124" s="108">
        <f>IF(ISERR(1/+(VLOOKUP(A124,[1]!TOX,17,FALSE))),0,'[1]Target Risk'!$D$8*(VLOOKUP(A124,[1]!TOX,4,FALSE))/(('S-2 Assumptions'!$J$21*(VLOOKUP(A124,[1]!TOX,17,FALSE)))+('S-2 Assumptions'!$K$43*(VLOOKUP(A124,[1]!TOX,19,FALSE)))))</f>
        <v>53973.474684982772</v>
      </c>
      <c r="C124" s="129">
        <f>IF(ISERR(1/(VLOOKUP(A124,[1]!TOX,25,FALSE))),0,+'[1]Target Risk'!$D$12/((('S-2 Assumptions'!$J$29*(VLOOKUP(A124,[1]!TOX,25,FALSE)))+('S-2 Assumptions'!$K$51*(VLOOKUP(A124,[1]!TOX,27,FALSE))))*(VLOOKUP(A124,[1]!TOX,12,FALSE))))</f>
        <v>0</v>
      </c>
      <c r="D124" s="108">
        <f>IF(B124=0,MIN(C124,(VLOOKUP(A124,[1]!TOX,74,FALSE))),IF(C124=0,MIN(B124,(VLOOKUP(A124,[1]!TOX,74,FALSE))),MIN(B124,C124,(VLOOKUP(A124,[1]!TOX,74,FALSE)))))</f>
        <v>3000</v>
      </c>
      <c r="E124" s="129" t="str">
        <f>IF(D124=B124,"Noncancer Risk",IF(D124=C124,"Cancer Risk",(VLOOKUP(A124,[1]!TOX,75,FALSE))))</f>
        <v>Ceiling (High)</v>
      </c>
      <c r="F124" s="108">
        <f>MAX(D124,(VLOOKUP(A124,[1]!TOX,50,FALSE)),(VLOOKUP(A124,[1]!TOX,35,FALSE)))</f>
        <v>3000</v>
      </c>
      <c r="G124" s="115">
        <f>MIN(F124,'S-3'!J124)</f>
        <v>3000</v>
      </c>
      <c r="H124" s="109">
        <f t="shared" si="3"/>
        <v>3000</v>
      </c>
      <c r="I124" s="132" t="str">
        <f>IF(G124=0,"Not Calculated",IF(G124=D124,E124,IF(G124=[1]Toxicity!AI120,"Background",IF(G124='S-3'!J124,"S-3 Standard","PQL"))))</f>
        <v>Ceiling (High)</v>
      </c>
      <c r="J124" s="48"/>
      <c r="K124" s="54"/>
      <c r="L124" s="48"/>
      <c r="M124" s="48"/>
      <c r="N124" s="48"/>
      <c r="O124" s="48"/>
      <c r="P124" s="48"/>
      <c r="Q124" s="48"/>
      <c r="R124" s="48"/>
      <c r="S124" s="48"/>
      <c r="W124" s="51"/>
    </row>
    <row r="125" spans="1:23" ht="14" x14ac:dyDescent="0.25">
      <c r="A125" s="363" t="s">
        <v>3</v>
      </c>
      <c r="B125" s="108">
        <f>IF(ISERR(1/+(VLOOKUP(A125,[1]!TOX,17,FALSE))),0,'[1]Target Risk'!$D$8*(VLOOKUP(A125,[1]!TOX,4,FALSE))/(('S-2 Assumptions'!$J$21*(VLOOKUP(A125,[1]!TOX,17,FALSE)))+('S-2 Assumptions'!$K$43*(VLOOKUP(A125,[1]!TOX,19,FALSE)))))</f>
        <v>539.73474684982762</v>
      </c>
      <c r="C125" s="129">
        <f>IF(ISERR(1/(VLOOKUP(A125,[1]!TOX,25,FALSE))),0,+'[1]Target Risk'!$D$12/((('S-2 Assumptions'!$J$29*(VLOOKUP(A125,[1]!TOX,25,FALSE)))+('S-2 Assumptions'!$K$51*(VLOOKUP(A125,[1]!TOX,27,FALSE))))*(VLOOKUP(A125,[1]!TOX,12,FALSE))))</f>
        <v>636.05104847622772</v>
      </c>
      <c r="D125" s="108">
        <f>IF(B125=0,MIN(C125,(VLOOKUP(A125,[1]!TOX,74,FALSE))),IF(C125=0,MIN(B125,(VLOOKUP(A125,[1]!TOX,74,FALSE))),MIN(B125,C125,(VLOOKUP(A125,[1]!TOX,74,FALSE)))))</f>
        <v>539.73474684982762</v>
      </c>
      <c r="E125" s="129" t="str">
        <f>IF(D125=B125,"Noncancer Risk",IF(D125=C125,"Cancer Risk",(VLOOKUP(A125,[1]!TOX,75,FALSE))))</f>
        <v>Noncancer Risk</v>
      </c>
      <c r="F125" s="108">
        <f>MAX(D125,(VLOOKUP(A125,[1]!TOX,50,FALSE)),(VLOOKUP(A125,[1]!TOX,35,FALSE)))</f>
        <v>539.73474684982762</v>
      </c>
      <c r="G125" s="115">
        <f>MIN(F125,'S-3'!J125)</f>
        <v>439.27952125830166</v>
      </c>
      <c r="H125" s="109">
        <f t="shared" si="3"/>
        <v>400</v>
      </c>
      <c r="I125" s="132" t="str">
        <f>IF(G125=0,"Not Calculated",IF(G125=D125,E125,IF(G125=[1]Toxicity!AI121,"Background",IF(G125='S-3'!J125,"S-3 Standard","PQL"))))</f>
        <v>S-3 Standard</v>
      </c>
      <c r="J125" s="48"/>
      <c r="K125" s="54"/>
      <c r="L125" s="48"/>
      <c r="M125" s="48"/>
      <c r="N125" s="48"/>
      <c r="O125" s="48"/>
      <c r="P125" s="48"/>
      <c r="Q125" s="48"/>
      <c r="R125" s="48"/>
      <c r="S125" s="48"/>
      <c r="W125" s="51"/>
    </row>
    <row r="126" spans="1:23" ht="14" x14ac:dyDescent="0.25">
      <c r="A126" s="363" t="s">
        <v>2</v>
      </c>
      <c r="B126" s="108">
        <f>IF(ISERR(1/+(VLOOKUP(A126,[1]!TOX,17,FALSE))),0,'[1]Target Risk'!$D$8*(VLOOKUP(A126,[1]!TOX,4,FALSE))/(('S-2 Assumptions'!$J$21*(VLOOKUP(A126,[1]!TOX,17,FALSE)))+('S-2 Assumptions'!$K$43*(VLOOKUP(A126,[1]!TOX,19,FALSE)))))</f>
        <v>6343.6486948102011</v>
      </c>
      <c r="C126" s="129">
        <f>IF(ISERR(1/(VLOOKUP(A126,[1]!TOX,25,FALSE))),0,+'[1]Target Risk'!$D$12/((('S-2 Assumptions'!$J$29*(VLOOKUP(A126,[1]!TOX,25,FALSE)))+('S-2 Assumptions'!$K$51*(VLOOKUP(A126,[1]!TOX,27,FALSE))))*(VLOOKUP(A126,[1]!TOX,12,FALSE))))</f>
        <v>0</v>
      </c>
      <c r="D126" s="108">
        <f>IF(B126=0,MIN(C126,(VLOOKUP(A126,[1]!TOX,74,FALSE))),IF(C126=0,MIN(B126,(VLOOKUP(A126,[1]!TOX,74,FALSE))),MIN(B126,C126,(VLOOKUP(A126,[1]!TOX,74,FALSE)))))</f>
        <v>3000</v>
      </c>
      <c r="E126" s="129" t="str">
        <f>IF(D126=B126,"Noncancer Risk",IF(D126=C126,"Cancer Risk",(VLOOKUP(A126,[1]!TOX,75,FALSE))))</f>
        <v>Ceiling (High)</v>
      </c>
      <c r="F126" s="108">
        <f>MAX(D126,(VLOOKUP(A126,[1]!TOX,50,FALSE)),(VLOOKUP(A126,[1]!TOX,35,FALSE)))</f>
        <v>3000</v>
      </c>
      <c r="G126" s="115">
        <f>MIN(F126,'S-3'!J126)</f>
        <v>764.98480634549696</v>
      </c>
      <c r="H126" s="109">
        <f t="shared" si="3"/>
        <v>800</v>
      </c>
      <c r="I126" s="132" t="str">
        <f>IF(G126=0,"Not Calculated",IF(G126=D126,E126,IF(G126=[1]Toxicity!AI122,"Background",IF(G126='S-3'!J126,"S-3 Standard","PQL"))))</f>
        <v>S-3 Standard</v>
      </c>
      <c r="J126" s="48"/>
      <c r="K126" s="54"/>
      <c r="L126" s="48"/>
      <c r="M126" s="48"/>
      <c r="N126" s="48"/>
      <c r="O126" s="48"/>
      <c r="P126" s="48"/>
      <c r="Q126" s="48"/>
      <c r="R126" s="48"/>
      <c r="S126" s="48"/>
    </row>
    <row r="127" spans="1:23" ht="14" x14ac:dyDescent="0.25">
      <c r="A127" s="363" t="s">
        <v>1</v>
      </c>
      <c r="B127" s="108">
        <f>IF(ISERR(1/+(VLOOKUP(A127,[1]!TOX,17,FALSE))),0,'[1]Target Risk'!$D$8*(VLOOKUP(A127,[1]!TOX,4,FALSE))/(('S-2 Assumptions'!$J$21*(VLOOKUP(A127,[1]!TOX,17,FALSE)))+('S-2 Assumptions'!$K$43*(VLOOKUP(A127,[1]!TOX,19,FALSE)))))</f>
        <v>2368.1066413537364</v>
      </c>
      <c r="C127" s="129">
        <f>IF(ISERR(1/(VLOOKUP(A127,[1]!TOX,25,FALSE))),0,+'[1]Target Risk'!$D$12/((('S-2 Assumptions'!$J$29*(VLOOKUP(A127,[1]!TOX,25,FALSE)))+('S-2 Assumptions'!$K$51*(VLOOKUP(A127,[1]!TOX,27,FALSE))))*(VLOOKUP(A127,[1]!TOX,12,FALSE))))</f>
        <v>14.211888279729211</v>
      </c>
      <c r="D127" s="108">
        <f>IF(B127=0,MIN(C127,(VLOOKUP(A127,[1]!TOX,74,FALSE))),IF(C127=0,MIN(B127,(VLOOKUP(A127,[1]!TOX,74,FALSE))),MIN(B127,C127,(VLOOKUP(A127,[1]!TOX,74,FALSE)))))</f>
        <v>14.211888279729211</v>
      </c>
      <c r="E127" s="129" t="str">
        <f>IF(D127=B127,"Noncancer Risk",IF(D127=C127,"Cancer Risk",(VLOOKUP(A127,[1]!TOX,75,FALSE))))</f>
        <v>Cancer Risk</v>
      </c>
      <c r="F127" s="108">
        <f>MAX(D127,(VLOOKUP(A127,[1]!TOX,50,FALSE)),(VLOOKUP(A127,[1]!TOX,35,FALSE)))</f>
        <v>14.211888279729211</v>
      </c>
      <c r="G127" s="115">
        <f>MIN(F127,'S-3'!J127)</f>
        <v>14.211888279729211</v>
      </c>
      <c r="H127" s="109">
        <f t="shared" si="3"/>
        <v>10</v>
      </c>
      <c r="I127" s="132" t="str">
        <f>IF(G127=0,"Not Calculated",IF(G127=D127,E127,IF(G127=[1]Toxicity!AI123,"Background",IF(G127='S-3'!J127,"S-3 Standard","PQL"))))</f>
        <v>Cancer Risk</v>
      </c>
      <c r="J127" s="48"/>
      <c r="K127" s="54"/>
      <c r="L127" s="48"/>
      <c r="M127" s="48"/>
      <c r="N127" s="48"/>
      <c r="O127" s="48"/>
      <c r="P127" s="48"/>
      <c r="Q127" s="48"/>
      <c r="R127" s="48"/>
      <c r="S127" s="48"/>
      <c r="W127" s="51"/>
    </row>
    <row r="128" spans="1:23" ht="14" x14ac:dyDescent="0.25">
      <c r="A128" s="363" t="s">
        <v>291</v>
      </c>
      <c r="B128" s="108">
        <f>IF(ISERR(1/+(VLOOKUP(A128,[1]!TOX,17,FALSE))),0,'[1]Target Risk'!$D$8*(VLOOKUP(A128,[1]!TOX,4,FALSE))/(('S-2 Assumptions'!$J$21*(VLOOKUP(A128,[1]!TOX,17,FALSE)))+('S-2 Assumptions'!$K$43*(VLOOKUP(A128,[1]!TOX,19,FALSE)))))</f>
        <v>157873.77609024913</v>
      </c>
      <c r="C128" s="129">
        <f>IF(ISERR(1/(VLOOKUP(A128,[1]!TOX,25,FALSE))),0,+'[1]Target Risk'!$D$12/((('S-2 Assumptions'!$J$29*(VLOOKUP(A128,[1]!TOX,25,FALSE)))+('S-2 Assumptions'!$K$51*(VLOOKUP(A128,[1]!TOX,27,FALSE))))*(VLOOKUP(A128,[1]!TOX,12,FALSE))))</f>
        <v>0</v>
      </c>
      <c r="D128" s="108">
        <f>IF(B128=0,MIN(C128,(VLOOKUP(A128,[1]!TOX,74,FALSE))),IF(C128=0,MIN(B128,(VLOOKUP(A128,[1]!TOX,74,FALSE))),MIN(B128,C128,(VLOOKUP(A128,[1]!TOX,74,FALSE)))))</f>
        <v>1000</v>
      </c>
      <c r="E128" s="129" t="str">
        <f>IF(D128=B128,"Noncancer Risk",IF(D128=C128,"Cancer Risk",(VLOOKUP(A128,[1]!TOX,75,FALSE))))</f>
        <v>Ceiling (Medium)</v>
      </c>
      <c r="F128" s="108">
        <f>MAX(D128,(VLOOKUP(A128,[1]!TOX,50,FALSE)),(VLOOKUP(A128,[1]!TOX,35,FALSE)))</f>
        <v>1000</v>
      </c>
      <c r="G128" s="115">
        <f>MIN(F128,'S-3'!J128)</f>
        <v>1000</v>
      </c>
      <c r="H128" s="109">
        <f t="shared" si="3"/>
        <v>1000</v>
      </c>
      <c r="I128" s="132" t="str">
        <f>IF(G128=0,"Not Calculated",IF(G128=D128,E128,IF(G128=[1]Toxicity!AI124,"Background",IF(G128='S-3'!J128,"S-3 Standard","PQL"))))</f>
        <v>Ceiling (Medium)</v>
      </c>
      <c r="J128" s="48"/>
      <c r="K128" s="54"/>
      <c r="L128" s="48"/>
      <c r="M128" s="48"/>
      <c r="N128" s="48"/>
      <c r="O128" s="48"/>
      <c r="P128" s="48"/>
      <c r="Q128" s="48"/>
      <c r="R128" s="48"/>
      <c r="S128" s="48"/>
      <c r="W128" s="51"/>
    </row>
    <row r="129" spans="1:23" ht="14.5" thickBot="1" x14ac:dyDescent="0.3">
      <c r="A129" s="366" t="s">
        <v>0</v>
      </c>
      <c r="B129" s="110">
        <f>IF(ISERR(1/+(VLOOKUP(A129,[1]!TOX,17,FALSE))),0,'[1]Target Risk'!$D$8*(VLOOKUP(A129,[1]!TOX,4,FALSE))/(('S-2 Assumptions'!$J$21*(VLOOKUP(A129,[1]!TOX,17,FALSE)))+('S-2 Assumptions'!$K$43*(VLOOKUP(A129,[1]!TOX,19,FALSE)))))</f>
        <v>211454.95649367335</v>
      </c>
      <c r="C129" s="130">
        <f>IF(ISERR(1/(VLOOKUP(A129,[1]!TOX,25,FALSE))),0,+'[1]Target Risk'!$D$12/((('S-2 Assumptions'!$J$29*(VLOOKUP(A129,[1]!TOX,25,FALSE)))+('S-2 Assumptions'!$K$51*(VLOOKUP(A129,[1]!TOX,27,FALSE))))*(VLOOKUP(A129,[1]!TOX,12,FALSE))))</f>
        <v>0</v>
      </c>
      <c r="D129" s="110">
        <f>IF(B129=0,MIN(C129,(VLOOKUP(A129,[1]!TOX,74,FALSE))),IF(C129=0,MIN(B129,(VLOOKUP(A129,[1]!TOX,74,FALSE))),MIN(B129,C129,(VLOOKUP(A129,[1]!TOX,74,FALSE)))))</f>
        <v>3000</v>
      </c>
      <c r="E129" s="130" t="str">
        <f>IF(D129=B129,"Noncancer Risk",IF(D129=C129,"Cancer Risk",(VLOOKUP(A129,[1]!TOX,75,FALSE))))</f>
        <v>Ceiling (High)</v>
      </c>
      <c r="F129" s="110">
        <f>MAX(D129,(VLOOKUP(A129,[1]!TOX,50,FALSE)),(VLOOKUP(A129,[1]!TOX,35,FALSE)))</f>
        <v>3000</v>
      </c>
      <c r="G129" s="116">
        <f>MIN(F129,'S-3'!J129)</f>
        <v>3000</v>
      </c>
      <c r="H129" s="111">
        <f t="shared" si="3"/>
        <v>3000</v>
      </c>
      <c r="I129" s="133" t="str">
        <f>IF(G129=0,"Not Calculated",IF(G129=D129,E129,IF(G129=[1]Toxicity!AI125,"Background",IF(G129='S-3'!J129,"S-3 Standard","PQL"))))</f>
        <v>Ceiling (High)</v>
      </c>
      <c r="J129" s="48"/>
      <c r="K129" s="54"/>
      <c r="L129" s="48"/>
      <c r="M129" s="48"/>
      <c r="N129" s="48"/>
      <c r="O129" s="48"/>
      <c r="P129" s="48"/>
      <c r="Q129" s="48"/>
      <c r="R129" s="48"/>
      <c r="S129" s="48"/>
      <c r="W129" s="51"/>
    </row>
    <row r="130" spans="1:23" ht="14" x14ac:dyDescent="0.25">
      <c r="A130" s="74"/>
      <c r="B130" s="369"/>
      <c r="C130" s="65"/>
      <c r="D130" s="65"/>
      <c r="E130" s="65"/>
      <c r="F130" s="65"/>
      <c r="G130" s="65"/>
      <c r="H130" s="69"/>
      <c r="I130" s="69"/>
      <c r="J130" s="67"/>
      <c r="K130" s="48"/>
      <c r="L130" s="48"/>
      <c r="M130" s="48"/>
      <c r="N130" s="48"/>
      <c r="O130" s="48"/>
      <c r="P130" s="48"/>
      <c r="Q130" s="48"/>
      <c r="R130" s="48"/>
      <c r="S130" s="48"/>
      <c r="W130" s="51"/>
    </row>
    <row r="131" spans="1:23" ht="14" x14ac:dyDescent="0.25">
      <c r="A131" s="74"/>
      <c r="B131" s="369"/>
      <c r="C131" s="65"/>
      <c r="D131" s="65"/>
      <c r="E131" s="65"/>
      <c r="F131" s="65"/>
      <c r="G131" s="65"/>
      <c r="H131" s="69"/>
      <c r="I131" s="69"/>
      <c r="J131" s="67"/>
      <c r="K131" s="48"/>
      <c r="L131" s="48"/>
      <c r="M131" s="48"/>
      <c r="N131" s="48"/>
      <c r="O131" s="48"/>
      <c r="P131" s="48"/>
      <c r="Q131" s="48"/>
      <c r="R131" s="48"/>
      <c r="S131" s="48"/>
      <c r="W131" s="51"/>
    </row>
    <row r="132" spans="1:23" ht="14" x14ac:dyDescent="0.25">
      <c r="A132" s="74"/>
      <c r="B132" s="369"/>
      <c r="C132" s="65"/>
      <c r="D132" s="65"/>
      <c r="E132" s="65"/>
      <c r="F132" s="65"/>
      <c r="G132" s="65"/>
      <c r="H132" s="69"/>
      <c r="I132" s="69"/>
      <c r="J132" s="67"/>
      <c r="K132" s="48"/>
      <c r="L132" s="48"/>
      <c r="M132" s="48"/>
      <c r="N132" s="48"/>
      <c r="O132" s="48"/>
      <c r="P132" s="48"/>
      <c r="Q132" s="48"/>
      <c r="R132" s="48"/>
      <c r="S132" s="48"/>
    </row>
    <row r="133" spans="1:23" ht="14" x14ac:dyDescent="0.25">
      <c r="A133" s="74"/>
      <c r="B133" s="369"/>
      <c r="C133" s="65"/>
      <c r="D133" s="65"/>
      <c r="E133" s="65"/>
      <c r="F133" s="65"/>
      <c r="G133" s="65"/>
      <c r="H133" s="69"/>
      <c r="I133" s="69"/>
      <c r="J133" s="67"/>
      <c r="K133" s="48"/>
      <c r="L133" s="48"/>
      <c r="M133" s="48"/>
      <c r="N133" s="48"/>
      <c r="O133" s="48"/>
      <c r="P133" s="48"/>
      <c r="Q133" s="48"/>
      <c r="R133" s="48"/>
      <c r="S133" s="48"/>
    </row>
    <row r="134" spans="1:23" ht="14" x14ac:dyDescent="0.25">
      <c r="A134" s="74"/>
      <c r="B134" s="369"/>
      <c r="C134" s="65"/>
      <c r="D134" s="65"/>
      <c r="E134" s="65"/>
      <c r="F134" s="65"/>
      <c r="G134" s="65"/>
      <c r="H134" s="69"/>
      <c r="I134" s="69"/>
      <c r="J134" s="67"/>
      <c r="K134" s="48"/>
      <c r="L134" s="48"/>
      <c r="M134" s="48"/>
      <c r="N134" s="48"/>
      <c r="O134" s="48"/>
      <c r="P134" s="48"/>
      <c r="Q134" s="48"/>
      <c r="R134" s="48"/>
      <c r="S134" s="48"/>
    </row>
    <row r="135" spans="1:23" ht="14" x14ac:dyDescent="0.25">
      <c r="A135" s="74"/>
      <c r="B135" s="369"/>
      <c r="C135" s="65"/>
      <c r="D135" s="65"/>
      <c r="E135" s="65"/>
      <c r="F135" s="65"/>
      <c r="G135" s="65"/>
      <c r="H135" s="69"/>
      <c r="I135" s="69"/>
      <c r="J135" s="67"/>
      <c r="K135" s="48"/>
      <c r="L135" s="48"/>
      <c r="M135" s="48"/>
      <c r="N135" s="48"/>
      <c r="O135" s="48"/>
      <c r="P135" s="48"/>
      <c r="Q135" s="48"/>
      <c r="R135" s="48"/>
      <c r="S135" s="48"/>
    </row>
    <row r="136" spans="1:23" ht="14" x14ac:dyDescent="0.25">
      <c r="B136" s="370"/>
      <c r="J136" s="68"/>
    </row>
    <row r="137" spans="1:23" x14ac:dyDescent="0.25">
      <c r="J137" s="68"/>
    </row>
    <row r="138" spans="1:23" x14ac:dyDescent="0.25">
      <c r="J138" s="68"/>
    </row>
    <row r="139" spans="1:23" x14ac:dyDescent="0.25">
      <c r="A139" s="79"/>
      <c r="H139" s="71"/>
      <c r="I139" s="71"/>
      <c r="J139" s="68"/>
    </row>
    <row r="140" spans="1:23" x14ac:dyDescent="0.25">
      <c r="H140" s="71"/>
      <c r="I140" s="71"/>
      <c r="J140" s="68"/>
    </row>
    <row r="141" spans="1:23" x14ac:dyDescent="0.25">
      <c r="A141" s="79"/>
      <c r="H141" s="71"/>
      <c r="I141" s="71"/>
      <c r="J141" s="68"/>
    </row>
    <row r="142" spans="1:23" x14ac:dyDescent="0.25">
      <c r="H142" s="71"/>
      <c r="I142" s="71"/>
      <c r="J142" s="68"/>
    </row>
    <row r="143" spans="1:23" x14ac:dyDescent="0.25">
      <c r="H143" s="71"/>
      <c r="I143" s="71"/>
      <c r="J143" s="68"/>
    </row>
    <row r="144" spans="1:23" x14ac:dyDescent="0.25">
      <c r="H144" s="71"/>
      <c r="I144" s="71"/>
      <c r="J144" s="68"/>
    </row>
    <row r="145" spans="8:10" x14ac:dyDescent="0.25">
      <c r="H145" s="71"/>
      <c r="I145" s="71"/>
      <c r="J145" s="68"/>
    </row>
    <row r="146" spans="8:10" x14ac:dyDescent="0.25">
      <c r="H146" s="71"/>
      <c r="I146" s="71"/>
      <c r="J146" s="68"/>
    </row>
    <row r="147" spans="8:10" x14ac:dyDescent="0.25">
      <c r="H147" s="71"/>
      <c r="I147" s="71"/>
      <c r="J147" s="68"/>
    </row>
    <row r="148" spans="8:10" x14ac:dyDescent="0.25">
      <c r="H148" s="71"/>
      <c r="I148" s="71"/>
      <c r="J148" s="68"/>
    </row>
    <row r="149" spans="8:10" x14ac:dyDescent="0.25">
      <c r="H149" s="71"/>
      <c r="I149" s="71"/>
      <c r="J149" s="68"/>
    </row>
    <row r="150" spans="8:10" x14ac:dyDescent="0.25">
      <c r="H150" s="71"/>
      <c r="I150" s="71"/>
      <c r="J150" s="68"/>
    </row>
    <row r="151" spans="8:10" x14ac:dyDescent="0.25">
      <c r="H151" s="71"/>
      <c r="I151" s="71"/>
      <c r="J151" s="68"/>
    </row>
    <row r="152" spans="8:10" x14ac:dyDescent="0.25">
      <c r="H152" s="71"/>
      <c r="I152" s="71"/>
      <c r="J152" s="68"/>
    </row>
    <row r="153" spans="8:10" x14ac:dyDescent="0.25">
      <c r="H153" s="71"/>
      <c r="I153" s="71"/>
      <c r="J153" s="68"/>
    </row>
    <row r="154" spans="8:10" x14ac:dyDescent="0.25">
      <c r="H154" s="71"/>
      <c r="I154" s="71"/>
      <c r="J154" s="68"/>
    </row>
    <row r="155" spans="8:10" x14ac:dyDescent="0.25">
      <c r="H155" s="71"/>
      <c r="I155" s="71"/>
      <c r="J155" s="68"/>
    </row>
    <row r="156" spans="8:10" x14ac:dyDescent="0.25">
      <c r="H156" s="71"/>
      <c r="I156" s="71"/>
      <c r="J156" s="68"/>
    </row>
    <row r="157" spans="8:10" x14ac:dyDescent="0.25">
      <c r="H157" s="71"/>
      <c r="I157" s="71"/>
      <c r="J157" s="68"/>
    </row>
    <row r="158" spans="8:10" x14ac:dyDescent="0.25">
      <c r="H158" s="71"/>
      <c r="I158" s="71"/>
      <c r="J158" s="68"/>
    </row>
    <row r="159" spans="8:10" x14ac:dyDescent="0.25">
      <c r="H159" s="71"/>
      <c r="I159" s="71"/>
      <c r="J159" s="68"/>
    </row>
    <row r="160" spans="8:10" x14ac:dyDescent="0.25">
      <c r="H160" s="71"/>
      <c r="I160" s="71"/>
      <c r="J160" s="68"/>
    </row>
    <row r="161" spans="8:10" x14ac:dyDescent="0.25">
      <c r="H161" s="71"/>
      <c r="I161" s="71"/>
      <c r="J161" s="68"/>
    </row>
    <row r="162" spans="8:10" x14ac:dyDescent="0.25">
      <c r="H162" s="71"/>
      <c r="I162" s="71"/>
      <c r="J162" s="68"/>
    </row>
    <row r="163" spans="8:10" x14ac:dyDescent="0.25">
      <c r="H163" s="71"/>
      <c r="I163" s="71"/>
      <c r="J163" s="68"/>
    </row>
    <row r="164" spans="8:10" x14ac:dyDescent="0.25">
      <c r="H164" s="71"/>
      <c r="I164" s="71"/>
      <c r="J164" s="68"/>
    </row>
    <row r="165" spans="8:10" x14ac:dyDescent="0.25">
      <c r="H165" s="71"/>
      <c r="I165" s="71"/>
      <c r="J165" s="68"/>
    </row>
    <row r="166" spans="8:10" x14ac:dyDescent="0.25">
      <c r="H166" s="71"/>
      <c r="I166" s="71"/>
      <c r="J166" s="68"/>
    </row>
    <row r="167" spans="8:10" x14ac:dyDescent="0.25">
      <c r="H167" s="71"/>
      <c r="I167" s="71"/>
      <c r="J167" s="68"/>
    </row>
    <row r="168" spans="8:10" x14ac:dyDescent="0.25">
      <c r="H168" s="71"/>
      <c r="I168" s="71"/>
      <c r="J168" s="68"/>
    </row>
    <row r="169" spans="8:10" x14ac:dyDescent="0.25">
      <c r="H169" s="71"/>
      <c r="I169" s="71"/>
      <c r="J169" s="68"/>
    </row>
    <row r="170" spans="8:10" x14ac:dyDescent="0.25">
      <c r="H170" s="71"/>
      <c r="I170" s="71"/>
      <c r="J170" s="68"/>
    </row>
    <row r="171" spans="8:10" x14ac:dyDescent="0.25">
      <c r="H171" s="71"/>
      <c r="I171" s="71"/>
      <c r="J171" s="68"/>
    </row>
    <row r="172" spans="8:10" x14ac:dyDescent="0.25">
      <c r="H172" s="71"/>
      <c r="I172" s="71"/>
      <c r="J172" s="68"/>
    </row>
    <row r="173" spans="8:10" x14ac:dyDescent="0.25">
      <c r="H173" s="71"/>
      <c r="I173" s="71"/>
      <c r="J173" s="68"/>
    </row>
    <row r="174" spans="8:10" x14ac:dyDescent="0.25">
      <c r="H174" s="71"/>
      <c r="I174" s="71"/>
      <c r="J174" s="68"/>
    </row>
    <row r="175" spans="8:10" x14ac:dyDescent="0.25">
      <c r="H175" s="71"/>
      <c r="I175" s="71"/>
      <c r="J175" s="68"/>
    </row>
    <row r="176" spans="8:10" x14ac:dyDescent="0.25">
      <c r="H176" s="71"/>
      <c r="I176" s="71"/>
      <c r="J176" s="68"/>
    </row>
    <row r="177" spans="8:10" x14ac:dyDescent="0.25">
      <c r="H177" s="71"/>
      <c r="I177" s="71"/>
      <c r="J177" s="68"/>
    </row>
    <row r="178" spans="8:10" x14ac:dyDescent="0.25">
      <c r="H178" s="71"/>
      <c r="I178" s="71"/>
      <c r="J178" s="68"/>
    </row>
    <row r="179" spans="8:10" x14ac:dyDescent="0.25">
      <c r="H179" s="71"/>
      <c r="I179" s="71"/>
      <c r="J179" s="68"/>
    </row>
    <row r="180" spans="8:10" x14ac:dyDescent="0.25">
      <c r="H180" s="71"/>
      <c r="I180" s="71"/>
      <c r="J180" s="68"/>
    </row>
    <row r="181" spans="8:10" x14ac:dyDescent="0.25">
      <c r="H181" s="71"/>
      <c r="I181" s="71"/>
      <c r="J181" s="68"/>
    </row>
    <row r="182" spans="8:10" x14ac:dyDescent="0.25">
      <c r="H182" s="71"/>
      <c r="I182" s="71"/>
      <c r="J182" s="68"/>
    </row>
    <row r="183" spans="8:10" x14ac:dyDescent="0.25">
      <c r="H183" s="71"/>
      <c r="I183" s="71"/>
      <c r="J183" s="68"/>
    </row>
    <row r="184" spans="8:10" x14ac:dyDescent="0.25">
      <c r="H184" s="71"/>
      <c r="I184" s="71"/>
      <c r="J184" s="68"/>
    </row>
    <row r="185" spans="8:10" x14ac:dyDescent="0.25">
      <c r="H185" s="71"/>
      <c r="I185" s="71"/>
      <c r="J185" s="68"/>
    </row>
    <row r="186" spans="8:10" x14ac:dyDescent="0.25">
      <c r="H186" s="71"/>
      <c r="I186" s="71"/>
      <c r="J186" s="68"/>
    </row>
    <row r="187" spans="8:10" x14ac:dyDescent="0.25">
      <c r="H187" s="71"/>
      <c r="I187" s="71"/>
      <c r="J187" s="68"/>
    </row>
    <row r="188" spans="8:10" x14ac:dyDescent="0.25">
      <c r="H188" s="71"/>
      <c r="I188" s="71"/>
      <c r="J188" s="68"/>
    </row>
    <row r="189" spans="8:10" x14ac:dyDescent="0.25">
      <c r="H189" s="71"/>
      <c r="I189" s="71"/>
      <c r="J189" s="68"/>
    </row>
    <row r="190" spans="8:10" x14ac:dyDescent="0.25">
      <c r="H190" s="71"/>
      <c r="I190" s="71"/>
      <c r="J190" s="68"/>
    </row>
    <row r="191" spans="8:10" x14ac:dyDescent="0.25">
      <c r="H191" s="71"/>
      <c r="I191" s="71"/>
      <c r="J191" s="68"/>
    </row>
    <row r="192" spans="8:10" x14ac:dyDescent="0.25">
      <c r="H192" s="71"/>
      <c r="I192" s="71"/>
      <c r="J192" s="68"/>
    </row>
    <row r="193" spans="8:10" x14ac:dyDescent="0.25">
      <c r="H193" s="71"/>
      <c r="I193" s="71"/>
      <c r="J193" s="68"/>
    </row>
    <row r="194" spans="8:10" x14ac:dyDescent="0.25">
      <c r="H194" s="71"/>
      <c r="I194" s="71"/>
      <c r="J194" s="68"/>
    </row>
    <row r="195" spans="8:10" x14ac:dyDescent="0.25">
      <c r="H195" s="71"/>
      <c r="I195" s="71"/>
      <c r="J195" s="68"/>
    </row>
    <row r="196" spans="8:10" x14ac:dyDescent="0.25">
      <c r="H196" s="71"/>
      <c r="I196" s="71"/>
      <c r="J196" s="68"/>
    </row>
    <row r="197" spans="8:10" x14ac:dyDescent="0.25">
      <c r="H197" s="71"/>
      <c r="I197" s="71"/>
      <c r="J197" s="68"/>
    </row>
    <row r="198" spans="8:10" x14ac:dyDescent="0.25">
      <c r="H198" s="71"/>
      <c r="I198" s="71"/>
      <c r="J198" s="68"/>
    </row>
    <row r="199" spans="8:10" x14ac:dyDescent="0.25">
      <c r="H199" s="71"/>
      <c r="I199" s="71"/>
      <c r="J199" s="68"/>
    </row>
    <row r="200" spans="8:10" x14ac:dyDescent="0.25">
      <c r="H200" s="71"/>
      <c r="I200" s="71"/>
      <c r="J200" s="68"/>
    </row>
    <row r="201" spans="8:10" x14ac:dyDescent="0.25">
      <c r="H201" s="71"/>
      <c r="I201" s="71"/>
      <c r="J201" s="68"/>
    </row>
    <row r="202" spans="8:10" x14ac:dyDescent="0.25">
      <c r="H202" s="71"/>
      <c r="I202" s="71"/>
      <c r="J202" s="68"/>
    </row>
    <row r="203" spans="8:10" x14ac:dyDescent="0.25">
      <c r="H203" s="71"/>
      <c r="I203" s="71"/>
      <c r="J203" s="68"/>
    </row>
    <row r="204" spans="8:10" x14ac:dyDescent="0.25">
      <c r="H204" s="71"/>
      <c r="I204" s="71"/>
      <c r="J204" s="68"/>
    </row>
    <row r="205" spans="8:10" x14ac:dyDescent="0.25">
      <c r="H205" s="71"/>
      <c r="I205" s="71"/>
      <c r="J205" s="68"/>
    </row>
    <row r="206" spans="8:10" x14ac:dyDescent="0.25">
      <c r="H206" s="71"/>
      <c r="I206" s="71"/>
      <c r="J206" s="68"/>
    </row>
    <row r="207" spans="8:10" x14ac:dyDescent="0.25">
      <c r="H207" s="71"/>
      <c r="I207" s="71"/>
      <c r="J207" s="68"/>
    </row>
    <row r="208" spans="8:10" x14ac:dyDescent="0.25">
      <c r="H208" s="71"/>
      <c r="I208" s="71"/>
      <c r="J208" s="68"/>
    </row>
    <row r="209" spans="8:10" x14ac:dyDescent="0.25">
      <c r="H209" s="71"/>
      <c r="I209" s="71"/>
      <c r="J209" s="68"/>
    </row>
    <row r="210" spans="8:10" x14ac:dyDescent="0.25">
      <c r="H210" s="71"/>
      <c r="I210" s="71"/>
      <c r="J210" s="68"/>
    </row>
    <row r="211" spans="8:10" x14ac:dyDescent="0.25">
      <c r="H211" s="71"/>
      <c r="I211" s="71"/>
      <c r="J211" s="68"/>
    </row>
    <row r="212" spans="8:10" x14ac:dyDescent="0.25">
      <c r="H212" s="71"/>
      <c r="I212" s="71"/>
      <c r="J212" s="68"/>
    </row>
    <row r="213" spans="8:10" x14ac:dyDescent="0.25">
      <c r="H213" s="71"/>
      <c r="I213" s="71"/>
      <c r="J213" s="68"/>
    </row>
    <row r="214" spans="8:10" x14ac:dyDescent="0.25">
      <c r="H214" s="71"/>
      <c r="I214" s="71"/>
      <c r="J214" s="68"/>
    </row>
    <row r="215" spans="8:10" x14ac:dyDescent="0.25">
      <c r="H215" s="71"/>
      <c r="I215" s="71"/>
      <c r="J215" s="68"/>
    </row>
    <row r="216" spans="8:10" x14ac:dyDescent="0.25">
      <c r="H216" s="71"/>
      <c r="I216" s="71"/>
      <c r="J216" s="68"/>
    </row>
    <row r="217" spans="8:10" x14ac:dyDescent="0.25">
      <c r="H217" s="71"/>
      <c r="I217" s="71"/>
      <c r="J217" s="68"/>
    </row>
    <row r="218" spans="8:10" x14ac:dyDescent="0.25">
      <c r="H218" s="71"/>
      <c r="I218" s="71"/>
      <c r="J218" s="68"/>
    </row>
    <row r="219" spans="8:10" x14ac:dyDescent="0.25">
      <c r="H219" s="71"/>
      <c r="I219" s="71"/>
      <c r="J219" s="68"/>
    </row>
    <row r="220" spans="8:10" x14ac:dyDescent="0.25">
      <c r="H220" s="71"/>
      <c r="I220" s="71"/>
      <c r="J220" s="68"/>
    </row>
    <row r="221" spans="8:10" x14ac:dyDescent="0.25">
      <c r="H221" s="71"/>
      <c r="I221" s="71"/>
      <c r="J221" s="68"/>
    </row>
    <row r="222" spans="8:10" x14ac:dyDescent="0.25">
      <c r="H222" s="71"/>
      <c r="I222" s="71"/>
      <c r="J222" s="68"/>
    </row>
    <row r="223" spans="8:10" x14ac:dyDescent="0.25">
      <c r="H223" s="71"/>
      <c r="I223" s="71"/>
      <c r="J223" s="68"/>
    </row>
    <row r="224" spans="8:10" x14ac:dyDescent="0.25">
      <c r="H224" s="71"/>
      <c r="I224" s="71"/>
      <c r="J224" s="68"/>
    </row>
    <row r="225" spans="8:10" x14ac:dyDescent="0.25">
      <c r="H225" s="71"/>
      <c r="I225" s="71"/>
      <c r="J225" s="68"/>
    </row>
    <row r="226" spans="8:10" x14ac:dyDescent="0.25">
      <c r="H226" s="71"/>
      <c r="I226" s="71"/>
      <c r="J226" s="68"/>
    </row>
    <row r="227" spans="8:10" x14ac:dyDescent="0.25">
      <c r="H227" s="71"/>
      <c r="I227" s="71"/>
      <c r="J227" s="68"/>
    </row>
    <row r="228" spans="8:10" x14ac:dyDescent="0.25">
      <c r="H228" s="71"/>
      <c r="I228" s="71"/>
      <c r="J228" s="68"/>
    </row>
    <row r="229" spans="8:10" x14ac:dyDescent="0.25">
      <c r="H229" s="71"/>
      <c r="I229" s="71"/>
      <c r="J229" s="68"/>
    </row>
    <row r="230" spans="8:10" x14ac:dyDescent="0.25">
      <c r="H230" s="71"/>
      <c r="I230" s="71"/>
      <c r="J230" s="68"/>
    </row>
    <row r="231" spans="8:10" x14ac:dyDescent="0.25">
      <c r="H231" s="71"/>
      <c r="I231" s="71"/>
      <c r="J231" s="68"/>
    </row>
    <row r="232" spans="8:10" x14ac:dyDescent="0.25">
      <c r="H232" s="71"/>
      <c r="I232" s="71"/>
      <c r="J232" s="68"/>
    </row>
    <row r="233" spans="8:10" x14ac:dyDescent="0.25">
      <c r="H233" s="71"/>
      <c r="I233" s="71"/>
      <c r="J233" s="68"/>
    </row>
    <row r="234" spans="8:10" x14ac:dyDescent="0.25">
      <c r="H234" s="71"/>
      <c r="I234" s="71"/>
      <c r="J234" s="68"/>
    </row>
    <row r="235" spans="8:10" x14ac:dyDescent="0.25">
      <c r="H235" s="71"/>
      <c r="I235" s="71"/>
      <c r="J235" s="68"/>
    </row>
    <row r="236" spans="8:10" x14ac:dyDescent="0.25">
      <c r="H236" s="71"/>
      <c r="I236" s="71"/>
      <c r="J236" s="68"/>
    </row>
    <row r="237" spans="8:10" x14ac:dyDescent="0.25">
      <c r="H237" s="71"/>
      <c r="I237" s="71"/>
      <c r="J237" s="68"/>
    </row>
    <row r="238" spans="8:10" x14ac:dyDescent="0.25">
      <c r="H238" s="71"/>
      <c r="I238" s="71"/>
      <c r="J238" s="68"/>
    </row>
    <row r="239" spans="8:10" x14ac:dyDescent="0.25">
      <c r="H239" s="71"/>
      <c r="I239" s="71"/>
      <c r="J239" s="68"/>
    </row>
    <row r="240" spans="8:10" x14ac:dyDescent="0.25">
      <c r="H240" s="71"/>
      <c r="I240" s="71"/>
      <c r="J240" s="68"/>
    </row>
    <row r="241" spans="8:10" x14ac:dyDescent="0.25">
      <c r="H241" s="71"/>
      <c r="I241" s="71"/>
      <c r="J241" s="68"/>
    </row>
    <row r="242" spans="8:10" x14ac:dyDescent="0.25">
      <c r="H242" s="71"/>
      <c r="I242" s="71"/>
      <c r="J242" s="68"/>
    </row>
    <row r="243" spans="8:10" x14ac:dyDescent="0.25">
      <c r="H243" s="71"/>
      <c r="I243" s="71"/>
      <c r="J243" s="68"/>
    </row>
    <row r="244" spans="8:10" x14ac:dyDescent="0.25">
      <c r="H244" s="71"/>
      <c r="I244" s="71"/>
      <c r="J244" s="68"/>
    </row>
    <row r="245" spans="8:10" x14ac:dyDescent="0.25">
      <c r="H245" s="71"/>
      <c r="I245" s="71"/>
      <c r="J245" s="68"/>
    </row>
    <row r="246" spans="8:10" x14ac:dyDescent="0.25">
      <c r="H246" s="71"/>
      <c r="I246" s="71"/>
      <c r="J246" s="68"/>
    </row>
    <row r="247" spans="8:10" x14ac:dyDescent="0.25">
      <c r="H247" s="71"/>
      <c r="I247" s="71"/>
      <c r="J247" s="68"/>
    </row>
    <row r="248" spans="8:10" x14ac:dyDescent="0.25">
      <c r="H248" s="71"/>
      <c r="I248" s="71"/>
      <c r="J248" s="68"/>
    </row>
    <row r="249" spans="8:10" x14ac:dyDescent="0.25">
      <c r="H249" s="71"/>
      <c r="I249" s="71"/>
      <c r="J249" s="68"/>
    </row>
    <row r="250" spans="8:10" x14ac:dyDescent="0.25">
      <c r="H250" s="71"/>
      <c r="I250" s="71"/>
      <c r="J250" s="68"/>
    </row>
    <row r="251" spans="8:10" x14ac:dyDescent="0.25">
      <c r="H251" s="71"/>
      <c r="I251" s="71"/>
      <c r="J251" s="68"/>
    </row>
    <row r="252" spans="8:10" x14ac:dyDescent="0.25">
      <c r="H252" s="71"/>
      <c r="I252" s="71"/>
      <c r="J252" s="68"/>
    </row>
    <row r="253" spans="8:10" x14ac:dyDescent="0.25">
      <c r="H253" s="71"/>
      <c r="I253" s="71"/>
      <c r="J253" s="68"/>
    </row>
    <row r="254" spans="8:10" x14ac:dyDescent="0.25">
      <c r="H254" s="71"/>
      <c r="I254" s="71"/>
      <c r="J254" s="68"/>
    </row>
    <row r="255" spans="8:10" x14ac:dyDescent="0.25">
      <c r="H255" s="71"/>
      <c r="I255" s="71"/>
      <c r="J255" s="68"/>
    </row>
    <row r="256" spans="8:10" x14ac:dyDescent="0.25">
      <c r="H256" s="71"/>
      <c r="I256" s="71"/>
      <c r="J256" s="68"/>
    </row>
    <row r="257" spans="8:10" x14ac:dyDescent="0.25">
      <c r="H257" s="71"/>
      <c r="I257" s="71"/>
      <c r="J257" s="68"/>
    </row>
    <row r="258" spans="8:10" x14ac:dyDescent="0.25">
      <c r="H258" s="71"/>
      <c r="I258" s="71"/>
      <c r="J258" s="68"/>
    </row>
    <row r="259" spans="8:10" x14ac:dyDescent="0.25">
      <c r="H259" s="71"/>
      <c r="I259" s="71"/>
      <c r="J259" s="68"/>
    </row>
    <row r="260" spans="8:10" x14ac:dyDescent="0.25">
      <c r="H260" s="71"/>
      <c r="I260" s="71"/>
      <c r="J260" s="68"/>
    </row>
    <row r="261" spans="8:10" x14ac:dyDescent="0.25">
      <c r="H261" s="71"/>
      <c r="I261" s="71"/>
      <c r="J261" s="68"/>
    </row>
    <row r="262" spans="8:10" x14ac:dyDescent="0.25">
      <c r="H262" s="71"/>
      <c r="I262" s="71"/>
      <c r="J262" s="68"/>
    </row>
    <row r="263" spans="8:10" x14ac:dyDescent="0.25">
      <c r="H263" s="71"/>
      <c r="I263" s="71"/>
      <c r="J263" s="68"/>
    </row>
    <row r="264" spans="8:10" x14ac:dyDescent="0.25">
      <c r="H264" s="71"/>
      <c r="I264" s="71"/>
      <c r="J264" s="68"/>
    </row>
    <row r="265" spans="8:10" x14ac:dyDescent="0.25">
      <c r="H265" s="71"/>
      <c r="I265" s="71"/>
      <c r="J265" s="68"/>
    </row>
    <row r="266" spans="8:10" x14ac:dyDescent="0.25">
      <c r="H266" s="71"/>
      <c r="I266" s="71"/>
      <c r="J266" s="68"/>
    </row>
    <row r="267" spans="8:10" x14ac:dyDescent="0.25">
      <c r="H267" s="71"/>
      <c r="I267" s="71"/>
      <c r="J267" s="68"/>
    </row>
    <row r="268" spans="8:10" x14ac:dyDescent="0.25">
      <c r="H268" s="71"/>
      <c r="I268" s="71"/>
      <c r="J268" s="68"/>
    </row>
    <row r="269" spans="8:10" x14ac:dyDescent="0.25">
      <c r="H269" s="71"/>
      <c r="I269" s="71"/>
      <c r="J269" s="68"/>
    </row>
    <row r="270" spans="8:10" x14ac:dyDescent="0.25">
      <c r="H270" s="71"/>
      <c r="I270" s="71"/>
      <c r="J270" s="68"/>
    </row>
    <row r="271" spans="8:10" x14ac:dyDescent="0.25">
      <c r="H271" s="71"/>
      <c r="I271" s="71"/>
      <c r="J271" s="68"/>
    </row>
    <row r="272" spans="8:10" x14ac:dyDescent="0.25">
      <c r="H272" s="71"/>
      <c r="I272" s="71"/>
      <c r="J272" s="68"/>
    </row>
    <row r="273" spans="8:10" x14ac:dyDescent="0.25">
      <c r="H273" s="71"/>
      <c r="I273" s="71"/>
      <c r="J273" s="68"/>
    </row>
    <row r="274" spans="8:10" x14ac:dyDescent="0.25">
      <c r="H274" s="71"/>
      <c r="I274" s="71"/>
      <c r="J274" s="68"/>
    </row>
    <row r="275" spans="8:10" x14ac:dyDescent="0.25">
      <c r="H275" s="71"/>
      <c r="I275" s="71"/>
      <c r="J275" s="68"/>
    </row>
    <row r="276" spans="8:10" x14ac:dyDescent="0.25">
      <c r="H276" s="71"/>
      <c r="I276" s="71"/>
      <c r="J276" s="68"/>
    </row>
    <row r="277" spans="8:10" x14ac:dyDescent="0.25">
      <c r="H277" s="71"/>
      <c r="I277" s="71"/>
      <c r="J277" s="68"/>
    </row>
    <row r="278" spans="8:10" x14ac:dyDescent="0.25">
      <c r="H278" s="71"/>
      <c r="I278" s="71"/>
      <c r="J278" s="68"/>
    </row>
    <row r="279" spans="8:10" x14ac:dyDescent="0.25">
      <c r="H279" s="71"/>
      <c r="I279" s="71"/>
      <c r="J279" s="68"/>
    </row>
    <row r="280" spans="8:10" x14ac:dyDescent="0.25">
      <c r="H280" s="71"/>
      <c r="I280" s="71"/>
      <c r="J280" s="68"/>
    </row>
    <row r="281" spans="8:10" x14ac:dyDescent="0.25">
      <c r="H281" s="71"/>
      <c r="I281" s="71"/>
      <c r="J281" s="68"/>
    </row>
    <row r="282" spans="8:10" x14ac:dyDescent="0.25">
      <c r="H282" s="71"/>
      <c r="I282" s="71"/>
      <c r="J282" s="68"/>
    </row>
    <row r="283" spans="8:10" x14ac:dyDescent="0.25">
      <c r="H283" s="71"/>
      <c r="I283" s="71"/>
      <c r="J283" s="68"/>
    </row>
    <row r="284" spans="8:10" x14ac:dyDescent="0.25">
      <c r="H284" s="71"/>
      <c r="I284" s="71"/>
      <c r="J284" s="68"/>
    </row>
    <row r="285" spans="8:10" x14ac:dyDescent="0.25">
      <c r="H285" s="71"/>
      <c r="I285" s="71"/>
      <c r="J285" s="68"/>
    </row>
    <row r="286" spans="8:10" x14ac:dyDescent="0.25">
      <c r="H286" s="71"/>
      <c r="I286" s="71"/>
      <c r="J286" s="68"/>
    </row>
    <row r="287" spans="8:10" x14ac:dyDescent="0.25">
      <c r="H287" s="71"/>
      <c r="I287" s="71"/>
      <c r="J287" s="68"/>
    </row>
    <row r="288" spans="8:10" x14ac:dyDescent="0.25">
      <c r="H288" s="71"/>
      <c r="I288" s="71"/>
      <c r="J288" s="68"/>
    </row>
    <row r="289" spans="8:10" x14ac:dyDescent="0.25">
      <c r="H289" s="71"/>
      <c r="I289" s="71"/>
      <c r="J289" s="68"/>
    </row>
    <row r="290" spans="8:10" x14ac:dyDescent="0.25">
      <c r="H290" s="71"/>
      <c r="I290" s="71"/>
      <c r="J290" s="68"/>
    </row>
    <row r="291" spans="8:10" x14ac:dyDescent="0.25">
      <c r="H291" s="71"/>
      <c r="I291" s="71"/>
      <c r="J291" s="68"/>
    </row>
    <row r="292" spans="8:10" x14ac:dyDescent="0.25">
      <c r="H292" s="71"/>
      <c r="I292" s="71"/>
      <c r="J292" s="68"/>
    </row>
    <row r="293" spans="8:10" x14ac:dyDescent="0.25">
      <c r="H293" s="71"/>
      <c r="I293" s="71"/>
      <c r="J293" s="68"/>
    </row>
    <row r="294" spans="8:10" x14ac:dyDescent="0.25">
      <c r="H294" s="71"/>
      <c r="I294" s="71"/>
      <c r="J294" s="68"/>
    </row>
    <row r="295" spans="8:10" x14ac:dyDescent="0.25">
      <c r="H295" s="71"/>
      <c r="I295" s="71"/>
      <c r="J295" s="68"/>
    </row>
    <row r="296" spans="8:10" x14ac:dyDescent="0.25">
      <c r="H296" s="71"/>
      <c r="I296" s="71"/>
      <c r="J296" s="68"/>
    </row>
    <row r="297" spans="8:10" x14ac:dyDescent="0.25">
      <c r="H297" s="71"/>
      <c r="I297" s="71"/>
      <c r="J297" s="68"/>
    </row>
    <row r="298" spans="8:10" x14ac:dyDescent="0.25">
      <c r="H298" s="71"/>
      <c r="I298" s="71"/>
      <c r="J298" s="68"/>
    </row>
    <row r="299" spans="8:10" x14ac:dyDescent="0.25">
      <c r="H299" s="71"/>
      <c r="I299" s="71"/>
      <c r="J299" s="68"/>
    </row>
    <row r="300" spans="8:10" x14ac:dyDescent="0.25">
      <c r="H300" s="71"/>
      <c r="I300" s="71"/>
      <c r="J300" s="68"/>
    </row>
    <row r="301" spans="8:10" x14ac:dyDescent="0.25">
      <c r="H301" s="71"/>
      <c r="I301" s="71"/>
      <c r="J301" s="68"/>
    </row>
    <row r="302" spans="8:10" x14ac:dyDescent="0.25">
      <c r="H302" s="71"/>
      <c r="I302" s="71"/>
      <c r="J302" s="68"/>
    </row>
    <row r="303" spans="8:10" x14ac:dyDescent="0.25">
      <c r="H303" s="71"/>
      <c r="I303" s="71"/>
      <c r="J303" s="68"/>
    </row>
    <row r="304" spans="8:10" x14ac:dyDescent="0.25">
      <c r="H304" s="71"/>
      <c r="I304" s="71"/>
      <c r="J304" s="68"/>
    </row>
    <row r="305" spans="8:10" x14ac:dyDescent="0.25">
      <c r="H305" s="71"/>
      <c r="I305" s="71"/>
      <c r="J305" s="68"/>
    </row>
    <row r="306" spans="8:10" x14ac:dyDescent="0.25">
      <c r="H306" s="71"/>
      <c r="I306" s="71"/>
      <c r="J306" s="68"/>
    </row>
    <row r="307" spans="8:10" x14ac:dyDescent="0.25">
      <c r="H307" s="71"/>
      <c r="I307" s="71"/>
      <c r="J307" s="68"/>
    </row>
    <row r="308" spans="8:10" x14ac:dyDescent="0.25">
      <c r="H308" s="71"/>
      <c r="I308" s="71"/>
      <c r="J308" s="68"/>
    </row>
    <row r="309" spans="8:10" x14ac:dyDescent="0.25">
      <c r="H309" s="71"/>
      <c r="I309" s="71"/>
      <c r="J309" s="68"/>
    </row>
    <row r="310" spans="8:10" x14ac:dyDescent="0.25">
      <c r="H310" s="71"/>
      <c r="I310" s="71"/>
      <c r="J310" s="68"/>
    </row>
    <row r="311" spans="8:10" x14ac:dyDescent="0.25">
      <c r="H311" s="71"/>
      <c r="I311" s="71"/>
      <c r="J311" s="68"/>
    </row>
    <row r="312" spans="8:10" x14ac:dyDescent="0.25">
      <c r="H312" s="71"/>
      <c r="I312" s="71"/>
      <c r="J312" s="68"/>
    </row>
    <row r="313" spans="8:10" x14ac:dyDescent="0.25">
      <c r="H313" s="71"/>
      <c r="I313" s="71"/>
      <c r="J313" s="68"/>
    </row>
    <row r="314" spans="8:10" x14ac:dyDescent="0.25">
      <c r="H314" s="71"/>
      <c r="I314" s="71"/>
      <c r="J314" s="68"/>
    </row>
    <row r="315" spans="8:10" x14ac:dyDescent="0.25">
      <c r="H315" s="71"/>
      <c r="I315" s="71"/>
      <c r="J315" s="68"/>
    </row>
    <row r="316" spans="8:10" x14ac:dyDescent="0.25">
      <c r="H316" s="71"/>
      <c r="I316" s="71"/>
      <c r="J316" s="68"/>
    </row>
    <row r="317" spans="8:10" x14ac:dyDescent="0.25">
      <c r="H317" s="71"/>
      <c r="I317" s="71"/>
      <c r="J317" s="68"/>
    </row>
    <row r="318" spans="8:10" x14ac:dyDescent="0.25">
      <c r="H318" s="71"/>
      <c r="I318" s="71"/>
      <c r="J318" s="68"/>
    </row>
    <row r="319" spans="8:10" x14ac:dyDescent="0.25">
      <c r="H319" s="71"/>
      <c r="I319" s="71"/>
      <c r="J319" s="68"/>
    </row>
    <row r="320" spans="8:10" x14ac:dyDescent="0.25">
      <c r="H320" s="71"/>
      <c r="I320" s="71"/>
      <c r="J320" s="68"/>
    </row>
    <row r="321" spans="8:10" x14ac:dyDescent="0.25">
      <c r="H321" s="71"/>
      <c r="I321" s="71"/>
      <c r="J321" s="68"/>
    </row>
    <row r="322" spans="8:10" x14ac:dyDescent="0.25">
      <c r="H322" s="71"/>
      <c r="I322" s="71"/>
      <c r="J322" s="68"/>
    </row>
    <row r="323" spans="8:10" x14ac:dyDescent="0.25">
      <c r="H323" s="71"/>
      <c r="I323" s="71"/>
      <c r="J323" s="68"/>
    </row>
    <row r="324" spans="8:10" x14ac:dyDescent="0.25">
      <c r="H324" s="71"/>
      <c r="I324" s="71"/>
      <c r="J324" s="68"/>
    </row>
    <row r="325" spans="8:10" x14ac:dyDescent="0.25">
      <c r="H325" s="71"/>
      <c r="I325" s="71"/>
      <c r="J325" s="68"/>
    </row>
    <row r="326" spans="8:10" x14ac:dyDescent="0.25">
      <c r="H326" s="71"/>
      <c r="I326" s="71"/>
      <c r="J326" s="68"/>
    </row>
    <row r="327" spans="8:10" x14ac:dyDescent="0.25">
      <c r="H327" s="71"/>
      <c r="I327" s="71"/>
      <c r="J327" s="68"/>
    </row>
    <row r="328" spans="8:10" x14ac:dyDescent="0.25">
      <c r="H328" s="71"/>
      <c r="I328" s="71"/>
      <c r="J328" s="68"/>
    </row>
    <row r="329" spans="8:10" x14ac:dyDescent="0.25">
      <c r="H329" s="71"/>
      <c r="I329" s="71"/>
      <c r="J329" s="68"/>
    </row>
    <row r="330" spans="8:10" x14ac:dyDescent="0.25">
      <c r="H330" s="71"/>
      <c r="I330" s="71"/>
      <c r="J330" s="68"/>
    </row>
    <row r="331" spans="8:10" x14ac:dyDescent="0.25">
      <c r="H331" s="71"/>
      <c r="I331" s="71"/>
      <c r="J331" s="68"/>
    </row>
    <row r="332" spans="8:10" x14ac:dyDescent="0.25">
      <c r="H332" s="71"/>
      <c r="I332" s="71"/>
      <c r="J332" s="68"/>
    </row>
    <row r="333" spans="8:10" x14ac:dyDescent="0.25">
      <c r="H333" s="71"/>
      <c r="I333" s="71"/>
      <c r="J333" s="68"/>
    </row>
    <row r="334" spans="8:10" x14ac:dyDescent="0.25">
      <c r="H334" s="71"/>
      <c r="I334" s="71"/>
      <c r="J334" s="68"/>
    </row>
    <row r="335" spans="8:10" x14ac:dyDescent="0.25">
      <c r="H335" s="71"/>
      <c r="I335" s="71"/>
      <c r="J335" s="68"/>
    </row>
    <row r="336" spans="8:10" x14ac:dyDescent="0.25">
      <c r="H336" s="71"/>
      <c r="I336" s="71"/>
      <c r="J336" s="68"/>
    </row>
    <row r="337" spans="8:10" x14ac:dyDescent="0.25">
      <c r="H337" s="71"/>
      <c r="I337" s="71"/>
      <c r="J337" s="68"/>
    </row>
    <row r="338" spans="8:10" x14ac:dyDescent="0.25">
      <c r="H338" s="71"/>
      <c r="I338" s="71"/>
      <c r="J338" s="68"/>
    </row>
    <row r="339" spans="8:10" x14ac:dyDescent="0.25">
      <c r="H339" s="71"/>
      <c r="I339" s="71"/>
      <c r="J339" s="68"/>
    </row>
    <row r="340" spans="8:10" x14ac:dyDescent="0.25">
      <c r="H340" s="71"/>
      <c r="I340" s="71"/>
      <c r="J340" s="68"/>
    </row>
    <row r="341" spans="8:10" x14ac:dyDescent="0.25">
      <c r="H341" s="71"/>
      <c r="I341" s="71"/>
      <c r="J341" s="68"/>
    </row>
    <row r="342" spans="8:10" x14ac:dyDescent="0.25">
      <c r="H342" s="71"/>
      <c r="I342" s="71"/>
      <c r="J342" s="68"/>
    </row>
    <row r="343" spans="8:10" x14ac:dyDescent="0.25">
      <c r="H343" s="71"/>
      <c r="I343" s="71"/>
      <c r="J343" s="68"/>
    </row>
    <row r="344" spans="8:10" x14ac:dyDescent="0.25">
      <c r="H344" s="71"/>
      <c r="I344" s="71"/>
      <c r="J344" s="68"/>
    </row>
    <row r="345" spans="8:10" x14ac:dyDescent="0.25">
      <c r="H345" s="71"/>
      <c r="I345" s="71"/>
      <c r="J345" s="68"/>
    </row>
    <row r="346" spans="8:10" x14ac:dyDescent="0.25">
      <c r="H346" s="71"/>
      <c r="I346" s="71"/>
      <c r="J346" s="68"/>
    </row>
    <row r="347" spans="8:10" x14ac:dyDescent="0.25">
      <c r="H347" s="71"/>
      <c r="I347" s="71"/>
      <c r="J347" s="68"/>
    </row>
    <row r="348" spans="8:10" x14ac:dyDescent="0.25">
      <c r="H348" s="71"/>
      <c r="I348" s="71"/>
      <c r="J348" s="68"/>
    </row>
    <row r="349" spans="8:10" x14ac:dyDescent="0.25">
      <c r="H349" s="71"/>
      <c r="I349" s="71"/>
      <c r="J349" s="68"/>
    </row>
    <row r="350" spans="8:10" x14ac:dyDescent="0.25">
      <c r="H350" s="71"/>
      <c r="I350" s="71"/>
      <c r="J350" s="68"/>
    </row>
    <row r="351" spans="8:10" x14ac:dyDescent="0.25">
      <c r="H351" s="71"/>
      <c r="I351" s="71"/>
      <c r="J351" s="68"/>
    </row>
    <row r="352" spans="8:10" x14ac:dyDescent="0.25">
      <c r="H352" s="71"/>
      <c r="I352" s="71"/>
      <c r="J352" s="68"/>
    </row>
    <row r="353" spans="8:10" x14ac:dyDescent="0.25">
      <c r="H353" s="71"/>
      <c r="I353" s="71"/>
      <c r="J353" s="68"/>
    </row>
    <row r="354" spans="8:10" x14ac:dyDescent="0.25">
      <c r="H354" s="71"/>
      <c r="I354" s="71"/>
      <c r="J354" s="68"/>
    </row>
    <row r="355" spans="8:10" x14ac:dyDescent="0.25">
      <c r="H355" s="71"/>
      <c r="I355" s="71"/>
      <c r="J355" s="68"/>
    </row>
    <row r="356" spans="8:10" x14ac:dyDescent="0.25">
      <c r="H356" s="71"/>
      <c r="I356" s="71"/>
      <c r="J356" s="68"/>
    </row>
    <row r="357" spans="8:10" x14ac:dyDescent="0.25">
      <c r="H357" s="71"/>
      <c r="I357" s="71"/>
      <c r="J357" s="68"/>
    </row>
    <row r="358" spans="8:10" x14ac:dyDescent="0.25">
      <c r="H358" s="71"/>
      <c r="I358" s="71"/>
      <c r="J358" s="68"/>
    </row>
    <row r="359" spans="8:10" x14ac:dyDescent="0.25">
      <c r="H359" s="71"/>
      <c r="I359" s="71"/>
      <c r="J359" s="68"/>
    </row>
    <row r="360" spans="8:10" x14ac:dyDescent="0.25">
      <c r="H360" s="71"/>
      <c r="I360" s="71"/>
      <c r="J360" s="68"/>
    </row>
    <row r="361" spans="8:10" x14ac:dyDescent="0.25">
      <c r="H361" s="71"/>
      <c r="I361" s="71"/>
      <c r="J361" s="68"/>
    </row>
    <row r="362" spans="8:10" x14ac:dyDescent="0.25">
      <c r="H362" s="71"/>
      <c r="I362" s="71"/>
      <c r="J362" s="68"/>
    </row>
    <row r="363" spans="8:10" x14ac:dyDescent="0.25">
      <c r="H363" s="71"/>
      <c r="I363" s="71"/>
      <c r="J363" s="68"/>
    </row>
    <row r="364" spans="8:10" x14ac:dyDescent="0.25">
      <c r="H364" s="71"/>
      <c r="I364" s="71"/>
      <c r="J364" s="68"/>
    </row>
    <row r="365" spans="8:10" x14ac:dyDescent="0.25">
      <c r="H365" s="71"/>
      <c r="I365" s="71"/>
      <c r="J365" s="68"/>
    </row>
    <row r="366" spans="8:10" x14ac:dyDescent="0.25">
      <c r="H366" s="71"/>
      <c r="I366" s="71"/>
      <c r="J366" s="68"/>
    </row>
    <row r="367" spans="8:10" x14ac:dyDescent="0.25">
      <c r="H367" s="71"/>
      <c r="I367" s="71"/>
      <c r="J367" s="68"/>
    </row>
    <row r="368" spans="8:10" x14ac:dyDescent="0.25">
      <c r="H368" s="71"/>
      <c r="I368" s="71"/>
      <c r="J368" s="68"/>
    </row>
    <row r="369" spans="8:10" x14ac:dyDescent="0.25">
      <c r="H369" s="71"/>
      <c r="I369" s="71"/>
      <c r="J369" s="68"/>
    </row>
    <row r="370" spans="8:10" x14ac:dyDescent="0.25">
      <c r="H370" s="71"/>
      <c r="I370" s="71"/>
      <c r="J370" s="68"/>
    </row>
    <row r="371" spans="8:10" x14ac:dyDescent="0.25">
      <c r="H371" s="71"/>
      <c r="I371" s="71"/>
      <c r="J371" s="68"/>
    </row>
    <row r="372" spans="8:10" x14ac:dyDescent="0.25">
      <c r="H372" s="71"/>
      <c r="I372" s="71"/>
      <c r="J372" s="68"/>
    </row>
    <row r="373" spans="8:10" x14ac:dyDescent="0.25">
      <c r="H373" s="71"/>
      <c r="I373" s="71"/>
      <c r="J373" s="68"/>
    </row>
    <row r="374" spans="8:10" x14ac:dyDescent="0.25">
      <c r="H374" s="71"/>
      <c r="I374" s="71"/>
      <c r="J374" s="68"/>
    </row>
    <row r="375" spans="8:10" x14ac:dyDescent="0.25">
      <c r="H375" s="71"/>
      <c r="I375" s="71"/>
      <c r="J375" s="68"/>
    </row>
    <row r="376" spans="8:10" x14ac:dyDescent="0.25">
      <c r="H376" s="71"/>
      <c r="I376" s="71"/>
      <c r="J376" s="68"/>
    </row>
    <row r="377" spans="8:10" x14ac:dyDescent="0.25">
      <c r="H377" s="71"/>
      <c r="I377" s="71"/>
      <c r="J377" s="68"/>
    </row>
    <row r="378" spans="8:10" x14ac:dyDescent="0.25">
      <c r="H378" s="71"/>
      <c r="I378" s="71"/>
      <c r="J378" s="68"/>
    </row>
    <row r="379" spans="8:10" x14ac:dyDescent="0.25">
      <c r="H379" s="71"/>
      <c r="I379" s="71"/>
      <c r="J379" s="68"/>
    </row>
    <row r="380" spans="8:10" x14ac:dyDescent="0.25">
      <c r="H380" s="71"/>
      <c r="I380" s="71"/>
      <c r="J380" s="68"/>
    </row>
    <row r="381" spans="8:10" x14ac:dyDescent="0.25">
      <c r="H381" s="71"/>
      <c r="I381" s="71"/>
      <c r="J381" s="68"/>
    </row>
    <row r="382" spans="8:10" x14ac:dyDescent="0.25">
      <c r="H382" s="71"/>
      <c r="I382" s="71"/>
      <c r="J382" s="68"/>
    </row>
    <row r="383" spans="8:10" x14ac:dyDescent="0.25">
      <c r="H383" s="71"/>
      <c r="I383" s="71"/>
      <c r="J383" s="68"/>
    </row>
    <row r="384" spans="8:10" x14ac:dyDescent="0.25">
      <c r="H384" s="71"/>
      <c r="I384" s="71"/>
      <c r="J384" s="68"/>
    </row>
    <row r="385" spans="8:10" x14ac:dyDescent="0.25">
      <c r="H385" s="71"/>
      <c r="I385" s="71"/>
      <c r="J385" s="68"/>
    </row>
    <row r="386" spans="8:10" x14ac:dyDescent="0.25">
      <c r="H386" s="71"/>
      <c r="I386" s="71"/>
      <c r="J386" s="68"/>
    </row>
    <row r="387" spans="8:10" x14ac:dyDescent="0.25">
      <c r="H387" s="71"/>
      <c r="I387" s="71"/>
      <c r="J387" s="68"/>
    </row>
    <row r="388" spans="8:10" x14ac:dyDescent="0.25">
      <c r="H388" s="71"/>
      <c r="I388" s="71"/>
      <c r="J388" s="68"/>
    </row>
    <row r="389" spans="8:10" x14ac:dyDescent="0.25">
      <c r="H389" s="71"/>
      <c r="I389" s="71"/>
      <c r="J389" s="68"/>
    </row>
    <row r="390" spans="8:10" x14ac:dyDescent="0.25">
      <c r="H390" s="71"/>
      <c r="I390" s="71"/>
      <c r="J390" s="68"/>
    </row>
    <row r="391" spans="8:10" x14ac:dyDescent="0.25">
      <c r="H391" s="71"/>
      <c r="I391" s="71"/>
      <c r="J391" s="68"/>
    </row>
    <row r="392" spans="8:10" x14ac:dyDescent="0.25">
      <c r="H392" s="71"/>
      <c r="I392" s="71"/>
      <c r="J392" s="68"/>
    </row>
    <row r="393" spans="8:10" x14ac:dyDescent="0.25">
      <c r="H393" s="71"/>
      <c r="I393" s="71"/>
      <c r="J393" s="68"/>
    </row>
    <row r="394" spans="8:10" x14ac:dyDescent="0.25">
      <c r="H394" s="71"/>
      <c r="I394" s="71"/>
      <c r="J394" s="68"/>
    </row>
    <row r="395" spans="8:10" x14ac:dyDescent="0.25">
      <c r="H395" s="71"/>
      <c r="I395" s="71"/>
      <c r="J395" s="68"/>
    </row>
    <row r="396" spans="8:10" x14ac:dyDescent="0.25">
      <c r="H396" s="71"/>
      <c r="I396" s="71"/>
      <c r="J396" s="68"/>
    </row>
    <row r="397" spans="8:10" x14ac:dyDescent="0.25">
      <c r="H397" s="71"/>
      <c r="I397" s="71"/>
      <c r="J397" s="68"/>
    </row>
    <row r="398" spans="8:10" x14ac:dyDescent="0.25">
      <c r="H398" s="71"/>
      <c r="I398" s="71"/>
      <c r="J398" s="68"/>
    </row>
    <row r="399" spans="8:10" x14ac:dyDescent="0.25">
      <c r="H399" s="71"/>
      <c r="I399" s="71"/>
      <c r="J399" s="68"/>
    </row>
    <row r="400" spans="8:10" x14ac:dyDescent="0.25">
      <c r="H400" s="71"/>
      <c r="I400" s="71"/>
      <c r="J400" s="68"/>
    </row>
    <row r="401" spans="8:10" x14ac:dyDescent="0.25">
      <c r="H401" s="71"/>
      <c r="I401" s="71"/>
      <c r="J401" s="68"/>
    </row>
    <row r="402" spans="8:10" x14ac:dyDescent="0.25">
      <c r="H402" s="71"/>
      <c r="I402" s="71"/>
      <c r="J402" s="68"/>
    </row>
    <row r="403" spans="8:10" x14ac:dyDescent="0.25">
      <c r="H403" s="71"/>
      <c r="I403" s="71"/>
      <c r="J403" s="68"/>
    </row>
    <row r="404" spans="8:10" x14ac:dyDescent="0.25">
      <c r="H404" s="71"/>
      <c r="I404" s="71"/>
      <c r="J404" s="68"/>
    </row>
    <row r="405" spans="8:10" x14ac:dyDescent="0.25">
      <c r="H405" s="71"/>
      <c r="I405" s="71"/>
      <c r="J405" s="68"/>
    </row>
    <row r="406" spans="8:10" x14ac:dyDescent="0.25">
      <c r="H406" s="71"/>
      <c r="I406" s="71"/>
      <c r="J406" s="68"/>
    </row>
    <row r="407" spans="8:10" x14ac:dyDescent="0.25">
      <c r="H407" s="71"/>
      <c r="I407" s="71"/>
      <c r="J407" s="68"/>
    </row>
    <row r="408" spans="8:10" x14ac:dyDescent="0.25">
      <c r="H408" s="71"/>
      <c r="I408" s="71"/>
      <c r="J408" s="68"/>
    </row>
    <row r="410" spans="8:10" x14ac:dyDescent="0.25">
      <c r="H410" s="71"/>
      <c r="I410" s="71"/>
      <c r="J410" s="68"/>
    </row>
    <row r="411" spans="8:10" x14ac:dyDescent="0.25">
      <c r="H411" s="71"/>
      <c r="I411" s="71"/>
      <c r="J411" s="68"/>
    </row>
  </sheetData>
  <sheetProtection sheet="1" objects="1" scenarios="1"/>
  <mergeCells count="6">
    <mergeCell ref="B2:C2"/>
    <mergeCell ref="B1:C1"/>
    <mergeCell ref="H1:I4"/>
    <mergeCell ref="G1:G4"/>
    <mergeCell ref="F1:F4"/>
    <mergeCell ref="D1:E4"/>
  </mergeCells>
  <phoneticPr fontId="0" type="noConversion"/>
  <printOptions horizontalCentered="1"/>
  <pageMargins left="0.5" right="0.5" top="1" bottom="1" header="0.5" footer="0.5"/>
  <pageSetup scale="90" pageOrder="overThenDown" orientation="landscape" horizontalDpi="1200" verticalDpi="1200" r:id="rId1"/>
  <headerFooter>
    <oddHeader>&amp;C&amp;"Arial,Bold"MCP Numerical Standards Derivation</oddHeader>
    <oddFooter>&amp;L&amp;8MassDEP&amp;C&amp;8 2024&amp;R&amp;8Workbook: &amp;F
Sheet: &amp;A
Page &amp;P of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A51"/>
  <sheetViews>
    <sheetView showGridLines="0" zoomScaleNormal="100" workbookViewId="0">
      <selection sqref="A1:B1"/>
    </sheetView>
  </sheetViews>
  <sheetFormatPr defaultColWidth="9.1796875" defaultRowHeight="12.5" x14ac:dyDescent="0.25"/>
  <cols>
    <col min="1" max="1" width="21" style="91" customWidth="1"/>
    <col min="2" max="2" width="11.54296875" style="91" bestFit="1" customWidth="1"/>
    <col min="3" max="3" width="12.453125" style="91" bestFit="1" customWidth="1"/>
    <col min="4" max="4" width="9.81640625" style="91" customWidth="1"/>
    <col min="5" max="6" width="10.1796875" style="91" bestFit="1" customWidth="1"/>
    <col min="7" max="7" width="9.1796875" style="91" bestFit="1" customWidth="1"/>
    <col min="8" max="9" width="10.1796875" style="91" bestFit="1" customWidth="1"/>
    <col min="10" max="11" width="16.1796875" style="91" bestFit="1" customWidth="1"/>
    <col min="12" max="12" width="11.81640625" style="91" customWidth="1"/>
    <col min="13" max="13" width="11.453125" style="91" customWidth="1"/>
    <col min="14" max="14" width="22.81640625" style="91" customWidth="1"/>
    <col min="15" max="15" width="9.1796875" style="91"/>
    <col min="16" max="16" width="8.54296875" style="91" customWidth="1"/>
    <col min="17" max="17" width="9.54296875" style="91" customWidth="1"/>
    <col min="18" max="18" width="6.81640625" style="91" customWidth="1"/>
    <col min="19" max="19" width="10.81640625" style="91" customWidth="1"/>
    <col min="20" max="20" width="6.81640625" style="91" customWidth="1"/>
    <col min="21" max="21" width="7.81640625" style="91" customWidth="1"/>
    <col min="22" max="22" width="9.81640625" style="91" customWidth="1"/>
    <col min="23" max="23" width="10" style="91" customWidth="1"/>
    <col min="24" max="24" width="9.81640625" style="91" customWidth="1"/>
    <col min="25" max="25" width="10.54296875" style="1" bestFit="1" customWidth="1"/>
    <col min="26" max="26" width="9.81640625" style="1" customWidth="1"/>
    <col min="27" max="27" width="5.81640625" style="1" customWidth="1"/>
    <col min="28" max="28" width="9.81640625" style="1" customWidth="1"/>
    <col min="29" max="32" width="9.1796875" style="1"/>
    <col min="33" max="33" width="15" style="1" customWidth="1"/>
    <col min="34" max="34" width="9.1796875" style="1"/>
    <col min="35" max="35" width="7.453125" style="1" customWidth="1"/>
    <col min="36" max="36" width="11.453125" style="1" customWidth="1"/>
    <col min="37" max="37" width="11.54296875" style="1" customWidth="1"/>
    <col min="38" max="38" width="11.453125" style="1" customWidth="1"/>
    <col min="39" max="41" width="12.1796875" style="1" customWidth="1"/>
    <col min="42" max="42" width="11.453125" style="1" customWidth="1"/>
    <col min="43" max="45" width="9.1796875" style="1"/>
    <col min="46" max="46" width="11.54296875" style="1" customWidth="1"/>
    <col min="47" max="47" width="9.1796875" style="1"/>
    <col min="48" max="48" width="22.1796875" style="1" customWidth="1"/>
    <col min="49" max="49" width="9.1796875" style="1"/>
    <col min="50" max="50" width="9.453125" style="1" customWidth="1"/>
    <col min="51" max="51" width="21" style="1" customWidth="1"/>
    <col min="52" max="52" width="16.54296875" style="1" customWidth="1"/>
    <col min="53" max="53" width="21" style="1" customWidth="1"/>
    <col min="54" max="16384" width="9.1796875" style="1"/>
  </cols>
  <sheetData>
    <row r="1" spans="1:53" ht="13" x14ac:dyDescent="0.3">
      <c r="A1" s="509" t="s">
        <v>209</v>
      </c>
      <c r="B1" s="509"/>
      <c r="I1" s="179"/>
      <c r="J1" s="179"/>
      <c r="K1" s="179"/>
      <c r="L1" s="179"/>
      <c r="M1" s="179"/>
      <c r="N1" s="179"/>
      <c r="V1" s="192"/>
      <c r="W1" s="179"/>
      <c r="X1" s="179"/>
      <c r="Y1" s="18"/>
      <c r="AI1" s="17"/>
      <c r="AJ1" s="18"/>
      <c r="AK1" s="18"/>
      <c r="AL1" s="18"/>
      <c r="AM1" s="18"/>
      <c r="AN1" s="18"/>
      <c r="AO1" s="18"/>
      <c r="AP1" s="18"/>
      <c r="AX1" s="17"/>
      <c r="AY1" s="18"/>
      <c r="AZ1" s="18"/>
      <c r="BA1" s="18"/>
    </row>
    <row r="2" spans="1:53" ht="13" x14ac:dyDescent="0.3">
      <c r="I2" s="192"/>
      <c r="J2" s="192"/>
      <c r="K2" s="192"/>
      <c r="L2" s="192"/>
      <c r="M2" s="192"/>
      <c r="N2" s="192"/>
      <c r="V2" s="192"/>
      <c r="W2" s="179"/>
      <c r="X2" s="179"/>
      <c r="Y2" s="18"/>
      <c r="AX2" s="17"/>
      <c r="AY2" s="18"/>
      <c r="AZ2" s="18"/>
      <c r="BA2" s="18"/>
    </row>
    <row r="3" spans="1:53" ht="13" x14ac:dyDescent="0.3">
      <c r="A3" s="177" t="s">
        <v>208</v>
      </c>
      <c r="I3" s="178"/>
      <c r="J3" s="178"/>
      <c r="K3" s="178"/>
      <c r="L3" s="178"/>
      <c r="M3" s="178"/>
      <c r="N3" s="178"/>
      <c r="P3" s="192"/>
      <c r="Q3" s="179"/>
      <c r="R3" s="179"/>
      <c r="S3" s="179"/>
      <c r="T3" s="179"/>
      <c r="V3" s="192"/>
      <c r="W3" s="179"/>
      <c r="X3" s="179"/>
      <c r="Y3" s="18"/>
      <c r="AA3" s="17"/>
      <c r="AB3" s="18"/>
      <c r="AC3" s="18"/>
      <c r="AD3" s="18"/>
      <c r="AE3" s="18"/>
      <c r="AF3" s="18"/>
      <c r="AG3" s="18"/>
      <c r="AI3" s="13"/>
      <c r="AJ3" s="13"/>
      <c r="AK3" s="13"/>
      <c r="AL3" s="13"/>
      <c r="AM3" s="13"/>
      <c r="AN3" s="13"/>
      <c r="AO3" s="13"/>
      <c r="AP3" s="14"/>
      <c r="AR3" s="17"/>
      <c r="AS3" s="18"/>
      <c r="AT3" s="18"/>
      <c r="AU3" s="18"/>
      <c r="AV3" s="18"/>
      <c r="AX3" s="17"/>
      <c r="AY3" s="18"/>
      <c r="AZ3" s="18"/>
      <c r="BA3" s="18"/>
    </row>
    <row r="4" spans="1:53" ht="13" x14ac:dyDescent="0.3">
      <c r="A4" s="177" t="s">
        <v>195</v>
      </c>
      <c r="B4" s="179"/>
      <c r="C4" s="179"/>
      <c r="D4" s="179"/>
      <c r="E4" s="179"/>
      <c r="F4" s="179"/>
      <c r="G4" s="179"/>
      <c r="I4" s="178"/>
      <c r="J4" s="178"/>
      <c r="K4" s="178"/>
      <c r="L4" s="178"/>
      <c r="M4" s="178"/>
      <c r="N4" s="223"/>
      <c r="P4" s="192"/>
      <c r="Q4" s="179"/>
      <c r="R4" s="179"/>
      <c r="S4" s="179"/>
      <c r="T4" s="179"/>
      <c r="W4" s="179"/>
      <c r="X4" s="179"/>
      <c r="Y4" s="18"/>
      <c r="AI4" s="14"/>
      <c r="AJ4" s="14"/>
      <c r="AK4" s="14"/>
      <c r="AL4" s="14"/>
      <c r="AM4" s="14"/>
      <c r="AN4" s="14"/>
      <c r="AO4" s="14"/>
      <c r="AP4" s="14"/>
      <c r="AR4" s="17"/>
      <c r="AS4" s="18"/>
      <c r="AT4" s="18"/>
      <c r="AU4" s="18"/>
      <c r="AV4" s="18"/>
      <c r="AY4" s="18"/>
      <c r="AZ4" s="18"/>
      <c r="BA4" s="18"/>
    </row>
    <row r="5" spans="1:53" ht="13" x14ac:dyDescent="0.3">
      <c r="A5" s="177" t="s">
        <v>207</v>
      </c>
      <c r="AC5" s="17"/>
      <c r="AD5" s="13"/>
      <c r="AE5" s="13"/>
      <c r="AF5" s="14"/>
      <c r="AG5" s="14"/>
      <c r="AI5" s="14"/>
      <c r="AJ5" s="14"/>
      <c r="AK5" s="14"/>
      <c r="AL5" s="14"/>
      <c r="AM5" s="14"/>
      <c r="AN5" s="14"/>
      <c r="AO5" s="14"/>
      <c r="AP5" s="14"/>
      <c r="AR5" s="17"/>
      <c r="AS5" s="18"/>
      <c r="AT5" s="18"/>
      <c r="AU5" s="18"/>
      <c r="AV5" s="18"/>
      <c r="AY5" s="18"/>
      <c r="AZ5" s="18"/>
      <c r="BA5" s="18"/>
    </row>
    <row r="6" spans="1:53" ht="13" x14ac:dyDescent="0.3">
      <c r="A6" s="177"/>
      <c r="AC6" s="17"/>
      <c r="AD6" s="13"/>
      <c r="AE6" s="13"/>
      <c r="AF6" s="14"/>
      <c r="AG6" s="14"/>
      <c r="AI6" s="14"/>
      <c r="AJ6" s="14"/>
      <c r="AK6" s="14"/>
      <c r="AL6" s="14"/>
      <c r="AM6" s="14"/>
      <c r="AN6" s="14"/>
      <c r="AO6" s="14"/>
      <c r="AP6" s="14"/>
      <c r="AR6" s="17"/>
      <c r="AS6" s="18"/>
      <c r="AT6" s="18"/>
      <c r="AU6" s="18"/>
      <c r="AV6" s="18"/>
      <c r="AY6" s="18"/>
      <c r="AZ6" s="18"/>
      <c r="BA6" s="18"/>
    </row>
    <row r="7" spans="1:53" ht="13" x14ac:dyDescent="0.3">
      <c r="A7" s="177" t="s">
        <v>206</v>
      </c>
      <c r="AC7" s="17"/>
      <c r="AD7" s="13"/>
      <c r="AE7" s="13"/>
      <c r="AF7" s="14"/>
      <c r="AG7" s="14"/>
      <c r="AI7" s="14"/>
      <c r="AJ7" s="14"/>
      <c r="AK7" s="14"/>
      <c r="AL7" s="14"/>
      <c r="AM7" s="14"/>
      <c r="AN7" s="14"/>
      <c r="AO7" s="14"/>
      <c r="AP7" s="14"/>
      <c r="AR7" s="17"/>
      <c r="AS7" s="18"/>
      <c r="AT7" s="18"/>
      <c r="AU7" s="18"/>
      <c r="AV7" s="18"/>
      <c r="AY7" s="18"/>
      <c r="AZ7" s="18"/>
      <c r="BA7" s="18"/>
    </row>
    <row r="8" spans="1:53" ht="13" x14ac:dyDescent="0.3">
      <c r="A8" s="91" t="s">
        <v>205</v>
      </c>
      <c r="AC8" s="17"/>
      <c r="AD8" s="14"/>
      <c r="AE8" s="13"/>
      <c r="AF8" s="14"/>
      <c r="AG8" s="14"/>
      <c r="AI8" s="14"/>
      <c r="AJ8" s="14"/>
      <c r="AK8" s="14"/>
      <c r="AL8" s="14"/>
      <c r="AM8" s="14"/>
      <c r="AN8" s="14"/>
      <c r="AO8" s="14"/>
      <c r="AP8" s="14"/>
      <c r="AX8" s="17"/>
      <c r="AY8" s="17"/>
      <c r="AZ8" s="17"/>
      <c r="BA8" s="18"/>
    </row>
    <row r="9" spans="1:53" ht="13" x14ac:dyDescent="0.3">
      <c r="AC9" s="17"/>
      <c r="AD9" s="14"/>
      <c r="AE9" s="14"/>
      <c r="AF9" s="14"/>
      <c r="AG9" s="14"/>
      <c r="AI9" s="14"/>
      <c r="AJ9" s="14"/>
      <c r="AK9" s="14"/>
      <c r="AL9" s="14"/>
      <c r="AM9" s="14"/>
      <c r="AN9" s="14"/>
      <c r="AO9" s="14"/>
      <c r="AP9" s="14"/>
    </row>
    <row r="10" spans="1:53" ht="13" x14ac:dyDescent="0.3">
      <c r="A10" s="178" t="s">
        <v>193</v>
      </c>
      <c r="AC10" s="17"/>
      <c r="AD10" s="14"/>
      <c r="AE10" s="14"/>
      <c r="AF10" s="14"/>
      <c r="AG10" s="14"/>
      <c r="AI10" s="14"/>
      <c r="AJ10" s="14"/>
      <c r="AK10" s="14"/>
      <c r="AL10" s="14"/>
      <c r="AM10" s="14"/>
      <c r="AN10" s="14"/>
      <c r="AO10" s="14"/>
      <c r="AP10" s="14"/>
      <c r="AS10" s="14"/>
      <c r="AT10" s="14"/>
      <c r="AU10" s="14"/>
      <c r="AV10" s="14"/>
      <c r="AX10" s="14"/>
      <c r="AY10" s="14"/>
      <c r="AZ10" s="14"/>
      <c r="BA10" s="14"/>
    </row>
    <row r="11" spans="1:53" ht="13" x14ac:dyDescent="0.3">
      <c r="A11" s="204"/>
      <c r="B11" s="206"/>
      <c r="C11" s="206"/>
      <c r="D11" s="206"/>
      <c r="E11" s="206"/>
      <c r="F11" s="206"/>
      <c r="G11" s="206"/>
      <c r="H11" s="206"/>
      <c r="I11" s="197"/>
      <c r="L11" s="238" t="s">
        <v>204</v>
      </c>
      <c r="M11" s="239"/>
      <c r="N11" s="239"/>
      <c r="O11" s="239"/>
      <c r="P11" s="239"/>
      <c r="Q11" s="239"/>
      <c r="R11" s="239"/>
      <c r="S11" s="239"/>
      <c r="T11" s="239"/>
      <c r="U11" s="239"/>
      <c r="V11" s="239"/>
      <c r="W11" s="240"/>
      <c r="AI11" s="14"/>
      <c r="AJ11" s="14"/>
      <c r="AK11" s="14"/>
      <c r="AL11" s="14"/>
      <c r="AM11" s="14"/>
      <c r="AN11" s="14"/>
      <c r="AO11" s="14"/>
      <c r="AP11" s="14"/>
      <c r="AR11" s="14"/>
      <c r="AS11" s="14"/>
      <c r="AT11" s="14"/>
      <c r="AU11" s="14"/>
      <c r="AV11" s="14"/>
      <c r="AX11" s="14"/>
      <c r="AY11" s="14"/>
      <c r="AZ11" s="14"/>
      <c r="BA11" s="14"/>
    </row>
    <row r="12" spans="1:53" ht="13" x14ac:dyDescent="0.3">
      <c r="A12" s="209"/>
      <c r="B12" s="203" t="s">
        <v>141</v>
      </c>
      <c r="C12" s="203" t="s">
        <v>171</v>
      </c>
      <c r="D12" s="235" t="s">
        <v>159</v>
      </c>
      <c r="E12" s="235"/>
      <c r="F12" s="203" t="s">
        <v>159</v>
      </c>
      <c r="G12" s="203" t="s">
        <v>158</v>
      </c>
      <c r="H12" s="202" t="s">
        <v>157</v>
      </c>
      <c r="I12" s="199" t="s">
        <v>157</v>
      </c>
      <c r="L12" s="241"/>
      <c r="U12" s="177" t="s">
        <v>186</v>
      </c>
      <c r="W12" s="242"/>
      <c r="AF12" s="13"/>
      <c r="AG12" s="14"/>
      <c r="AI12" s="14"/>
      <c r="AJ12" s="14"/>
      <c r="AK12" s="14"/>
      <c r="AL12" s="14"/>
      <c r="AM12" s="14"/>
      <c r="AN12" s="14"/>
      <c r="AO12" s="14"/>
      <c r="AP12" s="14"/>
      <c r="AR12" s="14"/>
      <c r="AS12" s="14"/>
      <c r="AT12" s="14"/>
      <c r="AU12" s="14"/>
      <c r="AV12" s="14"/>
      <c r="AX12" s="14"/>
      <c r="AY12" s="14"/>
      <c r="AZ12" s="14"/>
      <c r="BA12" s="14"/>
    </row>
    <row r="13" spans="1:53" ht="13" x14ac:dyDescent="0.3">
      <c r="A13" s="208"/>
      <c r="B13" s="203" t="s">
        <v>155</v>
      </c>
      <c r="C13" s="203" t="s">
        <v>170</v>
      </c>
      <c r="D13" s="235" t="s">
        <v>153</v>
      </c>
      <c r="E13" s="235"/>
      <c r="F13" s="203" t="s">
        <v>152</v>
      </c>
      <c r="G13" s="203" t="s">
        <v>152</v>
      </c>
      <c r="H13" s="202" t="s">
        <v>151</v>
      </c>
      <c r="I13" s="199" t="s">
        <v>151</v>
      </c>
      <c r="L13" s="241" t="s">
        <v>191</v>
      </c>
      <c r="M13" s="44" t="s">
        <v>190</v>
      </c>
      <c r="N13" s="44" t="s">
        <v>189</v>
      </c>
      <c r="O13" s="91" t="s">
        <v>189</v>
      </c>
      <c r="P13" s="91" t="s">
        <v>188</v>
      </c>
      <c r="Q13" s="91" t="s">
        <v>188</v>
      </c>
      <c r="R13" s="91" t="s">
        <v>187</v>
      </c>
      <c r="S13" s="91" t="s">
        <v>187</v>
      </c>
      <c r="T13" s="91" t="s">
        <v>186</v>
      </c>
      <c r="U13" s="91" t="s">
        <v>182</v>
      </c>
      <c r="V13" s="91" t="s">
        <v>185</v>
      </c>
      <c r="W13" s="243" t="s">
        <v>185</v>
      </c>
      <c r="AF13" s="13"/>
      <c r="AG13" s="13"/>
      <c r="AI13" s="14"/>
      <c r="AJ13" s="14"/>
      <c r="AK13" s="14"/>
      <c r="AL13" s="14"/>
      <c r="AM13" s="14"/>
      <c r="AN13" s="14"/>
      <c r="AO13" s="14"/>
      <c r="AP13" s="14"/>
      <c r="AR13" s="14"/>
      <c r="AS13" s="14"/>
      <c r="AT13" s="14"/>
      <c r="AU13" s="14"/>
      <c r="AV13" s="14"/>
      <c r="AX13" s="14"/>
      <c r="AY13" s="14"/>
      <c r="AZ13" s="14"/>
      <c r="BA13" s="14"/>
    </row>
    <row r="14" spans="1:53" ht="13" x14ac:dyDescent="0.3">
      <c r="A14" s="208"/>
      <c r="B14" s="203" t="s">
        <v>149</v>
      </c>
      <c r="C14" s="203" t="s">
        <v>184</v>
      </c>
      <c r="D14" s="203" t="s">
        <v>147</v>
      </c>
      <c r="E14" s="203" t="s">
        <v>146</v>
      </c>
      <c r="F14" s="203" t="s">
        <v>145</v>
      </c>
      <c r="G14" s="203" t="s">
        <v>144</v>
      </c>
      <c r="H14" s="203" t="s">
        <v>143</v>
      </c>
      <c r="I14" s="199" t="s">
        <v>142</v>
      </c>
      <c r="L14" s="241"/>
      <c r="M14" s="44"/>
      <c r="N14" s="44" t="s">
        <v>183</v>
      </c>
      <c r="O14" s="91" t="s">
        <v>160</v>
      </c>
      <c r="Q14" s="91" t="s">
        <v>160</v>
      </c>
      <c r="S14" s="91" t="s">
        <v>160</v>
      </c>
      <c r="T14" s="91" t="s">
        <v>182</v>
      </c>
      <c r="U14" s="91" t="s">
        <v>160</v>
      </c>
      <c r="W14" s="243" t="s">
        <v>160</v>
      </c>
      <c r="AI14" s="14"/>
      <c r="AJ14" s="14"/>
      <c r="AK14" s="14"/>
      <c r="AL14" s="14"/>
      <c r="AM14" s="14"/>
      <c r="AN14" s="14"/>
      <c r="AO14" s="14"/>
      <c r="AP14" s="14"/>
      <c r="AR14" s="14"/>
      <c r="AS14" s="14"/>
      <c r="AT14" s="14"/>
      <c r="AU14" s="14"/>
      <c r="AV14" s="14"/>
      <c r="AX14" s="14"/>
      <c r="AY14" s="14"/>
      <c r="AZ14" s="14"/>
      <c r="BA14" s="14"/>
    </row>
    <row r="15" spans="1:53" x14ac:dyDescent="0.25">
      <c r="A15" s="209"/>
      <c r="B15" s="203" t="s">
        <v>139</v>
      </c>
      <c r="C15" s="203" t="s">
        <v>181</v>
      </c>
      <c r="D15" s="203" t="s">
        <v>136</v>
      </c>
      <c r="E15" s="202" t="s">
        <v>135</v>
      </c>
      <c r="F15" s="203" t="s">
        <v>134</v>
      </c>
      <c r="G15" s="203" t="s">
        <v>134</v>
      </c>
      <c r="H15" s="202" t="s">
        <v>133</v>
      </c>
      <c r="I15" s="199" t="s">
        <v>109</v>
      </c>
      <c r="J15" s="91" t="s">
        <v>122</v>
      </c>
      <c r="L15" s="241"/>
      <c r="M15" s="44"/>
      <c r="N15" s="44" t="s">
        <v>180</v>
      </c>
      <c r="O15" s="91" t="s">
        <v>127</v>
      </c>
      <c r="Q15" s="91" t="s">
        <v>127</v>
      </c>
      <c r="S15" s="91" t="s">
        <v>127</v>
      </c>
      <c r="U15" s="91" t="s">
        <v>127</v>
      </c>
      <c r="W15" s="243" t="s">
        <v>127</v>
      </c>
    </row>
    <row r="16" spans="1:53" ht="13.5" x14ac:dyDescent="0.25">
      <c r="A16" s="204"/>
      <c r="B16" s="205"/>
      <c r="C16" s="205"/>
      <c r="D16" s="205"/>
      <c r="E16" s="206"/>
      <c r="F16" s="205"/>
      <c r="G16" s="205"/>
      <c r="H16" s="206"/>
      <c r="I16" s="207"/>
      <c r="J16" s="91" t="s">
        <v>171</v>
      </c>
      <c r="L16" s="244"/>
      <c r="M16" s="224" t="s">
        <v>365</v>
      </c>
      <c r="N16" s="224" t="s">
        <v>365</v>
      </c>
      <c r="O16" s="225" t="s">
        <v>364</v>
      </c>
      <c r="P16" s="224" t="s">
        <v>365</v>
      </c>
      <c r="Q16" s="224" t="s">
        <v>364</v>
      </c>
      <c r="R16" s="224" t="s">
        <v>365</v>
      </c>
      <c r="S16" s="225" t="s">
        <v>364</v>
      </c>
      <c r="T16" s="225" t="s">
        <v>365</v>
      </c>
      <c r="U16" s="225" t="s">
        <v>364</v>
      </c>
      <c r="V16" s="224" t="s">
        <v>365</v>
      </c>
      <c r="W16" s="245" t="s">
        <v>364</v>
      </c>
      <c r="AG16" s="5"/>
      <c r="AJ16" s="4"/>
      <c r="AK16" s="4"/>
      <c r="AL16" s="4"/>
      <c r="AM16" s="6"/>
      <c r="AN16" s="6"/>
      <c r="AO16" s="6"/>
      <c r="AP16" s="4"/>
      <c r="AT16" s="5"/>
      <c r="AV16" s="5"/>
      <c r="AY16" s="4"/>
      <c r="BA16" s="4"/>
    </row>
    <row r="17" spans="1:53" x14ac:dyDescent="0.25">
      <c r="A17" s="208" t="s">
        <v>131</v>
      </c>
      <c r="B17" s="202"/>
      <c r="C17" s="202"/>
      <c r="D17" s="202"/>
      <c r="E17" s="202"/>
      <c r="F17" s="202"/>
      <c r="G17" s="202"/>
      <c r="H17" s="202"/>
      <c r="I17" s="198"/>
      <c r="J17" s="44" t="s">
        <v>170</v>
      </c>
      <c r="L17" s="246" t="s">
        <v>129</v>
      </c>
      <c r="M17" s="226">
        <f>'[1]Skin Surface Area'!$I$23*10000</f>
        <v>1066.7361445783133</v>
      </c>
      <c r="N17" s="226">
        <f>0.33*M17</f>
        <v>352.02292771084342</v>
      </c>
      <c r="O17" s="227"/>
      <c r="P17" s="226">
        <f>'[1]Skin Surface Area'!$J$23*10000</f>
        <v>1035.0781686746989</v>
      </c>
      <c r="Q17" s="227"/>
      <c r="R17" s="226">
        <f>'[1]Skin Surface Area'!$K$23*10000</f>
        <v>825.86024096385563</v>
      </c>
      <c r="S17" s="35"/>
      <c r="T17" s="35"/>
      <c r="U17" s="35"/>
      <c r="V17" s="226">
        <f>'[1]Skin Surface Area'!$M$23*10000</f>
        <v>1135.5578313253015</v>
      </c>
      <c r="W17" s="247"/>
      <c r="AG17" s="5"/>
      <c r="AJ17" s="4"/>
      <c r="AK17" s="4"/>
      <c r="AL17" s="4"/>
      <c r="AM17" s="6"/>
      <c r="AN17" s="6"/>
      <c r="AO17" s="6"/>
      <c r="AP17" s="4"/>
      <c r="AT17" s="5"/>
      <c r="AV17" s="5"/>
      <c r="AY17" s="4"/>
      <c r="BA17" s="4"/>
    </row>
    <row r="18" spans="1:53" ht="13" thickBot="1" x14ac:dyDescent="0.3">
      <c r="A18" s="209" t="s">
        <v>124</v>
      </c>
      <c r="B18" s="203"/>
      <c r="C18" s="203"/>
      <c r="D18" s="203"/>
      <c r="E18" s="203"/>
      <c r="F18" s="203"/>
      <c r="G18" s="203"/>
      <c r="H18" s="203"/>
      <c r="I18" s="199"/>
      <c r="J18" s="91" t="s">
        <v>292</v>
      </c>
      <c r="L18" s="248" t="s">
        <v>203</v>
      </c>
      <c r="M18" s="226">
        <f>'[1]Skin Surface Area'!$I$23*10000</f>
        <v>1066.7361445783133</v>
      </c>
      <c r="N18" s="226">
        <f>0.33*M18</f>
        <v>352.02292771084342</v>
      </c>
      <c r="O18" s="227"/>
      <c r="P18" s="226">
        <f>'[1]Skin Surface Area'!$J$23*10000</f>
        <v>1035.0781686746989</v>
      </c>
      <c r="Q18" s="227"/>
      <c r="R18" s="226">
        <f>'[1]Skin Surface Area'!$K$23*10000</f>
        <v>825.86024096385563</v>
      </c>
      <c r="S18" s="35"/>
      <c r="T18" s="35"/>
      <c r="U18" s="35"/>
      <c r="V18" s="226">
        <f>'[1]Skin Surface Area'!$M$23*10000</f>
        <v>1135.5578313253015</v>
      </c>
      <c r="W18" s="247"/>
      <c r="AG18" s="5"/>
      <c r="AJ18" s="4"/>
      <c r="AK18" s="4"/>
      <c r="AL18" s="4"/>
      <c r="AM18" s="6"/>
      <c r="AN18" s="6"/>
      <c r="AO18" s="6"/>
      <c r="AP18" s="4"/>
      <c r="AT18" s="5"/>
      <c r="AV18" s="5"/>
      <c r="AY18" s="4"/>
      <c r="BA18" s="4"/>
    </row>
    <row r="19" spans="1:53" x14ac:dyDescent="0.25">
      <c r="A19" s="210" t="s">
        <v>200</v>
      </c>
      <c r="B19" s="203"/>
      <c r="C19" s="203"/>
      <c r="D19" s="203"/>
      <c r="E19" s="203"/>
      <c r="F19" s="203"/>
      <c r="G19" s="203"/>
      <c r="H19" s="203"/>
      <c r="I19" s="199"/>
      <c r="J19" s="44" t="s">
        <v>293</v>
      </c>
      <c r="L19" s="249" t="s">
        <v>202</v>
      </c>
      <c r="M19" s="228">
        <f>'[1]Skin Surface Area'!$I$23*10000</f>
        <v>1066.7361445783133</v>
      </c>
      <c r="N19" s="228">
        <f>0.33*M19</f>
        <v>352.02292771084342</v>
      </c>
      <c r="O19" s="229"/>
      <c r="P19" s="228">
        <f>'[1]Skin Surface Area'!$J$23*10000</f>
        <v>1035.0781686746989</v>
      </c>
      <c r="Q19" s="229"/>
      <c r="R19" s="228">
        <f>'[1]Skin Surface Area'!$K$23*10000</f>
        <v>825.86024096385563</v>
      </c>
      <c r="S19" s="230"/>
      <c r="T19" s="230"/>
      <c r="U19" s="230"/>
      <c r="V19" s="228">
        <f>'[1]Skin Surface Area'!$M$23*10000</f>
        <v>1135.5578313253015</v>
      </c>
      <c r="W19" s="250"/>
      <c r="X19" s="231" t="s">
        <v>127</v>
      </c>
      <c r="AG19" s="5"/>
      <c r="AJ19" s="4"/>
      <c r="AK19" s="4"/>
      <c r="AL19" s="4"/>
      <c r="AM19" s="6"/>
      <c r="AN19" s="6"/>
      <c r="AO19" s="6"/>
      <c r="AP19" s="4"/>
      <c r="AT19" s="5"/>
      <c r="AV19" s="5"/>
      <c r="AY19" s="4"/>
      <c r="BA19" s="4"/>
    </row>
    <row r="20" spans="1:53" x14ac:dyDescent="0.25">
      <c r="A20" s="211" t="s">
        <v>199</v>
      </c>
      <c r="B20" s="212">
        <f>[1]BW!$F$52</f>
        <v>68.394444444444474</v>
      </c>
      <c r="C20" s="213">
        <v>50</v>
      </c>
      <c r="D20" s="213">
        <v>4</v>
      </c>
      <c r="E20" s="213">
        <v>30</v>
      </c>
      <c r="F20" s="213">
        <v>7</v>
      </c>
      <c r="G20" s="213"/>
      <c r="H20" s="213"/>
      <c r="I20" s="200"/>
      <c r="J20" s="193"/>
      <c r="L20" s="246"/>
      <c r="M20" s="227"/>
      <c r="N20" s="226"/>
      <c r="O20" s="227"/>
      <c r="P20" s="226"/>
      <c r="Q20" s="227"/>
      <c r="R20" s="226"/>
      <c r="S20" s="35"/>
      <c r="T20" s="35"/>
      <c r="U20" s="35"/>
      <c r="V20" s="226"/>
      <c r="W20" s="247"/>
      <c r="X20" s="232" t="s">
        <v>125</v>
      </c>
      <c r="AG20" s="5"/>
      <c r="AJ20" s="4"/>
      <c r="AK20" s="4"/>
      <c r="AL20" s="4"/>
      <c r="AM20" s="6"/>
      <c r="AN20" s="6"/>
      <c r="AO20" s="6"/>
      <c r="AP20" s="4"/>
      <c r="AT20" s="5"/>
      <c r="AV20" s="5"/>
      <c r="AY20" s="4"/>
      <c r="BA20" s="4"/>
    </row>
    <row r="21" spans="1:53" ht="13" thickBot="1" x14ac:dyDescent="0.3">
      <c r="A21" s="214" t="s">
        <v>118</v>
      </c>
      <c r="B21" s="215"/>
      <c r="C21" s="215"/>
      <c r="D21" s="215"/>
      <c r="E21" s="215"/>
      <c r="F21" s="215">
        <v>7</v>
      </c>
      <c r="G21" s="196">
        <f>F21</f>
        <v>7</v>
      </c>
      <c r="H21" s="215">
        <v>365</v>
      </c>
      <c r="I21" s="201">
        <v>1000000</v>
      </c>
      <c r="J21" s="194">
        <f>((C20*D20*E20*F20)/B20)/(G21*H21*I21)</f>
        <v>2.4034636581829582E-7</v>
      </c>
      <c r="K21" s="195"/>
      <c r="L21" s="249" t="s">
        <v>201</v>
      </c>
      <c r="M21" s="251">
        <f>((7*M17)+(10*M18)+(10*M19))/27</f>
        <v>1066.7361445783133</v>
      </c>
      <c r="N21" s="251">
        <f>((7*N17)+(10*N18)+(10*N19))/27</f>
        <v>352.02292771084336</v>
      </c>
      <c r="O21" s="229">
        <v>5.7999999999999996E-3</v>
      </c>
      <c r="P21" s="251">
        <f>((7*P17)+(10*P18)+(10*P19))/27</f>
        <v>1035.0781686746989</v>
      </c>
      <c r="Q21" s="229">
        <v>1.3299999999999999E-2</v>
      </c>
      <c r="R21" s="251">
        <f>((7*R17)+(10*R18)+(10*R19))/27</f>
        <v>825.86024096385563</v>
      </c>
      <c r="S21" s="229">
        <v>6.9699999999999998E-2</v>
      </c>
      <c r="T21" s="229">
        <f>((7*T17)+(10*T18)+(10*T19))/27</f>
        <v>0</v>
      </c>
      <c r="U21" s="230">
        <v>1.1000000000000001E-3</v>
      </c>
      <c r="V21" s="251">
        <f>((7*V17)+(10*V18)+(10*V19))/27</f>
        <v>1135.5578313253015</v>
      </c>
      <c r="W21" s="252">
        <v>1.49E-2</v>
      </c>
      <c r="X21" s="233">
        <f>((N21*O21)+(P21*Q21)+(R21*S21)+(T21*U21)+(V21*W21))/(N21+P21+R21+T21+V21)</f>
        <v>2.6964320213749872E-2</v>
      </c>
      <c r="AG21" s="5"/>
      <c r="AJ21" s="4"/>
      <c r="AK21" s="4"/>
      <c r="AL21" s="4"/>
      <c r="AM21" s="6"/>
      <c r="AN21" s="6"/>
      <c r="AO21" s="6"/>
      <c r="AP21" s="4"/>
      <c r="AT21" s="5"/>
      <c r="AV21" s="5"/>
      <c r="AY21" s="4"/>
      <c r="BA21" s="4"/>
    </row>
    <row r="22" spans="1:53" x14ac:dyDescent="0.25">
      <c r="A22" s="209"/>
      <c r="B22" s="203"/>
      <c r="C22" s="203"/>
      <c r="D22" s="203"/>
      <c r="E22" s="203"/>
      <c r="F22" s="203"/>
      <c r="G22" s="203"/>
      <c r="H22" s="203"/>
      <c r="I22" s="199"/>
      <c r="J22" s="44" t="s">
        <v>123</v>
      </c>
      <c r="AA22" s="7"/>
      <c r="AE22" s="5"/>
      <c r="AH22" s="4"/>
      <c r="AI22" s="4"/>
      <c r="AJ22" s="4"/>
      <c r="AK22" s="6"/>
      <c r="AL22" s="6"/>
      <c r="AM22" s="6"/>
      <c r="AN22" s="4"/>
      <c r="AR22" s="5"/>
      <c r="AT22" s="5"/>
      <c r="AW22" s="4"/>
      <c r="AY22" s="4"/>
    </row>
    <row r="23" spans="1:53" x14ac:dyDescent="0.25">
      <c r="A23" s="209"/>
      <c r="B23" s="203"/>
      <c r="C23" s="203"/>
      <c r="D23" s="203"/>
      <c r="E23" s="203"/>
      <c r="F23" s="203"/>
      <c r="G23" s="203"/>
      <c r="H23" s="203"/>
      <c r="I23" s="199"/>
      <c r="J23" s="91" t="s">
        <v>122</v>
      </c>
      <c r="AA23" s="7"/>
      <c r="AE23" s="5"/>
      <c r="AH23" s="4"/>
      <c r="AI23" s="4"/>
      <c r="AJ23" s="4"/>
      <c r="AK23" s="6"/>
      <c r="AL23" s="6"/>
      <c r="AM23" s="6"/>
      <c r="AN23" s="4"/>
      <c r="AR23" s="5"/>
      <c r="AT23" s="5"/>
      <c r="AW23" s="4"/>
      <c r="AY23" s="4"/>
    </row>
    <row r="24" spans="1:53" x14ac:dyDescent="0.25">
      <c r="A24" s="208" t="s">
        <v>126</v>
      </c>
      <c r="B24" s="203"/>
      <c r="C24" s="203"/>
      <c r="D24" s="203"/>
      <c r="E24" s="203"/>
      <c r="F24" s="203"/>
      <c r="G24" s="203"/>
      <c r="H24" s="203"/>
      <c r="I24" s="199"/>
      <c r="J24" s="91" t="s">
        <v>171</v>
      </c>
      <c r="AA24" s="7"/>
      <c r="AE24" s="5"/>
      <c r="AH24" s="4"/>
      <c r="AI24" s="4"/>
      <c r="AJ24" s="4"/>
      <c r="AK24" s="6"/>
      <c r="AL24" s="6"/>
      <c r="AM24" s="6"/>
      <c r="AN24" s="4"/>
      <c r="AR24" s="5"/>
      <c r="AT24" s="5"/>
      <c r="AW24" s="4"/>
      <c r="AY24" s="4"/>
    </row>
    <row r="25" spans="1:53" x14ac:dyDescent="0.25">
      <c r="A25" s="208"/>
      <c r="B25" s="203"/>
      <c r="C25" s="203"/>
      <c r="D25" s="203"/>
      <c r="E25" s="203"/>
      <c r="F25" s="203"/>
      <c r="G25" s="203"/>
      <c r="H25" s="203"/>
      <c r="I25" s="199"/>
      <c r="J25" s="44" t="s">
        <v>170</v>
      </c>
      <c r="AA25" s="7"/>
      <c r="AE25" s="5"/>
      <c r="AH25" s="4"/>
      <c r="AI25" s="4"/>
      <c r="AJ25" s="4"/>
      <c r="AK25" s="6"/>
      <c r="AL25" s="6"/>
      <c r="AM25" s="6"/>
      <c r="AN25" s="4"/>
      <c r="AR25" s="5"/>
      <c r="AT25" s="5"/>
      <c r="AW25" s="4"/>
      <c r="AY25" s="4"/>
    </row>
    <row r="26" spans="1:53" x14ac:dyDescent="0.25">
      <c r="A26" s="209" t="s">
        <v>124</v>
      </c>
      <c r="B26" s="203"/>
      <c r="C26" s="203"/>
      <c r="D26" s="203"/>
      <c r="E26" s="203"/>
      <c r="F26" s="203"/>
      <c r="G26" s="203"/>
      <c r="H26" s="203"/>
      <c r="I26" s="199"/>
      <c r="J26" s="91" t="s">
        <v>292</v>
      </c>
      <c r="AA26" s="7"/>
      <c r="AE26" s="5"/>
      <c r="AH26" s="4"/>
      <c r="AI26" s="4"/>
      <c r="AJ26" s="4"/>
      <c r="AK26" s="6"/>
      <c r="AL26" s="6"/>
      <c r="AM26" s="6"/>
      <c r="AN26" s="4"/>
      <c r="AR26" s="5"/>
      <c r="AT26" s="5"/>
      <c r="AW26" s="4"/>
      <c r="AY26" s="4"/>
    </row>
    <row r="27" spans="1:53" x14ac:dyDescent="0.25">
      <c r="A27" s="210" t="s">
        <v>200</v>
      </c>
      <c r="B27" s="203"/>
      <c r="C27" s="203"/>
      <c r="D27" s="203"/>
      <c r="E27" s="203"/>
      <c r="F27" s="203"/>
      <c r="G27" s="203"/>
      <c r="H27" s="203"/>
      <c r="I27" s="199"/>
      <c r="J27" s="44" t="s">
        <v>293</v>
      </c>
      <c r="AA27" s="7"/>
      <c r="AE27" s="5"/>
      <c r="AH27" s="4"/>
      <c r="AI27" s="4"/>
      <c r="AJ27" s="4"/>
      <c r="AK27" s="6"/>
      <c r="AL27" s="6"/>
      <c r="AM27" s="6"/>
      <c r="AN27" s="4"/>
      <c r="AR27" s="5"/>
      <c r="AT27" s="5"/>
      <c r="AW27" s="4"/>
      <c r="AY27" s="4"/>
    </row>
    <row r="28" spans="1:53" x14ac:dyDescent="0.25">
      <c r="A28" s="211" t="s">
        <v>199</v>
      </c>
      <c r="B28" s="212">
        <f>[1]BW!$F$52</f>
        <v>68.394444444444474</v>
      </c>
      <c r="C28" s="213">
        <v>50</v>
      </c>
      <c r="D28" s="213">
        <v>4</v>
      </c>
      <c r="E28" s="213">
        <v>30</v>
      </c>
      <c r="F28" s="213">
        <v>27</v>
      </c>
      <c r="G28" s="213"/>
      <c r="H28" s="213"/>
      <c r="I28" s="200"/>
      <c r="J28" s="193"/>
      <c r="AA28" s="7"/>
      <c r="AE28" s="5"/>
      <c r="AH28" s="4"/>
      <c r="AI28" s="4"/>
      <c r="AJ28" s="4"/>
      <c r="AK28" s="6"/>
      <c r="AL28" s="6"/>
      <c r="AM28" s="6"/>
      <c r="AN28" s="4"/>
      <c r="AR28" s="5"/>
      <c r="AT28" s="5"/>
      <c r="AW28" s="4"/>
      <c r="AY28" s="4"/>
    </row>
    <row r="29" spans="1:53" x14ac:dyDescent="0.25">
      <c r="A29" s="214" t="s">
        <v>118</v>
      </c>
      <c r="B29" s="215"/>
      <c r="C29" s="215"/>
      <c r="D29" s="215"/>
      <c r="E29" s="215"/>
      <c r="F29" s="196">
        <f>F28</f>
        <v>27</v>
      </c>
      <c r="G29" s="215">
        <v>70</v>
      </c>
      <c r="H29" s="215">
        <v>365</v>
      </c>
      <c r="I29" s="201">
        <v>1000000</v>
      </c>
      <c r="J29" s="194">
        <f>(C28*D28*E28*F28)/(B28*G29*H29*I29)</f>
        <v>9.270502681562839E-8</v>
      </c>
      <c r="K29" s="195"/>
      <c r="AA29" s="7"/>
      <c r="AE29" s="5"/>
      <c r="AH29" s="4"/>
      <c r="AI29" s="4"/>
      <c r="AJ29" s="4"/>
      <c r="AK29" s="6"/>
      <c r="AL29" s="6"/>
      <c r="AM29" s="6"/>
      <c r="AN29" s="4"/>
      <c r="AR29" s="5"/>
      <c r="AT29" s="5"/>
      <c r="AW29" s="4"/>
      <c r="AY29" s="4"/>
    </row>
    <row r="30" spans="1:53" x14ac:dyDescent="0.25">
      <c r="AA30" s="7"/>
      <c r="AE30" s="5"/>
      <c r="AH30" s="4"/>
      <c r="AI30" s="4"/>
      <c r="AJ30" s="4"/>
      <c r="AK30" s="6"/>
      <c r="AL30" s="6"/>
      <c r="AM30" s="6"/>
      <c r="AN30" s="4"/>
      <c r="AR30" s="5"/>
      <c r="AT30" s="5"/>
      <c r="AW30" s="4"/>
      <c r="AY30" s="4"/>
    </row>
    <row r="31" spans="1:53" x14ac:dyDescent="0.25">
      <c r="AB31" s="7"/>
      <c r="AF31" s="5"/>
      <c r="AI31" s="4"/>
      <c r="AJ31" s="4"/>
      <c r="AK31" s="4"/>
      <c r="AL31" s="6"/>
      <c r="AM31" s="6"/>
      <c r="AN31" s="6"/>
      <c r="AO31" s="4"/>
      <c r="AS31" s="5"/>
      <c r="AU31" s="5"/>
      <c r="AX31" s="4"/>
      <c r="AZ31" s="4"/>
    </row>
    <row r="32" spans="1:53" x14ac:dyDescent="0.25">
      <c r="A32" s="178" t="s">
        <v>164</v>
      </c>
      <c r="AB32" s="7"/>
      <c r="AF32" s="5"/>
      <c r="AI32" s="4"/>
      <c r="AJ32" s="4"/>
      <c r="AK32" s="4"/>
      <c r="AL32" s="6"/>
      <c r="AM32" s="6"/>
      <c r="AN32" s="6"/>
      <c r="AO32" s="4"/>
      <c r="AS32" s="5"/>
      <c r="AU32" s="5"/>
      <c r="AX32" s="4"/>
      <c r="AZ32" s="4"/>
    </row>
    <row r="33" spans="1:52" x14ac:dyDescent="0.25">
      <c r="A33" s="204"/>
      <c r="B33" s="206"/>
      <c r="C33" s="205" t="s">
        <v>161</v>
      </c>
      <c r="D33" s="205" t="s">
        <v>160</v>
      </c>
      <c r="E33" s="206"/>
      <c r="F33" s="206"/>
      <c r="G33" s="206"/>
      <c r="H33" s="206"/>
      <c r="I33" s="206"/>
      <c r="J33" s="197"/>
      <c r="AB33" s="7"/>
      <c r="AF33" s="5"/>
      <c r="AI33" s="4"/>
      <c r="AJ33" s="4"/>
      <c r="AK33" s="4"/>
      <c r="AL33" s="6"/>
      <c r="AM33" s="6"/>
      <c r="AN33" s="6"/>
      <c r="AO33" s="4"/>
      <c r="AS33" s="5"/>
      <c r="AU33" s="5"/>
      <c r="AX33" s="4"/>
      <c r="AZ33" s="4"/>
    </row>
    <row r="34" spans="1:52" x14ac:dyDescent="0.25">
      <c r="A34" s="209"/>
      <c r="B34" s="203" t="s">
        <v>141</v>
      </c>
      <c r="C34" s="203" t="s">
        <v>154</v>
      </c>
      <c r="D34" s="203" t="s">
        <v>127</v>
      </c>
      <c r="E34" s="235" t="s">
        <v>159</v>
      </c>
      <c r="F34" s="235"/>
      <c r="G34" s="203" t="s">
        <v>159</v>
      </c>
      <c r="H34" s="203" t="s">
        <v>158</v>
      </c>
      <c r="I34" s="202" t="s">
        <v>157</v>
      </c>
      <c r="J34" s="199" t="s">
        <v>157</v>
      </c>
      <c r="O34" s="178"/>
      <c r="AB34" s="7"/>
      <c r="AF34" s="5"/>
      <c r="AI34" s="4"/>
      <c r="AJ34" s="4"/>
      <c r="AK34" s="4"/>
      <c r="AL34" s="6"/>
      <c r="AM34" s="6"/>
      <c r="AN34" s="6"/>
      <c r="AO34" s="4"/>
      <c r="AS34" s="5"/>
      <c r="AU34" s="5"/>
      <c r="AX34" s="4"/>
      <c r="AZ34" s="4"/>
    </row>
    <row r="35" spans="1:52" x14ac:dyDescent="0.25">
      <c r="A35" s="208"/>
      <c r="B35" s="203" t="s">
        <v>155</v>
      </c>
      <c r="C35" s="203" t="s">
        <v>148</v>
      </c>
      <c r="D35" s="203" t="s">
        <v>125</v>
      </c>
      <c r="E35" s="235" t="s">
        <v>153</v>
      </c>
      <c r="F35" s="235"/>
      <c r="G35" s="203" t="s">
        <v>152</v>
      </c>
      <c r="H35" s="203" t="s">
        <v>152</v>
      </c>
      <c r="I35" s="202" t="s">
        <v>151</v>
      </c>
      <c r="J35" s="199" t="s">
        <v>151</v>
      </c>
      <c r="AB35" s="7"/>
      <c r="AF35" s="5"/>
      <c r="AI35" s="4"/>
      <c r="AJ35" s="4"/>
      <c r="AK35" s="4"/>
      <c r="AL35" s="6"/>
      <c r="AM35" s="6"/>
      <c r="AN35" s="6"/>
      <c r="AO35" s="4"/>
      <c r="AS35" s="5"/>
      <c r="AU35" s="5"/>
      <c r="AX35" s="4"/>
      <c r="AZ35" s="4"/>
    </row>
    <row r="36" spans="1:52" x14ac:dyDescent="0.25">
      <c r="A36" s="208"/>
      <c r="B36" s="203" t="s">
        <v>149</v>
      </c>
      <c r="C36" s="203" t="s">
        <v>275</v>
      </c>
      <c r="D36" s="203" t="s">
        <v>276</v>
      </c>
      <c r="E36" s="203" t="s">
        <v>147</v>
      </c>
      <c r="F36" s="203" t="s">
        <v>146</v>
      </c>
      <c r="G36" s="203" t="s">
        <v>145</v>
      </c>
      <c r="H36" s="203" t="s">
        <v>144</v>
      </c>
      <c r="I36" s="203" t="s">
        <v>143</v>
      </c>
      <c r="J36" s="199" t="s">
        <v>142</v>
      </c>
      <c r="AB36" s="7"/>
      <c r="AF36" s="5"/>
      <c r="AI36" s="4"/>
      <c r="AJ36" s="4"/>
      <c r="AK36" s="4"/>
      <c r="AL36" s="6"/>
      <c r="AM36" s="6"/>
      <c r="AN36" s="6"/>
      <c r="AO36" s="4"/>
      <c r="AS36" s="5"/>
      <c r="AU36" s="5"/>
      <c r="AX36" s="4"/>
      <c r="AZ36" s="4"/>
    </row>
    <row r="37" spans="1:52" ht="13.5" x14ac:dyDescent="0.25">
      <c r="A37" s="236"/>
      <c r="B37" s="196" t="s">
        <v>139</v>
      </c>
      <c r="C37" s="196" t="s">
        <v>363</v>
      </c>
      <c r="D37" s="196" t="s">
        <v>364</v>
      </c>
      <c r="E37" s="196" t="s">
        <v>136</v>
      </c>
      <c r="F37" s="216" t="s">
        <v>135</v>
      </c>
      <c r="G37" s="196" t="s">
        <v>134</v>
      </c>
      <c r="H37" s="196" t="s">
        <v>134</v>
      </c>
      <c r="I37" s="216" t="s">
        <v>133</v>
      </c>
      <c r="J37" s="237" t="s">
        <v>109</v>
      </c>
      <c r="K37" s="91" t="s">
        <v>122</v>
      </c>
      <c r="AB37" s="7"/>
      <c r="AF37" s="5"/>
      <c r="AI37" s="4"/>
      <c r="AJ37" s="4"/>
      <c r="AK37" s="4"/>
      <c r="AL37" s="6"/>
      <c r="AM37" s="6"/>
      <c r="AN37" s="6"/>
      <c r="AO37" s="4"/>
      <c r="AS37" s="5"/>
      <c r="AU37" s="5"/>
      <c r="AX37" s="4"/>
      <c r="AZ37" s="4"/>
    </row>
    <row r="38" spans="1:52" x14ac:dyDescent="0.25">
      <c r="A38" s="209"/>
      <c r="B38" s="203"/>
      <c r="C38" s="203"/>
      <c r="D38" s="203"/>
      <c r="E38" s="203"/>
      <c r="F38" s="202"/>
      <c r="G38" s="203"/>
      <c r="H38" s="206"/>
      <c r="I38" s="206"/>
      <c r="J38" s="197"/>
      <c r="K38" s="91" t="s">
        <v>120</v>
      </c>
      <c r="AB38" s="7"/>
      <c r="AF38" s="5"/>
      <c r="AI38" s="4"/>
      <c r="AJ38" s="4"/>
      <c r="AK38" s="4"/>
      <c r="AL38" s="6"/>
      <c r="AM38" s="6"/>
      <c r="AN38" s="6"/>
      <c r="AO38" s="4"/>
      <c r="AS38" s="5"/>
      <c r="AU38" s="5"/>
      <c r="AX38" s="4"/>
      <c r="AZ38" s="4"/>
    </row>
    <row r="39" spans="1:52" x14ac:dyDescent="0.25">
      <c r="A39" s="208" t="s">
        <v>131</v>
      </c>
      <c r="B39" s="202"/>
      <c r="C39" s="202"/>
      <c r="D39" s="202"/>
      <c r="E39" s="202"/>
      <c r="F39" s="202"/>
      <c r="G39" s="202"/>
      <c r="H39" s="202"/>
      <c r="I39" s="202"/>
      <c r="J39" s="198"/>
      <c r="K39" s="44" t="s">
        <v>119</v>
      </c>
      <c r="AB39" s="7"/>
      <c r="AF39" s="5"/>
      <c r="AI39" s="4"/>
      <c r="AJ39" s="4"/>
      <c r="AK39" s="4"/>
      <c r="AL39" s="6"/>
      <c r="AM39" s="6"/>
      <c r="AN39" s="6"/>
      <c r="AO39" s="4"/>
      <c r="AS39" s="5"/>
      <c r="AU39" s="5"/>
      <c r="AX39" s="4"/>
      <c r="AZ39" s="4"/>
    </row>
    <row r="40" spans="1:52" x14ac:dyDescent="0.25">
      <c r="A40" s="209" t="s">
        <v>124</v>
      </c>
      <c r="B40" s="203"/>
      <c r="C40" s="203"/>
      <c r="D40" s="203"/>
      <c r="E40" s="203"/>
      <c r="F40" s="203"/>
      <c r="G40" s="203"/>
      <c r="H40" s="203"/>
      <c r="I40" s="203"/>
      <c r="J40" s="199"/>
      <c r="K40" s="91" t="s">
        <v>292</v>
      </c>
      <c r="AB40" s="7"/>
      <c r="AF40" s="5"/>
      <c r="AI40" s="4"/>
      <c r="AJ40" s="4"/>
      <c r="AK40" s="4"/>
      <c r="AL40" s="6"/>
      <c r="AM40" s="6"/>
      <c r="AN40" s="6"/>
      <c r="AO40" s="4"/>
      <c r="AS40" s="5"/>
      <c r="AU40" s="5"/>
      <c r="AX40" s="4"/>
      <c r="AZ40" s="4"/>
    </row>
    <row r="41" spans="1:52" x14ac:dyDescent="0.25">
      <c r="A41" s="210" t="s">
        <v>200</v>
      </c>
      <c r="B41" s="203"/>
      <c r="C41" s="203"/>
      <c r="D41" s="203"/>
      <c r="E41" s="203"/>
      <c r="F41" s="203"/>
      <c r="G41" s="203"/>
      <c r="H41" s="203"/>
      <c r="I41" s="203"/>
      <c r="J41" s="199"/>
      <c r="K41" s="44" t="s">
        <v>293</v>
      </c>
      <c r="AB41" s="7"/>
      <c r="AF41" s="5"/>
      <c r="AI41" s="4"/>
      <c r="AJ41" s="4"/>
      <c r="AK41" s="4"/>
      <c r="AL41" s="6"/>
      <c r="AM41" s="6"/>
      <c r="AN41" s="6"/>
      <c r="AO41" s="4"/>
      <c r="AS41" s="5"/>
      <c r="AU41" s="5"/>
      <c r="AX41" s="4"/>
      <c r="AZ41" s="4"/>
    </row>
    <row r="42" spans="1:52" x14ac:dyDescent="0.25">
      <c r="A42" s="211" t="s">
        <v>199</v>
      </c>
      <c r="B42" s="212">
        <f>[1]BW!$F$52</f>
        <v>68.394444444444474</v>
      </c>
      <c r="C42" s="217">
        <f>'S-2 Assumptions'!N21+'S-2 Assumptions'!P21+'S-2 Assumptions'!R21+'S-2 Assumptions'!T21+'S-2 Assumptions'!V21</f>
        <v>3348.5191686746994</v>
      </c>
      <c r="D42" s="218">
        <f>'S-2 Assumptions'!X21</f>
        <v>2.6964320213749872E-2</v>
      </c>
      <c r="E42" s="213">
        <v>4</v>
      </c>
      <c r="F42" s="213">
        <v>30</v>
      </c>
      <c r="G42" s="215">
        <v>7</v>
      </c>
      <c r="H42" s="213"/>
      <c r="I42" s="213"/>
      <c r="J42" s="200"/>
      <c r="K42" s="193"/>
      <c r="AB42" s="7"/>
      <c r="AF42" s="5"/>
      <c r="AI42" s="4"/>
      <c r="AJ42" s="4"/>
      <c r="AK42" s="4"/>
      <c r="AL42" s="6"/>
      <c r="AM42" s="6"/>
      <c r="AN42" s="6"/>
      <c r="AO42" s="4"/>
      <c r="AS42" s="5"/>
      <c r="AU42" s="5"/>
      <c r="AX42" s="4"/>
      <c r="AZ42" s="4"/>
    </row>
    <row r="43" spans="1:52" x14ac:dyDescent="0.25">
      <c r="A43" s="214" t="s">
        <v>118</v>
      </c>
      <c r="B43" s="215"/>
      <c r="C43" s="219"/>
      <c r="D43" s="220"/>
      <c r="E43" s="215"/>
      <c r="F43" s="215"/>
      <c r="G43" s="215">
        <f>G42</f>
        <v>7</v>
      </c>
      <c r="H43" s="215">
        <f>G43</f>
        <v>7</v>
      </c>
      <c r="I43" s="215">
        <v>365</v>
      </c>
      <c r="J43" s="201">
        <v>1000000</v>
      </c>
      <c r="K43" s="194">
        <f>(C42*D42*E42*F42*G42)/(B42*H43*I43*J43)</f>
        <v>4.3402007806586151E-7</v>
      </c>
      <c r="L43" s="234"/>
      <c r="AB43" s="7"/>
      <c r="AF43" s="5"/>
      <c r="AI43" s="4"/>
      <c r="AJ43" s="4"/>
      <c r="AK43" s="4"/>
      <c r="AL43" s="6"/>
      <c r="AM43" s="6"/>
      <c r="AN43" s="6"/>
      <c r="AO43" s="4"/>
      <c r="AS43" s="5"/>
      <c r="AU43" s="5"/>
      <c r="AX43" s="4"/>
      <c r="AZ43" s="4"/>
    </row>
    <row r="44" spans="1:52" x14ac:dyDescent="0.25">
      <c r="A44" s="209"/>
      <c r="B44" s="203"/>
      <c r="C44" s="221"/>
      <c r="D44" s="222"/>
      <c r="E44" s="203"/>
      <c r="F44" s="203"/>
      <c r="G44" s="203"/>
      <c r="H44" s="203"/>
      <c r="I44" s="203"/>
      <c r="J44" s="199"/>
      <c r="K44" s="44" t="s">
        <v>123</v>
      </c>
      <c r="AB44" s="7"/>
      <c r="AF44" s="5"/>
      <c r="AI44" s="4"/>
      <c r="AJ44" s="4"/>
      <c r="AK44" s="4"/>
      <c r="AL44" s="6"/>
      <c r="AM44" s="6"/>
      <c r="AN44" s="6"/>
      <c r="AO44" s="4"/>
      <c r="AS44" s="5"/>
      <c r="AU44" s="5"/>
      <c r="AX44" s="4"/>
      <c r="AZ44" s="4"/>
    </row>
    <row r="45" spans="1:52" x14ac:dyDescent="0.25">
      <c r="A45" s="208" t="s">
        <v>126</v>
      </c>
      <c r="B45" s="203"/>
      <c r="C45" s="221"/>
      <c r="D45" s="222"/>
      <c r="E45" s="203"/>
      <c r="F45" s="203"/>
      <c r="G45" s="203"/>
      <c r="H45" s="203"/>
      <c r="I45" s="203"/>
      <c r="J45" s="199"/>
      <c r="K45" s="91" t="s">
        <v>122</v>
      </c>
      <c r="AB45" s="7"/>
      <c r="AF45" s="5"/>
      <c r="AI45" s="4"/>
      <c r="AJ45" s="4"/>
      <c r="AK45" s="4"/>
      <c r="AL45" s="6"/>
      <c r="AM45" s="6"/>
      <c r="AN45" s="6"/>
      <c r="AO45" s="4"/>
      <c r="AS45" s="5"/>
      <c r="AU45" s="5"/>
      <c r="AX45" s="4"/>
      <c r="AZ45" s="4"/>
    </row>
    <row r="46" spans="1:52" x14ac:dyDescent="0.25">
      <c r="A46" s="208"/>
      <c r="B46" s="203"/>
      <c r="C46" s="221"/>
      <c r="D46" s="222"/>
      <c r="E46" s="203"/>
      <c r="F46" s="203"/>
      <c r="G46" s="203"/>
      <c r="H46" s="203"/>
      <c r="I46" s="203"/>
      <c r="J46" s="199"/>
      <c r="K46" s="91" t="s">
        <v>120</v>
      </c>
      <c r="AB46" s="7"/>
      <c r="AF46" s="5"/>
      <c r="AI46" s="4"/>
      <c r="AJ46" s="4"/>
      <c r="AK46" s="4"/>
      <c r="AL46" s="6"/>
      <c r="AM46" s="6"/>
      <c r="AN46" s="6"/>
      <c r="AO46" s="4"/>
      <c r="AS46" s="5"/>
      <c r="AU46" s="5"/>
      <c r="AX46" s="4"/>
      <c r="AZ46" s="4"/>
    </row>
    <row r="47" spans="1:52" x14ac:dyDescent="0.25">
      <c r="A47" s="209" t="s">
        <v>124</v>
      </c>
      <c r="B47" s="203"/>
      <c r="C47" s="221"/>
      <c r="D47" s="222"/>
      <c r="E47" s="203"/>
      <c r="F47" s="203"/>
      <c r="G47" s="203"/>
      <c r="H47" s="203"/>
      <c r="I47" s="203"/>
      <c r="J47" s="199"/>
      <c r="K47" s="44" t="s">
        <v>119</v>
      </c>
      <c r="AB47" s="7"/>
      <c r="AF47" s="5"/>
      <c r="AI47" s="4"/>
      <c r="AJ47" s="4"/>
      <c r="AK47" s="4"/>
      <c r="AL47" s="6"/>
      <c r="AM47" s="6"/>
      <c r="AN47" s="6"/>
      <c r="AO47" s="4"/>
      <c r="AS47" s="5"/>
      <c r="AU47" s="5"/>
      <c r="AX47" s="4"/>
      <c r="AZ47" s="4"/>
    </row>
    <row r="48" spans="1:52" x14ac:dyDescent="0.25">
      <c r="A48" s="210" t="s">
        <v>200</v>
      </c>
      <c r="B48" s="203"/>
      <c r="C48" s="221"/>
      <c r="D48" s="222"/>
      <c r="E48" s="203"/>
      <c r="F48" s="203"/>
      <c r="G48" s="203"/>
      <c r="H48" s="203"/>
      <c r="I48" s="203"/>
      <c r="J48" s="199"/>
      <c r="K48" s="91" t="s">
        <v>292</v>
      </c>
      <c r="AB48" s="7"/>
      <c r="AF48" s="5"/>
      <c r="AI48" s="4"/>
      <c r="AJ48" s="4"/>
      <c r="AK48" s="4"/>
      <c r="AL48" s="6"/>
      <c r="AM48" s="6"/>
      <c r="AN48" s="6"/>
      <c r="AO48" s="4"/>
      <c r="AS48" s="5"/>
      <c r="AU48" s="5"/>
      <c r="AX48" s="4"/>
      <c r="AZ48" s="4"/>
    </row>
    <row r="49" spans="1:51" x14ac:dyDescent="0.25">
      <c r="A49" s="211" t="s">
        <v>199</v>
      </c>
      <c r="B49" s="212">
        <f>[1]BW!$F$52</f>
        <v>68.394444444444474</v>
      </c>
      <c r="C49" s="217">
        <f>'S-2 Assumptions'!N21+'S-2 Assumptions'!P21+'S-2 Assumptions'!R21+'S-2 Assumptions'!T21+'S-2 Assumptions'!V21</f>
        <v>3348.5191686746994</v>
      </c>
      <c r="D49" s="218">
        <f>'S-2 Assumptions'!X21</f>
        <v>2.6964320213749872E-2</v>
      </c>
      <c r="E49" s="213">
        <v>4</v>
      </c>
      <c r="F49" s="213">
        <v>30</v>
      </c>
      <c r="G49" s="213">
        <v>27</v>
      </c>
      <c r="H49" s="213"/>
      <c r="I49" s="213"/>
      <c r="J49" s="200"/>
      <c r="K49" s="44" t="s">
        <v>293</v>
      </c>
      <c r="AA49" s="7"/>
      <c r="AE49" s="5"/>
      <c r="AH49" s="4"/>
      <c r="AI49" s="4"/>
      <c r="AJ49" s="4"/>
      <c r="AK49" s="6"/>
      <c r="AL49" s="6"/>
      <c r="AM49" s="6"/>
      <c r="AN49" s="4"/>
      <c r="AR49" s="5"/>
      <c r="AT49" s="5"/>
      <c r="AW49" s="4"/>
      <c r="AY49" s="4"/>
    </row>
    <row r="50" spans="1:51" x14ac:dyDescent="0.25">
      <c r="A50" s="211"/>
      <c r="B50" s="213"/>
      <c r="C50" s="213"/>
      <c r="D50" s="213"/>
      <c r="E50" s="213"/>
      <c r="F50" s="213"/>
      <c r="G50" s="215"/>
      <c r="H50" s="213"/>
      <c r="I50" s="213"/>
      <c r="J50" s="200"/>
      <c r="K50" s="193"/>
      <c r="Z50" s="3"/>
    </row>
    <row r="51" spans="1:51" x14ac:dyDescent="0.25">
      <c r="A51" s="214" t="s">
        <v>118</v>
      </c>
      <c r="B51" s="215"/>
      <c r="C51" s="215"/>
      <c r="D51" s="215"/>
      <c r="E51" s="215"/>
      <c r="F51" s="215"/>
      <c r="G51" s="215">
        <f>G49</f>
        <v>27</v>
      </c>
      <c r="H51" s="215">
        <v>70</v>
      </c>
      <c r="I51" s="215">
        <v>365</v>
      </c>
      <c r="J51" s="201">
        <v>1000000</v>
      </c>
      <c r="K51" s="194">
        <f>(C49*D49*E49*F49*G49)/(B49*H51*I51*J51)</f>
        <v>1.6740774439683235E-7</v>
      </c>
      <c r="L51" s="234"/>
      <c r="Z51" s="3"/>
    </row>
  </sheetData>
  <sheetProtection sheet="1" objects="1" scenarios="1"/>
  <mergeCells count="1">
    <mergeCell ref="A1:B1"/>
  </mergeCells>
  <phoneticPr fontId="0" type="noConversion"/>
  <pageMargins left="0.5" right="0.5" top="1" bottom="1" header="0.5" footer="0.5"/>
  <pageSetup scale="70" orientation="landscape" horizontalDpi="1200" verticalDpi="1200" r:id="rId1"/>
  <headerFooter>
    <oddHeader>&amp;C&amp;"Arial,Bold"MCP Numerical Standards Derivation</oddHeader>
    <oddFooter>&amp;L&amp;8MassDEP&amp;C&amp;8 2024&amp;R&amp;8Workbook: &amp;F
Sheet: &amp;A
Page &amp;P of &amp;N</oddFooter>
  </headerFooter>
  <colBreaks count="1" manualBreakCount="1">
    <brk id="11" max="51"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1"/>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11" defaultRowHeight="13" x14ac:dyDescent="0.25"/>
  <cols>
    <col min="1" max="1" width="23" style="46" customWidth="1"/>
    <col min="2" max="4" width="9.1796875" style="60" customWidth="1"/>
    <col min="5" max="7" width="8.81640625" style="60" customWidth="1"/>
    <col min="8" max="8" width="9.54296875" style="60" bestFit="1" customWidth="1"/>
    <col min="9" max="9" width="11.54296875" style="60" bestFit="1" customWidth="1"/>
    <col min="10" max="10" width="13.81640625" style="60" customWidth="1"/>
    <col min="11" max="11" width="9.81640625" style="175" bestFit="1" customWidth="1"/>
    <col min="12" max="12" width="17.1796875" style="175" bestFit="1" customWidth="1"/>
    <col min="13" max="16384" width="11" style="46"/>
  </cols>
  <sheetData>
    <row r="1" spans="1:12" thickTop="1" x14ac:dyDescent="0.25">
      <c r="A1" s="118"/>
      <c r="B1" s="498" t="s">
        <v>266</v>
      </c>
      <c r="C1" s="499"/>
      <c r="D1" s="499"/>
      <c r="E1" s="499"/>
      <c r="F1" s="499"/>
      <c r="G1" s="500"/>
      <c r="H1" s="501" t="s">
        <v>347</v>
      </c>
      <c r="I1" s="502"/>
      <c r="J1" s="542" t="s">
        <v>362</v>
      </c>
      <c r="K1" s="499" t="s">
        <v>355</v>
      </c>
      <c r="L1" s="528"/>
    </row>
    <row r="2" spans="1:12" ht="23" x14ac:dyDescent="0.25">
      <c r="A2" s="138" t="s">
        <v>210</v>
      </c>
      <c r="B2" s="525" t="s">
        <v>116</v>
      </c>
      <c r="C2" s="526"/>
      <c r="D2" s="526"/>
      <c r="E2" s="526"/>
      <c r="F2" s="526"/>
      <c r="G2" s="527"/>
      <c r="H2" s="503"/>
      <c r="I2" s="504"/>
      <c r="J2" s="522"/>
      <c r="K2" s="496"/>
      <c r="L2" s="529"/>
    </row>
    <row r="3" spans="1:12" ht="15.5" x14ac:dyDescent="0.25">
      <c r="A3" s="139" t="s">
        <v>115</v>
      </c>
      <c r="B3" s="539" t="s">
        <v>114</v>
      </c>
      <c r="C3" s="540"/>
      <c r="D3" s="541"/>
      <c r="E3" s="533" t="s">
        <v>113</v>
      </c>
      <c r="F3" s="534"/>
      <c r="G3" s="535"/>
      <c r="H3" s="503"/>
      <c r="I3" s="504"/>
      <c r="J3" s="522"/>
      <c r="K3" s="496"/>
      <c r="L3" s="529"/>
    </row>
    <row r="4" spans="1:12" ht="15.5" x14ac:dyDescent="0.25">
      <c r="A4" s="139" t="s">
        <v>296</v>
      </c>
      <c r="B4" s="536" t="str">
        <f>CONCATENATE("HI = ", '[1]Target Risk'!D8)</f>
        <v>HI = 0.2</v>
      </c>
      <c r="C4" s="537"/>
      <c r="D4" s="538"/>
      <c r="E4" s="530" t="str">
        <f>CONCATENATE("ELCR = ", '[1]Target Risk'!D12)</f>
        <v>ELCR = 0.000001</v>
      </c>
      <c r="F4" s="531"/>
      <c r="G4" s="532"/>
      <c r="H4" s="503"/>
      <c r="I4" s="504"/>
      <c r="J4" s="522"/>
      <c r="K4" s="496"/>
      <c r="L4" s="529"/>
    </row>
    <row r="5" spans="1:12" ht="23" x14ac:dyDescent="0.25">
      <c r="A5" s="119"/>
      <c r="B5" s="144" t="s">
        <v>361</v>
      </c>
      <c r="C5" s="145" t="s">
        <v>357</v>
      </c>
      <c r="D5" s="145" t="s">
        <v>358</v>
      </c>
      <c r="E5" s="140" t="s">
        <v>112</v>
      </c>
      <c r="F5" s="140" t="s">
        <v>357</v>
      </c>
      <c r="G5" s="141" t="s">
        <v>358</v>
      </c>
      <c r="H5" s="63"/>
      <c r="I5" s="62"/>
      <c r="J5" s="61"/>
      <c r="K5" s="117"/>
      <c r="L5" s="59"/>
    </row>
    <row r="6" spans="1:12" ht="21.5" thickBot="1" x14ac:dyDescent="0.3">
      <c r="A6" s="350" t="s">
        <v>380</v>
      </c>
      <c r="B6" s="146" t="s">
        <v>109</v>
      </c>
      <c r="C6" s="147" t="s">
        <v>109</v>
      </c>
      <c r="D6" s="147" t="s">
        <v>109</v>
      </c>
      <c r="E6" s="142" t="s">
        <v>109</v>
      </c>
      <c r="F6" s="142" t="s">
        <v>109</v>
      </c>
      <c r="G6" s="143" t="s">
        <v>109</v>
      </c>
      <c r="H6" s="122" t="s">
        <v>109</v>
      </c>
      <c r="I6" s="123" t="s">
        <v>110</v>
      </c>
      <c r="J6" s="124" t="s">
        <v>109</v>
      </c>
      <c r="K6" s="120" t="s">
        <v>109</v>
      </c>
      <c r="L6" s="121" t="s">
        <v>108</v>
      </c>
    </row>
    <row r="7" spans="1:12" ht="12.5" x14ac:dyDescent="0.25">
      <c r="A7" s="136" t="s">
        <v>107</v>
      </c>
      <c r="B7" s="152">
        <f>IF(ISERR(1/+(VLOOKUP(A7,[1]!TOX,21,FALSE))),0,'[1]Target Risk'!$D$8*(VLOOKUP(A7,[1]!TOX,6,FALSE))/((('S-3 Assumptions'!$J$21+'S-3 Assumptions'!$O$85)*(VLOOKUP(A7,[1]!TOX,21,FALSE)))+('S-3 Assumptions'!$K$42*(VLOOKUP(A7,[1]!TOX,23,FALSE)))))</f>
        <v>27028.361398698569</v>
      </c>
      <c r="C7" s="153">
        <f>'[1]Target Risk'!$D$8*(VLOOKUP(A7,[1]!TOX,10,FALSE))/'S-3 Assumptions'!$N$64</f>
        <v>8933129.1475242488</v>
      </c>
      <c r="D7" s="153">
        <f>IF(B7=0,C7,IF(C7=0,B7,1/((1/B7)+(1/C7))))</f>
        <v>26946.830206956551</v>
      </c>
      <c r="E7" s="153">
        <f>IF(ISERR(1/(VLOOKUP(A7,[1]!TOX,25,FALSE))),0,+'[1]Target Risk'!$D$12/(((('S-3 Assumptions'!$J$29+'S-3 Assumptions'!$O$93)*(VLOOKUP(A7,[1]!TOX,25,FALSE)))+('S-3 Assumptions'!$K$50*(VLOOKUP(A7,[1]!TOX,27,FALSE))))*(VLOOKUP(A7,[1]!TOX,12,FALSE))))</f>
        <v>0</v>
      </c>
      <c r="F7" s="153">
        <f>IF((VLOOKUP(A7,[1]!TOX,15,FALSE))=0,0, '[1]Target Risk'!$D$12/((VLOOKUP(A7,[1]!TOX,15,FALSE))*'S-3 Assumptions'!$N$72))</f>
        <v>0</v>
      </c>
      <c r="G7" s="154">
        <f>IF(E7=0,F7,IF(F7=0,E7,1/((1/E7)+(1/F7))))</f>
        <v>0</v>
      </c>
      <c r="H7" s="155">
        <f>IF(D7=0,MIN(G7,(VLOOKUP(A7,[1]!TOX,77,FALSE))),IF(G7=0,MIN(D7,(VLOOKUP(A7,[1]!TOX,77,FALSE))),MIN(D7,G7,(VLOOKUP(A7,[1]!TOX,77,FALSE)))))</f>
        <v>5000</v>
      </c>
      <c r="I7" s="156" t="str">
        <f>IF(H7=D7,"Noncancer Risk",IF(H7=G7,"Cancer Risk",(VLOOKUP(A7,[1]!TOX,78,FALSE))))</f>
        <v>Ceiling (High)</v>
      </c>
      <c r="J7" s="157">
        <f>MAX(H7,(VLOOKUP(A7,[1]!TOX,50,FALSE)),(VLOOKUP(A7,[1]!TOX,35,FALSE)))</f>
        <v>5000</v>
      </c>
      <c r="K7" s="158">
        <f>IF(J7&lt;&gt;0,ROUND(J7,1-(1+INT(LOG10(ABS(J7))))),"")</f>
        <v>5000</v>
      </c>
      <c r="L7" s="159" t="str">
        <f>IF(J7=0,"Not Calculated",IF(J7=H7,I7,IF(J7=[1]Toxicity!AI3,"Background","PQL")))</f>
        <v>Ceiling (High)</v>
      </c>
    </row>
    <row r="8" spans="1:12" ht="12.5" x14ac:dyDescent="0.25">
      <c r="A8" s="134" t="s">
        <v>106</v>
      </c>
      <c r="B8" s="160">
        <f>IF(ISERR(1/+(VLOOKUP(A8,[1]!TOX,21,FALSE))),0,'[1]Target Risk'!$D$8*(VLOOKUP(A8,[1]!TOX,6,FALSE))/((('S-3 Assumptions'!$J$21+'S-3 Assumptions'!$O$85)*(VLOOKUP(A8,[1]!TOX,21,FALSE)))+('S-3 Assumptions'!$K$42*(VLOOKUP(A8,[1]!TOX,23,FALSE)))))</f>
        <v>40542.542098047845</v>
      </c>
      <c r="C8" s="161">
        <f>'[1]Target Risk'!$D$8*(VLOOKUP(A8,[1]!TOX,10,FALSE))/'S-3 Assumptions'!$N$64</f>
        <v>8933129.1475242488</v>
      </c>
      <c r="D8" s="161">
        <f t="shared" ref="D8:D71" si="0">IF(B8=0,C8,IF(C8=0,B8,1/((1/B8)+(1/C8))))</f>
        <v>40359.373181619485</v>
      </c>
      <c r="E8" s="161">
        <f>IF(ISERR(1/(VLOOKUP(A8,[1]!TOX,25,FALSE))),0,+'[1]Target Risk'!$D$12/(((('S-3 Assumptions'!$J$29+'S-3 Assumptions'!$O$93)*(VLOOKUP(A8,[1]!TOX,25,FALSE)))+('S-3 Assumptions'!$K$50*(VLOOKUP(A8,[1]!TOX,27,FALSE))))*(VLOOKUP(A8,[1]!TOX,12,FALSE))))</f>
        <v>0</v>
      </c>
      <c r="F8" s="161">
        <f>IF((VLOOKUP(A8,[1]!TOX,15,FALSE))=0,0, '[1]Target Risk'!$D$12/((VLOOKUP(A8,[1]!TOX,15,FALSE))*'S-3 Assumptions'!$N$72))</f>
        <v>0</v>
      </c>
      <c r="G8" s="162">
        <f t="shared" ref="G8:G71" si="1">IF(E8=0,F8,IF(F8=0,E8,1/((1/E8)+(1/F8))))</f>
        <v>0</v>
      </c>
      <c r="H8" s="160">
        <f>IF(D8=0,MIN(G8,(VLOOKUP(A8,[1]!TOX,77,FALSE))),IF(G8=0,MIN(D8,(VLOOKUP(A8,[1]!TOX,77,FALSE))),MIN(D8,G8,(VLOOKUP(A8,[1]!TOX,77,FALSE)))))</f>
        <v>5000</v>
      </c>
      <c r="I8" s="162" t="str">
        <f>IF(H8=D8,"Noncancer Risk",IF(H8=G8,"Cancer Risk",(VLOOKUP(A8,[1]!TOX,78,FALSE))))</f>
        <v>Ceiling (High)</v>
      </c>
      <c r="J8" s="163">
        <f>MAX(H8,(VLOOKUP(A8,[1]!TOX,50,FALSE)),(VLOOKUP(A8,[1]!TOX,35,FALSE)))</f>
        <v>5000</v>
      </c>
      <c r="K8" s="164">
        <f>IF(J8&lt;&gt;0,ROUND(J8,1-(1+INT(LOG10(ABS(J8))))),"")</f>
        <v>5000</v>
      </c>
      <c r="L8" s="165" t="str">
        <f>IF(J8=0,"Not Calculated",IF(J8=H8,I8,IF(J8=[1]Toxicity!AI4,"Background","PQL")))</f>
        <v>Ceiling (High)</v>
      </c>
    </row>
    <row r="9" spans="1:12" ht="20" x14ac:dyDescent="0.25">
      <c r="A9" s="134" t="s">
        <v>105</v>
      </c>
      <c r="B9" s="160">
        <f>IF(ISERR(1/+(VLOOKUP(A9,[1]!TOX,21,FALSE))),0,'[1]Target Risk'!$D$8*(VLOOKUP(A9,[1]!TOX,6,FALSE))/((('S-3 Assumptions'!$J$21+'S-3 Assumptions'!$O$85)*(VLOOKUP(A9,[1]!TOX,21,FALSE)))+('S-3 Assumptions'!$K$42*(VLOOKUP(A9,[1]!TOX,23,FALSE)))))</f>
        <v>372932.24464194546</v>
      </c>
      <c r="C9" s="161">
        <f>'[1]Target Risk'!$D$8*(VLOOKUP(A9,[1]!TOX,10,FALSE))/'S-3 Assumptions'!$N$64</f>
        <v>14293006.636038801</v>
      </c>
      <c r="D9" s="161">
        <f t="shared" si="0"/>
        <v>363449.15186314721</v>
      </c>
      <c r="E9" s="161">
        <f>IF(ISERR(1/(VLOOKUP(A9,[1]!TOX,25,FALSE))),0,+'[1]Target Risk'!$D$12/(((('S-3 Assumptions'!$J$29+'S-3 Assumptions'!$O$93)*(VLOOKUP(A9,[1]!TOX,25,FALSE)))+('S-3 Assumptions'!$K$50*(VLOOKUP(A9,[1]!TOX,27,FALSE))))*(VLOOKUP(A9,[1]!TOX,12,FALSE))))</f>
        <v>0</v>
      </c>
      <c r="F9" s="161">
        <f>IF((VLOOKUP(A9,[1]!TOX,15,FALSE))=0,0, '[1]Target Risk'!$D$12/((VLOOKUP(A9,[1]!TOX,15,FALSE))*'S-3 Assumptions'!$N$72))</f>
        <v>0</v>
      </c>
      <c r="G9" s="162">
        <f t="shared" si="1"/>
        <v>0</v>
      </c>
      <c r="H9" s="160">
        <f>IF(D9=0,MIN(G9,(VLOOKUP(A9,[1]!TOX,77,FALSE))),IF(G9=0,MIN(D9,(VLOOKUP(A9,[1]!TOX,77,FALSE))),MIN(D9,G9,(VLOOKUP(A9,[1]!TOX,77,FALSE)))))</f>
        <v>3000</v>
      </c>
      <c r="I9" s="162" t="str">
        <f>IF(H9=D9,"Noncancer Risk",IF(H9=G9,"Cancer Risk",(VLOOKUP(A9,[1]!TOX,78,FALSE))))</f>
        <v>Ceiling (Medium)</v>
      </c>
      <c r="J9" s="163">
        <f>MAX(H9,(VLOOKUP(A9,[1]!TOX,50,FALSE)),(VLOOKUP(A9,[1]!TOX,35,FALSE)))</f>
        <v>3000</v>
      </c>
      <c r="K9" s="164">
        <f t="shared" ref="K9:K35" si="2">IF(J9&lt;&gt;0,ROUND(J9,1-(1+INT(LOG10(ABS(J9))))),"")</f>
        <v>3000</v>
      </c>
      <c r="L9" s="165" t="str">
        <f>IF(J9=0,"Not Calculated",IF(J9=H9,I9,IF(J9=[1]Toxicity!AI5,"Background","PQL")))</f>
        <v>Ceiling (Medium)</v>
      </c>
    </row>
    <row r="10" spans="1:12" ht="12.5" x14ac:dyDescent="0.25">
      <c r="A10" s="134" t="s">
        <v>104</v>
      </c>
      <c r="B10" s="160">
        <f>IF(ISERR(1/+(VLOOKUP(A10,[1]!TOX,21,FALSE))),0,'[1]Target Risk'!$D$8*(VLOOKUP(A10,[1]!TOX,6,FALSE))/((('S-3 Assumptions'!$J$21+'S-3 Assumptions'!$O$85)*(VLOOKUP(A10,[1]!TOX,21,FALSE)))+('S-3 Assumptions'!$K$42*(VLOOKUP(A10,[1]!TOX,23,FALSE)))))</f>
        <v>3.552020367498081</v>
      </c>
      <c r="C10" s="161">
        <f>'[1]Target Risk'!$D$8*(VLOOKUP(A10,[1]!TOX,10,FALSE))/'S-3 Assumptions'!$N$64</f>
        <v>3573.2516590096998</v>
      </c>
      <c r="D10" s="161">
        <f t="shared" si="0"/>
        <v>3.5484929587213938</v>
      </c>
      <c r="E10" s="161">
        <f>IF(ISERR(1/(VLOOKUP(A10,[1]!TOX,25,FALSE))),0,+'[1]Target Risk'!$D$12/(((('S-3 Assumptions'!$J$29+'S-3 Assumptions'!$O$93)*(VLOOKUP(A10,[1]!TOX,25,FALSE)))+('S-3 Assumptions'!$K$50*(VLOOKUP(A10,[1]!TOX,27,FALSE))))*(VLOOKUP(A10,[1]!TOX,12,FALSE))))</f>
        <v>3.6388633714822189</v>
      </c>
      <c r="F10" s="161">
        <f>IF((VLOOKUP(A10,[1]!TOX,15,FALSE))=0,0, '[1]Target Risk'!$D$12/((VLOOKUP(A10,[1]!TOX,15,FALSE))*'S-3 Assumptions'!$N$72))</f>
        <v>2578.7981811347845</v>
      </c>
      <c r="G10" s="162">
        <f t="shared" si="1"/>
        <v>3.6337359176825288</v>
      </c>
      <c r="H10" s="160">
        <f>IF(D10=0,MIN(G10,(VLOOKUP(A10,[1]!TOX,77,FALSE))),IF(G10=0,MIN(D10,(VLOOKUP(A10,[1]!TOX,77,FALSE))),MIN(D10,G10,(VLOOKUP(A10,[1]!TOX,77,FALSE)))))</f>
        <v>3.5484929587213938</v>
      </c>
      <c r="I10" s="162" t="str">
        <f>IF(H10=D10,"Noncancer Risk",IF(H10=G10,"Cancer Risk",(VLOOKUP(A10,[1]!TOX,78,FALSE))))</f>
        <v>Noncancer Risk</v>
      </c>
      <c r="J10" s="163">
        <f>MAX(H10,(VLOOKUP(A10,[1]!TOX,50,FALSE)),(VLOOKUP(A10,[1]!TOX,35,FALSE)))</f>
        <v>3.5484929587213938</v>
      </c>
      <c r="K10" s="164">
        <f t="shared" si="2"/>
        <v>4</v>
      </c>
      <c r="L10" s="165" t="str">
        <f>IF(J10=0,"Not Calculated",IF(J10=H10,I10,IF(J10=[1]Toxicity!AI6,"Background","PQL")))</f>
        <v>Noncancer Risk</v>
      </c>
    </row>
    <row r="11" spans="1:12" ht="12.5" x14ac:dyDescent="0.25">
      <c r="A11" s="134" t="s">
        <v>103</v>
      </c>
      <c r="B11" s="160">
        <f>IF(ISERR(1/+(VLOOKUP(A11,[1]!TOX,21,FALSE))),0,'[1]Target Risk'!$D$8*(VLOOKUP(A11,[1]!TOX,6,FALSE))/((('S-3 Assumptions'!$J$21+'S-3 Assumptions'!$O$85)*(VLOOKUP(A11,[1]!TOX,21,FALSE)))+('S-3 Assumptions'!$K$42*(VLOOKUP(A11,[1]!TOX,23,FALSE)))))</f>
        <v>135141.80699349285</v>
      </c>
      <c r="C11" s="161">
        <f>'[1]Target Risk'!$D$8*(VLOOKUP(A11,[1]!TOX,10,FALSE))/'S-3 Assumptions'!$N$64</f>
        <v>8933129.1475242488</v>
      </c>
      <c r="D11" s="161">
        <f t="shared" si="0"/>
        <v>133127.82791312938</v>
      </c>
      <c r="E11" s="161">
        <f>IF(ISERR(1/(VLOOKUP(A11,[1]!TOX,25,FALSE))),0,+'[1]Target Risk'!$D$12/(((('S-3 Assumptions'!$J$29+'S-3 Assumptions'!$O$93)*(VLOOKUP(A11,[1]!TOX,25,FALSE)))+('S-3 Assumptions'!$K$50*(VLOOKUP(A11,[1]!TOX,27,FALSE))))*(VLOOKUP(A11,[1]!TOX,12,FALSE))))</f>
        <v>0</v>
      </c>
      <c r="F11" s="161">
        <f>IF((VLOOKUP(A11,[1]!TOX,15,FALSE))=0,0, '[1]Target Risk'!$D$12/((VLOOKUP(A11,[1]!TOX,15,FALSE))*'S-3 Assumptions'!$N$72))</f>
        <v>0</v>
      </c>
      <c r="G11" s="162">
        <f t="shared" si="1"/>
        <v>0</v>
      </c>
      <c r="H11" s="160">
        <f>IF(D11=0,MIN(G11,(VLOOKUP(A11,[1]!TOX,77,FALSE))),IF(G11=0,MIN(D11,(VLOOKUP(A11,[1]!TOX,77,FALSE))),MIN(D11,G11,(VLOOKUP(A11,[1]!TOX,77,FALSE)))))</f>
        <v>5000</v>
      </c>
      <c r="I11" s="162" t="str">
        <f>IF(H11=D11,"Noncancer Risk",IF(H11=G11,"Cancer Risk",(VLOOKUP(A11,[1]!TOX,78,FALSE))))</f>
        <v>Ceiling (High)</v>
      </c>
      <c r="J11" s="163">
        <f>MAX(H11,(VLOOKUP(A11,[1]!TOX,50,FALSE)),(VLOOKUP(A11,[1]!TOX,35,FALSE)))</f>
        <v>5000</v>
      </c>
      <c r="K11" s="164">
        <f t="shared" si="2"/>
        <v>5000</v>
      </c>
      <c r="L11" s="165" t="str">
        <f>IF(J11=0,"Not Calculated",IF(J11=H11,I11,IF(J11=[1]Toxicity!AI7,"Background","PQL")))</f>
        <v>Ceiling (High)</v>
      </c>
    </row>
    <row r="12" spans="1:12" ht="12.5" x14ac:dyDescent="0.25">
      <c r="A12" s="134" t="s">
        <v>102</v>
      </c>
      <c r="B12" s="160">
        <f>IF(ISERR(1/+(VLOOKUP(A12,[1]!TOX,21,FALSE))),0,'[1]Target Risk'!$D$8*(VLOOKUP(A12,[1]!TOX,6,FALSE))/((('S-3 Assumptions'!$J$21+'S-3 Assumptions'!$O$85)*(VLOOKUP(A12,[1]!TOX,21,FALSE)))+('S-3 Assumptions'!$K$42*(VLOOKUP(A12,[1]!TOX,23,FALSE)))))</f>
        <v>35.520203674980806</v>
      </c>
      <c r="C12" s="161">
        <f>'[1]Target Risk'!$D$8*(VLOOKUP(A12,[1]!TOX,10,FALSE))/'S-3 Assumptions'!$N$64</f>
        <v>3573.2516590096998</v>
      </c>
      <c r="D12" s="161">
        <f t="shared" si="0"/>
        <v>35.170587540428727</v>
      </c>
      <c r="E12" s="161">
        <f>IF(ISERR(1/(VLOOKUP(A12,[1]!TOX,25,FALSE))),0,+'[1]Target Risk'!$D$12/(((('S-3 Assumptions'!$J$29+'S-3 Assumptions'!$O$93)*(VLOOKUP(A12,[1]!TOX,25,FALSE)))+('S-3 Assumptions'!$K$50*(VLOOKUP(A12,[1]!TOX,27,FALSE))))*(VLOOKUP(A12,[1]!TOX,12,FALSE))))</f>
        <v>0</v>
      </c>
      <c r="F12" s="161">
        <f>IF((VLOOKUP(A12,[1]!TOX,15,FALSE))=0,0, '[1]Target Risk'!$D$12/((VLOOKUP(A12,[1]!TOX,15,FALSE))*'S-3 Assumptions'!$N$72))</f>
        <v>0</v>
      </c>
      <c r="G12" s="162">
        <f t="shared" si="1"/>
        <v>0</v>
      </c>
      <c r="H12" s="160">
        <f>IF(D12=0,MIN(G12,(VLOOKUP(A12,[1]!TOX,77,FALSE))),IF(G12=0,MIN(D12,(VLOOKUP(A12,[1]!TOX,77,FALSE))),MIN(D12,G12,(VLOOKUP(A12,[1]!TOX,77,FALSE)))))</f>
        <v>35.170587540428727</v>
      </c>
      <c r="I12" s="162" t="str">
        <f>IF(H12=D12,"Noncancer Risk",IF(H12=G12,"Cancer Risk",(VLOOKUP(A12,[1]!TOX,78,FALSE))))</f>
        <v>Noncancer Risk</v>
      </c>
      <c r="J12" s="163">
        <f>MAX(H12,(VLOOKUP(A12,[1]!TOX,50,FALSE)),(VLOOKUP(A12,[1]!TOX,35,FALSE)))</f>
        <v>35.170587540428727</v>
      </c>
      <c r="K12" s="164">
        <f t="shared" si="2"/>
        <v>40</v>
      </c>
      <c r="L12" s="165" t="str">
        <f>IF(J12=0,"Not Calculated",IF(J12=H12,I12,IF(J12=[1]Toxicity!AI8,"Background","PQL")))</f>
        <v>Noncancer Risk</v>
      </c>
    </row>
    <row r="13" spans="1:12" ht="12.5" x14ac:dyDescent="0.25">
      <c r="A13" s="134" t="s">
        <v>101</v>
      </c>
      <c r="B13" s="160">
        <f>IF(ISERR(1/+(VLOOKUP(A13,[1]!TOX,21,FALSE))),0,'[1]Target Risk'!$D$8*(VLOOKUP(A13,[1]!TOX,6,FALSE))/((('S-3 Assumptions'!$J$21+'S-3 Assumptions'!$O$85)*(VLOOKUP(A13,[1]!TOX,21,FALSE)))+('S-3 Assumptions'!$K$42*(VLOOKUP(A13,[1]!TOX,23,FALSE)))))</f>
        <v>66.939445782147274</v>
      </c>
      <c r="C13" s="161">
        <f>'[1]Target Risk'!$D$8*(VLOOKUP(A13,[1]!TOX,10,FALSE))/'S-3 Assumptions'!$N$64</f>
        <v>357.32516590096998</v>
      </c>
      <c r="D13" s="161">
        <f t="shared" si="0"/>
        <v>56.37790169331857</v>
      </c>
      <c r="E13" s="161">
        <f>IF(ISERR(1/(VLOOKUP(A13,[1]!TOX,25,FALSE))),0,+'[1]Target Risk'!$D$12/(((('S-3 Assumptions'!$J$29+'S-3 Assumptions'!$O$93)*(VLOOKUP(A13,[1]!TOX,25,FALSE)))+('S-3 Assumptions'!$K$50*(VLOOKUP(A13,[1]!TOX,27,FALSE))))*(VLOOKUP(A13,[1]!TOX,12,FALSE))))</f>
        <v>103.62601879146082</v>
      </c>
      <c r="F13" s="161">
        <f>IF((VLOOKUP(A13,[1]!TOX,15,FALSE))=0,0, '[1]Target Risk'!$D$12/((VLOOKUP(A13,[1]!TOX,15,FALSE))*'S-3 Assumptions'!$N$72))</f>
        <v>4212.0370291868148</v>
      </c>
      <c r="G13" s="162">
        <f t="shared" si="1"/>
        <v>101.13779122337051</v>
      </c>
      <c r="H13" s="160">
        <f>IF(D13=0,MIN(G13,(VLOOKUP(A13,[1]!TOX,77,FALSE))),IF(G13=0,MIN(D13,(VLOOKUP(A13,[1]!TOX,77,FALSE))),MIN(D13,G13,(VLOOKUP(A13,[1]!TOX,77,FALSE)))))</f>
        <v>56.37790169331857</v>
      </c>
      <c r="I13" s="162" t="str">
        <f>IF(H13=D13,"Noncancer Risk",IF(H13=G13,"Cancer Risk",(VLOOKUP(A13,[1]!TOX,78,FALSE))))</f>
        <v>Noncancer Risk</v>
      </c>
      <c r="J13" s="163">
        <f>MAX(H13,(VLOOKUP(A13,[1]!TOX,50,FALSE)),(VLOOKUP(A13,[1]!TOX,35,FALSE)))</f>
        <v>56.37790169331857</v>
      </c>
      <c r="K13" s="164">
        <f t="shared" si="2"/>
        <v>60</v>
      </c>
      <c r="L13" s="165" t="str">
        <f>IF(J13=0,"Not Calculated",IF(J13=H13,I13,IF(J13=[1]Toxicity!AI9,"Background","PQL")))</f>
        <v>Noncancer Risk</v>
      </c>
    </row>
    <row r="14" spans="1:12" ht="12.5" x14ac:dyDescent="0.25">
      <c r="A14" s="134" t="s">
        <v>100</v>
      </c>
      <c r="B14" s="160">
        <f>IF(ISERR(1/+(VLOOKUP(A14,[1]!TOX,21,FALSE))),0,'[1]Target Risk'!$D$8*(VLOOKUP(A14,[1]!TOX,6,FALSE))/((('S-3 Assumptions'!$J$21+'S-3 Assumptions'!$O$85)*(VLOOKUP(A14,[1]!TOX,21,FALSE)))+('S-3 Assumptions'!$K$42*(VLOOKUP(A14,[1]!TOX,23,FALSE)))))</f>
        <v>17760.101837490405</v>
      </c>
      <c r="C14" s="161">
        <f>'[1]Target Risk'!$D$8*(VLOOKUP(A14,[1]!TOX,10,FALSE))/'S-3 Assumptions'!$N$64</f>
        <v>89331.291475242484</v>
      </c>
      <c r="D14" s="161">
        <f t="shared" si="0"/>
        <v>14814.755740844492</v>
      </c>
      <c r="E14" s="161">
        <f>IF(ISERR(1/(VLOOKUP(A14,[1]!TOX,25,FALSE))),0,+'[1]Target Risk'!$D$12/(((('S-3 Assumptions'!$J$29+'S-3 Assumptions'!$O$93)*(VLOOKUP(A14,[1]!TOX,25,FALSE)))+('S-3 Assumptions'!$K$50*(VLOOKUP(A14,[1]!TOX,27,FALSE))))*(VLOOKUP(A14,[1]!TOX,12,FALSE))))</f>
        <v>0</v>
      </c>
      <c r="F14" s="161">
        <f>IF((VLOOKUP(A14,[1]!TOX,15,FALSE))=0,0, '[1]Target Risk'!$D$12/((VLOOKUP(A14,[1]!TOX,15,FALSE))*'S-3 Assumptions'!$N$72))</f>
        <v>0</v>
      </c>
      <c r="G14" s="162">
        <f t="shared" si="1"/>
        <v>0</v>
      </c>
      <c r="H14" s="160">
        <f>IF(D14=0,MIN(G14,(VLOOKUP(A14,[1]!TOX,77,FALSE))),IF(G14=0,MIN(D14,(VLOOKUP(A14,[1]!TOX,77,FALSE))),MIN(D14,G14,(VLOOKUP(A14,[1]!TOX,77,FALSE)))))</f>
        <v>5000</v>
      </c>
      <c r="I14" s="162" t="str">
        <f>IF(H14=D14,"Noncancer Risk",IF(H14=G14,"Cancer Risk",(VLOOKUP(A14,[1]!TOX,78,FALSE))))</f>
        <v>Ceiling (High)</v>
      </c>
      <c r="J14" s="163">
        <f>MAX(H14,(VLOOKUP(A14,[1]!TOX,50,FALSE)),(VLOOKUP(A14,[1]!TOX,35,FALSE)))</f>
        <v>5000</v>
      </c>
      <c r="K14" s="164">
        <f t="shared" si="2"/>
        <v>5000</v>
      </c>
      <c r="L14" s="165" t="str">
        <f>IF(J14=0,"Not Calculated",IF(J14=H14,I14,IF(J14=[1]Toxicity!AI10,"Background","PQL")))</f>
        <v>Ceiling (High)</v>
      </c>
    </row>
    <row r="15" spans="1:12" ht="12.5" x14ac:dyDescent="0.25">
      <c r="A15" s="134" t="s">
        <v>99</v>
      </c>
      <c r="B15" s="160">
        <f>IF(ISERR(1/+(VLOOKUP(A15,[1]!TOX,21,FALSE))),0,'[1]Target Risk'!$D$8*(VLOOKUP(A15,[1]!TOX,6,FALSE))/((('S-3 Assumptions'!$J$21+'S-3 Assumptions'!$O$85)*(VLOOKUP(A15,[1]!TOX,21,FALSE)))+('S-3 Assumptions'!$K$42*(VLOOKUP(A15,[1]!TOX,23,FALSE)))))</f>
        <v>1381.2305357109092</v>
      </c>
      <c r="C15" s="161">
        <f>'[1]Target Risk'!$D$8*(VLOOKUP(A15,[1]!TOX,10,FALSE))/'S-3 Assumptions'!$N$64</f>
        <v>53598.774885145496</v>
      </c>
      <c r="D15" s="161">
        <f t="shared" si="0"/>
        <v>1346.5306884086656</v>
      </c>
      <c r="E15" s="161">
        <f>IF(ISERR(1/(VLOOKUP(A15,[1]!TOX,25,FALSE))),0,+'[1]Target Risk'!$D$12/(((('S-3 Assumptions'!$J$29+'S-3 Assumptions'!$O$93)*(VLOOKUP(A15,[1]!TOX,25,FALSE)))+('S-3 Assumptions'!$K$50*(VLOOKUP(A15,[1]!TOX,27,FALSE))))*(VLOOKUP(A15,[1]!TOX,12,FALSE))))</f>
        <v>1749.4546791012792</v>
      </c>
      <c r="F15" s="161">
        <f>IF((VLOOKUP(A15,[1]!TOX,15,FALSE))=0,0, '[1]Target Risk'!$D$12/((VLOOKUP(A15,[1]!TOX,15,FALSE))*'S-3 Assumptions'!$N$72))</f>
        <v>1620014.2419949286</v>
      </c>
      <c r="G15" s="162">
        <f t="shared" si="1"/>
        <v>1747.5674795786201</v>
      </c>
      <c r="H15" s="160">
        <f>IF(D15=0,MIN(G15,(VLOOKUP(A15,[1]!TOX,77,FALSE))),IF(G15=0,MIN(D15,(VLOOKUP(A15,[1]!TOX,77,FALSE))),MIN(D15,G15,(VLOOKUP(A15,[1]!TOX,77,FALSE)))))</f>
        <v>1346.5306884086656</v>
      </c>
      <c r="I15" s="162" t="str">
        <f>IF(H15=D15,"Noncancer Risk",IF(H15=G15,"Cancer Risk",(VLOOKUP(A15,[1]!TOX,78,FALSE))))</f>
        <v>Noncancer Risk</v>
      </c>
      <c r="J15" s="163">
        <f>MAX(H15,(VLOOKUP(A15,[1]!TOX,50,FALSE)),(VLOOKUP(A15,[1]!TOX,35,FALSE)))</f>
        <v>1346.5306884086656</v>
      </c>
      <c r="K15" s="164">
        <f t="shared" si="2"/>
        <v>1000</v>
      </c>
      <c r="L15" s="165" t="str">
        <f>IF(J15=0,"Not Calculated",IF(J15=H15,I15,IF(J15=[1]Toxicity!AI11,"Background","PQL")))</f>
        <v>Noncancer Risk</v>
      </c>
    </row>
    <row r="16" spans="1:12" ht="12.5" x14ac:dyDescent="0.25">
      <c r="A16" s="134" t="s">
        <v>98</v>
      </c>
      <c r="B16" s="160">
        <f>IF(ISERR(1/+(VLOOKUP(A16,[1]!TOX,21,FALSE))),0,'[1]Target Risk'!$D$8*(VLOOKUP(A16,[1]!TOX,6,FALSE))/((('S-3 Assumptions'!$J$21+'S-3 Assumptions'!$O$85)*(VLOOKUP(A16,[1]!TOX,21,FALSE)))+('S-3 Assumptions'!$K$42*(VLOOKUP(A16,[1]!TOX,23,FALSE)))))</f>
        <v>106994.17135325648</v>
      </c>
      <c r="C16" s="161">
        <f>'[1]Target Risk'!$D$8*(VLOOKUP(A16,[1]!TOX,10,FALSE))/'S-3 Assumptions'!$N$64</f>
        <v>8933129.1475242488</v>
      </c>
      <c r="D16" s="161">
        <f t="shared" si="0"/>
        <v>105727.84430220121</v>
      </c>
      <c r="E16" s="161">
        <f>IF(ISERR(1/(VLOOKUP(A16,[1]!TOX,25,FALSE))),0,+'[1]Target Risk'!$D$12/(((('S-3 Assumptions'!$J$29+'S-3 Assumptions'!$O$93)*(VLOOKUP(A16,[1]!TOX,25,FALSE)))+('S-3 Assumptions'!$K$50*(VLOOKUP(A16,[1]!TOX,27,FALSE))))*(VLOOKUP(A16,[1]!TOX,12,FALSE))))</f>
        <v>2484.4947284101213</v>
      </c>
      <c r="F16" s="161">
        <f>IF((VLOOKUP(A16,[1]!TOX,15,FALSE))=0,0, '[1]Target Risk'!$D$12/((VLOOKUP(A16,[1]!TOX,15,FALSE))*'S-3 Assumptions'!$N$72))</f>
        <v>210601.85145934075</v>
      </c>
      <c r="G16" s="162">
        <f t="shared" si="1"/>
        <v>2455.5265933515807</v>
      </c>
      <c r="H16" s="160">
        <f>IF(D16=0,MIN(G16,(VLOOKUP(A16,[1]!TOX,77,FALSE))),IF(G16=0,MIN(D16,(VLOOKUP(A16,[1]!TOX,77,FALSE))),MIN(D16,G16,(VLOOKUP(A16,[1]!TOX,77,FALSE)))))</f>
        <v>2455.5265933515807</v>
      </c>
      <c r="I16" s="162" t="str">
        <f>IF(H16=D16,"Noncancer Risk",IF(H16=G16,"Cancer Risk",(VLOOKUP(A16,[1]!TOX,78,FALSE))))</f>
        <v>Cancer Risk</v>
      </c>
      <c r="J16" s="163">
        <f>MAX(H16,(VLOOKUP(A16,[1]!TOX,50,FALSE)),(VLOOKUP(A16,[1]!TOX,35,FALSE)))</f>
        <v>2455.5265933515807</v>
      </c>
      <c r="K16" s="164">
        <f t="shared" si="2"/>
        <v>2000</v>
      </c>
      <c r="L16" s="165" t="str">
        <f>IF(J16=0,"Not Calculated",IF(J16=H16,I16,IF(J16=[1]Toxicity!AI12,"Background","PQL")))</f>
        <v>Cancer Risk</v>
      </c>
    </row>
    <row r="17" spans="1:12" ht="12.5" x14ac:dyDescent="0.25">
      <c r="A17" s="134" t="s">
        <v>97</v>
      </c>
      <c r="B17" s="160">
        <f>IF(ISERR(1/+(VLOOKUP(A17,[1]!TOX,21,FALSE))),0,'[1]Target Risk'!$D$8*(VLOOKUP(A17,[1]!TOX,6,FALSE))/((('S-3 Assumptions'!$J$21+'S-3 Assumptions'!$O$85)*(VLOOKUP(A17,[1]!TOX,21,FALSE)))+('S-3 Assumptions'!$K$42*(VLOOKUP(A17,[1]!TOX,23,FALSE)))))</f>
        <v>106.99417135325648</v>
      </c>
      <c r="C17" s="161">
        <f>'[1]Target Risk'!$D$8*(VLOOKUP(A17,[1]!TOX,10,FALSE))/'S-3 Assumptions'!$N$64</f>
        <v>35.732516590096992</v>
      </c>
      <c r="D17" s="161">
        <f t="shared" si="0"/>
        <v>26.786658178751324</v>
      </c>
      <c r="E17" s="161">
        <f>IF(ISERR(1/(VLOOKUP(A17,[1]!TOX,25,FALSE))),0,+'[1]Target Risk'!$D$12/(((('S-3 Assumptions'!$J$29+'S-3 Assumptions'!$O$93)*(VLOOKUP(A17,[1]!TOX,25,FALSE)))+('S-3 Assumptions'!$K$50*(VLOOKUP(A17,[1]!TOX,27,FALSE))))*(VLOOKUP(A17,[1]!TOX,12,FALSE))))</f>
        <v>248.44947284101215</v>
      </c>
      <c r="F17" s="161">
        <f>IF((VLOOKUP(A17,[1]!TOX,15,FALSE))=0,0, '[1]Target Risk'!$D$12/((VLOOKUP(A17,[1]!TOX,15,FALSE))*'S-3 Assumptions'!$N$72))</f>
        <v>21060.185145934072</v>
      </c>
      <c r="G17" s="162">
        <f t="shared" si="1"/>
        <v>245.55265933515815</v>
      </c>
      <c r="H17" s="160">
        <f>IF(D17=0,MIN(G17,(VLOOKUP(A17,[1]!TOX,77,FALSE))),IF(G17=0,MIN(D17,(VLOOKUP(A17,[1]!TOX,77,FALSE))),MIN(D17,G17,(VLOOKUP(A17,[1]!TOX,77,FALSE)))))</f>
        <v>26.786658178751324</v>
      </c>
      <c r="I17" s="162" t="str">
        <f>IF(H17=D17,"Noncancer Risk",IF(H17=G17,"Cancer Risk",(VLOOKUP(A17,[1]!TOX,78,FALSE))))</f>
        <v>Noncancer Risk</v>
      </c>
      <c r="J17" s="163">
        <f>MAX(H17,(VLOOKUP(A17,[1]!TOX,50,FALSE)),(VLOOKUP(A17,[1]!TOX,35,FALSE)))</f>
        <v>26.786658178751324</v>
      </c>
      <c r="K17" s="164">
        <f t="shared" si="2"/>
        <v>30</v>
      </c>
      <c r="L17" s="165" t="str">
        <f>IF(J17=0,"Not Calculated",IF(J17=H17,I17,IF(J17=[1]Toxicity!AI13,"Background","PQL")))</f>
        <v>Noncancer Risk</v>
      </c>
    </row>
    <row r="18" spans="1:12" ht="12.5" x14ac:dyDescent="0.25">
      <c r="A18" s="134" t="s">
        <v>96</v>
      </c>
      <c r="B18" s="160">
        <f>IF(ISERR(1/+(VLOOKUP(A18,[1]!TOX,21,FALSE))),0,'[1]Target Risk'!$D$8*(VLOOKUP(A18,[1]!TOX,6,FALSE))/((('S-3 Assumptions'!$J$21+'S-3 Assumptions'!$O$85)*(VLOOKUP(A18,[1]!TOX,21,FALSE)))+('S-3 Assumptions'!$K$42*(VLOOKUP(A18,[1]!TOX,23,FALSE)))))</f>
        <v>106994.17135325648</v>
      </c>
      <c r="C18" s="161">
        <f>'[1]Target Risk'!$D$8*(VLOOKUP(A18,[1]!TOX,10,FALSE))/'S-3 Assumptions'!$N$64</f>
        <v>8933129.1475242488</v>
      </c>
      <c r="D18" s="161">
        <f t="shared" si="0"/>
        <v>105727.84430220121</v>
      </c>
      <c r="E18" s="161">
        <f>IF(ISERR(1/(VLOOKUP(A18,[1]!TOX,25,FALSE))),0,+'[1]Target Risk'!$D$12/(((('S-3 Assumptions'!$J$29+'S-3 Assumptions'!$O$93)*(VLOOKUP(A18,[1]!TOX,25,FALSE)))+('S-3 Assumptions'!$K$50*(VLOOKUP(A18,[1]!TOX,27,FALSE))))*(VLOOKUP(A18,[1]!TOX,12,FALSE))))</f>
        <v>2484.4947284101213</v>
      </c>
      <c r="F18" s="161">
        <f>IF((VLOOKUP(A18,[1]!TOX,15,FALSE))=0,0, '[1]Target Risk'!$D$12/((VLOOKUP(A18,[1]!TOX,15,FALSE))*'S-3 Assumptions'!$N$72))</f>
        <v>210601.85145934075</v>
      </c>
      <c r="G18" s="162">
        <f t="shared" si="1"/>
        <v>2455.5265933515807</v>
      </c>
      <c r="H18" s="160">
        <f>IF(D18=0,MIN(G18,(VLOOKUP(A18,[1]!TOX,77,FALSE))),IF(G18=0,MIN(D18,(VLOOKUP(A18,[1]!TOX,77,FALSE))),MIN(D18,G18,(VLOOKUP(A18,[1]!TOX,77,FALSE)))))</f>
        <v>2455.5265933515807</v>
      </c>
      <c r="I18" s="162" t="str">
        <f>IF(H18=D18,"Noncancer Risk",IF(H18=G18,"Cancer Risk",(VLOOKUP(A18,[1]!TOX,78,FALSE))))</f>
        <v>Cancer Risk</v>
      </c>
      <c r="J18" s="163">
        <f>MAX(H18,(VLOOKUP(A18,[1]!TOX,50,FALSE)),(VLOOKUP(A18,[1]!TOX,35,FALSE)))</f>
        <v>2455.5265933515807</v>
      </c>
      <c r="K18" s="164">
        <f t="shared" si="2"/>
        <v>2000</v>
      </c>
      <c r="L18" s="165" t="str">
        <f>IF(J18=0,"Not Calculated",IF(J18=H18,I18,IF(J18=[1]Toxicity!AI14,"Background","PQL")))</f>
        <v>Cancer Risk</v>
      </c>
    </row>
    <row r="19" spans="1:12" ht="12.5" x14ac:dyDescent="0.25">
      <c r="A19" s="134" t="s">
        <v>95</v>
      </c>
      <c r="B19" s="160">
        <f>IF(ISERR(1/+(VLOOKUP(A19,[1]!TOX,21,FALSE))),0,'[1]Target Risk'!$D$8*(VLOOKUP(A19,[1]!TOX,6,FALSE))/((('S-3 Assumptions'!$J$21+'S-3 Assumptions'!$O$85)*(VLOOKUP(A19,[1]!TOX,21,FALSE)))+('S-3 Assumptions'!$K$42*(VLOOKUP(A19,[1]!TOX,23,FALSE)))))</f>
        <v>40542.542098047845</v>
      </c>
      <c r="C19" s="161">
        <f>'[1]Target Risk'!$D$8*(VLOOKUP(A19,[1]!TOX,10,FALSE))/'S-3 Assumptions'!$N$64</f>
        <v>8933129.1475242488</v>
      </c>
      <c r="D19" s="161">
        <f t="shared" si="0"/>
        <v>40359.373181619485</v>
      </c>
      <c r="E19" s="161">
        <f>IF(ISERR(1/(VLOOKUP(A19,[1]!TOX,25,FALSE))),0,+'[1]Target Risk'!$D$12/(((('S-3 Assumptions'!$J$29+'S-3 Assumptions'!$O$93)*(VLOOKUP(A19,[1]!TOX,25,FALSE)))+('S-3 Assumptions'!$K$50*(VLOOKUP(A19,[1]!TOX,27,FALSE))))*(VLOOKUP(A19,[1]!TOX,12,FALSE))))</f>
        <v>0</v>
      </c>
      <c r="F19" s="161">
        <f>IF((VLOOKUP(A19,[1]!TOX,15,FALSE))=0,0, '[1]Target Risk'!$D$12/((VLOOKUP(A19,[1]!TOX,15,FALSE))*'S-3 Assumptions'!$N$72))</f>
        <v>0</v>
      </c>
      <c r="G19" s="162">
        <f t="shared" si="1"/>
        <v>0</v>
      </c>
      <c r="H19" s="160">
        <f>IF(D19=0,MIN(G19,(VLOOKUP(A19,[1]!TOX,77,FALSE))),IF(G19=0,MIN(D19,(VLOOKUP(A19,[1]!TOX,77,FALSE))),MIN(D19,G19,(VLOOKUP(A19,[1]!TOX,77,FALSE)))))</f>
        <v>5000</v>
      </c>
      <c r="I19" s="162" t="str">
        <f>IF(H19=D19,"Noncancer Risk",IF(H19=G19,"Cancer Risk",(VLOOKUP(A19,[1]!TOX,78,FALSE))))</f>
        <v>Ceiling (High)</v>
      </c>
      <c r="J19" s="163">
        <f>MAX(H19,(VLOOKUP(A19,[1]!TOX,50,FALSE)),(VLOOKUP(A19,[1]!TOX,35,FALSE)))</f>
        <v>5000</v>
      </c>
      <c r="K19" s="164">
        <f t="shared" si="2"/>
        <v>5000</v>
      </c>
      <c r="L19" s="165" t="str">
        <f>IF(J19=0,"Not Calculated",IF(J19=H19,I19,IF(J19=[1]Toxicity!AI15,"Background","PQL")))</f>
        <v>Ceiling (High)</v>
      </c>
    </row>
    <row r="20" spans="1:12" ht="12.5" x14ac:dyDescent="0.25">
      <c r="A20" s="134" t="s">
        <v>94</v>
      </c>
      <c r="B20" s="160">
        <f>IF(ISERR(1/+(VLOOKUP(A20,[1]!TOX,21,FALSE))),0,'[1]Target Risk'!$D$8*(VLOOKUP(A20,[1]!TOX,6,FALSE))/((('S-3 Assumptions'!$J$21+'S-3 Assumptions'!$O$85)*(VLOOKUP(A20,[1]!TOX,21,FALSE)))+('S-3 Assumptions'!$K$42*(VLOOKUP(A20,[1]!TOX,23,FALSE)))))</f>
        <v>106994.17135325648</v>
      </c>
      <c r="C20" s="161">
        <f>'[1]Target Risk'!$D$8*(VLOOKUP(A20,[1]!TOX,10,FALSE))/'S-3 Assumptions'!$N$64</f>
        <v>8933129.1475242488</v>
      </c>
      <c r="D20" s="161">
        <f t="shared" si="0"/>
        <v>105727.84430220121</v>
      </c>
      <c r="E20" s="161">
        <f>IF(ISERR(1/(VLOOKUP(A20,[1]!TOX,25,FALSE))),0,+'[1]Target Risk'!$D$12/(((('S-3 Assumptions'!$J$29+'S-3 Assumptions'!$O$93)*(VLOOKUP(A20,[1]!TOX,25,FALSE)))+('S-3 Assumptions'!$K$50*(VLOOKUP(A20,[1]!TOX,27,FALSE))))*(VLOOKUP(A20,[1]!TOX,12,FALSE))))</f>
        <v>24844.947284101214</v>
      </c>
      <c r="F20" s="161">
        <f>IF((VLOOKUP(A20,[1]!TOX,15,FALSE))=0,0, '[1]Target Risk'!$D$12/((VLOOKUP(A20,[1]!TOX,15,FALSE))*'S-3 Assumptions'!$N$72))</f>
        <v>2106018.5145934075</v>
      </c>
      <c r="G20" s="162">
        <f t="shared" si="1"/>
        <v>24555.26593351581</v>
      </c>
      <c r="H20" s="160">
        <f>IF(D20=0,MIN(G20,(VLOOKUP(A20,[1]!TOX,77,FALSE))),IF(G20=0,MIN(D20,(VLOOKUP(A20,[1]!TOX,77,FALSE))),MIN(D20,G20,(VLOOKUP(A20,[1]!TOX,77,FALSE)))))</f>
        <v>5000</v>
      </c>
      <c r="I20" s="162" t="str">
        <f>IF(H20=D20,"Noncancer Risk",IF(H20=G20,"Cancer Risk",(VLOOKUP(A20,[1]!TOX,78,FALSE))))</f>
        <v>Ceiling (High)</v>
      </c>
      <c r="J20" s="163">
        <f>MAX(H20,(VLOOKUP(A20,[1]!TOX,50,FALSE)),(VLOOKUP(A20,[1]!TOX,35,FALSE)))</f>
        <v>5000</v>
      </c>
      <c r="K20" s="164">
        <f t="shared" si="2"/>
        <v>5000</v>
      </c>
      <c r="L20" s="165" t="str">
        <f>IF(J20=0,"Not Calculated",IF(J20=H20,I20,IF(J20=[1]Toxicity!AI16,"Background","PQL")))</f>
        <v>Ceiling (High)</v>
      </c>
    </row>
    <row r="21" spans="1:12" ht="12.5" x14ac:dyDescent="0.25">
      <c r="A21" s="134" t="s">
        <v>93</v>
      </c>
      <c r="B21" s="160">
        <f>IF(ISERR(1/+(VLOOKUP(A21,[1]!TOX,21,FALSE))),0,'[1]Target Risk'!$D$8*(VLOOKUP(A21,[1]!TOX,6,FALSE))/((('S-3 Assumptions'!$J$21+'S-3 Assumptions'!$O$85)*(VLOOKUP(A21,[1]!TOX,21,FALSE)))+('S-3 Assumptions'!$K$42*(VLOOKUP(A21,[1]!TOX,23,FALSE)))))</f>
        <v>444.00254593726009</v>
      </c>
      <c r="C21" s="161">
        <f>'[1]Target Risk'!$D$8*(VLOOKUP(A21,[1]!TOX,10,FALSE))/'S-3 Assumptions'!$N$64</f>
        <v>357.32516590096998</v>
      </c>
      <c r="D21" s="161">
        <f t="shared" si="0"/>
        <v>197.98801544443907</v>
      </c>
      <c r="E21" s="161">
        <f>IF(ISERR(1/(VLOOKUP(A21,[1]!TOX,25,FALSE))),0,+'[1]Target Risk'!$D$12/(((('S-3 Assumptions'!$J$29+'S-3 Assumptions'!$O$93)*(VLOOKUP(A21,[1]!TOX,25,FALSE)))+('S-3 Assumptions'!$K$50*(VLOOKUP(A21,[1]!TOX,27,FALSE))))*(VLOOKUP(A21,[1]!TOX,12,FALSE))))</f>
        <v>0</v>
      </c>
      <c r="F21" s="161">
        <f>IF((VLOOKUP(A21,[1]!TOX,15,FALSE))=0,0, '[1]Target Risk'!$D$12/((VLOOKUP(A21,[1]!TOX,15,FALSE))*'S-3 Assumptions'!$N$72))</f>
        <v>5265.0462864835181</v>
      </c>
      <c r="G21" s="162">
        <f t="shared" si="1"/>
        <v>5265.0462864835181</v>
      </c>
      <c r="H21" s="160">
        <f>IF(D21=0,MIN(G21,(VLOOKUP(A21,[1]!TOX,77,FALSE))),IF(G21=0,MIN(D21,(VLOOKUP(A21,[1]!TOX,77,FALSE))),MIN(D21,G21,(VLOOKUP(A21,[1]!TOX,77,FALSE)))))</f>
        <v>197.98801544443907</v>
      </c>
      <c r="I21" s="162" t="str">
        <f>IF(H21=D21,"Noncancer Risk",IF(H21=G21,"Cancer Risk",(VLOOKUP(A21,[1]!TOX,78,FALSE))))</f>
        <v>Noncancer Risk</v>
      </c>
      <c r="J21" s="163">
        <f>MAX(H21,(VLOOKUP(A21,[1]!TOX,50,FALSE)),(VLOOKUP(A21,[1]!TOX,35,FALSE)))</f>
        <v>197.98801544443907</v>
      </c>
      <c r="K21" s="164">
        <f t="shared" si="2"/>
        <v>200</v>
      </c>
      <c r="L21" s="165" t="str">
        <f>IF(J21=0,"Not Calculated",IF(J21=H21,I21,IF(J21=[1]Toxicity!AI17,"Background","PQL")))</f>
        <v>Noncancer Risk</v>
      </c>
    </row>
    <row r="22" spans="1:12" ht="12.5" x14ac:dyDescent="0.25">
      <c r="A22" s="134" t="s">
        <v>92</v>
      </c>
      <c r="B22" s="160">
        <f>IF(ISERR(1/+(VLOOKUP(A22,[1]!TOX,21,FALSE))),0,'[1]Target Risk'!$D$8*(VLOOKUP(A22,[1]!TOX,6,FALSE))/((('S-3 Assumptions'!$J$21+'S-3 Assumptions'!$O$85)*(VLOOKUP(A22,[1]!TOX,21,FALSE)))+('S-3 Assumptions'!$K$42*(VLOOKUP(A22,[1]!TOX,23,FALSE)))))</f>
        <v>8880.0509187452026</v>
      </c>
      <c r="C22" s="161">
        <f>'[1]Target Risk'!$D$8*(VLOOKUP(A22,[1]!TOX,10,FALSE))/'S-3 Assumptions'!$N$64</f>
        <v>35732.516590096995</v>
      </c>
      <c r="D22" s="161">
        <f t="shared" si="0"/>
        <v>7112.4928353894666</v>
      </c>
      <c r="E22" s="161">
        <f>IF(ISERR(1/(VLOOKUP(A22,[1]!TOX,25,FALSE))),0,+'[1]Target Risk'!$D$12/(((('S-3 Assumptions'!$J$29+'S-3 Assumptions'!$O$93)*(VLOOKUP(A22,[1]!TOX,25,FALSE)))+('S-3 Assumptions'!$K$50*(VLOOKUP(A22,[1]!TOX,27,FALSE))))*(VLOOKUP(A22,[1]!TOX,12,FALSE))))</f>
        <v>7732.5846643997147</v>
      </c>
      <c r="F22" s="161">
        <f>IF((VLOOKUP(A22,[1]!TOX,15,FALSE))=0,0, '[1]Target Risk'!$D$12/((VLOOKUP(A22,[1]!TOX,15,FALSE))*'S-3 Assumptions'!$N$72))</f>
        <v>0</v>
      </c>
      <c r="G22" s="162">
        <f t="shared" si="1"/>
        <v>7732.5846643997147</v>
      </c>
      <c r="H22" s="160">
        <f>IF(D22=0,MIN(G22,(VLOOKUP(A22,[1]!TOX,77,FALSE))),IF(G22=0,MIN(D22,(VLOOKUP(A22,[1]!TOX,77,FALSE))),MIN(D22,G22,(VLOOKUP(A22,[1]!TOX,77,FALSE)))))</f>
        <v>5000</v>
      </c>
      <c r="I22" s="162" t="str">
        <f>IF(H22=D22,"Noncancer Risk",IF(H22=G22,"Cancer Risk",(VLOOKUP(A22,[1]!TOX,78,FALSE))))</f>
        <v>Ceiling (High)</v>
      </c>
      <c r="J22" s="163">
        <f>MAX(H22,(VLOOKUP(A22,[1]!TOX,50,FALSE)),(VLOOKUP(A22,[1]!TOX,35,FALSE)))</f>
        <v>5000</v>
      </c>
      <c r="K22" s="164">
        <f t="shared" si="2"/>
        <v>5000</v>
      </c>
      <c r="L22" s="165" t="str">
        <f>IF(J22=0,"Not Calculated",IF(J22=H22,I22,IF(J22=[1]Toxicity!AI18,"Background","PQL")))</f>
        <v>Ceiling (High)</v>
      </c>
    </row>
    <row r="23" spans="1:12" ht="12.5" x14ac:dyDescent="0.25">
      <c r="A23" s="134" t="s">
        <v>91</v>
      </c>
      <c r="B23" s="160">
        <f>IF(ISERR(1/+(VLOOKUP(A23,[1]!TOX,21,FALSE))),0,'[1]Target Risk'!$D$8*(VLOOKUP(A23,[1]!TOX,6,FALSE))/((('S-3 Assumptions'!$J$21+'S-3 Assumptions'!$O$85)*(VLOOKUP(A23,[1]!TOX,21,FALSE)))+('S-3 Assumptions'!$K$42*(VLOOKUP(A23,[1]!TOX,23,FALSE)))))</f>
        <v>0</v>
      </c>
      <c r="C23" s="161">
        <f>'[1]Target Risk'!$D$8*(VLOOKUP(A23,[1]!TOX,10,FALSE))/'S-3 Assumptions'!$N$64</f>
        <v>0</v>
      </c>
      <c r="D23" s="161">
        <f t="shared" si="0"/>
        <v>0</v>
      </c>
      <c r="E23" s="161">
        <f>IF(ISERR(1/(VLOOKUP(A23,[1]!TOX,25,FALSE))),0,+'[1]Target Risk'!$D$12/(((('S-3 Assumptions'!$J$29+'S-3 Assumptions'!$O$93)*(VLOOKUP(A23,[1]!TOX,25,FALSE)))+('S-3 Assumptions'!$K$50*(VLOOKUP(A23,[1]!TOX,27,FALSE))))*(VLOOKUP(A23,[1]!TOX,12,FALSE))))</f>
        <v>87.472733955063958</v>
      </c>
      <c r="F23" s="161">
        <f>IF((VLOOKUP(A23,[1]!TOX,15,FALSE))=0,0, '[1]Target Risk'!$D$12/((VLOOKUP(A23,[1]!TOX,15,FALSE))*'S-3 Assumptions'!$N$72))</f>
        <v>38291.245719880135</v>
      </c>
      <c r="G23" s="162">
        <f t="shared" si="1"/>
        <v>87.273366193611039</v>
      </c>
      <c r="H23" s="160">
        <f>IF(D23=0,MIN(G23,(VLOOKUP(A23,[1]!TOX,77,FALSE))),IF(G23=0,MIN(D23,(VLOOKUP(A23,[1]!TOX,77,FALSE))),MIN(D23,G23,(VLOOKUP(A23,[1]!TOX,77,FALSE)))))</f>
        <v>87.273366193611039</v>
      </c>
      <c r="I23" s="162" t="str">
        <f>IF(H23=D23,"Noncancer Risk",IF(H23=G23,"Cancer Risk",(VLOOKUP(A23,[1]!TOX,78,FALSE))))</f>
        <v>Cancer Risk</v>
      </c>
      <c r="J23" s="163">
        <f>MAX(H23,(VLOOKUP(A23,[1]!TOX,50,FALSE)),(VLOOKUP(A23,[1]!TOX,35,FALSE)))</f>
        <v>87.273366193611039</v>
      </c>
      <c r="K23" s="164">
        <f t="shared" si="2"/>
        <v>90</v>
      </c>
      <c r="L23" s="165" t="str">
        <f>IF(J23=0,"Not Calculated",IF(J23=H23,I23,IF(J23=[1]Toxicity!AI19,"Background","PQL")))</f>
        <v>Cancer Risk</v>
      </c>
    </row>
    <row r="24" spans="1:12" ht="20" x14ac:dyDescent="0.25">
      <c r="A24" s="134" t="s">
        <v>90</v>
      </c>
      <c r="B24" s="160">
        <f>IF(ISERR(1/+(VLOOKUP(A24,[1]!TOX,21,FALSE))),0,'[1]Target Risk'!$D$8*(VLOOKUP(A24,[1]!TOX,6,FALSE))/((('S-3 Assumptions'!$J$21+'S-3 Assumptions'!$O$85)*(VLOOKUP(A24,[1]!TOX,21,FALSE)))+('S-3 Assumptions'!$K$42*(VLOOKUP(A24,[1]!TOX,23,FALSE)))))</f>
        <v>5524.9221428436367</v>
      </c>
      <c r="C24" s="161">
        <f>'[1]Target Risk'!$D$8*(VLOOKUP(A24,[1]!TOX,10,FALSE))/'S-3 Assumptions'!$N$64</f>
        <v>2501276.1613067901</v>
      </c>
      <c r="D24" s="161">
        <f t="shared" si="0"/>
        <v>5512.74536308795</v>
      </c>
      <c r="E24" s="161">
        <f>IF(ISERR(1/(VLOOKUP(A24,[1]!TOX,25,FALSE))),0,+'[1]Target Risk'!$D$12/(((('S-3 Assumptions'!$J$29+'S-3 Assumptions'!$O$93)*(VLOOKUP(A24,[1]!TOX,25,FALSE)))+('S-3 Assumptions'!$K$50*(VLOOKUP(A24,[1]!TOX,27,FALSE))))*(VLOOKUP(A24,[1]!TOX,12,FALSE))))</f>
        <v>1374.5715335795765</v>
      </c>
      <c r="F24" s="161">
        <f>IF((VLOOKUP(A24,[1]!TOX,15,FALSE))=0,0, '[1]Target Risk'!$D$12/((VLOOKUP(A24,[1]!TOX,15,FALSE))*'S-3 Assumptions'!$N$72))</f>
        <v>1263611.1087560444</v>
      </c>
      <c r="G24" s="162">
        <f t="shared" si="1"/>
        <v>1373.0778827577785</v>
      </c>
      <c r="H24" s="160">
        <f>IF(D24=0,MIN(G24,(VLOOKUP(A24,[1]!TOX,77,FALSE))),IF(G24=0,MIN(D24,(VLOOKUP(A24,[1]!TOX,77,FALSE))),MIN(D24,G24,(VLOOKUP(A24,[1]!TOX,77,FALSE)))))</f>
        <v>1373.0778827577785</v>
      </c>
      <c r="I24" s="162" t="str">
        <f>IF(H24=D24,"Noncancer Risk",IF(H24=G24,"Cancer Risk",(VLOOKUP(A24,[1]!TOX,78,FALSE))))</f>
        <v>Cancer Risk</v>
      </c>
      <c r="J24" s="163">
        <f>MAX(H24,(VLOOKUP(A24,[1]!TOX,50,FALSE)),(VLOOKUP(A24,[1]!TOX,35,FALSE)))</f>
        <v>1373.0778827577785</v>
      </c>
      <c r="K24" s="164">
        <f t="shared" si="2"/>
        <v>1000</v>
      </c>
      <c r="L24" s="165" t="str">
        <f>IF(J24=0,"Not Calculated",IF(J24=H24,I24,IF(J24=[1]Toxicity!AI20,"Background","PQL")))</f>
        <v>Cancer Risk</v>
      </c>
    </row>
    <row r="25" spans="1:12" ht="20" x14ac:dyDescent="0.25">
      <c r="A25" s="134" t="s">
        <v>89</v>
      </c>
      <c r="B25" s="160">
        <f>IF(ISERR(1/+(VLOOKUP(A25,[1]!TOX,21,FALSE))),0,'[1]Target Risk'!$D$8*(VLOOKUP(A25,[1]!TOX,6,FALSE))/((('S-3 Assumptions'!$J$21+'S-3 Assumptions'!$O$85)*(VLOOKUP(A25,[1]!TOX,21,FALSE)))+('S-3 Assumptions'!$K$42*(VLOOKUP(A25,[1]!TOX,23,FALSE)))))</f>
        <v>1776.0101837490404</v>
      </c>
      <c r="C25" s="161">
        <f>'[1]Target Risk'!$D$8*(VLOOKUP(A25,[1]!TOX,10,FALSE))/'S-3 Assumptions'!$N$64</f>
        <v>125063.80806533949</v>
      </c>
      <c r="D25" s="161">
        <f t="shared" si="0"/>
        <v>1751.1425024773278</v>
      </c>
      <c r="E25" s="161">
        <f>IF(ISERR(1/(VLOOKUP(A25,[1]!TOX,25,FALSE))),0,+'[1]Target Risk'!$D$12/(((('S-3 Assumptions'!$J$29+'S-3 Assumptions'!$O$93)*(VLOOKUP(A25,[1]!TOX,25,FALSE)))+('S-3 Assumptions'!$K$50*(VLOOKUP(A25,[1]!TOX,27,FALSE))))*(VLOOKUP(A25,[1]!TOX,12,FALSE))))</f>
        <v>4418.6198082284091</v>
      </c>
      <c r="F25" s="161">
        <f>IF((VLOOKUP(A25,[1]!TOX,15,FALSE))=0,0, '[1]Target Risk'!$D$12/((VLOOKUP(A25,[1]!TOX,15,FALSE))*'S-3 Assumptions'!$N$72))</f>
        <v>9720085.4519695714</v>
      </c>
      <c r="G25" s="162">
        <f t="shared" si="1"/>
        <v>4416.6120759198457</v>
      </c>
      <c r="H25" s="160">
        <f>IF(D25=0,MIN(G25,(VLOOKUP(A25,[1]!TOX,77,FALSE))),IF(G25=0,MIN(D25,(VLOOKUP(A25,[1]!TOX,77,FALSE))),MIN(D25,G25,(VLOOKUP(A25,[1]!TOX,77,FALSE)))))</f>
        <v>1751.1425024773278</v>
      </c>
      <c r="I25" s="162" t="str">
        <f>IF(H25=D25,"Noncancer Risk",IF(H25=G25,"Cancer Risk",(VLOOKUP(A25,[1]!TOX,78,FALSE))))</f>
        <v>Noncancer Risk</v>
      </c>
      <c r="J25" s="163">
        <f>MAX(H25,(VLOOKUP(A25,[1]!TOX,50,FALSE)),(VLOOKUP(A25,[1]!TOX,35,FALSE)))</f>
        <v>1751.1425024773278</v>
      </c>
      <c r="K25" s="164">
        <f t="shared" si="2"/>
        <v>2000</v>
      </c>
      <c r="L25" s="165" t="str">
        <f>IF(J25=0,"Not Calculated",IF(J25=H25,I25,IF(J25=[1]Toxicity!AI21,"Background","PQL")))</f>
        <v>Noncancer Risk</v>
      </c>
    </row>
    <row r="26" spans="1:12" ht="12.5" x14ac:dyDescent="0.25">
      <c r="A26" s="134" t="s">
        <v>88</v>
      </c>
      <c r="B26" s="160">
        <f>IF(ISERR(1/+(VLOOKUP(A26,[1]!TOX,21,FALSE))),0,'[1]Target Risk'!$D$8*(VLOOKUP(A26,[1]!TOX,6,FALSE))/((('S-3 Assumptions'!$J$21+'S-3 Assumptions'!$O$85)*(VLOOKUP(A26,[1]!TOX,21,FALSE)))+('S-3 Assumptions'!$K$42*(VLOOKUP(A26,[1]!TOX,23,FALSE)))))</f>
        <v>1104.9844285687273</v>
      </c>
      <c r="C26" s="161">
        <f>'[1]Target Risk'!$D$8*(VLOOKUP(A26,[1]!TOX,10,FALSE))/'S-3 Assumptions'!$N$64</f>
        <v>357325.16590096994</v>
      </c>
      <c r="D26" s="161">
        <f t="shared" si="0"/>
        <v>1101.5779333666446</v>
      </c>
      <c r="E26" s="161">
        <f>IF(ISERR(1/(VLOOKUP(A26,[1]!TOX,25,FALSE))),0,+'[1]Target Risk'!$D$12/(((('S-3 Assumptions'!$J$29+'S-3 Assumptions'!$O$93)*(VLOOKUP(A26,[1]!TOX,25,FALSE)))+('S-3 Assumptions'!$K$50*(VLOOKUP(A26,[1]!TOX,27,FALSE))))*(VLOOKUP(A26,[1]!TOX,12,FALSE))))</f>
        <v>1551.9356024285541</v>
      </c>
      <c r="F26" s="161">
        <f>IF((VLOOKUP(A26,[1]!TOX,15,FALSE))=0,0, '[1]Target Risk'!$D$12/((VLOOKUP(A26,[1]!TOX,15,FALSE))*'S-3 Assumptions'!$N$72))</f>
        <v>713328.8517171219</v>
      </c>
      <c r="G26" s="162">
        <f t="shared" si="1"/>
        <v>1548.5665034727463</v>
      </c>
      <c r="H26" s="160">
        <f>IF(D26=0,MIN(G26,(VLOOKUP(A26,[1]!TOX,77,FALSE))),IF(G26=0,MIN(D26,(VLOOKUP(A26,[1]!TOX,77,FALSE))),MIN(D26,G26,(VLOOKUP(A26,[1]!TOX,77,FALSE)))))</f>
        <v>500</v>
      </c>
      <c r="I26" s="162" t="str">
        <f>IF(H26=D26,"Noncancer Risk",IF(H26=G26,"Cancer Risk",(VLOOKUP(A26,[1]!TOX,78,FALSE))))</f>
        <v>High Volatility</v>
      </c>
      <c r="J26" s="163">
        <f>MAX(H26,(VLOOKUP(A26,[1]!TOX,50,FALSE)),(VLOOKUP(A26,[1]!TOX,35,FALSE)))</f>
        <v>500</v>
      </c>
      <c r="K26" s="164">
        <f t="shared" si="2"/>
        <v>500</v>
      </c>
      <c r="L26" s="165" t="str">
        <f>IF(J26=0,"Not Calculated",IF(J26=H26,I26,IF(J26=[1]Toxicity!AI22,"Background","PQL")))</f>
        <v>High Volatility</v>
      </c>
    </row>
    <row r="27" spans="1:12" ht="20" x14ac:dyDescent="0.25">
      <c r="A27" s="134" t="s">
        <v>87</v>
      </c>
      <c r="B27" s="160">
        <f>IF(ISERR(1/+(VLOOKUP(A27,[1]!TOX,21,FALSE))),0,'[1]Target Risk'!$D$8*(VLOOKUP(A27,[1]!TOX,6,FALSE))/((('S-3 Assumptions'!$J$21+'S-3 Assumptions'!$O$85)*(VLOOKUP(A27,[1]!TOX,21,FALSE)))+('S-3 Assumptions'!$K$42*(VLOOKUP(A27,[1]!TOX,23,FALSE)))))</f>
        <v>4143.6916071327278</v>
      </c>
      <c r="C27" s="161">
        <f>'[1]Target Risk'!$D$8*(VLOOKUP(A27,[1]!TOX,10,FALSE))/'S-3 Assumptions'!$N$64</f>
        <v>1607963.2465543645</v>
      </c>
      <c r="D27" s="161">
        <f t="shared" si="0"/>
        <v>4133.0408371815711</v>
      </c>
      <c r="E27" s="161">
        <f>IF(ISERR(1/(VLOOKUP(A27,[1]!TOX,25,FALSE))),0,+'[1]Target Risk'!$D$12/(((('S-3 Assumptions'!$J$29+'S-3 Assumptions'!$O$93)*(VLOOKUP(A27,[1]!TOX,25,FALSE)))+('S-3 Assumptions'!$K$50*(VLOOKUP(A27,[1]!TOX,27,FALSE))))*(VLOOKUP(A27,[1]!TOX,12,FALSE))))</f>
        <v>12179.747765894979</v>
      </c>
      <c r="F27" s="161">
        <f>IF((VLOOKUP(A27,[1]!TOX,15,FALSE))=0,0, '[1]Target Risk'!$D$12/((VLOOKUP(A27,[1]!TOX,15,FALSE))*'S-3 Assumptions'!$N$72))</f>
        <v>11487373.715964038</v>
      </c>
      <c r="G27" s="162">
        <f t="shared" si="1"/>
        <v>12166.847590587415</v>
      </c>
      <c r="H27" s="160">
        <f>IF(D27=0,MIN(G27,(VLOOKUP(A27,[1]!TOX,77,FALSE))),IF(G27=0,MIN(D27,(VLOOKUP(A27,[1]!TOX,77,FALSE))),MIN(D27,G27,(VLOOKUP(A27,[1]!TOX,77,FALSE)))))</f>
        <v>3000</v>
      </c>
      <c r="I27" s="162" t="str">
        <f>IF(H27=D27,"Noncancer Risk",IF(H27=G27,"Cancer Risk",(VLOOKUP(A27,[1]!TOX,78,FALSE))))</f>
        <v>Ceiling (Medium)</v>
      </c>
      <c r="J27" s="163">
        <f>MAX(H27,(VLOOKUP(A27,[1]!TOX,50,FALSE)),(VLOOKUP(A27,[1]!TOX,35,FALSE)))</f>
        <v>3000</v>
      </c>
      <c r="K27" s="164">
        <f t="shared" si="2"/>
        <v>3000</v>
      </c>
      <c r="L27" s="165" t="str">
        <f>IF(J27=0,"Not Calculated",IF(J27=H27,I27,IF(J27=[1]Toxicity!AI23,"Background","PQL")))</f>
        <v>Ceiling (Medium)</v>
      </c>
    </row>
    <row r="28" spans="1:12" ht="12.5" x14ac:dyDescent="0.25">
      <c r="A28" s="134" t="s">
        <v>86</v>
      </c>
      <c r="B28" s="160">
        <f>IF(ISERR(1/+(VLOOKUP(A28,[1]!TOX,21,FALSE))),0,'[1]Target Risk'!$D$8*(VLOOKUP(A28,[1]!TOX,6,FALSE))/((('S-3 Assumptions'!$J$21+'S-3 Assumptions'!$O$85)*(VLOOKUP(A28,[1]!TOX,21,FALSE)))+('S-3 Assumptions'!$K$42*(VLOOKUP(A28,[1]!TOX,23,FALSE)))))</f>
        <v>690.61526785545459</v>
      </c>
      <c r="C28" s="161">
        <f>'[1]Target Risk'!$D$8*(VLOOKUP(A28,[1]!TOX,10,FALSE))/'S-3 Assumptions'!$N$64</f>
        <v>1786625.8295048501</v>
      </c>
      <c r="D28" s="161">
        <f t="shared" si="0"/>
        <v>690.34841558674179</v>
      </c>
      <c r="E28" s="161">
        <f>IF(ISERR(1/(VLOOKUP(A28,[1]!TOX,25,FALSE))),0,+'[1]Target Risk'!$D$12/(((('S-3 Assumptions'!$J$29+'S-3 Assumptions'!$O$93)*(VLOOKUP(A28,[1]!TOX,25,FALSE)))+('S-3 Assumptions'!$K$50*(VLOOKUP(A28,[1]!TOX,27,FALSE))))*(VLOOKUP(A28,[1]!TOX,12,FALSE))))</f>
        <v>0</v>
      </c>
      <c r="F28" s="161">
        <f>IF((VLOOKUP(A28,[1]!TOX,15,FALSE))=0,0, '[1]Target Risk'!$D$12/((VLOOKUP(A28,[1]!TOX,15,FALSE))*'S-3 Assumptions'!$N$72))</f>
        <v>0</v>
      </c>
      <c r="G28" s="162">
        <f t="shared" si="1"/>
        <v>0</v>
      </c>
      <c r="H28" s="160">
        <f>IF(D28=0,MIN(G28,(VLOOKUP(A28,[1]!TOX,77,FALSE))),IF(G28=0,MIN(D28,(VLOOKUP(A28,[1]!TOX,77,FALSE))),MIN(D28,G28,(VLOOKUP(A28,[1]!TOX,77,FALSE)))))</f>
        <v>690.34841558674179</v>
      </c>
      <c r="I28" s="162" t="str">
        <f>IF(H28=D28,"Noncancer Risk",IF(H28=G28,"Cancer Risk",(VLOOKUP(A28,[1]!TOX,78,FALSE))))</f>
        <v>Noncancer Risk</v>
      </c>
      <c r="J28" s="163">
        <f>MAX(H28,(VLOOKUP(A28,[1]!TOX,50,FALSE)),(VLOOKUP(A28,[1]!TOX,35,FALSE)))</f>
        <v>690.34841558674179</v>
      </c>
      <c r="K28" s="164">
        <f t="shared" si="2"/>
        <v>700</v>
      </c>
      <c r="L28" s="165" t="str">
        <f>IF(J28=0,"Not Calculated",IF(J28=H28,I28,IF(J28=[1]Toxicity!AI24,"Background","PQL")))</f>
        <v>Noncancer Risk</v>
      </c>
    </row>
    <row r="29" spans="1:12" ht="12.5" x14ac:dyDescent="0.25">
      <c r="A29" s="134" t="s">
        <v>85</v>
      </c>
      <c r="B29" s="160">
        <f>IF(ISERR(1/+(VLOOKUP(A29,[1]!TOX,21,FALSE))),0,'[1]Target Risk'!$D$8*(VLOOKUP(A29,[1]!TOX,6,FALSE))/((('S-3 Assumptions'!$J$21+'S-3 Assumptions'!$O$85)*(VLOOKUP(A29,[1]!TOX,21,FALSE)))+('S-3 Assumptions'!$K$42*(VLOOKUP(A29,[1]!TOX,23,FALSE)))))</f>
        <v>150.02731075057019</v>
      </c>
      <c r="C29" s="161">
        <f>'[1]Target Risk'!$D$8*(VLOOKUP(A29,[1]!TOX,10,FALSE))/'S-3 Assumptions'!$N$64</f>
        <v>178.66258295048499</v>
      </c>
      <c r="D29" s="161">
        <f t="shared" si="0"/>
        <v>81.548801364092213</v>
      </c>
      <c r="E29" s="161">
        <f>IF(ISERR(1/(VLOOKUP(A29,[1]!TOX,25,FALSE))),0,+'[1]Target Risk'!$D$12/(((('S-3 Assumptions'!$J$29+'S-3 Assumptions'!$O$93)*(VLOOKUP(A29,[1]!TOX,25,FALSE)))+('S-3 Assumptions'!$K$50*(VLOOKUP(A29,[1]!TOX,27,FALSE))))*(VLOOKUP(A29,[1]!TOX,12,FALSE))))</f>
        <v>0</v>
      </c>
      <c r="F29" s="161">
        <f>IF((VLOOKUP(A29,[1]!TOX,15,FALSE))=0,0, '[1]Target Risk'!$D$12/((VLOOKUP(A29,[1]!TOX,15,FALSE))*'S-3 Assumptions'!$N$72))</f>
        <v>3008.5978779905818</v>
      </c>
      <c r="G29" s="162">
        <f t="shared" si="1"/>
        <v>3008.5978779905818</v>
      </c>
      <c r="H29" s="160">
        <f>IF(D29=0,MIN(G29,(VLOOKUP(A29,[1]!TOX,77,FALSE))),IF(G29=0,MIN(D29,(VLOOKUP(A29,[1]!TOX,77,FALSE))),MIN(D29,G29,(VLOOKUP(A29,[1]!TOX,77,FALSE)))))</f>
        <v>81.548801364092213</v>
      </c>
      <c r="I29" s="162" t="str">
        <f>IF(H29=D29,"Noncancer Risk",IF(H29=G29,"Cancer Risk",(VLOOKUP(A29,[1]!TOX,78,FALSE))))</f>
        <v>Noncancer Risk</v>
      </c>
      <c r="J29" s="163">
        <f>MAX(H29,(VLOOKUP(A29,[1]!TOX,50,FALSE)),(VLOOKUP(A29,[1]!TOX,35,FALSE)))</f>
        <v>81.548801364092213</v>
      </c>
      <c r="K29" s="164">
        <f t="shared" si="2"/>
        <v>80</v>
      </c>
      <c r="L29" s="165" t="str">
        <f>IF(J29=0,"Not Calculated",IF(J29=H29,I29,IF(J29=[1]Toxicity!AI25,"Background","PQL")))</f>
        <v>Noncancer Risk</v>
      </c>
    </row>
    <row r="30" spans="1:12" ht="12.5" x14ac:dyDescent="0.25">
      <c r="A30" s="134" t="s">
        <v>84</v>
      </c>
      <c r="B30" s="160">
        <f>IF(ISERR(1/+(VLOOKUP(A30,[1]!TOX,21,FALSE))),0,'[1]Target Risk'!$D$8*(VLOOKUP(A30,[1]!TOX,6,FALSE))/((('S-3 Assumptions'!$J$21+'S-3 Assumptions'!$O$85)*(VLOOKUP(A30,[1]!TOX,21,FALSE)))+('S-3 Assumptions'!$K$42*(VLOOKUP(A30,[1]!TOX,23,FALSE)))))</f>
        <v>1381.2305357109092</v>
      </c>
      <c r="C30" s="161">
        <f>'[1]Target Risk'!$D$8*(VLOOKUP(A30,[1]!TOX,10,FALSE))/'S-3 Assumptions'!$N$64</f>
        <v>1786625.8295048501</v>
      </c>
      <c r="D30" s="161">
        <f t="shared" si="0"/>
        <v>1380.1635389213457</v>
      </c>
      <c r="E30" s="161">
        <f>IF(ISERR(1/(VLOOKUP(A30,[1]!TOX,25,FALSE))),0,+'[1]Target Risk'!$D$12/(((('S-3 Assumptions'!$J$29+'S-3 Assumptions'!$O$93)*(VLOOKUP(A30,[1]!TOX,25,FALSE)))+('S-3 Assumptions'!$K$50*(VLOOKUP(A30,[1]!TOX,27,FALSE))))*(VLOOKUP(A30,[1]!TOX,12,FALSE))))</f>
        <v>1374.5715335795765</v>
      </c>
      <c r="F30" s="161">
        <f>IF((VLOOKUP(A30,[1]!TOX,15,FALSE))=0,0, '[1]Target Risk'!$D$12/((VLOOKUP(A30,[1]!TOX,15,FALSE))*'S-3 Assumptions'!$N$72))</f>
        <v>2106018.5145934075</v>
      </c>
      <c r="G30" s="162">
        <f t="shared" si="1"/>
        <v>1373.6749533860827</v>
      </c>
      <c r="H30" s="160">
        <f>IF(D30=0,MIN(G30,(VLOOKUP(A30,[1]!TOX,77,FALSE))),IF(G30=0,MIN(D30,(VLOOKUP(A30,[1]!TOX,77,FALSE))),MIN(D30,G30,(VLOOKUP(A30,[1]!TOX,77,FALSE)))))</f>
        <v>1373.6749533860827</v>
      </c>
      <c r="I30" s="162" t="str">
        <f>IF(H30=D30,"Noncancer Risk",IF(H30=G30,"Cancer Risk",(VLOOKUP(A30,[1]!TOX,78,FALSE))))</f>
        <v>Cancer Risk</v>
      </c>
      <c r="J30" s="163">
        <f>MAX(H30,(VLOOKUP(A30,[1]!TOX,50,FALSE)),(VLOOKUP(A30,[1]!TOX,35,FALSE)))</f>
        <v>1373.6749533860827</v>
      </c>
      <c r="K30" s="164">
        <f t="shared" si="2"/>
        <v>1000</v>
      </c>
      <c r="L30" s="165" t="str">
        <f>IF(J30=0,"Not Calculated",IF(J30=H30,I30,IF(J30=[1]Toxicity!AI26,"Background","PQL")))</f>
        <v>Cancer Risk</v>
      </c>
    </row>
    <row r="31" spans="1:12" ht="12.5" x14ac:dyDescent="0.25">
      <c r="A31" s="134" t="s">
        <v>83</v>
      </c>
      <c r="B31" s="160">
        <f>IF(ISERR(1/+(VLOOKUP(A31,[1]!TOX,21,FALSE))),0,'[1]Target Risk'!$D$8*(VLOOKUP(A31,[1]!TOX,6,FALSE))/((('S-3 Assumptions'!$J$21+'S-3 Assumptions'!$O$85)*(VLOOKUP(A31,[1]!TOX,21,FALSE)))+('S-3 Assumptions'!$K$42*(VLOOKUP(A31,[1]!TOX,23,FALSE)))))</f>
        <v>63.984529220637242</v>
      </c>
      <c r="C31" s="161">
        <f>'[1]Target Risk'!$D$8*(VLOOKUP(A31,[1]!TOX,10,FALSE))/'S-3 Assumptions'!$N$64</f>
        <v>125063.80806533949</v>
      </c>
      <c r="D31" s="161">
        <f t="shared" si="0"/>
        <v>63.951810510471446</v>
      </c>
      <c r="E31" s="161">
        <f>IF(ISERR(1/(VLOOKUP(A31,[1]!TOX,25,FALSE))),0,+'[1]Target Risk'!$D$12/(((('S-3 Assumptions'!$J$29+'S-3 Assumptions'!$O$93)*(VLOOKUP(A31,[1]!TOX,25,FALSE)))+('S-3 Assumptions'!$K$50*(VLOOKUP(A31,[1]!TOX,27,FALSE))))*(VLOOKUP(A31,[1]!TOX,12,FALSE))))</f>
        <v>254.70422259644204</v>
      </c>
      <c r="F31" s="161">
        <f>IF((VLOOKUP(A31,[1]!TOX,15,FALSE))=0,0, '[1]Target Risk'!$D$12/((VLOOKUP(A31,[1]!TOX,15,FALSE))*'S-3 Assumptions'!$N$72))</f>
        <v>126361.11087560444</v>
      </c>
      <c r="G31" s="162">
        <f t="shared" si="1"/>
        <v>254.1918518396125</v>
      </c>
      <c r="H31" s="160">
        <f>IF(D31=0,MIN(G31,(VLOOKUP(A31,[1]!TOX,77,FALSE))),IF(G31=0,MIN(D31,(VLOOKUP(A31,[1]!TOX,77,FALSE))),MIN(D31,G31,(VLOOKUP(A31,[1]!TOX,77,FALSE)))))</f>
        <v>63.951810510471446</v>
      </c>
      <c r="I31" s="162" t="str">
        <f>IF(H31=D31,"Noncancer Risk",IF(H31=G31,"Cancer Risk",(VLOOKUP(A31,[1]!TOX,78,FALSE))))</f>
        <v>Noncancer Risk</v>
      </c>
      <c r="J31" s="163">
        <f>MAX(H31,(VLOOKUP(A31,[1]!TOX,50,FALSE)),(VLOOKUP(A31,[1]!TOX,35,FALSE)))</f>
        <v>63.951810510471446</v>
      </c>
      <c r="K31" s="164">
        <f t="shared" si="2"/>
        <v>60</v>
      </c>
      <c r="L31" s="165" t="str">
        <f>IF(J31=0,"Not Calculated",IF(J31=H31,I31,IF(J31=[1]Toxicity!AI27,"Background","PQL")))</f>
        <v>Noncancer Risk</v>
      </c>
    </row>
    <row r="32" spans="1:12" ht="12.5" x14ac:dyDescent="0.25">
      <c r="A32" s="134" t="s">
        <v>82</v>
      </c>
      <c r="B32" s="160">
        <f>IF(ISERR(1/+(VLOOKUP(A32,[1]!TOX,21,FALSE))),0,'[1]Target Risk'!$D$8*(VLOOKUP(A32,[1]!TOX,6,FALSE))/((('S-3 Assumptions'!$J$21+'S-3 Assumptions'!$O$85)*(VLOOKUP(A32,[1]!TOX,21,FALSE)))+('S-3 Assumptions'!$K$42*(VLOOKUP(A32,[1]!TOX,23,FALSE)))))</f>
        <v>44.400254593726011</v>
      </c>
      <c r="C32" s="161">
        <f>'[1]Target Risk'!$D$8*(VLOOKUP(A32,[1]!TOX,10,FALSE))/'S-3 Assumptions'!$N$64</f>
        <v>35732.516590096995</v>
      </c>
      <c r="D32" s="161">
        <f t="shared" si="0"/>
        <v>44.345152511661603</v>
      </c>
      <c r="E32" s="161">
        <f>IF(ISERR(1/(VLOOKUP(A32,[1]!TOX,25,FALSE))),0,+'[1]Target Risk'!$D$12/(((('S-3 Assumptions'!$J$29+'S-3 Assumptions'!$O$93)*(VLOOKUP(A32,[1]!TOX,25,FALSE)))+('S-3 Assumptions'!$K$50*(VLOOKUP(A32,[1]!TOX,27,FALSE))))*(VLOOKUP(A32,[1]!TOX,12,FALSE))))</f>
        <v>309.30338657598861</v>
      </c>
      <c r="F32" s="161">
        <f>IF((VLOOKUP(A32,[1]!TOX,15,FALSE))=0,0, '[1]Target Risk'!$D$12/((VLOOKUP(A32,[1]!TOX,15,FALSE))*'S-3 Assumptions'!$N$72))</f>
        <v>0</v>
      </c>
      <c r="G32" s="162">
        <f t="shared" si="1"/>
        <v>309.30338657598861</v>
      </c>
      <c r="H32" s="160">
        <f>IF(D32=0,MIN(G32,(VLOOKUP(A32,[1]!TOX,77,FALSE))),IF(G32=0,MIN(D32,(VLOOKUP(A32,[1]!TOX,77,FALSE))),MIN(D32,G32,(VLOOKUP(A32,[1]!TOX,77,FALSE)))))</f>
        <v>44.345152511661603</v>
      </c>
      <c r="I32" s="162" t="str">
        <f>IF(H32=D32,"Noncancer Risk",IF(H32=G32,"Cancer Risk",(VLOOKUP(A32,[1]!TOX,78,FALSE))))</f>
        <v>Noncancer Risk</v>
      </c>
      <c r="J32" s="163">
        <f>MAX(H32,(VLOOKUP(A32,[1]!TOX,50,FALSE)),(VLOOKUP(A32,[1]!TOX,35,FALSE)))</f>
        <v>44.345152511661603</v>
      </c>
      <c r="K32" s="164">
        <f t="shared" si="2"/>
        <v>40</v>
      </c>
      <c r="L32" s="165" t="str">
        <f>IF(J32=0,"Not Calculated",IF(J32=H32,I32,IF(J32=[1]Toxicity!AI28,"Background","PQL")))</f>
        <v>Noncancer Risk</v>
      </c>
    </row>
    <row r="33" spans="1:12" ht="20" x14ac:dyDescent="0.25">
      <c r="A33" s="134" t="s">
        <v>81</v>
      </c>
      <c r="B33" s="160">
        <f>IF(ISERR(1/+(VLOOKUP(A33,[1]!TOX,21,FALSE))),0,'[1]Target Risk'!$D$8*(VLOOKUP(A33,[1]!TOX,6,FALSE))/((('S-3 Assumptions'!$J$21+'S-3 Assumptions'!$O$85)*(VLOOKUP(A33,[1]!TOX,21,FALSE)))+('S-3 Assumptions'!$K$42*(VLOOKUP(A33,[1]!TOX,23,FALSE)))))</f>
        <v>9668.6137499763645</v>
      </c>
      <c r="C33" s="161">
        <f>'[1]Target Risk'!$D$8*(VLOOKUP(A33,[1]!TOX,10,FALSE))/'S-3 Assumptions'!$N$64</f>
        <v>8933129.1475242488</v>
      </c>
      <c r="D33" s="161">
        <f t="shared" si="0"/>
        <v>9658.1604115087284</v>
      </c>
      <c r="E33" s="161">
        <f>IF(ISERR(1/(VLOOKUP(A33,[1]!TOX,25,FALSE))),0,+'[1]Target Risk'!$D$12/(((('S-3 Assumptions'!$J$29+'S-3 Assumptions'!$O$93)*(VLOOKUP(A33,[1]!TOX,25,FALSE)))+('S-3 Assumptions'!$K$50*(VLOOKUP(A33,[1]!TOX,27,FALSE))))*(VLOOKUP(A33,[1]!TOX,12,FALSE))))</f>
        <v>0</v>
      </c>
      <c r="F33" s="161">
        <f>IF((VLOOKUP(A33,[1]!TOX,15,FALSE))=0,0, '[1]Target Risk'!$D$12/((VLOOKUP(A33,[1]!TOX,15,FALSE))*'S-3 Assumptions'!$N$72))</f>
        <v>0</v>
      </c>
      <c r="G33" s="162">
        <f t="shared" si="1"/>
        <v>0</v>
      </c>
      <c r="H33" s="160">
        <f>IF(D33=0,MIN(G33,(VLOOKUP(A33,[1]!TOX,77,FALSE))),IF(G33=0,MIN(D33,(VLOOKUP(A33,[1]!TOX,77,FALSE))),MIN(D33,G33,(VLOOKUP(A33,[1]!TOX,77,FALSE)))))</f>
        <v>3000</v>
      </c>
      <c r="I33" s="162" t="str">
        <f>IF(H33=D33,"Noncancer Risk",IF(H33=G33,"Cancer Risk",(VLOOKUP(A33,[1]!TOX,78,FALSE))))</f>
        <v>Ceiling (Medium)</v>
      </c>
      <c r="J33" s="163">
        <f>MAX(H33,(VLOOKUP(A33,[1]!TOX,50,FALSE)),(VLOOKUP(A33,[1]!TOX,35,FALSE)))</f>
        <v>3000</v>
      </c>
      <c r="K33" s="164">
        <f t="shared" si="2"/>
        <v>3000</v>
      </c>
      <c r="L33" s="165" t="str">
        <f>IF(J33=0,"Not Calculated",IF(J33=H33,I33,IF(J33=[1]Toxicity!AI29,"Background","PQL")))</f>
        <v>Ceiling (Medium)</v>
      </c>
    </row>
    <row r="34" spans="1:12" ht="12.5" x14ac:dyDescent="0.25">
      <c r="A34" s="134" t="s">
        <v>80</v>
      </c>
      <c r="B34" s="160">
        <f>IF(ISERR(1/+(VLOOKUP(A34,[1]!TOX,21,FALSE))),0,'[1]Target Risk'!$D$8*(VLOOKUP(A34,[1]!TOX,6,FALSE))/((('S-3 Assumptions'!$J$21+'S-3 Assumptions'!$O$85)*(VLOOKUP(A34,[1]!TOX,21,FALSE)))+('S-3 Assumptions'!$K$42*(VLOOKUP(A34,[1]!TOX,23,FALSE)))))</f>
        <v>1381.2305357109092</v>
      </c>
      <c r="C34" s="161">
        <f>'[1]Target Risk'!$D$8*(VLOOKUP(A34,[1]!TOX,10,FALSE))/'S-3 Assumptions'!$N$64</f>
        <v>11791730.474732008</v>
      </c>
      <c r="D34" s="161">
        <f t="shared" si="0"/>
        <v>1381.0687634967167</v>
      </c>
      <c r="E34" s="161">
        <f>IF(ISERR(1/(VLOOKUP(A34,[1]!TOX,25,FALSE))),0,+'[1]Target Risk'!$D$12/(((('S-3 Assumptions'!$J$29+'S-3 Assumptions'!$O$93)*(VLOOKUP(A34,[1]!TOX,25,FALSE)))+('S-3 Assumptions'!$K$50*(VLOOKUP(A34,[1]!TOX,27,FALSE))))*(VLOOKUP(A34,[1]!TOX,12,FALSE))))</f>
        <v>0</v>
      </c>
      <c r="F34" s="161">
        <f>IF((VLOOKUP(A34,[1]!TOX,15,FALSE))=0,0, '[1]Target Risk'!$D$12/((VLOOKUP(A34,[1]!TOX,15,FALSE))*'S-3 Assumptions'!$N$72))</f>
        <v>549396.13424175838</v>
      </c>
      <c r="G34" s="162">
        <f t="shared" si="1"/>
        <v>549396.13424175838</v>
      </c>
      <c r="H34" s="160">
        <f>IF(D34=0,MIN(G34,(VLOOKUP(A34,[1]!TOX,77,FALSE))),IF(G34=0,MIN(D34,(VLOOKUP(A34,[1]!TOX,77,FALSE))),MIN(D34,G34,(VLOOKUP(A34,[1]!TOX,77,FALSE)))))</f>
        <v>1381.0687634967167</v>
      </c>
      <c r="I34" s="162" t="str">
        <f>IF(H34=D34,"Noncancer Risk",IF(H34=G34,"Cancer Risk",(VLOOKUP(A34,[1]!TOX,78,FALSE))))</f>
        <v>Noncancer Risk</v>
      </c>
      <c r="J34" s="163">
        <f>MAX(H34,(VLOOKUP(A34,[1]!TOX,50,FALSE)),(VLOOKUP(A34,[1]!TOX,35,FALSE)))</f>
        <v>1381.0687634967167</v>
      </c>
      <c r="K34" s="164">
        <f t="shared" si="2"/>
        <v>1000</v>
      </c>
      <c r="L34" s="165" t="str">
        <f>IF(J34=0,"Not Calculated",IF(J34=H34,I34,IF(J34=[1]Toxicity!AI30,"Background","PQL")))</f>
        <v>Noncancer Risk</v>
      </c>
    </row>
    <row r="35" spans="1:12" ht="12.5" x14ac:dyDescent="0.25">
      <c r="A35" s="134" t="s">
        <v>79</v>
      </c>
      <c r="B35" s="160">
        <f>IF(ISERR(1/+(VLOOKUP(A35,[1]!TOX,21,FALSE))),0,'[1]Target Risk'!$D$8*(VLOOKUP(A35,[1]!TOX,6,FALSE))/((('S-3 Assumptions'!$J$21+'S-3 Assumptions'!$O$85)*(VLOOKUP(A35,[1]!TOX,21,FALSE)))+('S-3 Assumptions'!$K$42*(VLOOKUP(A35,[1]!TOX,23,FALSE)))))</f>
        <v>351.6397620771279</v>
      </c>
      <c r="C35" s="161">
        <f>'[1]Target Risk'!$D$8*(VLOOKUP(A35,[1]!TOX,10,FALSE))/'S-3 Assumptions'!$N$64</f>
        <v>535987.74885145493</v>
      </c>
      <c r="D35" s="161">
        <f t="shared" si="0"/>
        <v>351.40921678267676</v>
      </c>
      <c r="E35" s="161">
        <f>IF(ISERR(1/(VLOOKUP(A35,[1]!TOX,25,FALSE))),0,+'[1]Target Risk'!$D$12/(((('S-3 Assumptions'!$J$29+'S-3 Assumptions'!$O$93)*(VLOOKUP(A35,[1]!TOX,25,FALSE)))+('S-3 Assumptions'!$K$50*(VLOOKUP(A35,[1]!TOX,27,FALSE))))*(VLOOKUP(A35,[1]!TOX,12,FALSE))))</f>
        <v>0</v>
      </c>
      <c r="F35" s="161">
        <f>IF((VLOOKUP(A35,[1]!TOX,15,FALSE))=0,0, '[1]Target Risk'!$D$12/((VLOOKUP(A35,[1]!TOX,15,FALSE))*'S-3 Assumptions'!$N$72))</f>
        <v>0</v>
      </c>
      <c r="G35" s="162">
        <f t="shared" si="1"/>
        <v>0</v>
      </c>
      <c r="H35" s="160">
        <f>IF(D35=0,MIN(G35,(VLOOKUP(A35,[1]!TOX,77,FALSE))),IF(G35=0,MIN(D35,(VLOOKUP(A35,[1]!TOX,77,FALSE))),MIN(D35,G35,(VLOOKUP(A35,[1]!TOX,77,FALSE)))))</f>
        <v>351.40921678267676</v>
      </c>
      <c r="I35" s="162" t="str">
        <f>IF(H35=D35,"Noncancer Risk",IF(H35=G35,"Cancer Risk",(VLOOKUP(A35,[1]!TOX,78,FALSE))))</f>
        <v>Noncancer Risk</v>
      </c>
      <c r="J35" s="163">
        <f>MAX(H35,(VLOOKUP(A35,[1]!TOX,50,FALSE)),(VLOOKUP(A35,[1]!TOX,35,FALSE)))</f>
        <v>351.40921678267676</v>
      </c>
      <c r="K35" s="164">
        <f t="shared" si="2"/>
        <v>400</v>
      </c>
      <c r="L35" s="165" t="str">
        <f>IF(J35=0,"Not Calculated",IF(J35=H35,I35,IF(J35=[1]Toxicity!AI31,"Background","PQL")))</f>
        <v>Noncancer Risk</v>
      </c>
    </row>
    <row r="36" spans="1:12" ht="12.5" x14ac:dyDescent="0.25">
      <c r="A36" s="134" t="s">
        <v>78</v>
      </c>
      <c r="B36" s="160">
        <f>IF(ISERR(1/+(VLOOKUP(A36,[1]!TOX,21,FALSE))),0,'[1]Target Risk'!$D$8*(VLOOKUP(A36,[1]!TOX,6,FALSE))/((('S-3 Assumptions'!$J$21+'S-3 Assumptions'!$O$85)*(VLOOKUP(A36,[1]!TOX,21,FALSE)))+('S-3 Assumptions'!$K$42*(VLOOKUP(A36,[1]!TOX,23,FALSE)))))</f>
        <v>1776.0101837490404</v>
      </c>
      <c r="C36" s="161">
        <f>'[1]Target Risk'!$D$8*(VLOOKUP(A36,[1]!TOX,10,FALSE))/'S-3 Assumptions'!$N$64</f>
        <v>5359.8774885145494</v>
      </c>
      <c r="D36" s="161">
        <f t="shared" si="0"/>
        <v>1333.9891882336015</v>
      </c>
      <c r="E36" s="161">
        <f>IF(ISERR(1/(VLOOKUP(A36,[1]!TOX,25,FALSE))),0,+'[1]Target Risk'!$D$12/(((('S-3 Assumptions'!$J$29+'S-3 Assumptions'!$O$93)*(VLOOKUP(A36,[1]!TOX,25,FALSE)))+('S-3 Assumptions'!$K$50*(VLOOKUP(A36,[1]!TOX,27,FALSE))))*(VLOOKUP(A36,[1]!TOX,12,FALSE))))</f>
        <v>0</v>
      </c>
      <c r="F36" s="161">
        <f>IF((VLOOKUP(A36,[1]!TOX,15,FALSE))=0,0, '[1]Target Risk'!$D$12/((VLOOKUP(A36,[1]!TOX,15,FALSE))*'S-3 Assumptions'!$N$72))</f>
        <v>1053.0092572967037</v>
      </c>
      <c r="G36" s="162">
        <f t="shared" si="1"/>
        <v>1053.0092572967037</v>
      </c>
      <c r="H36" s="160">
        <f>IF(D36=0,MIN(G36,(VLOOKUP(A36,[1]!TOX,77,FALSE))),IF(G36=0,MIN(D36,(VLOOKUP(A36,[1]!TOX,77,FALSE))),MIN(D36,G36,(VLOOKUP(A36,[1]!TOX,77,FALSE)))))</f>
        <v>1053.0092572967037</v>
      </c>
      <c r="I36" s="162" t="str">
        <f>IF(H36=D36,"Noncancer Risk",IF(H36=G36,"Cancer Risk",(VLOOKUP(A36,[1]!TOX,78,FALSE))))</f>
        <v>Cancer Risk</v>
      </c>
      <c r="J36" s="163">
        <f>MAX(H36,(VLOOKUP(A36,[1]!TOX,50,FALSE)),(VLOOKUP(A36,[1]!TOX,35,FALSE)))</f>
        <v>1053.0092572967037</v>
      </c>
      <c r="K36" s="164">
        <f>MIN(K37:K38)</f>
        <v>200</v>
      </c>
      <c r="L36" s="165" t="s">
        <v>295</v>
      </c>
    </row>
    <row r="37" spans="1:12" ht="12.5" x14ac:dyDescent="0.25">
      <c r="A37" s="134" t="s">
        <v>77</v>
      </c>
      <c r="B37" s="160">
        <f>IF(ISERR(1/+(VLOOKUP(A37,[1]!TOX,21,FALSE))),0,'[1]Target Risk'!$D$8*(VLOOKUP(A37,[1]!TOX,6,FALSE))/((('S-3 Assumptions'!$J$21+'S-3 Assumptions'!$O$85)*(VLOOKUP(A37,[1]!TOX,21,FALSE)))+('S-3 Assumptions'!$K$42*(VLOOKUP(A37,[1]!TOX,23,FALSE)))))</f>
        <v>133200.76378117804</v>
      </c>
      <c r="C37" s="161">
        <f>'[1]Target Risk'!$D$8*(VLOOKUP(A37,[1]!TOX,10,FALSE))/'S-3 Assumptions'!$N$64</f>
        <v>5359.8774885145494</v>
      </c>
      <c r="D37" s="161">
        <f t="shared" si="0"/>
        <v>5152.5438154842068</v>
      </c>
      <c r="E37" s="161">
        <f>IF(ISERR(1/(VLOOKUP(A37,[1]!TOX,25,FALSE))),0,+'[1]Target Risk'!$D$12/(((('S-3 Assumptions'!$J$29+'S-3 Assumptions'!$O$93)*(VLOOKUP(A37,[1]!TOX,25,FALSE)))+('S-3 Assumptions'!$K$50*(VLOOKUP(A37,[1]!TOX,27,FALSE))))*(VLOOKUP(A37,[1]!TOX,12,FALSE))))</f>
        <v>0</v>
      </c>
      <c r="F37" s="161">
        <f>IF((VLOOKUP(A37,[1]!TOX,15,FALSE))=0,0, '[1]Target Risk'!$D$12/((VLOOKUP(A37,[1]!TOX,15,FALSE))*'S-3 Assumptions'!$N$72))</f>
        <v>0</v>
      </c>
      <c r="G37" s="162">
        <f t="shared" si="1"/>
        <v>0</v>
      </c>
      <c r="H37" s="160">
        <f>IF(D37=0,MIN(G37,(VLOOKUP(A37,[1]!TOX,77,FALSE))),IF(G37=0,MIN(D37,(VLOOKUP(A37,[1]!TOX,77,FALSE))),MIN(D37,G37,(VLOOKUP(A37,[1]!TOX,77,FALSE)))))</f>
        <v>5000</v>
      </c>
      <c r="I37" s="162" t="str">
        <f>IF(H37=D37,"Noncancer Risk",IF(H37=G37,"Cancer Risk",(VLOOKUP(A37,[1]!TOX,78,FALSE))))</f>
        <v>Ceiling (High)</v>
      </c>
      <c r="J37" s="163">
        <f>MAX(H37,(VLOOKUP(A37,[1]!TOX,50,FALSE)),(VLOOKUP(A37,[1]!TOX,35,FALSE)))</f>
        <v>5000</v>
      </c>
      <c r="K37" s="164">
        <f>IF(J37&lt;&gt;0,ROUND(J37,1-(1+INT(LOG10(ABS(J37))))),"")</f>
        <v>5000</v>
      </c>
      <c r="L37" s="165" t="str">
        <f>IF(J37=0,"Not Calculated",IF(J37=H37,I37,IF(J37=[1]Toxicity!AI33,"Background","PQL")))</f>
        <v>Ceiling (High)</v>
      </c>
    </row>
    <row r="38" spans="1:12" ht="12.5" x14ac:dyDescent="0.25">
      <c r="A38" s="134" t="s">
        <v>76</v>
      </c>
      <c r="B38" s="160">
        <v>175</v>
      </c>
      <c r="C38" s="161">
        <f>'[1]Target Risk'!$D$8*(VLOOKUP(A38,[1]!TOX,10,FALSE))/'S-3 Assumptions'!$N$64</f>
        <v>5359.8774885145494</v>
      </c>
      <c r="D38" s="161">
        <f t="shared" si="0"/>
        <v>169.46690553430494</v>
      </c>
      <c r="E38" s="161">
        <f>IF(ISERR(1/(VLOOKUP(A38,[1]!TOX,25,FALSE))),0,+'[1]Target Risk'!$D$12/(((('S-3 Assumptions'!$J$29+'S-3 Assumptions'!$O$93)*(VLOOKUP(A38,[1]!TOX,25,FALSE)))+('S-3 Assumptions'!$K$50*(VLOOKUP(A38,[1]!TOX,27,FALSE))))*(VLOOKUP(A38,[1]!TOX,12,FALSE))))</f>
        <v>0</v>
      </c>
      <c r="F38" s="161">
        <f>IF((VLOOKUP(A38,[1]!TOX,15,FALSE))=0,0, '[1]Target Risk'!$D$12/((VLOOKUP(A38,[1]!TOX,15,FALSE))*'S-3 Assumptions'!$N$72))</f>
        <v>1053.0092572967037</v>
      </c>
      <c r="G38" s="162">
        <f t="shared" si="1"/>
        <v>1053.0092572967037</v>
      </c>
      <c r="H38" s="160">
        <f>IF(D38=0,MIN(G38,(VLOOKUP(A38,[1]!TOX,77,FALSE))),IF(G38=0,MIN(D38,(VLOOKUP(A38,[1]!TOX,77,FALSE))),MIN(D38,G38,(VLOOKUP(A38,[1]!TOX,77,FALSE)))))</f>
        <v>169.46690553430494</v>
      </c>
      <c r="I38" s="162" t="str">
        <f>IF(H38=D38,"Noncancer Risk",IF(H38=G38,"Cancer Risk",(VLOOKUP(A38,[1]!TOX,78,FALSE))))</f>
        <v>Noncancer Risk</v>
      </c>
      <c r="J38" s="163">
        <f>MAX(H38,(VLOOKUP(A38,[1]!TOX,50,FALSE)),(VLOOKUP(A38,[1]!TOX,35,FALSE)))</f>
        <v>169.46690553430494</v>
      </c>
      <c r="K38" s="164">
        <v>200</v>
      </c>
      <c r="L38" s="165" t="str">
        <f>IF(J38=0,"Not Calculated",IF(J38=H38,I38,IF(J38=[1]Toxicity!AI34,"Background","PQL")))</f>
        <v>Noncancer Risk</v>
      </c>
    </row>
    <row r="39" spans="1:12" ht="12.5" x14ac:dyDescent="0.25">
      <c r="A39" s="134" t="s">
        <v>75</v>
      </c>
      <c r="B39" s="160">
        <f>IF(ISERR(1/+(VLOOKUP(A39,[1]!TOX,21,FALSE))),0,'[1]Target Risk'!$D$8*(VLOOKUP(A39,[1]!TOX,6,FALSE))/((('S-3 Assumptions'!$J$21+'S-3 Assumptions'!$O$85)*(VLOOKUP(A39,[1]!TOX,21,FALSE)))+('S-3 Assumptions'!$K$42*(VLOOKUP(A39,[1]!TOX,23,FALSE)))))</f>
        <v>106994.17135325648</v>
      </c>
      <c r="C39" s="161">
        <f>'[1]Target Risk'!$D$8*(VLOOKUP(A39,[1]!TOX,10,FALSE))/'S-3 Assumptions'!$N$64</f>
        <v>8933129.1475242488</v>
      </c>
      <c r="D39" s="161">
        <f t="shared" si="0"/>
        <v>105727.84430220121</v>
      </c>
      <c r="E39" s="161">
        <f>IF(ISERR(1/(VLOOKUP(A39,[1]!TOX,25,FALSE))),0,+'[1]Target Risk'!$D$12/(((('S-3 Assumptions'!$J$29+'S-3 Assumptions'!$O$93)*(VLOOKUP(A39,[1]!TOX,25,FALSE)))+('S-3 Assumptions'!$K$50*(VLOOKUP(A39,[1]!TOX,27,FALSE))))*(VLOOKUP(A39,[1]!TOX,12,FALSE))))</f>
        <v>24844.947284101214</v>
      </c>
      <c r="F39" s="161">
        <f>IF((VLOOKUP(A39,[1]!TOX,15,FALSE))=0,0, '[1]Target Risk'!$D$12/((VLOOKUP(A39,[1]!TOX,15,FALSE))*'S-3 Assumptions'!$N$72))</f>
        <v>21060185.145934075</v>
      </c>
      <c r="G39" s="162">
        <f t="shared" si="1"/>
        <v>24815.671945018428</v>
      </c>
      <c r="H39" s="160">
        <f>IF(D39=0,MIN(G39,(VLOOKUP(A39,[1]!TOX,77,FALSE))),IF(G39=0,MIN(D39,(VLOOKUP(A39,[1]!TOX,77,FALSE))),MIN(D39,G39,(VLOOKUP(A39,[1]!TOX,77,FALSE)))))</f>
        <v>5000</v>
      </c>
      <c r="I39" s="162" t="str">
        <f>IF(H39=D39,"Noncancer Risk",IF(H39=G39,"Cancer Risk",(VLOOKUP(A39,[1]!TOX,78,FALSE))))</f>
        <v>Ceiling (High)</v>
      </c>
      <c r="J39" s="163">
        <f>MAX(H39,(VLOOKUP(A39,[1]!TOX,50,FALSE)),(VLOOKUP(A39,[1]!TOX,35,FALSE)))</f>
        <v>5000</v>
      </c>
      <c r="K39" s="164">
        <f>IF(J39&lt;&gt;0,ROUND(J39,1-(1+INT(LOG10(ABS(J39))))),"")</f>
        <v>5000</v>
      </c>
      <c r="L39" s="165" t="str">
        <f>IF(J39=0,"Not Calculated",IF(J39=H39,I39,IF(J39=[1]Toxicity!AI35,"Background","PQL")))</f>
        <v>Ceiling (High)</v>
      </c>
    </row>
    <row r="40" spans="1:12" ht="12.5" x14ac:dyDescent="0.25">
      <c r="A40" s="134" t="s">
        <v>74</v>
      </c>
      <c r="B40" s="160">
        <f>IF(ISERR(1/+(VLOOKUP(A40,[1]!TOX,21,FALSE))),0,'[1]Target Risk'!$D$8*(VLOOKUP(A40,[1]!TOX,6,FALSE))/((('S-3 Assumptions'!$J$21+'S-3 Assumptions'!$O$85)*(VLOOKUP(A40,[1]!TOX,21,FALSE)))+('S-3 Assumptions'!$K$42*(VLOOKUP(A40,[1]!TOX,23,FALSE)))))</f>
        <v>532.80305512471216</v>
      </c>
      <c r="C40" s="161">
        <f>'[1]Target Risk'!$D$8*(VLOOKUP(A40,[1]!TOX,10,FALSE))/'S-3 Assumptions'!$N$64</f>
        <v>53598.774885145496</v>
      </c>
      <c r="D40" s="161">
        <f t="shared" si="0"/>
        <v>527.55881310643099</v>
      </c>
      <c r="E40" s="161">
        <f>IF(ISERR(1/(VLOOKUP(A40,[1]!TOX,25,FALSE))),0,+'[1]Target Risk'!$D$12/(((('S-3 Assumptions'!$J$29+'S-3 Assumptions'!$O$93)*(VLOOKUP(A40,[1]!TOX,25,FALSE)))+('S-3 Assumptions'!$K$50*(VLOOKUP(A40,[1]!TOX,27,FALSE))))*(VLOOKUP(A40,[1]!TOX,12,FALSE))))</f>
        <v>0</v>
      </c>
      <c r="F40" s="161">
        <f>IF((VLOOKUP(A40,[1]!TOX,15,FALSE))=0,0, '[1]Target Risk'!$D$12/((VLOOKUP(A40,[1]!TOX,15,FALSE))*'S-3 Assumptions'!$N$72))</f>
        <v>0</v>
      </c>
      <c r="G40" s="162">
        <f t="shared" si="1"/>
        <v>0</v>
      </c>
      <c r="H40" s="160">
        <f>IF(D40=0,MIN(G40,(VLOOKUP(A40,[1]!TOX,77,FALSE))),IF(G40=0,MIN(D40,(VLOOKUP(A40,[1]!TOX,77,FALSE))),MIN(D40,G40,(VLOOKUP(A40,[1]!TOX,77,FALSE)))))</f>
        <v>527.55881310643099</v>
      </c>
      <c r="I40" s="162" t="str">
        <f>IF(H40=D40,"Noncancer Risk",IF(H40=G40,"Cancer Risk",(VLOOKUP(A40,[1]!TOX,78,FALSE))))</f>
        <v>Noncancer Risk</v>
      </c>
      <c r="J40" s="163">
        <f>MAX(H40,(VLOOKUP(A40,[1]!TOX,50,FALSE)),(VLOOKUP(A40,[1]!TOX,35,FALSE)))</f>
        <v>527.55881310643099</v>
      </c>
      <c r="K40" s="164">
        <f t="shared" ref="K40:K80" si="3">IF(J40&lt;&gt;0,ROUND(J40,1-(1+INT(LOG10(ABS(J40))))),"")</f>
        <v>500</v>
      </c>
      <c r="L40" s="165" t="str">
        <f>IF(J40=0,"Not Calculated",IF(J40=H40,I40,IF(J40=[1]Toxicity!AI36,"Background","PQL")))</f>
        <v>Noncancer Risk</v>
      </c>
    </row>
    <row r="41" spans="1:12" ht="12.5" x14ac:dyDescent="0.25">
      <c r="A41" s="134" t="s">
        <v>73</v>
      </c>
      <c r="B41" s="160">
        <f>IF(ISERR(1/+(VLOOKUP(A41,[1]!TOX,21,FALSE))),0,'[1]Target Risk'!$D$8*(VLOOKUP(A41,[1]!TOX,6,FALSE))/((('S-3 Assumptions'!$J$21+'S-3 Assumptions'!$O$85)*(VLOOKUP(A41,[1]!TOX,21,FALSE)))+('S-3 Assumptions'!$K$42*(VLOOKUP(A41,[1]!TOX,23,FALSE)))))</f>
        <v>106994.17135325648</v>
      </c>
      <c r="C41" s="161">
        <f>'[1]Target Risk'!$D$8*(VLOOKUP(A41,[1]!TOX,10,FALSE))/'S-3 Assumptions'!$N$64</f>
        <v>8933129.1475242488</v>
      </c>
      <c r="D41" s="161">
        <f t="shared" si="0"/>
        <v>105727.84430220121</v>
      </c>
      <c r="E41" s="161">
        <f>IF(ISERR(1/(VLOOKUP(A41,[1]!TOX,25,FALSE))),0,+'[1]Target Risk'!$D$12/(((('S-3 Assumptions'!$J$29+'S-3 Assumptions'!$O$93)*(VLOOKUP(A41,[1]!TOX,25,FALSE)))+('S-3 Assumptions'!$K$50*(VLOOKUP(A41,[1]!TOX,27,FALSE))))*(VLOOKUP(A41,[1]!TOX,12,FALSE))))</f>
        <v>248.44947284101215</v>
      </c>
      <c r="F41" s="161">
        <f>IF((VLOOKUP(A41,[1]!TOX,15,FALSE))=0,0, '[1]Target Risk'!$D$12/((VLOOKUP(A41,[1]!TOX,15,FALSE))*'S-3 Assumptions'!$N$72))</f>
        <v>21060.185145934072</v>
      </c>
      <c r="G41" s="162">
        <f t="shared" si="1"/>
        <v>245.55265933515815</v>
      </c>
      <c r="H41" s="160">
        <f>IF(D41=0,MIN(G41,(VLOOKUP(A41,[1]!TOX,77,FALSE))),IF(G41=0,MIN(D41,(VLOOKUP(A41,[1]!TOX,77,FALSE))),MIN(D41,G41,(VLOOKUP(A41,[1]!TOX,77,FALSE)))))</f>
        <v>245.55265933515815</v>
      </c>
      <c r="I41" s="162" t="str">
        <f>IF(H41=D41,"Noncancer Risk",IF(H41=G41,"Cancer Risk",(VLOOKUP(A41,[1]!TOX,78,FALSE))))</f>
        <v>Cancer Risk</v>
      </c>
      <c r="J41" s="163">
        <f>MAX(H41,(VLOOKUP(A41,[1]!TOX,50,FALSE)),(VLOOKUP(A41,[1]!TOX,35,FALSE)))</f>
        <v>245.55265933515815</v>
      </c>
      <c r="K41" s="164">
        <f t="shared" si="3"/>
        <v>200</v>
      </c>
      <c r="L41" s="165" t="str">
        <f>IF(J41=0,"Not Calculated",IF(J41=H41,I41,IF(J41=[1]Toxicity!AI37,"Background","PQL")))</f>
        <v>Cancer Risk</v>
      </c>
    </row>
    <row r="42" spans="1:12" ht="12.5" x14ac:dyDescent="0.25">
      <c r="A42" s="134" t="s">
        <v>72</v>
      </c>
      <c r="B42" s="160">
        <f>IF(ISERR(1/+(VLOOKUP(A42,[1]!TOX,21,FALSE))),0,'[1]Target Risk'!$D$8*(VLOOKUP(A42,[1]!TOX,6,FALSE))/((('S-3 Assumptions'!$J$21+'S-3 Assumptions'!$O$85)*(VLOOKUP(A42,[1]!TOX,21,FALSE)))+('S-3 Assumptions'!$K$42*(VLOOKUP(A42,[1]!TOX,23,FALSE)))))</f>
        <v>9668.6137499763645</v>
      </c>
      <c r="C42" s="161">
        <f>'[1]Target Risk'!$D$8*(VLOOKUP(A42,[1]!TOX,10,FALSE))/'S-3 Assumptions'!$N$64</f>
        <v>3573251.6590097002</v>
      </c>
      <c r="D42" s="161">
        <f t="shared" si="0"/>
        <v>9642.522716760539</v>
      </c>
      <c r="E42" s="161">
        <f>IF(ISERR(1/(VLOOKUP(A42,[1]!TOX,25,FALSE))),0,+'[1]Target Risk'!$D$12/(((('S-3 Assumptions'!$J$29+'S-3 Assumptions'!$O$93)*(VLOOKUP(A42,[1]!TOX,25,FALSE)))+('S-3 Assumptions'!$K$50*(VLOOKUP(A42,[1]!TOX,27,FALSE))))*(VLOOKUP(A42,[1]!TOX,12,FALSE))))</f>
        <v>1145.4762779829803</v>
      </c>
      <c r="F42" s="161">
        <f>IF((VLOOKUP(A42,[1]!TOX,15,FALSE))=0,0, '[1]Target Risk'!$D$12/((VLOOKUP(A42,[1]!TOX,15,FALSE))*'S-3 Assumptions'!$N$72))</f>
        <v>526504.62864835188</v>
      </c>
      <c r="G42" s="162">
        <f t="shared" si="1"/>
        <v>1142.989562087027</v>
      </c>
      <c r="H42" s="160">
        <f>IF(D42=0,MIN(G42,(VLOOKUP(A42,[1]!TOX,77,FALSE))),IF(G42=0,MIN(D42,(VLOOKUP(A42,[1]!TOX,77,FALSE))),MIN(D42,G42,(VLOOKUP(A42,[1]!TOX,77,FALSE)))))</f>
        <v>500</v>
      </c>
      <c r="I42" s="162" t="str">
        <f>IF(H42=D42,"Noncancer Risk",IF(H42=G42,"Cancer Risk",(VLOOKUP(A42,[1]!TOX,78,FALSE))))</f>
        <v>High Volatility</v>
      </c>
      <c r="J42" s="163">
        <f>MAX(H42,(VLOOKUP(A42,[1]!TOX,50,FALSE)),(VLOOKUP(A42,[1]!TOX,35,FALSE)))</f>
        <v>500</v>
      </c>
      <c r="K42" s="164">
        <f t="shared" si="3"/>
        <v>500</v>
      </c>
      <c r="L42" s="165" t="str">
        <f>IF(J42=0,"Not Calculated",IF(J42=H42,I42,IF(J42=[1]Toxicity!AI38,"Background","PQL")))</f>
        <v>High Volatility</v>
      </c>
    </row>
    <row r="43" spans="1:12" ht="20" x14ac:dyDescent="0.25">
      <c r="A43" s="134" t="s">
        <v>71</v>
      </c>
      <c r="B43" s="160">
        <f>IF(ISERR(1/+(VLOOKUP(A43,[1]!TOX,21,FALSE))),0,'[1]Target Risk'!$D$8*(VLOOKUP(A43,[1]!TOX,6,FALSE))/((('S-3 Assumptions'!$J$21+'S-3 Assumptions'!$O$85)*(VLOOKUP(A43,[1]!TOX,21,FALSE)))+('S-3 Assumptions'!$K$42*(VLOOKUP(A43,[1]!TOX,23,FALSE)))))</f>
        <v>124310.74821398183</v>
      </c>
      <c r="C43" s="161">
        <f>'[1]Target Risk'!$D$8*(VLOOKUP(A43,[1]!TOX,10,FALSE))/'S-3 Assumptions'!$N$64</f>
        <v>42879019.908116393</v>
      </c>
      <c r="D43" s="161">
        <f t="shared" si="0"/>
        <v>123951.4001847555</v>
      </c>
      <c r="E43" s="161">
        <f>IF(ISERR(1/(VLOOKUP(A43,[1]!TOX,25,FALSE))),0,+'[1]Target Risk'!$D$12/(((('S-3 Assumptions'!$J$29+'S-3 Assumptions'!$O$93)*(VLOOKUP(A43,[1]!TOX,25,FALSE)))+('S-3 Assumptions'!$K$50*(VLOOKUP(A43,[1]!TOX,27,FALSE))))*(VLOOKUP(A43,[1]!TOX,12,FALSE))))</f>
        <v>0</v>
      </c>
      <c r="F43" s="161">
        <f>IF((VLOOKUP(A43,[1]!TOX,15,FALSE))=0,0, '[1]Target Risk'!$D$12/((VLOOKUP(A43,[1]!TOX,15,FALSE))*'S-3 Assumptions'!$N$72))</f>
        <v>0</v>
      </c>
      <c r="G43" s="162">
        <f t="shared" si="1"/>
        <v>0</v>
      </c>
      <c r="H43" s="160">
        <f>IF(D43=0,MIN(G43,(VLOOKUP(A43,[1]!TOX,77,FALSE))),IF(G43=0,MIN(D43,(VLOOKUP(A43,[1]!TOX,77,FALSE))),MIN(D43,G43,(VLOOKUP(A43,[1]!TOX,77,FALSE)))))</f>
        <v>5000</v>
      </c>
      <c r="I43" s="162" t="str">
        <f>IF(H43=D43,"Noncancer Risk",IF(H43=G43,"Cancer Risk",(VLOOKUP(A43,[1]!TOX,78,FALSE))))</f>
        <v>Ceiling (High)</v>
      </c>
      <c r="J43" s="163">
        <f>MAX(H43,(VLOOKUP(A43,[1]!TOX,50,FALSE)),(VLOOKUP(A43,[1]!TOX,35,FALSE)))</f>
        <v>5000</v>
      </c>
      <c r="K43" s="164">
        <f t="shared" si="3"/>
        <v>5000</v>
      </c>
      <c r="L43" s="165" t="str">
        <f>IF(J43=0,"Not Calculated",IF(J43=H43,I43,IF(J43=[1]Toxicity!AI39,"Background","PQL")))</f>
        <v>Ceiling (High)</v>
      </c>
    </row>
    <row r="44" spans="1:12" ht="20" x14ac:dyDescent="0.25">
      <c r="A44" s="134" t="s">
        <v>70</v>
      </c>
      <c r="B44" s="160">
        <f>IF(ISERR(1/+(VLOOKUP(A44,[1]!TOX,21,FALSE))),0,'[1]Target Risk'!$D$8*(VLOOKUP(A44,[1]!TOX,6,FALSE))/((('S-3 Assumptions'!$J$21+'S-3 Assumptions'!$O$85)*(VLOOKUP(A44,[1]!TOX,21,FALSE)))+('S-3 Assumptions'!$K$42*(VLOOKUP(A44,[1]!TOX,23,FALSE)))))</f>
        <v>124310.74821398183</v>
      </c>
      <c r="C44" s="161">
        <f>'[1]Target Risk'!$D$8*(VLOOKUP(A44,[1]!TOX,10,FALSE))/'S-3 Assumptions'!$N$64</f>
        <v>42879019.908116393</v>
      </c>
      <c r="D44" s="161">
        <f t="shared" si="0"/>
        <v>123951.4001847555</v>
      </c>
      <c r="E44" s="161">
        <f>IF(ISERR(1/(VLOOKUP(A44,[1]!TOX,25,FALSE))),0,+'[1]Target Risk'!$D$12/(((('S-3 Assumptions'!$J$29+'S-3 Assumptions'!$O$93)*(VLOOKUP(A44,[1]!TOX,25,FALSE)))+('S-3 Assumptions'!$K$50*(VLOOKUP(A44,[1]!TOX,27,FALSE))))*(VLOOKUP(A44,[1]!TOX,12,FALSE))))</f>
        <v>0</v>
      </c>
      <c r="F44" s="161">
        <f>IF((VLOOKUP(A44,[1]!TOX,15,FALSE))=0,0, '[1]Target Risk'!$D$12/((VLOOKUP(A44,[1]!TOX,15,FALSE))*'S-3 Assumptions'!$N$72))</f>
        <v>0</v>
      </c>
      <c r="G44" s="162">
        <f t="shared" si="1"/>
        <v>0</v>
      </c>
      <c r="H44" s="160">
        <f>IF(D44=0,MIN(G44,(VLOOKUP(A44,[1]!TOX,77,FALSE))),IF(G44=0,MIN(D44,(VLOOKUP(A44,[1]!TOX,77,FALSE))),MIN(D44,G44,(VLOOKUP(A44,[1]!TOX,77,FALSE)))))</f>
        <v>500</v>
      </c>
      <c r="I44" s="162" t="str">
        <f>IF(H44=D44,"Noncancer Risk",IF(H44=G44,"Cancer Risk",(VLOOKUP(A44,[1]!TOX,78,FALSE))))</f>
        <v>High Volatility</v>
      </c>
      <c r="J44" s="163">
        <f>MAX(H44,(VLOOKUP(A44,[1]!TOX,50,FALSE)),(VLOOKUP(A44,[1]!TOX,35,FALSE)))</f>
        <v>500</v>
      </c>
      <c r="K44" s="164">
        <f t="shared" si="3"/>
        <v>500</v>
      </c>
      <c r="L44" s="165" t="str">
        <f>IF(J44=0,"Not Calculated",IF(J44=H44,I44,IF(J44=[1]Toxicity!AI40,"Background","PQL")))</f>
        <v>High Volatility</v>
      </c>
    </row>
    <row r="45" spans="1:12" ht="20" x14ac:dyDescent="0.25">
      <c r="A45" s="134" t="s">
        <v>69</v>
      </c>
      <c r="B45" s="160">
        <f>IF(ISERR(1/+(VLOOKUP(A45,[1]!TOX,21,FALSE))),0,'[1]Target Risk'!$D$8*(VLOOKUP(A45,[1]!TOX,6,FALSE))/((('S-3 Assumptions'!$J$21+'S-3 Assumptions'!$O$85)*(VLOOKUP(A45,[1]!TOX,21,FALSE)))+('S-3 Assumptions'!$K$42*(VLOOKUP(A45,[1]!TOX,23,FALSE)))))</f>
        <v>124310.74821398183</v>
      </c>
      <c r="C45" s="161">
        <f>'[1]Target Risk'!$D$8*(VLOOKUP(A45,[1]!TOX,10,FALSE))/'S-3 Assumptions'!$N$64</f>
        <v>42879019.908116393</v>
      </c>
      <c r="D45" s="161">
        <f t="shared" si="0"/>
        <v>123951.4001847555</v>
      </c>
      <c r="E45" s="161">
        <f>IF(ISERR(1/(VLOOKUP(A45,[1]!TOX,25,FALSE))),0,+'[1]Target Risk'!$D$12/(((('S-3 Assumptions'!$J$29+'S-3 Assumptions'!$O$93)*(VLOOKUP(A45,[1]!TOX,25,FALSE)))+('S-3 Assumptions'!$K$50*(VLOOKUP(A45,[1]!TOX,27,FALSE))))*(VLOOKUP(A45,[1]!TOX,12,FALSE))))</f>
        <v>4009.1669729404316</v>
      </c>
      <c r="F45" s="161">
        <f>IF((VLOOKUP(A45,[1]!TOX,15,FALSE))=0,0, '[1]Target Risk'!$D$12/((VLOOKUP(A45,[1]!TOX,15,FALSE))*'S-3 Assumptions'!$N$72))</f>
        <v>1842766.2002692316</v>
      </c>
      <c r="G45" s="162">
        <f t="shared" si="1"/>
        <v>4000.4634673045953</v>
      </c>
      <c r="H45" s="160">
        <f>IF(D45=0,MIN(G45,(VLOOKUP(A45,[1]!TOX,77,FALSE))),IF(G45=0,MIN(D45,(VLOOKUP(A45,[1]!TOX,77,FALSE))),MIN(D45,G45,(VLOOKUP(A45,[1]!TOX,77,FALSE)))))</f>
        <v>3000</v>
      </c>
      <c r="I45" s="162" t="str">
        <f>IF(H45=D45,"Noncancer Risk",IF(H45=G45,"Cancer Risk",(VLOOKUP(A45,[1]!TOX,78,FALSE))))</f>
        <v>Ceiling (Medium)</v>
      </c>
      <c r="J45" s="163">
        <f>MAX(H45,(VLOOKUP(A45,[1]!TOX,50,FALSE)),(VLOOKUP(A45,[1]!TOX,35,FALSE)))</f>
        <v>3000</v>
      </c>
      <c r="K45" s="164">
        <f t="shared" si="3"/>
        <v>3000</v>
      </c>
      <c r="L45" s="165" t="str">
        <f>IF(J45=0,"Not Calculated",IF(J45=H45,I45,IF(J45=[1]Toxicity!AI41,"Background","PQL")))</f>
        <v>Ceiling (Medium)</v>
      </c>
    </row>
    <row r="46" spans="1:12" ht="12.5" x14ac:dyDescent="0.25">
      <c r="A46" s="134" t="s">
        <v>68</v>
      </c>
      <c r="B46" s="160">
        <f>IF(ISERR(1/+(VLOOKUP(A46,[1]!TOX,21,FALSE))),0,'[1]Target Risk'!$D$8*(VLOOKUP(A46,[1]!TOX,6,FALSE))/((('S-3 Assumptions'!$J$21+'S-3 Assumptions'!$O$85)*(VLOOKUP(A46,[1]!TOX,21,FALSE)))+('S-3 Assumptions'!$K$42*(VLOOKUP(A46,[1]!TOX,23,FALSE)))))</f>
        <v>0</v>
      </c>
      <c r="C46" s="161">
        <f>'[1]Target Risk'!$D$8*(VLOOKUP(A46,[1]!TOX,10,FALSE))/'S-3 Assumptions'!$N$64</f>
        <v>0</v>
      </c>
      <c r="D46" s="161">
        <f t="shared" si="0"/>
        <v>0</v>
      </c>
      <c r="E46" s="161">
        <f>IF(ISERR(1/(VLOOKUP(A46,[1]!TOX,25,FALSE))),0,+'[1]Target Risk'!$D$12/(((('S-3 Assumptions'!$J$29+'S-3 Assumptions'!$O$93)*(VLOOKUP(A46,[1]!TOX,25,FALSE)))+('S-3 Assumptions'!$K$50*(VLOOKUP(A46,[1]!TOX,27,FALSE))))*(VLOOKUP(A46,[1]!TOX,12,FALSE))))</f>
        <v>137.46817181155049</v>
      </c>
      <c r="F46" s="161">
        <f>IF((VLOOKUP(A46,[1]!TOX,15,FALSE))=0,0, '[1]Target Risk'!$D$12/((VLOOKUP(A46,[1]!TOX,15,FALSE))*'S-3 Assumptions'!$N$72))</f>
        <v>98280.864014359002</v>
      </c>
      <c r="G46" s="162">
        <f t="shared" si="1"/>
        <v>137.27615983734367</v>
      </c>
      <c r="H46" s="160">
        <f>IF(D46=0,MIN(G46,(VLOOKUP(A46,[1]!TOX,77,FALSE))),IF(G46=0,MIN(D46,(VLOOKUP(A46,[1]!TOX,77,FALSE))),MIN(D46,G46,(VLOOKUP(A46,[1]!TOX,77,FALSE)))))</f>
        <v>137.27615983734367</v>
      </c>
      <c r="I46" s="162" t="str">
        <f>IF(H46=D46,"Noncancer Risk",IF(H46=G46,"Cancer Risk",(VLOOKUP(A46,[1]!TOX,78,FALSE))))</f>
        <v>Cancer Risk</v>
      </c>
      <c r="J46" s="163">
        <f>MAX(H46,(VLOOKUP(A46,[1]!TOX,50,FALSE)),(VLOOKUP(A46,[1]!TOX,35,FALSE)))</f>
        <v>137.27615983734367</v>
      </c>
      <c r="K46" s="164">
        <f t="shared" si="3"/>
        <v>100</v>
      </c>
      <c r="L46" s="165" t="str">
        <f>IF(J46=0,"Not Calculated",IF(J46=H46,I46,IF(J46=[1]Toxicity!AI42,"Background","PQL")))</f>
        <v>Cancer Risk</v>
      </c>
    </row>
    <row r="47" spans="1:12" ht="20" x14ac:dyDescent="0.25">
      <c r="A47" s="134" t="s">
        <v>67</v>
      </c>
      <c r="B47" s="160">
        <f>IF(ISERR(1/+(VLOOKUP(A47,[1]!TOX,21,FALSE))),0,'[1]Target Risk'!$D$8*(VLOOKUP(A47,[1]!TOX,6,FALSE))/((('S-3 Assumptions'!$J$21+'S-3 Assumptions'!$O$85)*(VLOOKUP(A47,[1]!TOX,21,FALSE)))+('S-3 Assumptions'!$K$42*(VLOOKUP(A47,[1]!TOX,23,FALSE)))))</f>
        <v>69.061526785545453</v>
      </c>
      <c r="C47" s="161">
        <f>'[1]Target Risk'!$D$8*(VLOOKUP(A47,[1]!TOX,10,FALSE))/'S-3 Assumptions'!$N$64</f>
        <v>32159.264931087295</v>
      </c>
      <c r="D47" s="161">
        <f t="shared" si="0"/>
        <v>68.913536026913135</v>
      </c>
      <c r="E47" s="161">
        <f>IF(ISERR(1/(VLOOKUP(A47,[1]!TOX,25,FALSE))),0,+'[1]Target Risk'!$D$12/(((('S-3 Assumptions'!$J$29+'S-3 Assumptions'!$O$93)*(VLOOKUP(A47,[1]!TOX,25,FALSE)))+('S-3 Assumptions'!$K$50*(VLOOKUP(A47,[1]!TOX,27,FALSE))))*(VLOOKUP(A47,[1]!TOX,12,FALSE))))</f>
        <v>400.91669729404322</v>
      </c>
      <c r="F47" s="161">
        <f>IF((VLOOKUP(A47,[1]!TOX,15,FALSE))=0,0, '[1]Target Risk'!$D$12/((VLOOKUP(A47,[1]!TOX,15,FALSE))*'S-3 Assumptions'!$N$72))</f>
        <v>184276.62002692316</v>
      </c>
      <c r="G47" s="162">
        <f t="shared" si="1"/>
        <v>400.04634673045956</v>
      </c>
      <c r="H47" s="160">
        <f>IF(D47=0,MIN(G47,(VLOOKUP(A47,[1]!TOX,77,FALSE))),IF(G47=0,MIN(D47,(VLOOKUP(A47,[1]!TOX,77,FALSE))),MIN(D47,G47,(VLOOKUP(A47,[1]!TOX,77,FALSE)))))</f>
        <v>68.913536026913135</v>
      </c>
      <c r="I47" s="162" t="str">
        <f>IF(H47=D47,"Noncancer Risk",IF(H47=G47,"Cancer Risk",(VLOOKUP(A47,[1]!TOX,78,FALSE))))</f>
        <v>Noncancer Risk</v>
      </c>
      <c r="J47" s="163">
        <f>MAX(H47,(VLOOKUP(A47,[1]!TOX,50,FALSE)),(VLOOKUP(A47,[1]!TOX,35,FALSE)))</f>
        <v>68.913536026913135</v>
      </c>
      <c r="K47" s="164">
        <f t="shared" si="3"/>
        <v>70</v>
      </c>
      <c r="L47" s="165" t="str">
        <f>IF(J47=0,"Not Calculated",IF(J47=H47,I47,IF(J47=[1]Toxicity!AI43,"Background","PQL")))</f>
        <v>Noncancer Risk</v>
      </c>
    </row>
    <row r="48" spans="1:12" ht="20" x14ac:dyDescent="0.25">
      <c r="A48" s="134" t="s">
        <v>66</v>
      </c>
      <c r="B48" s="160">
        <f>IF(ISERR(1/+(VLOOKUP(A48,[1]!TOX,21,FALSE))),0,'[1]Target Risk'!$D$8*(VLOOKUP(A48,[1]!TOX,6,FALSE))/((('S-3 Assumptions'!$J$21+'S-3 Assumptions'!$O$85)*(VLOOKUP(A48,[1]!TOX,21,FALSE)))+('S-3 Assumptions'!$K$42*(VLOOKUP(A48,[1]!TOX,23,FALSE)))))</f>
        <v>69.061526785545453</v>
      </c>
      <c r="C48" s="161">
        <f>'[1]Target Risk'!$D$8*(VLOOKUP(A48,[1]!TOX,10,FALSE))/'S-3 Assumptions'!$N$64</f>
        <v>32159.264931087295</v>
      </c>
      <c r="D48" s="161">
        <f t="shared" si="0"/>
        <v>68.913536026913135</v>
      </c>
      <c r="E48" s="161">
        <f>IF(ISERR(1/(VLOOKUP(A48,[1]!TOX,25,FALSE))),0,+'[1]Target Risk'!$D$12/(((('S-3 Assumptions'!$J$29+'S-3 Assumptions'!$O$93)*(VLOOKUP(A48,[1]!TOX,25,FALSE)))+('S-3 Assumptions'!$K$50*(VLOOKUP(A48,[1]!TOX,27,FALSE))))*(VLOOKUP(A48,[1]!TOX,12,FALSE))))</f>
        <v>283.00002161932457</v>
      </c>
      <c r="F48" s="161">
        <f>IF((VLOOKUP(A48,[1]!TOX,15,FALSE))=0,0, '[1]Target Risk'!$D$12/((VLOOKUP(A48,[1]!TOX,15,FALSE))*'S-3 Assumptions'!$N$72))</f>
        <v>130077.61413665159</v>
      </c>
      <c r="G48" s="162">
        <f t="shared" si="1"/>
        <v>282.38565651561845</v>
      </c>
      <c r="H48" s="160">
        <f>IF(D48=0,MIN(G48,(VLOOKUP(A48,[1]!TOX,77,FALSE))),IF(G48=0,MIN(D48,(VLOOKUP(A48,[1]!TOX,77,FALSE))),MIN(D48,G48,(VLOOKUP(A48,[1]!TOX,77,FALSE)))))</f>
        <v>68.913536026913135</v>
      </c>
      <c r="I48" s="162" t="str">
        <f>IF(H48=D48,"Noncancer Risk",IF(H48=G48,"Cancer Risk",(VLOOKUP(A48,[1]!TOX,78,FALSE))))</f>
        <v>Noncancer Risk</v>
      </c>
      <c r="J48" s="163">
        <f>MAX(H48,(VLOOKUP(A48,[1]!TOX,50,FALSE)),(VLOOKUP(A48,[1]!TOX,35,FALSE)))</f>
        <v>68.913536026913135</v>
      </c>
      <c r="K48" s="164">
        <f t="shared" si="3"/>
        <v>70</v>
      </c>
      <c r="L48" s="165" t="str">
        <f>IF(J48=0,"Not Calculated",IF(J48=H48,I48,IF(J48=[1]Toxicity!AI44,"Background","PQL")))</f>
        <v>Noncancer Risk</v>
      </c>
    </row>
    <row r="49" spans="1:12" ht="20" x14ac:dyDescent="0.25">
      <c r="A49" s="134" t="s">
        <v>65</v>
      </c>
      <c r="B49" s="160">
        <f>IF(ISERR(1/+(VLOOKUP(A49,[1]!TOX,21,FALSE))),0,'[1]Target Risk'!$D$8*(VLOOKUP(A49,[1]!TOX,6,FALSE))/((('S-3 Assumptions'!$J$21+'S-3 Assumptions'!$O$85)*(VLOOKUP(A49,[1]!TOX,21,FALSE)))+('S-3 Assumptions'!$K$42*(VLOOKUP(A49,[1]!TOX,23,FALSE)))))</f>
        <v>69.061526785545453</v>
      </c>
      <c r="C49" s="161">
        <f>'[1]Target Risk'!$D$8*(VLOOKUP(A49,[1]!TOX,10,FALSE))/'S-3 Assumptions'!$N$64</f>
        <v>32159.264931087295</v>
      </c>
      <c r="D49" s="161">
        <f t="shared" si="0"/>
        <v>68.913536026913135</v>
      </c>
      <c r="E49" s="161">
        <f>IF(ISERR(1/(VLOOKUP(A49,[1]!TOX,25,FALSE))),0,+'[1]Target Risk'!$D$12/(((('S-3 Assumptions'!$J$29+'S-3 Assumptions'!$O$93)*(VLOOKUP(A49,[1]!TOX,25,FALSE)))+('S-3 Assumptions'!$K$50*(VLOOKUP(A49,[1]!TOX,27,FALSE))))*(VLOOKUP(A49,[1]!TOX,12,FALSE))))</f>
        <v>283.00002161932457</v>
      </c>
      <c r="F49" s="161">
        <f>IF((VLOOKUP(A49,[1]!TOX,15,FALSE))=0,0, '[1]Target Risk'!$D$12/((VLOOKUP(A49,[1]!TOX,15,FALSE))*'S-3 Assumptions'!$N$72))</f>
        <v>130269.18646969528</v>
      </c>
      <c r="G49" s="162">
        <f t="shared" si="1"/>
        <v>282.38655803522852</v>
      </c>
      <c r="H49" s="160">
        <f>IF(D49=0,MIN(G49,(VLOOKUP(A49,[1]!TOX,77,FALSE))),IF(G49=0,MIN(D49,(VLOOKUP(A49,[1]!TOX,77,FALSE))),MIN(D49,G49,(VLOOKUP(A49,[1]!TOX,77,FALSE)))))</f>
        <v>68.913536026913135</v>
      </c>
      <c r="I49" s="162" t="str">
        <f>IF(H49=D49,"Noncancer Risk",IF(H49=G49,"Cancer Risk",(VLOOKUP(A49,[1]!TOX,78,FALSE))))</f>
        <v>Noncancer Risk</v>
      </c>
      <c r="J49" s="163">
        <f>MAX(H49,(VLOOKUP(A49,[1]!TOX,50,FALSE)),(VLOOKUP(A49,[1]!TOX,35,FALSE)))</f>
        <v>68.913536026913135</v>
      </c>
      <c r="K49" s="164">
        <f t="shared" si="3"/>
        <v>70</v>
      </c>
      <c r="L49" s="165" t="str">
        <f>IF(J49=0,"Not Calculated",IF(J49=H49,I49,IF(J49=[1]Toxicity!AI45,"Background","PQL")))</f>
        <v>Noncancer Risk</v>
      </c>
    </row>
    <row r="50" spans="1:12" ht="20" x14ac:dyDescent="0.25">
      <c r="A50" s="134" t="s">
        <v>64</v>
      </c>
      <c r="B50" s="160">
        <f>IF(ISERR(1/+(VLOOKUP(A50,[1]!TOX,21,FALSE))),0,'[1]Target Risk'!$D$8*(VLOOKUP(A50,[1]!TOX,6,FALSE))/((('S-3 Assumptions'!$J$21+'S-3 Assumptions'!$O$85)*(VLOOKUP(A50,[1]!TOX,21,FALSE)))+('S-3 Assumptions'!$K$42*(VLOOKUP(A50,[1]!TOX,23,FALSE)))))</f>
        <v>276246.10714218183</v>
      </c>
      <c r="C50" s="161">
        <f>'[1]Target Risk'!$D$8*(VLOOKUP(A50,[1]!TOX,10,FALSE))/'S-3 Assumptions'!$N$64</f>
        <v>142930066.36038798</v>
      </c>
      <c r="D50" s="161">
        <f t="shared" si="0"/>
        <v>275713.22622096882</v>
      </c>
      <c r="E50" s="161">
        <f>IF(ISERR(1/(VLOOKUP(A50,[1]!TOX,25,FALSE))),0,+'[1]Target Risk'!$D$12/(((('S-3 Assumptions'!$J$29+'S-3 Assumptions'!$O$93)*(VLOOKUP(A50,[1]!TOX,25,FALSE)))+('S-3 Assumptions'!$K$50*(VLOOKUP(A50,[1]!TOX,27,FALSE))))*(VLOOKUP(A50,[1]!TOX,12,FALSE))))</f>
        <v>0</v>
      </c>
      <c r="F50" s="161">
        <f>IF((VLOOKUP(A50,[1]!TOX,15,FALSE))=0,0, '[1]Target Risk'!$D$12/((VLOOKUP(A50,[1]!TOX,15,FALSE))*'S-3 Assumptions'!$N$72))</f>
        <v>0</v>
      </c>
      <c r="G50" s="162">
        <f t="shared" si="1"/>
        <v>0</v>
      </c>
      <c r="H50" s="160">
        <f>IF(D50=0,MIN(G50,(VLOOKUP(A50,[1]!TOX,77,FALSE))),IF(G50=0,MIN(D50,(VLOOKUP(A50,[1]!TOX,77,FALSE))),MIN(D50,G50,(VLOOKUP(A50,[1]!TOX,77,FALSE)))))</f>
        <v>3000</v>
      </c>
      <c r="I50" s="162" t="str">
        <f>IF(H50=D50,"Noncancer Risk",IF(H50=G50,"Cancer Risk",(VLOOKUP(A50,[1]!TOX,78,FALSE))))</f>
        <v>Ceiling (Medium)</v>
      </c>
      <c r="J50" s="163">
        <f>MAX(H50,(VLOOKUP(A50,[1]!TOX,50,FALSE)),(VLOOKUP(A50,[1]!TOX,35,FALSE)))</f>
        <v>3000</v>
      </c>
      <c r="K50" s="164">
        <f t="shared" si="3"/>
        <v>3000</v>
      </c>
      <c r="L50" s="165" t="str">
        <f>IF(J50=0,"Not Calculated",IF(J50=H50,I50,IF(J50=[1]Toxicity!AI46,"Background","PQL")))</f>
        <v>Ceiling (Medium)</v>
      </c>
    </row>
    <row r="51" spans="1:12" ht="12.5" x14ac:dyDescent="0.25">
      <c r="A51" s="134" t="s">
        <v>63</v>
      </c>
      <c r="B51" s="160">
        <f>IF(ISERR(1/+(VLOOKUP(A51,[1]!TOX,21,FALSE))),0,'[1]Target Risk'!$D$8*(VLOOKUP(A51,[1]!TOX,6,FALSE))/((('S-3 Assumptions'!$J$21+'S-3 Assumptions'!$O$85)*(VLOOKUP(A51,[1]!TOX,21,FALSE)))+('S-3 Assumptions'!$K$42*(VLOOKUP(A51,[1]!TOX,23,FALSE)))))</f>
        <v>2762.4610714218184</v>
      </c>
      <c r="C51" s="161">
        <f>'[1]Target Risk'!$D$8*(VLOOKUP(A51,[1]!TOX,10,FALSE))/'S-3 Assumptions'!$N$64</f>
        <v>1250638.080653395</v>
      </c>
      <c r="D51" s="161">
        <f t="shared" si="0"/>
        <v>2756.372681543975</v>
      </c>
      <c r="E51" s="161">
        <f>IF(ISERR(1/(VLOOKUP(A51,[1]!TOX,25,FALSE))),0,+'[1]Target Risk'!$D$12/(((('S-3 Assumptions'!$J$29+'S-3 Assumptions'!$O$93)*(VLOOKUP(A51,[1]!TOX,25,FALSE)))+('S-3 Assumptions'!$K$50*(VLOOKUP(A51,[1]!TOX,27,FALSE))))*(VLOOKUP(A51,[1]!TOX,12,FALSE))))</f>
        <v>1057.362718138136</v>
      </c>
      <c r="F51" s="161">
        <f>IF((VLOOKUP(A51,[1]!TOX,15,FALSE))=0,0, '[1]Target Risk'!$D$12/((VLOOKUP(A51,[1]!TOX,15,FALSE))*'S-3 Assumptions'!$N$72))</f>
        <v>486004.27259847865</v>
      </c>
      <c r="G51" s="162">
        <f t="shared" si="1"/>
        <v>1055.0672880803329</v>
      </c>
      <c r="H51" s="160">
        <f>IF(D51=0,MIN(G51,(VLOOKUP(A51,[1]!TOX,77,FALSE))),IF(G51=0,MIN(D51,(VLOOKUP(A51,[1]!TOX,77,FALSE))),MIN(D51,G51,(VLOOKUP(A51,[1]!TOX,77,FALSE)))))</f>
        <v>1000</v>
      </c>
      <c r="I51" s="162" t="str">
        <f>IF(H51=D51,"Noncancer Risk",IF(H51=G51,"Cancer Risk",(VLOOKUP(A51,[1]!TOX,78,FALSE))))</f>
        <v>Ceiling (Low)</v>
      </c>
      <c r="J51" s="163">
        <f>MAX(H51,(VLOOKUP(A51,[1]!TOX,50,FALSE)),(VLOOKUP(A51,[1]!TOX,35,FALSE)))</f>
        <v>1000</v>
      </c>
      <c r="K51" s="164">
        <f t="shared" si="3"/>
        <v>1000</v>
      </c>
      <c r="L51" s="165" t="str">
        <f>IF(J51=0,"Not Calculated",IF(J51=H51,I51,IF(J51=[1]Toxicity!AI47,"Background","PQL")))</f>
        <v>Ceiling (Low)</v>
      </c>
    </row>
    <row r="52" spans="1:12" ht="20" x14ac:dyDescent="0.25">
      <c r="A52" s="134" t="s">
        <v>62</v>
      </c>
      <c r="B52" s="160">
        <f>IF(ISERR(1/+(VLOOKUP(A52,[1]!TOX,21,FALSE))),0,'[1]Target Risk'!$D$8*(VLOOKUP(A52,[1]!TOX,6,FALSE))/((('S-3 Assumptions'!$J$21+'S-3 Assumptions'!$O$85)*(VLOOKUP(A52,[1]!TOX,21,FALSE)))+('S-3 Assumptions'!$K$42*(VLOOKUP(A52,[1]!TOX,23,FALSE)))))</f>
        <v>6906.1526785545466</v>
      </c>
      <c r="C52" s="161">
        <f>'[1]Target Risk'!$D$8*(VLOOKUP(A52,[1]!TOX,10,FALSE))/'S-3 Assumptions'!$N$64</f>
        <v>3573251.6590097002</v>
      </c>
      <c r="D52" s="161">
        <f t="shared" si="0"/>
        <v>6892.8306555242216</v>
      </c>
      <c r="E52" s="161">
        <f>IF(ISERR(1/(VLOOKUP(A52,[1]!TOX,25,FALSE))),0,+'[1]Target Risk'!$D$12/(((('S-3 Assumptions'!$J$29+'S-3 Assumptions'!$O$93)*(VLOOKUP(A52,[1]!TOX,25,FALSE)))+('S-3 Assumptions'!$K$50*(VLOOKUP(A52,[1]!TOX,27,FALSE))))*(VLOOKUP(A52,[1]!TOX,12,FALSE))))</f>
        <v>0</v>
      </c>
      <c r="F52" s="161">
        <f>IF((VLOOKUP(A52,[1]!TOX,15,FALSE))=0,0, '[1]Target Risk'!$D$12/((VLOOKUP(A52,[1]!TOX,15,FALSE))*'S-3 Assumptions'!$N$72))</f>
        <v>0</v>
      </c>
      <c r="G52" s="162">
        <f t="shared" si="1"/>
        <v>0</v>
      </c>
      <c r="H52" s="160">
        <f>IF(D52=0,MIN(G52,(VLOOKUP(A52,[1]!TOX,77,FALSE))),IF(G52=0,MIN(D52,(VLOOKUP(A52,[1]!TOX,77,FALSE))),MIN(D52,G52,(VLOOKUP(A52,[1]!TOX,77,FALSE)))))</f>
        <v>3000</v>
      </c>
      <c r="I52" s="162" t="str">
        <f>IF(H52=D52,"Noncancer Risk",IF(H52=G52,"Cancer Risk",(VLOOKUP(A52,[1]!TOX,78,FALSE))))</f>
        <v>Ceiling (Medium)</v>
      </c>
      <c r="J52" s="163">
        <f>MAX(H52,(VLOOKUP(A52,[1]!TOX,50,FALSE)),(VLOOKUP(A52,[1]!TOX,35,FALSE)))</f>
        <v>3000</v>
      </c>
      <c r="K52" s="164">
        <f t="shared" si="3"/>
        <v>3000</v>
      </c>
      <c r="L52" s="165" t="str">
        <f>IF(J52=0,"Not Calculated",IF(J52=H52,I52,IF(J52=[1]Toxicity!AI48,"Background","PQL")))</f>
        <v>Ceiling (Medium)</v>
      </c>
    </row>
    <row r="53" spans="1:12" ht="12.5" x14ac:dyDescent="0.25">
      <c r="A53" s="134" t="s">
        <v>61</v>
      </c>
      <c r="B53" s="160">
        <f>IF(ISERR(1/+(VLOOKUP(A53,[1]!TOX,21,FALSE))),0,'[1]Target Risk'!$D$8*(VLOOKUP(A53,[1]!TOX,6,FALSE))/((('S-3 Assumptions'!$J$21+'S-3 Assumptions'!$O$85)*(VLOOKUP(A53,[1]!TOX,21,FALSE)))+('S-3 Assumptions'!$K$42*(VLOOKUP(A53,[1]!TOX,23,FALSE)))))</f>
        <v>2762.4610714218184</v>
      </c>
      <c r="C53" s="161">
        <f>'[1]Target Risk'!$D$8*(VLOOKUP(A53,[1]!TOX,10,FALSE))/'S-3 Assumptions'!$N$64</f>
        <v>1250638.080653395</v>
      </c>
      <c r="D53" s="161">
        <f t="shared" si="0"/>
        <v>2756.372681543975</v>
      </c>
      <c r="E53" s="161">
        <f>IF(ISERR(1/(VLOOKUP(A53,[1]!TOX,25,FALSE))),0,+'[1]Target Risk'!$D$12/(((('S-3 Assumptions'!$J$29+'S-3 Assumptions'!$O$93)*(VLOOKUP(A53,[1]!TOX,25,FALSE)))+('S-3 Assumptions'!$K$50*(VLOOKUP(A53,[1]!TOX,27,FALSE))))*(VLOOKUP(A53,[1]!TOX,12,FALSE))))</f>
        <v>0</v>
      </c>
      <c r="F53" s="161">
        <f>IF((VLOOKUP(A53,[1]!TOX,15,FALSE))=0,0, '[1]Target Risk'!$D$12/((VLOOKUP(A53,[1]!TOX,15,FALSE))*'S-3 Assumptions'!$N$72))</f>
        <v>0</v>
      </c>
      <c r="G53" s="162">
        <f t="shared" si="1"/>
        <v>0</v>
      </c>
      <c r="H53" s="160">
        <f>IF(D53=0,MIN(G53,(VLOOKUP(A53,[1]!TOX,77,FALSE))),IF(G53=0,MIN(D53,(VLOOKUP(A53,[1]!TOX,77,FALSE))),MIN(D53,G53,(VLOOKUP(A53,[1]!TOX,77,FALSE)))))</f>
        <v>500</v>
      </c>
      <c r="I53" s="162" t="str">
        <f>IF(H53=D53,"Noncancer Risk",IF(H53=G53,"Cancer Risk",(VLOOKUP(A53,[1]!TOX,78,FALSE))))</f>
        <v>High Volatility</v>
      </c>
      <c r="J53" s="163">
        <f>MAX(H53,(VLOOKUP(A53,[1]!TOX,50,FALSE)),(VLOOKUP(A53,[1]!TOX,35,FALSE)))</f>
        <v>500</v>
      </c>
      <c r="K53" s="164">
        <f t="shared" si="3"/>
        <v>500</v>
      </c>
      <c r="L53" s="165" t="str">
        <f>IF(J53=0,"Not Calculated",IF(J53=H53,I53,IF(J53=[1]Toxicity!AI49,"Background","PQL")))</f>
        <v>High Volatility</v>
      </c>
    </row>
    <row r="54" spans="1:12" ht="20" x14ac:dyDescent="0.25">
      <c r="A54" s="134" t="s">
        <v>60</v>
      </c>
      <c r="B54" s="160">
        <f>IF(ISERR(1/+(VLOOKUP(A54,[1]!TOX,21,FALSE))),0,'[1]Target Risk'!$D$8*(VLOOKUP(A54,[1]!TOX,6,FALSE))/((('S-3 Assumptions'!$J$21+'S-3 Assumptions'!$O$85)*(VLOOKUP(A54,[1]!TOX,21,FALSE)))+('S-3 Assumptions'!$K$42*(VLOOKUP(A54,[1]!TOX,23,FALSE)))))</f>
        <v>27624.610714218186</v>
      </c>
      <c r="C54" s="161">
        <f>'[1]Target Risk'!$D$8*(VLOOKUP(A54,[1]!TOX,10,FALSE))/'S-3 Assumptions'!$N$64</f>
        <v>12506380.806533946</v>
      </c>
      <c r="D54" s="161">
        <f t="shared" si="0"/>
        <v>27563.72681543975</v>
      </c>
      <c r="E54" s="161">
        <f>IF(ISERR(1/(VLOOKUP(A54,[1]!TOX,25,FALSE))),0,+'[1]Target Risk'!$D$12/(((('S-3 Assumptions'!$J$29+'S-3 Assumptions'!$O$93)*(VLOOKUP(A54,[1]!TOX,25,FALSE)))+('S-3 Assumptions'!$K$50*(VLOOKUP(A54,[1]!TOX,27,FALSE))))*(VLOOKUP(A54,[1]!TOX,12,FALSE))))</f>
        <v>0</v>
      </c>
      <c r="F54" s="161">
        <f>IF((VLOOKUP(A54,[1]!TOX,15,FALSE))=0,0, '[1]Target Risk'!$D$12/((VLOOKUP(A54,[1]!TOX,15,FALSE))*'S-3 Assumptions'!$N$72))</f>
        <v>0</v>
      </c>
      <c r="G54" s="162">
        <f t="shared" si="1"/>
        <v>0</v>
      </c>
      <c r="H54" s="160">
        <f>IF(D54=0,MIN(G54,(VLOOKUP(A54,[1]!TOX,77,FALSE))),IF(G54=0,MIN(D54,(VLOOKUP(A54,[1]!TOX,77,FALSE))),MIN(D54,G54,(VLOOKUP(A54,[1]!TOX,77,FALSE)))))</f>
        <v>3000</v>
      </c>
      <c r="I54" s="162" t="str">
        <f>IF(H54=D54,"Noncancer Risk",IF(H54=G54,"Cancer Risk",(VLOOKUP(A54,[1]!TOX,78,FALSE))))</f>
        <v>Ceiling (Medium)</v>
      </c>
      <c r="J54" s="163">
        <f>MAX(H54,(VLOOKUP(A54,[1]!TOX,50,FALSE)),(VLOOKUP(A54,[1]!TOX,35,FALSE)))</f>
        <v>3000</v>
      </c>
      <c r="K54" s="164">
        <f t="shared" si="3"/>
        <v>3000</v>
      </c>
      <c r="L54" s="165" t="str">
        <f>IF(J54=0,"Not Calculated",IF(J54=H54,I54,IF(J54=[1]Toxicity!AI50,"Background","PQL")))</f>
        <v>Ceiling (Medium)</v>
      </c>
    </row>
    <row r="55" spans="1:12" ht="12.5" x14ac:dyDescent="0.25">
      <c r="A55" s="134" t="s">
        <v>59</v>
      </c>
      <c r="B55" s="160">
        <f>IF(ISERR(1/+(VLOOKUP(A55,[1]!TOX,21,FALSE))),0,'[1]Target Risk'!$D$8*(VLOOKUP(A55,[1]!TOX,6,FALSE))/((('S-3 Assumptions'!$J$21+'S-3 Assumptions'!$O$85)*(VLOOKUP(A55,[1]!TOX,21,FALSE)))+('S-3 Assumptions'!$K$42*(VLOOKUP(A55,[1]!TOX,23,FALSE)))))</f>
        <v>828.73832142654555</v>
      </c>
      <c r="C55" s="161">
        <f>'[1]Target Risk'!$D$8*(VLOOKUP(A55,[1]!TOX,10,FALSE))/'S-3 Assumptions'!$N$64</f>
        <v>10719754.977029098</v>
      </c>
      <c r="D55" s="161">
        <f t="shared" si="0"/>
        <v>828.67425707859252</v>
      </c>
      <c r="E55" s="161">
        <f>IF(ISERR(1/(VLOOKUP(A55,[1]!TOX,25,FALSE))),0,+'[1]Target Risk'!$D$12/(((('S-3 Assumptions'!$J$29+'S-3 Assumptions'!$O$93)*(VLOOKUP(A55,[1]!TOX,25,FALSE)))+('S-3 Assumptions'!$K$50*(VLOOKUP(A55,[1]!TOX,27,FALSE))))*(VLOOKUP(A55,[1]!TOX,12,FALSE))))</f>
        <v>48110.003675285181</v>
      </c>
      <c r="F55" s="161">
        <f>IF((VLOOKUP(A55,[1]!TOX,15,FALSE))=0,0, '[1]Target Risk'!$D$12/((VLOOKUP(A55,[1]!TOX,15,FALSE))*'S-3 Assumptions'!$N$72))</f>
        <v>1263611108.7560444</v>
      </c>
      <c r="G55" s="162">
        <f t="shared" si="1"/>
        <v>48108.172032371273</v>
      </c>
      <c r="H55" s="160">
        <f>IF(D55=0,MIN(G55,(VLOOKUP(A55,[1]!TOX,77,FALSE))),IF(G55=0,MIN(D55,(VLOOKUP(A55,[1]!TOX,77,FALSE))),MIN(D55,G55,(VLOOKUP(A55,[1]!TOX,77,FALSE)))))</f>
        <v>828.67425707859252</v>
      </c>
      <c r="I55" s="162" t="str">
        <f>IF(H55=D55,"Noncancer Risk",IF(H55=G55,"Cancer Risk",(VLOOKUP(A55,[1]!TOX,78,FALSE))))</f>
        <v>Noncancer Risk</v>
      </c>
      <c r="J55" s="163">
        <f>MAX(H55,(VLOOKUP(A55,[1]!TOX,50,FALSE)),(VLOOKUP(A55,[1]!TOX,35,FALSE)))</f>
        <v>828.67425707859252</v>
      </c>
      <c r="K55" s="164">
        <f t="shared" si="3"/>
        <v>800</v>
      </c>
      <c r="L55" s="165" t="str">
        <f>IF(J55=0,"Not Calculated",IF(J55=H55,I55,IF(J55=[1]Toxicity!AI51,"Background","PQL")))</f>
        <v>Noncancer Risk</v>
      </c>
    </row>
    <row r="56" spans="1:12" ht="12.5" x14ac:dyDescent="0.25">
      <c r="A56" s="134" t="s">
        <v>58</v>
      </c>
      <c r="B56" s="160">
        <f>IF(ISERR(1/+(VLOOKUP(A56,[1]!TOX,21,FALSE))),0,'[1]Target Risk'!$D$8*(VLOOKUP(A56,[1]!TOX,6,FALSE))/((('S-3 Assumptions'!$J$21+'S-3 Assumptions'!$O$85)*(VLOOKUP(A56,[1]!TOX,21,FALSE)))+('S-3 Assumptions'!$K$42*(VLOOKUP(A56,[1]!TOX,23,FALSE)))))</f>
        <v>879.09940519281975</v>
      </c>
      <c r="C56" s="161">
        <f>'[1]Target Risk'!$D$8*(VLOOKUP(A56,[1]!TOX,10,FALSE))/'S-3 Assumptions'!$N$64</f>
        <v>1071975.4977029099</v>
      </c>
      <c r="D56" s="161">
        <f t="shared" si="0"/>
        <v>878.37906921598437</v>
      </c>
      <c r="E56" s="161">
        <f>IF(ISERR(1/(VLOOKUP(A56,[1]!TOX,25,FALSE))),0,+'[1]Target Risk'!$D$12/(((('S-3 Assumptions'!$J$29+'S-3 Assumptions'!$O$93)*(VLOOKUP(A56,[1]!TOX,25,FALSE)))+('S-3 Assumptions'!$K$50*(VLOOKUP(A56,[1]!TOX,27,FALSE))))*(VLOOKUP(A56,[1]!TOX,12,FALSE))))</f>
        <v>0</v>
      </c>
      <c r="F56" s="161">
        <f>IF((VLOOKUP(A56,[1]!TOX,15,FALSE))=0,0, '[1]Target Risk'!$D$12/((VLOOKUP(A56,[1]!TOX,15,FALSE))*'S-3 Assumptions'!$N$72))</f>
        <v>0</v>
      </c>
      <c r="G56" s="162">
        <f t="shared" si="1"/>
        <v>0</v>
      </c>
      <c r="H56" s="160">
        <f>IF(D56=0,MIN(G56,(VLOOKUP(A56,[1]!TOX,77,FALSE))),IF(G56=0,MIN(D56,(VLOOKUP(A56,[1]!TOX,77,FALSE))),MIN(D56,G56,(VLOOKUP(A56,[1]!TOX,77,FALSE)))))</f>
        <v>878.37906921598437</v>
      </c>
      <c r="I56" s="162" t="str">
        <f>IF(H56=D56,"Noncancer Risk",IF(H56=G56,"Cancer Risk",(VLOOKUP(A56,[1]!TOX,78,FALSE))))</f>
        <v>Noncancer Risk</v>
      </c>
      <c r="J56" s="163">
        <f>MAX(H56,(VLOOKUP(A56,[1]!TOX,50,FALSE)),(VLOOKUP(A56,[1]!TOX,35,FALSE)))</f>
        <v>878.37906921598437</v>
      </c>
      <c r="K56" s="164">
        <f t="shared" si="3"/>
        <v>900</v>
      </c>
      <c r="L56" s="165" t="str">
        <f>IF(J56=0,"Not Calculated",IF(J56=H56,I56,IF(J56=[1]Toxicity!AI52,"Background","PQL")))</f>
        <v>Noncancer Risk</v>
      </c>
    </row>
    <row r="57" spans="1:12" ht="12.5" x14ac:dyDescent="0.25">
      <c r="A57" s="134" t="s">
        <v>57</v>
      </c>
      <c r="B57" s="160">
        <f>IF(ISERR(1/+(VLOOKUP(A57,[1]!TOX,21,FALSE))),0,'[1]Target Risk'!$D$8*(VLOOKUP(A57,[1]!TOX,6,FALSE))/((('S-3 Assumptions'!$J$21+'S-3 Assumptions'!$O$85)*(VLOOKUP(A57,[1]!TOX,21,FALSE)))+('S-3 Assumptions'!$K$42*(VLOOKUP(A57,[1]!TOX,23,FALSE)))))</f>
        <v>5524.9221428436367</v>
      </c>
      <c r="C57" s="161">
        <f>'[1]Target Risk'!$D$8*(VLOOKUP(A57,[1]!TOX,10,FALSE))/'S-3 Assumptions'!$N$64</f>
        <v>214395.09954058198</v>
      </c>
      <c r="D57" s="161">
        <f t="shared" si="0"/>
        <v>5386.1227536346623</v>
      </c>
      <c r="E57" s="161">
        <f>IF(ISERR(1/(VLOOKUP(A57,[1]!TOX,25,FALSE))),0,+'[1]Target Risk'!$D$12/(((('S-3 Assumptions'!$J$29+'S-3 Assumptions'!$O$93)*(VLOOKUP(A57,[1]!TOX,25,FALSE)))+('S-3 Assumptions'!$K$50*(VLOOKUP(A57,[1]!TOX,27,FALSE))))*(VLOOKUP(A57,[1]!TOX,12,FALSE))))</f>
        <v>2600.5407392046045</v>
      </c>
      <c r="F57" s="161">
        <f>IF((VLOOKUP(A57,[1]!TOX,15,FALSE))=0,0, '[1]Target Risk'!$D$12/((VLOOKUP(A57,[1]!TOX,15,FALSE))*'S-3 Assumptions'!$N$72))</f>
        <v>665058.47829265485</v>
      </c>
      <c r="G57" s="162">
        <f t="shared" si="1"/>
        <v>2590.4115985152907</v>
      </c>
      <c r="H57" s="160">
        <f>IF(D57=0,MIN(G57,(VLOOKUP(A57,[1]!TOX,77,FALSE))),IF(G57=0,MIN(D57,(VLOOKUP(A57,[1]!TOX,77,FALSE))),MIN(D57,G57,(VLOOKUP(A57,[1]!TOX,77,FALSE)))))</f>
        <v>1000</v>
      </c>
      <c r="I57" s="162" t="str">
        <f>IF(H57=D57,"Noncancer Risk",IF(H57=G57,"Cancer Risk",(VLOOKUP(A57,[1]!TOX,78,FALSE))))</f>
        <v>Ceiling (Low)</v>
      </c>
      <c r="J57" s="163">
        <f>MAX(H57,(VLOOKUP(A57,[1]!TOX,50,FALSE)),(VLOOKUP(A57,[1]!TOX,35,FALSE)))</f>
        <v>1000</v>
      </c>
      <c r="K57" s="164">
        <f t="shared" si="3"/>
        <v>1000</v>
      </c>
      <c r="L57" s="165" t="str">
        <f>IF(J57=0,"Not Calculated",IF(J57=H57,I57,IF(J57=[1]Toxicity!AI53,"Background","PQL")))</f>
        <v>Ceiling (Low)</v>
      </c>
    </row>
    <row r="58" spans="1:12" ht="12.5" x14ac:dyDescent="0.25">
      <c r="A58" s="134" t="s">
        <v>56</v>
      </c>
      <c r="B58" s="160">
        <f>IF(ISERR(1/+(VLOOKUP(A58,[1]!TOX,21,FALSE))),0,'[1]Target Risk'!$D$8*(VLOOKUP(A58,[1]!TOX,6,FALSE))/((('S-3 Assumptions'!$J$21+'S-3 Assumptions'!$O$85)*(VLOOKUP(A58,[1]!TOX,21,FALSE)))+('S-3 Assumptions'!$K$42*(VLOOKUP(A58,[1]!TOX,23,FALSE)))))</f>
        <v>4143.6916071327278</v>
      </c>
      <c r="C58" s="161">
        <f>'[1]Target Risk'!$D$8*(VLOOKUP(A58,[1]!TOX,10,FALSE))/'S-3 Assumptions'!$N$64</f>
        <v>357325.16590096994</v>
      </c>
      <c r="D58" s="161">
        <f t="shared" si="0"/>
        <v>4096.1904745223273</v>
      </c>
      <c r="E58" s="161">
        <f>IF(ISERR(1/(VLOOKUP(A58,[1]!TOX,25,FALSE))),0,+'[1]Target Risk'!$D$12/(((('S-3 Assumptions'!$J$29+'S-3 Assumptions'!$O$93)*(VLOOKUP(A58,[1]!TOX,25,FALSE)))+('S-3 Assumptions'!$K$50*(VLOOKUP(A58,[1]!TOX,27,FALSE))))*(VLOOKUP(A58,[1]!TOX,12,FALSE))))</f>
        <v>962.20007350570359</v>
      </c>
      <c r="F58" s="161">
        <f>IF((VLOOKUP(A58,[1]!TOX,15,FALSE))=0,0, '[1]Target Risk'!$D$12/((VLOOKUP(A58,[1]!TOX,15,FALSE))*'S-3 Assumptions'!$N$72))</f>
        <v>3159027.7718901113</v>
      </c>
      <c r="G58" s="162">
        <f t="shared" si="1"/>
        <v>961.90708872104653</v>
      </c>
      <c r="H58" s="160">
        <f>IF(D58=0,MIN(G58,(VLOOKUP(A58,[1]!TOX,77,FALSE))),IF(G58=0,MIN(D58,(VLOOKUP(A58,[1]!TOX,77,FALSE))),MIN(D58,G58,(VLOOKUP(A58,[1]!TOX,77,FALSE)))))</f>
        <v>961.90708872104653</v>
      </c>
      <c r="I58" s="162" t="str">
        <f>IF(H58=D58,"Noncancer Risk",IF(H58=G58,"Cancer Risk",(VLOOKUP(A58,[1]!TOX,78,FALSE))))</f>
        <v>Cancer Risk</v>
      </c>
      <c r="J58" s="163">
        <f>MAX(H58,(VLOOKUP(A58,[1]!TOX,50,FALSE)),(VLOOKUP(A58,[1]!TOX,35,FALSE)))</f>
        <v>961.90708872104653</v>
      </c>
      <c r="K58" s="164">
        <f t="shared" si="3"/>
        <v>1000</v>
      </c>
      <c r="L58" s="165" t="str">
        <f>IF(J58=0,"Not Calculated",IF(J58=H58,I58,IF(J58=[1]Toxicity!AI54,"Background","PQL")))</f>
        <v>Cancer Risk</v>
      </c>
    </row>
    <row r="59" spans="1:12" ht="12.5" x14ac:dyDescent="0.25">
      <c r="A59" s="134" t="s">
        <v>55</v>
      </c>
      <c r="B59" s="160">
        <f>IF(ISERR(1/+(VLOOKUP(A59,[1]!TOX,21,FALSE))),0,'[1]Target Risk'!$D$8*(VLOOKUP(A59,[1]!TOX,6,FALSE))/((('S-3 Assumptions'!$J$21+'S-3 Assumptions'!$O$85)*(VLOOKUP(A59,[1]!TOX,21,FALSE)))+('S-3 Assumptions'!$K$42*(VLOOKUP(A59,[1]!TOX,23,FALSE)))))</f>
        <v>4.4400254593726007</v>
      </c>
      <c r="C59" s="161">
        <f>'[1]Target Risk'!$D$8*(VLOOKUP(A59,[1]!TOX,10,FALSE))/'S-3 Assumptions'!$N$64</f>
        <v>3215.9264931087296</v>
      </c>
      <c r="D59" s="161">
        <f t="shared" si="0"/>
        <v>4.4339038499327401</v>
      </c>
      <c r="E59" s="161">
        <f>IF(ISERR(1/(VLOOKUP(A59,[1]!TOX,25,FALSE))),0,+'[1]Target Risk'!$D$12/(((('S-3 Assumptions'!$J$29+'S-3 Assumptions'!$O$93)*(VLOOKUP(A59,[1]!TOX,25,FALSE)))+('S-3 Assumptions'!$K$50*(VLOOKUP(A59,[1]!TOX,27,FALSE))))*(VLOOKUP(A59,[1]!TOX,12,FALSE))))</f>
        <v>3.8662923321998579</v>
      </c>
      <c r="F59" s="161">
        <f>IF((VLOOKUP(A59,[1]!TOX,15,FALSE))=0,0, '[1]Target Risk'!$D$12/((VLOOKUP(A59,[1]!TOX,15,FALSE))*'S-3 Assumptions'!$N$72))</f>
        <v>2746.980671208792</v>
      </c>
      <c r="G59" s="162">
        <f t="shared" si="1"/>
        <v>3.8608582907587499</v>
      </c>
      <c r="H59" s="160">
        <f>IF(D59=0,MIN(G59,(VLOOKUP(A59,[1]!TOX,77,FALSE))),IF(G59=0,MIN(D59,(VLOOKUP(A59,[1]!TOX,77,FALSE))),MIN(D59,G59,(VLOOKUP(A59,[1]!TOX,77,FALSE)))))</f>
        <v>3.8608582907587499</v>
      </c>
      <c r="I59" s="162" t="str">
        <f>IF(H59=D59,"Noncancer Risk",IF(H59=G59,"Cancer Risk",(VLOOKUP(A59,[1]!TOX,78,FALSE))))</f>
        <v>Cancer Risk</v>
      </c>
      <c r="J59" s="163">
        <f>MAX(H59,(VLOOKUP(A59,[1]!TOX,50,FALSE)),(VLOOKUP(A59,[1]!TOX,35,FALSE)))</f>
        <v>3.8608582907587499</v>
      </c>
      <c r="K59" s="164">
        <f t="shared" si="3"/>
        <v>4</v>
      </c>
      <c r="L59" s="165" t="str">
        <f>IF(J59=0,"Not Calculated",IF(J59=H59,I59,IF(J59=[1]Toxicity!AI55,"Background","PQL")))</f>
        <v>Cancer Risk</v>
      </c>
    </row>
    <row r="60" spans="1:12" ht="12.5" x14ac:dyDescent="0.25">
      <c r="A60" s="134" t="s">
        <v>54</v>
      </c>
      <c r="B60" s="160">
        <f>IF(ISERR(1/+(VLOOKUP(A60,[1]!TOX,21,FALSE))),0,'[1]Target Risk'!$D$8*(VLOOKUP(A60,[1]!TOX,6,FALSE))/((('S-3 Assumptions'!$J$21+'S-3 Assumptions'!$O$85)*(VLOOKUP(A60,[1]!TOX,21,FALSE)))+('S-3 Assumptions'!$K$42*(VLOOKUP(A60,[1]!TOX,23,FALSE)))))</f>
        <v>710404.07349961612</v>
      </c>
      <c r="C60" s="161">
        <f>'[1]Target Risk'!$D$8*(VLOOKUP(A60,[1]!TOX,10,FALSE))/'S-3 Assumptions'!$N$64</f>
        <v>500255232.26135796</v>
      </c>
      <c r="D60" s="161">
        <f t="shared" si="0"/>
        <v>709396.67117290746</v>
      </c>
      <c r="E60" s="161">
        <f>IF(ISERR(1/(VLOOKUP(A60,[1]!TOX,25,FALSE))),0,+'[1]Target Risk'!$D$12/(((('S-3 Assumptions'!$J$29+'S-3 Assumptions'!$O$93)*(VLOOKUP(A60,[1]!TOX,25,FALSE)))+('S-3 Assumptions'!$K$50*(VLOOKUP(A60,[1]!TOX,27,FALSE))))*(VLOOKUP(A60,[1]!TOX,12,FALSE))))</f>
        <v>0</v>
      </c>
      <c r="F60" s="161">
        <f>IF((VLOOKUP(A60,[1]!TOX,15,FALSE))=0,0, '[1]Target Risk'!$D$12/((VLOOKUP(A60,[1]!TOX,15,FALSE))*'S-3 Assumptions'!$N$72))</f>
        <v>0</v>
      </c>
      <c r="G60" s="162">
        <f t="shared" si="1"/>
        <v>0</v>
      </c>
      <c r="H60" s="160">
        <f>IF(D60=0,MIN(G60,(VLOOKUP(A60,[1]!TOX,77,FALSE))),IF(G60=0,MIN(D60,(VLOOKUP(A60,[1]!TOX,77,FALSE))),MIN(D60,G60,(VLOOKUP(A60,[1]!TOX,77,FALSE)))))</f>
        <v>5000</v>
      </c>
      <c r="I60" s="162" t="str">
        <f>IF(H60=D60,"Noncancer Risk",IF(H60=G60,"Cancer Risk",(VLOOKUP(A60,[1]!TOX,78,FALSE))))</f>
        <v>Ceiling (High)</v>
      </c>
      <c r="J60" s="163">
        <f>MAX(H60,(VLOOKUP(A60,[1]!TOX,50,FALSE)),(VLOOKUP(A60,[1]!TOX,35,FALSE)))</f>
        <v>5000</v>
      </c>
      <c r="K60" s="164">
        <f t="shared" si="3"/>
        <v>5000</v>
      </c>
      <c r="L60" s="165" t="str">
        <f>IF(J60=0,"Not Calculated",IF(J60=H60,I60,IF(J60=[1]Toxicity!AI56,"Background","PQL")))</f>
        <v>Ceiling (High)</v>
      </c>
    </row>
    <row r="61" spans="1:12" ht="12.5" x14ac:dyDescent="0.25">
      <c r="A61" s="134" t="s">
        <v>53</v>
      </c>
      <c r="B61" s="160">
        <f>IF(ISERR(1/+(VLOOKUP(A61,[1]!TOX,21,FALSE))),0,'[1]Target Risk'!$D$8*(VLOOKUP(A61,[1]!TOX,6,FALSE))/((('S-3 Assumptions'!$J$21+'S-3 Assumptions'!$O$85)*(VLOOKUP(A61,[1]!TOX,21,FALSE)))+('S-3 Assumptions'!$K$42*(VLOOKUP(A61,[1]!TOX,23,FALSE)))))</f>
        <v>8880.0509187452026</v>
      </c>
      <c r="C61" s="161">
        <f>'[1]Target Risk'!$D$8*(VLOOKUP(A61,[1]!TOX,10,FALSE))/'S-3 Assumptions'!$N$64</f>
        <v>7146503.3180194004</v>
      </c>
      <c r="D61" s="161">
        <f t="shared" si="0"/>
        <v>8869.0305023323199</v>
      </c>
      <c r="E61" s="161">
        <f>IF(ISERR(1/(VLOOKUP(A61,[1]!TOX,25,FALSE))),0,+'[1]Target Risk'!$D$12/(((('S-3 Assumptions'!$J$29+'S-3 Assumptions'!$O$93)*(VLOOKUP(A61,[1]!TOX,25,FALSE)))+('S-3 Assumptions'!$K$50*(VLOOKUP(A61,[1]!TOX,27,FALSE))))*(VLOOKUP(A61,[1]!TOX,12,FALSE))))</f>
        <v>0</v>
      </c>
      <c r="F61" s="161">
        <f>IF((VLOOKUP(A61,[1]!TOX,15,FALSE))=0,0, '[1]Target Risk'!$D$12/((VLOOKUP(A61,[1]!TOX,15,FALSE))*'S-3 Assumptions'!$N$72))</f>
        <v>0</v>
      </c>
      <c r="G61" s="162">
        <f t="shared" si="1"/>
        <v>0</v>
      </c>
      <c r="H61" s="160">
        <f>IF(D61=0,MIN(G61,(VLOOKUP(A61,[1]!TOX,77,FALSE))),IF(G61=0,MIN(D61,(VLOOKUP(A61,[1]!TOX,77,FALSE))),MIN(D61,G61,(VLOOKUP(A61,[1]!TOX,77,FALSE)))))</f>
        <v>5000</v>
      </c>
      <c r="I61" s="162" t="str">
        <f>IF(H61=D61,"Noncancer Risk",IF(H61=G61,"Cancer Risk",(VLOOKUP(A61,[1]!TOX,78,FALSE))))</f>
        <v>Ceiling (High)</v>
      </c>
      <c r="J61" s="163">
        <f>MAX(H61,(VLOOKUP(A61,[1]!TOX,50,FALSE)),(VLOOKUP(A61,[1]!TOX,35,FALSE)))</f>
        <v>5000</v>
      </c>
      <c r="K61" s="164">
        <f t="shared" si="3"/>
        <v>5000</v>
      </c>
      <c r="L61" s="165" t="str">
        <f>IF(J61=0,"Not Calculated",IF(J61=H61,I61,IF(J61=[1]Toxicity!AI57,"Background","PQL")))</f>
        <v>Ceiling (High)</v>
      </c>
    </row>
    <row r="62" spans="1:12" ht="12.5" x14ac:dyDescent="0.25">
      <c r="A62" s="134" t="s">
        <v>52</v>
      </c>
      <c r="B62" s="160">
        <f>IF(ISERR(1/+(VLOOKUP(A62,[1]!TOX,21,FALSE))),0,'[1]Target Risk'!$D$8*(VLOOKUP(A62,[1]!TOX,6,FALSE))/((('S-3 Assumptions'!$J$21+'S-3 Assumptions'!$O$85)*(VLOOKUP(A62,[1]!TOX,21,FALSE)))+('S-3 Assumptions'!$K$42*(VLOOKUP(A62,[1]!TOX,23,FALSE)))))</f>
        <v>2197.7485129820498</v>
      </c>
      <c r="C62" s="161">
        <f>'[1]Target Risk'!$D$8*(VLOOKUP(A62,[1]!TOX,10,FALSE))/'S-3 Assumptions'!$N$64</f>
        <v>3573251.6590097002</v>
      </c>
      <c r="D62" s="161">
        <f t="shared" si="0"/>
        <v>2196.3976062915085</v>
      </c>
      <c r="E62" s="161">
        <f>IF(ISERR(1/(VLOOKUP(A62,[1]!TOX,25,FALSE))),0,+'[1]Target Risk'!$D$12/(((('S-3 Assumptions'!$J$29+'S-3 Assumptions'!$O$93)*(VLOOKUP(A62,[1]!TOX,25,FALSE)))+('S-3 Assumptions'!$K$50*(VLOOKUP(A62,[1]!TOX,27,FALSE))))*(VLOOKUP(A62,[1]!TOX,12,FALSE))))</f>
        <v>0</v>
      </c>
      <c r="F62" s="161">
        <f>IF((VLOOKUP(A62,[1]!TOX,15,FALSE))=0,0, '[1]Target Risk'!$D$12/((VLOOKUP(A62,[1]!TOX,15,FALSE))*'S-3 Assumptions'!$N$72))</f>
        <v>0</v>
      </c>
      <c r="G62" s="162">
        <f t="shared" si="1"/>
        <v>0</v>
      </c>
      <c r="H62" s="160">
        <f>IF(D62=0,MIN(G62,(VLOOKUP(A62,[1]!TOX,77,FALSE))),IF(G62=0,MIN(D62,(VLOOKUP(A62,[1]!TOX,77,FALSE))),MIN(D62,G62,(VLOOKUP(A62,[1]!TOX,77,FALSE)))))</f>
        <v>2196.3976062915085</v>
      </c>
      <c r="I62" s="162" t="str">
        <f>IF(H62=D62,"Noncancer Risk",IF(H62=G62,"Cancer Risk",(VLOOKUP(A62,[1]!TOX,78,FALSE))))</f>
        <v>Noncancer Risk</v>
      </c>
      <c r="J62" s="163">
        <f>MAX(H62,(VLOOKUP(A62,[1]!TOX,50,FALSE)),(VLOOKUP(A62,[1]!TOX,35,FALSE)))</f>
        <v>2196.3976062915085</v>
      </c>
      <c r="K62" s="164">
        <f t="shared" si="3"/>
        <v>2000</v>
      </c>
      <c r="L62" s="165" t="str">
        <f>IF(J62=0,"Not Calculated",IF(J62=H62,I62,IF(J62=[1]Toxicity!AI58,"Background","PQL")))</f>
        <v>Noncancer Risk</v>
      </c>
    </row>
    <row r="63" spans="1:12" ht="12.5" x14ac:dyDescent="0.25">
      <c r="A63" s="134" t="s">
        <v>51</v>
      </c>
      <c r="B63" s="160">
        <f>IF(ISERR(1/+(VLOOKUP(A63,[1]!TOX,21,FALSE))),0,'[1]Target Risk'!$D$8*(VLOOKUP(A63,[1]!TOX,6,FALSE))/((('S-3 Assumptions'!$J$21+'S-3 Assumptions'!$O$85)*(VLOOKUP(A63,[1]!TOX,21,FALSE)))+('S-3 Assumptions'!$K$42*(VLOOKUP(A63,[1]!TOX,23,FALSE)))))</f>
        <v>879.09940519281975</v>
      </c>
      <c r="C63" s="161">
        <f>'[1]Target Risk'!$D$8*(VLOOKUP(A63,[1]!TOX,10,FALSE))/'S-3 Assumptions'!$N$64</f>
        <v>1250638.080653395</v>
      </c>
      <c r="D63" s="161">
        <f t="shared" si="0"/>
        <v>878.48190207218806</v>
      </c>
      <c r="E63" s="161">
        <f>IF(ISERR(1/(VLOOKUP(A63,[1]!TOX,25,FALSE))),0,+'[1]Target Risk'!$D$12/(((('S-3 Assumptions'!$J$29+'S-3 Assumptions'!$O$93)*(VLOOKUP(A63,[1]!TOX,25,FALSE)))+('S-3 Assumptions'!$K$50*(VLOOKUP(A63,[1]!TOX,27,FALSE))))*(VLOOKUP(A63,[1]!TOX,12,FALSE))))</f>
        <v>0</v>
      </c>
      <c r="F63" s="161">
        <f>IF((VLOOKUP(A63,[1]!TOX,15,FALSE))=0,0, '[1]Target Risk'!$D$12/((VLOOKUP(A63,[1]!TOX,15,FALSE))*'S-3 Assumptions'!$N$72))</f>
        <v>0</v>
      </c>
      <c r="G63" s="162">
        <f t="shared" si="1"/>
        <v>0</v>
      </c>
      <c r="H63" s="160">
        <f>IF(D63=0,MIN(G63,(VLOOKUP(A63,[1]!TOX,77,FALSE))),IF(G63=0,MIN(D63,(VLOOKUP(A63,[1]!TOX,77,FALSE))),MIN(D63,G63,(VLOOKUP(A63,[1]!TOX,77,FALSE)))))</f>
        <v>878.48190207218806</v>
      </c>
      <c r="I63" s="162" t="str">
        <f>IF(H63=D63,"Noncancer Risk",IF(H63=G63,"Cancer Risk",(VLOOKUP(A63,[1]!TOX,78,FALSE))))</f>
        <v>Noncancer Risk</v>
      </c>
      <c r="J63" s="163">
        <f>MAX(H63,(VLOOKUP(A63,[1]!TOX,50,FALSE)),(VLOOKUP(A63,[1]!TOX,35,FALSE)))</f>
        <v>878.48190207218806</v>
      </c>
      <c r="K63" s="164">
        <f t="shared" si="3"/>
        <v>900</v>
      </c>
      <c r="L63" s="165" t="str">
        <f>IF(J63=0,"Not Calculated",IF(J63=H63,I63,IF(J63=[1]Toxicity!AI59,"Background","PQL")))</f>
        <v>Noncancer Risk</v>
      </c>
    </row>
    <row r="64" spans="1:12" ht="12.5" x14ac:dyDescent="0.25">
      <c r="A64" s="134" t="s">
        <v>50</v>
      </c>
      <c r="B64" s="160">
        <f>IF(ISERR(1/+(VLOOKUP(A64,[1]!TOX,21,FALSE))),0,'[1]Target Risk'!$D$8*(VLOOKUP(A64,[1]!TOX,6,FALSE))/((('S-3 Assumptions'!$J$21+'S-3 Assumptions'!$O$85)*(VLOOKUP(A64,[1]!TOX,21,FALSE)))+('S-3 Assumptions'!$K$42*(VLOOKUP(A64,[1]!TOX,23,FALSE)))))</f>
        <v>177.60101837490404</v>
      </c>
      <c r="C64" s="161">
        <f>'[1]Target Risk'!$D$8*(VLOOKUP(A64,[1]!TOX,10,FALSE))/'S-3 Assumptions'!$N$64</f>
        <v>125063.80806533949</v>
      </c>
      <c r="D64" s="161">
        <f t="shared" si="0"/>
        <v>177.34916779322688</v>
      </c>
      <c r="E64" s="161">
        <f>IF(ISERR(1/(VLOOKUP(A64,[1]!TOX,25,FALSE))),0,+'[1]Target Risk'!$D$12/(((('S-3 Assumptions'!$J$29+'S-3 Assumptions'!$O$93)*(VLOOKUP(A64,[1]!TOX,25,FALSE)))+('S-3 Assumptions'!$K$50*(VLOOKUP(A64,[1]!TOX,27,FALSE))))*(VLOOKUP(A64,[1]!TOX,12,FALSE))))</f>
        <v>90.971584287055464</v>
      </c>
      <c r="F64" s="161">
        <f>IF((VLOOKUP(A64,[1]!TOX,15,FALSE))=0,0, '[1]Target Risk'!$D$12/((VLOOKUP(A64,[1]!TOX,15,FALSE))*'S-3 Assumptions'!$N$72))</f>
        <v>65038.807068325797</v>
      </c>
      <c r="G64" s="162">
        <f t="shared" si="1"/>
        <v>90.84451753941859</v>
      </c>
      <c r="H64" s="160">
        <f>IF(D64=0,MIN(G64,(VLOOKUP(A64,[1]!TOX,77,FALSE))),IF(G64=0,MIN(D64,(VLOOKUP(A64,[1]!TOX,77,FALSE))),MIN(D64,G64,(VLOOKUP(A64,[1]!TOX,77,FALSE)))))</f>
        <v>90.84451753941859</v>
      </c>
      <c r="I64" s="162" t="str">
        <f>IF(H64=D64,"Noncancer Risk",IF(H64=G64,"Cancer Risk",(VLOOKUP(A64,[1]!TOX,78,FALSE))))</f>
        <v>Cancer Risk</v>
      </c>
      <c r="J64" s="163">
        <f>MAX(H64,(VLOOKUP(A64,[1]!TOX,50,FALSE)),(VLOOKUP(A64,[1]!TOX,35,FALSE)))</f>
        <v>90.84451753941859</v>
      </c>
      <c r="K64" s="164">
        <f t="shared" si="3"/>
        <v>90</v>
      </c>
      <c r="L64" s="165" t="str">
        <f>IF(J64=0,"Not Calculated",IF(J64=H64,I64,IF(J64=[1]Toxicity!AI60,"Background","PQL")))</f>
        <v>Cancer Risk</v>
      </c>
    </row>
    <row r="65" spans="1:12" ht="12.5" x14ac:dyDescent="0.25">
      <c r="A65" s="134" t="s">
        <v>49</v>
      </c>
      <c r="B65" s="160">
        <f>IF(ISERR(1/+(VLOOKUP(A65,[1]!TOX,21,FALSE))),0,'[1]Target Risk'!$D$8*(VLOOKUP(A65,[1]!TOX,6,FALSE))/((('S-3 Assumptions'!$J$21+'S-3 Assumptions'!$O$85)*(VLOOKUP(A65,[1]!TOX,21,FALSE)))+('S-3 Assumptions'!$K$42*(VLOOKUP(A65,[1]!TOX,23,FALSE)))))</f>
        <v>4143.6916071327278</v>
      </c>
      <c r="C65" s="161">
        <f>'[1]Target Risk'!$D$8*(VLOOKUP(A65,[1]!TOX,10,FALSE))/'S-3 Assumptions'!$N$64</f>
        <v>535987.74885145493</v>
      </c>
      <c r="D65" s="161">
        <f t="shared" si="0"/>
        <v>4111.902714931889</v>
      </c>
      <c r="E65" s="161">
        <f>IF(ISERR(1/(VLOOKUP(A65,[1]!TOX,25,FALSE))),0,+'[1]Target Risk'!$D$12/(((('S-3 Assumptions'!$J$29+'S-3 Assumptions'!$O$93)*(VLOOKUP(A65,[1]!TOX,25,FALSE)))+('S-3 Assumptions'!$K$50*(VLOOKUP(A65,[1]!TOX,27,FALSE))))*(VLOOKUP(A65,[1]!TOX,12,FALSE))))</f>
        <v>962.20007350570359</v>
      </c>
      <c r="F65" s="161">
        <f>IF((VLOOKUP(A65,[1]!TOX,15,FALSE))=0,0, '[1]Target Risk'!$D$12/((VLOOKUP(A65,[1]!TOX,15,FALSE))*'S-3 Assumptions'!$N$72))</f>
        <v>2527222.2175120888</v>
      </c>
      <c r="G65" s="162">
        <f t="shared" si="1"/>
        <v>961.8338704016046</v>
      </c>
      <c r="H65" s="160">
        <f>IF(D65=0,MIN(G65,(VLOOKUP(A65,[1]!TOX,77,FALSE))),IF(G65=0,MIN(D65,(VLOOKUP(A65,[1]!TOX,77,FALSE))),MIN(D65,G65,(VLOOKUP(A65,[1]!TOX,77,FALSE)))))</f>
        <v>500</v>
      </c>
      <c r="I65" s="162" t="str">
        <f>IF(H65=D65,"Noncancer Risk",IF(H65=G65,"Cancer Risk",(VLOOKUP(A65,[1]!TOX,78,FALSE))))</f>
        <v>High Volatility</v>
      </c>
      <c r="J65" s="163">
        <f>MAX(H65,(VLOOKUP(A65,[1]!TOX,50,FALSE)),(VLOOKUP(A65,[1]!TOX,35,FALSE)))</f>
        <v>500</v>
      </c>
      <c r="K65" s="164">
        <f t="shared" si="3"/>
        <v>500</v>
      </c>
      <c r="L65" s="165" t="str">
        <f>IF(J65=0,"Not Calculated",IF(J65=H65,I65,IF(J65=[1]Toxicity!AI61,"Background","PQL")))</f>
        <v>High Volatility</v>
      </c>
    </row>
    <row r="66" spans="1:12" ht="12.5" x14ac:dyDescent="0.25">
      <c r="A66" s="134" t="s">
        <v>48</v>
      </c>
      <c r="B66" s="160">
        <f>IF(ISERR(1/+(VLOOKUP(A66,[1]!TOX,21,FALSE))),0,'[1]Target Risk'!$D$8*(VLOOKUP(A66,[1]!TOX,6,FALSE))/((('S-3 Assumptions'!$J$21+'S-3 Assumptions'!$O$85)*(VLOOKUP(A66,[1]!TOX,21,FALSE)))+('S-3 Assumptions'!$K$42*(VLOOKUP(A66,[1]!TOX,23,FALSE)))))</f>
        <v>532.80305512471216</v>
      </c>
      <c r="C66" s="161">
        <f>'[1]Target Risk'!$D$8*(VLOOKUP(A66,[1]!TOX,10,FALSE))/'S-3 Assumptions'!$N$64</f>
        <v>375191.42419601849</v>
      </c>
      <c r="D66" s="161">
        <f t="shared" si="0"/>
        <v>532.04750337968062</v>
      </c>
      <c r="E66" s="161">
        <f>IF(ISERR(1/(VLOOKUP(A66,[1]!TOX,25,FALSE))),0,+'[1]Target Risk'!$D$12/(((('S-3 Assumptions'!$J$29+'S-3 Assumptions'!$O$93)*(VLOOKUP(A66,[1]!TOX,25,FALSE)))+('S-3 Assumptions'!$K$50*(VLOOKUP(A66,[1]!TOX,27,FALSE))))*(VLOOKUP(A66,[1]!TOX,12,FALSE))))</f>
        <v>0</v>
      </c>
      <c r="F66" s="161">
        <f>IF((VLOOKUP(A66,[1]!TOX,15,FALSE))=0,0, '[1]Target Risk'!$D$12/((VLOOKUP(A66,[1]!TOX,15,FALSE))*'S-3 Assumptions'!$N$72))</f>
        <v>0</v>
      </c>
      <c r="G66" s="162">
        <f t="shared" si="1"/>
        <v>0</v>
      </c>
      <c r="H66" s="160">
        <f>IF(D66=0,MIN(G66,(VLOOKUP(A66,[1]!TOX,77,FALSE))),IF(G66=0,MIN(D66,(VLOOKUP(A66,[1]!TOX,77,FALSE))),MIN(D66,G66,(VLOOKUP(A66,[1]!TOX,77,FALSE)))))</f>
        <v>532.04750337968062</v>
      </c>
      <c r="I66" s="162" t="str">
        <f>IF(H66=D66,"Noncancer Risk",IF(H66=G66,"Cancer Risk",(VLOOKUP(A66,[1]!TOX,78,FALSE))))</f>
        <v>Noncancer Risk</v>
      </c>
      <c r="J66" s="163">
        <f>MAX(H66,(VLOOKUP(A66,[1]!TOX,50,FALSE)),(VLOOKUP(A66,[1]!TOX,35,FALSE)))</f>
        <v>532.04750337968062</v>
      </c>
      <c r="K66" s="164">
        <f t="shared" si="3"/>
        <v>500</v>
      </c>
      <c r="L66" s="165" t="str">
        <f>IF(J66=0,"Not Calculated",IF(J66=H66,I66,IF(J66=[1]Toxicity!AI62,"Background","PQL")))</f>
        <v>Noncancer Risk</v>
      </c>
    </row>
    <row r="67" spans="1:12" ht="12.5" x14ac:dyDescent="0.25">
      <c r="A67" s="134" t="s">
        <v>47</v>
      </c>
      <c r="B67" s="160">
        <f>IF(ISERR(1/+(VLOOKUP(A67,[1]!TOX,21,FALSE))),0,'[1]Target Risk'!$D$8*(VLOOKUP(A67,[1]!TOX,6,FALSE))/((('S-3 Assumptions'!$J$21+'S-3 Assumptions'!$O$85)*(VLOOKUP(A67,[1]!TOX,21,FALSE)))+('S-3 Assumptions'!$K$42*(VLOOKUP(A67,[1]!TOX,23,FALSE)))))</f>
        <v>26.640152756235601</v>
      </c>
      <c r="C67" s="161">
        <f>'[1]Target Risk'!$D$8*(VLOOKUP(A67,[1]!TOX,10,FALSE))/'S-3 Assumptions'!$N$64</f>
        <v>19652.884124553348</v>
      </c>
      <c r="D67" s="161">
        <f t="shared" si="0"/>
        <v>26.604090007518966</v>
      </c>
      <c r="E67" s="161">
        <f>IF(ISERR(1/(VLOOKUP(A67,[1]!TOX,25,FALSE))),0,+'[1]Target Risk'!$D$12/(((('S-3 Assumptions'!$J$29+'S-3 Assumptions'!$O$93)*(VLOOKUP(A67,[1]!TOX,25,FALSE)))+('S-3 Assumptions'!$K$50*(VLOOKUP(A67,[1]!TOX,27,FALSE))))*(VLOOKUP(A67,[1]!TOX,12,FALSE))))</f>
        <v>0</v>
      </c>
      <c r="F67" s="161">
        <f>IF((VLOOKUP(A67,[1]!TOX,15,FALSE))=0,0, '[1]Target Risk'!$D$12/((VLOOKUP(A67,[1]!TOX,15,FALSE))*'S-3 Assumptions'!$N$72))</f>
        <v>0</v>
      </c>
      <c r="G67" s="162">
        <f t="shared" si="1"/>
        <v>0</v>
      </c>
      <c r="H67" s="160">
        <f>IF(D67=0,MIN(G67,(VLOOKUP(A67,[1]!TOX,77,FALSE))),IF(G67=0,MIN(D67,(VLOOKUP(A67,[1]!TOX,77,FALSE))),MIN(D67,G67,(VLOOKUP(A67,[1]!TOX,77,FALSE)))))</f>
        <v>26.604090007518966</v>
      </c>
      <c r="I67" s="162" t="str">
        <f>IF(H67=D67,"Noncancer Risk",IF(H67=G67,"Cancer Risk",(VLOOKUP(A67,[1]!TOX,78,FALSE))))</f>
        <v>Noncancer Risk</v>
      </c>
      <c r="J67" s="163">
        <f>MAX(H67,(VLOOKUP(A67,[1]!TOX,50,FALSE)),(VLOOKUP(A67,[1]!TOX,35,FALSE)))</f>
        <v>26.604090007518966</v>
      </c>
      <c r="K67" s="164">
        <f t="shared" si="3"/>
        <v>30</v>
      </c>
      <c r="L67" s="165" t="str">
        <f>IF(J67=0,"Not Calculated",IF(J67=H67,I67,IF(J67=[1]Toxicity!AI63,"Background","PQL")))</f>
        <v>Noncancer Risk</v>
      </c>
    </row>
    <row r="68" spans="1:12" ht="20" x14ac:dyDescent="0.25">
      <c r="A68" s="134" t="s">
        <v>46</v>
      </c>
      <c r="B68" s="160">
        <f>IF(ISERR(1/+(VLOOKUP(A68,[1]!TOX,21,FALSE))),0,'[1]Target Risk'!$D$8*(VLOOKUP(A68,[1]!TOX,6,FALSE))/((('S-3 Assumptions'!$J$21+'S-3 Assumptions'!$O$85)*(VLOOKUP(A68,[1]!TOX,21,FALSE)))+('S-3 Assumptions'!$K$42*(VLOOKUP(A68,[1]!TOX,23,FALSE)))))</f>
        <v>6906.1526785545466</v>
      </c>
      <c r="C68" s="161">
        <f>'[1]Target Risk'!$D$8*(VLOOKUP(A68,[1]!TOX,10,FALSE))/'S-3 Assumptions'!$N$64</f>
        <v>160796324.65543649</v>
      </c>
      <c r="D68" s="161">
        <f t="shared" si="0"/>
        <v>6905.8560741605934</v>
      </c>
      <c r="E68" s="161">
        <f>IF(ISERR(1/(VLOOKUP(A68,[1]!TOX,25,FALSE))),0,+'[1]Target Risk'!$D$12/(((('S-3 Assumptions'!$J$29+'S-3 Assumptions'!$O$93)*(VLOOKUP(A68,[1]!TOX,25,FALSE)))+('S-3 Assumptions'!$K$50*(VLOOKUP(A68,[1]!TOX,27,FALSE))))*(VLOOKUP(A68,[1]!TOX,12,FALSE))))</f>
        <v>0</v>
      </c>
      <c r="F68" s="161">
        <f>IF((VLOOKUP(A68,[1]!TOX,15,FALSE))=0,0, '[1]Target Risk'!$D$12/((VLOOKUP(A68,[1]!TOX,15,FALSE))*'S-3 Assumptions'!$N$72))</f>
        <v>0</v>
      </c>
      <c r="G68" s="162">
        <f t="shared" si="1"/>
        <v>0</v>
      </c>
      <c r="H68" s="160">
        <f>IF(D68=0,MIN(G68,(VLOOKUP(A68,[1]!TOX,77,FALSE))),IF(G68=0,MIN(D68,(VLOOKUP(A68,[1]!TOX,77,FALSE))),MIN(D68,G68,(VLOOKUP(A68,[1]!TOX,77,FALSE)))))</f>
        <v>3000</v>
      </c>
      <c r="I68" s="162" t="str">
        <f>IF(H68=D68,"Noncancer Risk",IF(H68=G68,"Cancer Risk",(VLOOKUP(A68,[1]!TOX,78,FALSE))))</f>
        <v>Ceiling (Medium)</v>
      </c>
      <c r="J68" s="163">
        <f>MAX(H68,(VLOOKUP(A68,[1]!TOX,50,FALSE)),(VLOOKUP(A68,[1]!TOX,35,FALSE)))</f>
        <v>3000</v>
      </c>
      <c r="K68" s="164">
        <f t="shared" si="3"/>
        <v>3000</v>
      </c>
      <c r="L68" s="165" t="str">
        <f>IF(J68=0,"Not Calculated",IF(J68=H68,I68,IF(J68=[1]Toxicity!AI64,"Background","PQL")))</f>
        <v>Ceiling (Medium)</v>
      </c>
    </row>
    <row r="69" spans="1:12" ht="12.5" x14ac:dyDescent="0.25">
      <c r="A69" s="134" t="s">
        <v>45</v>
      </c>
      <c r="B69" s="160">
        <f>IF(ISERR(1/+(VLOOKUP(A69,[1]!TOX,21,FALSE))),0,'[1]Target Risk'!$D$8*(VLOOKUP(A69,[1]!TOX,6,FALSE))/((('S-3 Assumptions'!$J$21+'S-3 Assumptions'!$O$85)*(VLOOKUP(A69,[1]!TOX,21,FALSE)))+('S-3 Assumptions'!$K$42*(VLOOKUP(A69,[1]!TOX,23,FALSE)))))</f>
        <v>1243.1074821398181</v>
      </c>
      <c r="C69" s="161">
        <f>'[1]Target Risk'!$D$8*(VLOOKUP(A69,[1]!TOX,10,FALSE))/'S-3 Assumptions'!$N$64</f>
        <v>160796.32465543647</v>
      </c>
      <c r="D69" s="161">
        <f t="shared" si="0"/>
        <v>1233.5708144795663</v>
      </c>
      <c r="E69" s="161">
        <f>IF(ISERR(1/(VLOOKUP(A69,[1]!TOX,25,FALSE))),0,+'[1]Target Risk'!$D$12/(((('S-3 Assumptions'!$J$29+'S-3 Assumptions'!$O$93)*(VLOOKUP(A69,[1]!TOX,25,FALSE)))+('S-3 Assumptions'!$K$50*(VLOOKUP(A69,[1]!TOX,27,FALSE))))*(VLOOKUP(A69,[1]!TOX,12,FALSE))))</f>
        <v>48.110003675285178</v>
      </c>
      <c r="F69" s="161">
        <f>IF((VLOOKUP(A69,[1]!TOX,15,FALSE))=0,0, '[1]Target Risk'!$D$12/((VLOOKUP(A69,[1]!TOX,15,FALSE))*'S-3 Assumptions'!$N$72))</f>
        <v>42120.370291868145</v>
      </c>
      <c r="G69" s="162">
        <f t="shared" si="1"/>
        <v>48.055114989769031</v>
      </c>
      <c r="H69" s="160">
        <f>IF(D69=0,MIN(G69,(VLOOKUP(A69,[1]!TOX,77,FALSE))),IF(G69=0,MIN(D69,(VLOOKUP(A69,[1]!TOX,77,FALSE))),MIN(D69,G69,(VLOOKUP(A69,[1]!TOX,77,FALSE)))))</f>
        <v>48.055114989769031</v>
      </c>
      <c r="I69" s="162" t="str">
        <f>IF(H69=D69,"Noncancer Risk",IF(H69=G69,"Cancer Risk",(VLOOKUP(A69,[1]!TOX,78,FALSE))))</f>
        <v>Cancer Risk</v>
      </c>
      <c r="J69" s="163">
        <f>MAX(H69,(VLOOKUP(A69,[1]!TOX,50,FALSE)),(VLOOKUP(A69,[1]!TOX,35,FALSE)))</f>
        <v>48.055114989769031</v>
      </c>
      <c r="K69" s="164">
        <f t="shared" si="3"/>
        <v>50</v>
      </c>
      <c r="L69" s="165" t="str">
        <f>IF(J69=0,"Not Calculated",IF(J69=H69,I69,IF(J69=[1]Toxicity!AI65,"Background","PQL")))</f>
        <v>Cancer Risk</v>
      </c>
    </row>
    <row r="70" spans="1:12" ht="12.5" x14ac:dyDescent="0.25">
      <c r="A70" s="134" t="s">
        <v>44</v>
      </c>
      <c r="B70" s="160">
        <f>IF(ISERR(1/+(VLOOKUP(A70,[1]!TOX,21,FALSE))),0,'[1]Target Risk'!$D$8*(VLOOKUP(A70,[1]!TOX,6,FALSE))/((('S-3 Assumptions'!$J$21+'S-3 Assumptions'!$O$85)*(VLOOKUP(A70,[1]!TOX,21,FALSE)))+('S-3 Assumptions'!$K$42*(VLOOKUP(A70,[1]!TOX,23,FALSE)))))</f>
        <v>13514.180699349285</v>
      </c>
      <c r="C70" s="161">
        <f>'[1]Target Risk'!$D$8*(VLOOKUP(A70,[1]!TOX,10,FALSE))/'S-3 Assumptions'!$N$64</f>
        <v>8933129.1475242488</v>
      </c>
      <c r="D70" s="161">
        <f t="shared" si="0"/>
        <v>13493.767112568808</v>
      </c>
      <c r="E70" s="161">
        <f>IF(ISERR(1/(VLOOKUP(A70,[1]!TOX,25,FALSE))),0,+'[1]Target Risk'!$D$12/(((('S-3 Assumptions'!$J$29+'S-3 Assumptions'!$O$93)*(VLOOKUP(A70,[1]!TOX,25,FALSE)))+('S-3 Assumptions'!$K$50*(VLOOKUP(A70,[1]!TOX,27,FALSE))))*(VLOOKUP(A70,[1]!TOX,12,FALSE))))</f>
        <v>0</v>
      </c>
      <c r="F70" s="161">
        <f>IF((VLOOKUP(A70,[1]!TOX,15,FALSE))=0,0, '[1]Target Risk'!$D$12/((VLOOKUP(A70,[1]!TOX,15,FALSE))*'S-3 Assumptions'!$N$72))</f>
        <v>0</v>
      </c>
      <c r="G70" s="162">
        <f t="shared" si="1"/>
        <v>0</v>
      </c>
      <c r="H70" s="160">
        <f>IF(D70=0,MIN(G70,(VLOOKUP(A70,[1]!TOX,77,FALSE))),IF(G70=0,MIN(D70,(VLOOKUP(A70,[1]!TOX,77,FALSE))),MIN(D70,G70,(VLOOKUP(A70,[1]!TOX,77,FALSE)))))</f>
        <v>5000</v>
      </c>
      <c r="I70" s="162" t="str">
        <f>IF(H70=D70,"Noncancer Risk",IF(H70=G70,"Cancer Risk",(VLOOKUP(A70,[1]!TOX,78,FALSE))))</f>
        <v>Ceiling (High)</v>
      </c>
      <c r="J70" s="163">
        <f>MAX(H70,(VLOOKUP(A70,[1]!TOX,50,FALSE)),(VLOOKUP(A70,[1]!TOX,35,FALSE)))</f>
        <v>5000</v>
      </c>
      <c r="K70" s="164">
        <f t="shared" si="3"/>
        <v>5000</v>
      </c>
      <c r="L70" s="165" t="str">
        <f>IF(J70=0,"Not Calculated",IF(J70=H70,I70,IF(J70=[1]Toxicity!AI66,"Background","PQL")))</f>
        <v>Ceiling (High)</v>
      </c>
    </row>
    <row r="71" spans="1:12" ht="12.5" x14ac:dyDescent="0.25">
      <c r="A71" s="134" t="s">
        <v>43</v>
      </c>
      <c r="B71" s="160">
        <f>IF(ISERR(1/+(VLOOKUP(A71,[1]!TOX,21,FALSE))),0,'[1]Target Risk'!$D$8*(VLOOKUP(A71,[1]!TOX,6,FALSE))/((('S-3 Assumptions'!$J$21+'S-3 Assumptions'!$O$85)*(VLOOKUP(A71,[1]!TOX,21,FALSE)))+('S-3 Assumptions'!$K$42*(VLOOKUP(A71,[1]!TOX,23,FALSE)))))</f>
        <v>54056.722797397138</v>
      </c>
      <c r="C71" s="161">
        <f>'[1]Target Risk'!$D$8*(VLOOKUP(A71,[1]!TOX,10,FALSE))/'S-3 Assumptions'!$N$64</f>
        <v>8933129.1475242488</v>
      </c>
      <c r="D71" s="161">
        <f t="shared" si="0"/>
        <v>53731.578828889222</v>
      </c>
      <c r="E71" s="161">
        <f>IF(ISERR(1/(VLOOKUP(A71,[1]!TOX,25,FALSE))),0,+'[1]Target Risk'!$D$12/(((('S-3 Assumptions'!$J$29+'S-3 Assumptions'!$O$93)*(VLOOKUP(A71,[1]!TOX,25,FALSE)))+('S-3 Assumptions'!$K$50*(VLOOKUP(A71,[1]!TOX,27,FALSE))))*(VLOOKUP(A71,[1]!TOX,12,FALSE))))</f>
        <v>0</v>
      </c>
      <c r="F71" s="161">
        <f>IF((VLOOKUP(A71,[1]!TOX,15,FALSE))=0,0, '[1]Target Risk'!$D$12/((VLOOKUP(A71,[1]!TOX,15,FALSE))*'S-3 Assumptions'!$N$72))</f>
        <v>0</v>
      </c>
      <c r="G71" s="162">
        <f t="shared" si="1"/>
        <v>0</v>
      </c>
      <c r="H71" s="160">
        <f>IF(D71=0,MIN(G71,(VLOOKUP(A71,[1]!TOX,77,FALSE))),IF(G71=0,MIN(D71,(VLOOKUP(A71,[1]!TOX,77,FALSE))),MIN(D71,G71,(VLOOKUP(A71,[1]!TOX,77,FALSE)))))</f>
        <v>5000</v>
      </c>
      <c r="I71" s="162" t="str">
        <f>IF(H71=D71,"Noncancer Risk",IF(H71=G71,"Cancer Risk",(VLOOKUP(A71,[1]!TOX,78,FALSE))))</f>
        <v>Ceiling (High)</v>
      </c>
      <c r="J71" s="163">
        <f>MAX(H71,(VLOOKUP(A71,[1]!TOX,50,FALSE)),(VLOOKUP(A71,[1]!TOX,35,FALSE)))</f>
        <v>5000</v>
      </c>
      <c r="K71" s="164">
        <f t="shared" si="3"/>
        <v>5000</v>
      </c>
      <c r="L71" s="165" t="str">
        <f>IF(J71=0,"Not Calculated",IF(J71=H71,I71,IF(J71=[1]Toxicity!AI67,"Background","PQL")))</f>
        <v>Ceiling (High)</v>
      </c>
    </row>
    <row r="72" spans="1:12" ht="12.5" x14ac:dyDescent="0.25">
      <c r="A72" s="134" t="s">
        <v>42</v>
      </c>
      <c r="B72" s="160">
        <f>IF(ISERR(1/+(VLOOKUP(A72,[1]!TOX,21,FALSE))),0,'[1]Target Risk'!$D$8*(VLOOKUP(A72,[1]!TOX,6,FALSE))/((('S-3 Assumptions'!$J$21+'S-3 Assumptions'!$O$85)*(VLOOKUP(A72,[1]!TOX,21,FALSE)))+('S-3 Assumptions'!$K$42*(VLOOKUP(A72,[1]!TOX,23,FALSE)))))</f>
        <v>44.400254593726011</v>
      </c>
      <c r="C72" s="161">
        <f>'[1]Target Risk'!$D$8*(VLOOKUP(A72,[1]!TOX,10,FALSE))/'S-3 Assumptions'!$N$64</f>
        <v>17866.258295048498</v>
      </c>
      <c r="D72" s="161">
        <f t="shared" ref="D72:D129" si="4">IF(B72=0,C72,IF(C72=0,B72,1/((1/B72)+(1/C72))))</f>
        <v>44.290187026834282</v>
      </c>
      <c r="E72" s="161">
        <f>IF(ISERR(1/(VLOOKUP(A72,[1]!TOX,25,FALSE))),0,+'[1]Target Risk'!$D$12/(((('S-3 Assumptions'!$J$29+'S-3 Assumptions'!$O$93)*(VLOOKUP(A72,[1]!TOX,25,FALSE)))+('S-3 Assumptions'!$K$50*(VLOOKUP(A72,[1]!TOX,27,FALSE))))*(VLOOKUP(A72,[1]!TOX,12,FALSE))))</f>
        <v>13.746817181155048</v>
      </c>
      <c r="F72" s="161">
        <f>IF((VLOOKUP(A72,[1]!TOX,15,FALSE))=0,0, '[1]Target Risk'!$D$12/((VLOOKUP(A72,[1]!TOX,15,FALSE))*'S-3 Assumptions'!$N$72))</f>
        <v>9720.0854519695731</v>
      </c>
      <c r="G72" s="162">
        <f t="shared" ref="G72:G129" si="5">IF(E72=0,F72,IF(F72=0,E72,1/((1/E72)+(1/F72))))</f>
        <v>13.727402938399807</v>
      </c>
      <c r="H72" s="160">
        <f>IF(D72=0,MIN(G72,(VLOOKUP(A72,[1]!TOX,77,FALSE))),IF(G72=0,MIN(D72,(VLOOKUP(A72,[1]!TOX,77,FALSE))),MIN(D72,G72,(VLOOKUP(A72,[1]!TOX,77,FALSE)))))</f>
        <v>13.727402938399807</v>
      </c>
      <c r="I72" s="162" t="str">
        <f>IF(H72=D72,"Noncancer Risk",IF(H72=G72,"Cancer Risk",(VLOOKUP(A72,[1]!TOX,78,FALSE))))</f>
        <v>Cancer Risk</v>
      </c>
      <c r="J72" s="163">
        <f>MAX(H72,(VLOOKUP(A72,[1]!TOX,50,FALSE)),(VLOOKUP(A72,[1]!TOX,35,FALSE)))</f>
        <v>13.727402938399807</v>
      </c>
      <c r="K72" s="164">
        <f t="shared" si="3"/>
        <v>10</v>
      </c>
      <c r="L72" s="165" t="str">
        <f>IF(J72=0,"Not Calculated",IF(J72=H72,I72,IF(J72=[1]Toxicity!AI68,"Background","PQL")))</f>
        <v>Cancer Risk</v>
      </c>
    </row>
    <row r="73" spans="1:12" ht="12.5" x14ac:dyDescent="0.25">
      <c r="A73" s="134" t="s">
        <v>41</v>
      </c>
      <c r="B73" s="160">
        <f>IF(ISERR(1/+(VLOOKUP(A73,[1]!TOX,21,FALSE))),0,'[1]Target Risk'!$D$8*(VLOOKUP(A73,[1]!TOX,6,FALSE))/((('S-3 Assumptions'!$J$21+'S-3 Assumptions'!$O$85)*(VLOOKUP(A73,[1]!TOX,21,FALSE)))+('S-3 Assumptions'!$K$42*(VLOOKUP(A73,[1]!TOX,23,FALSE)))))</f>
        <v>1.1544066194368763</v>
      </c>
      <c r="C73" s="161">
        <f>'[1]Target Risk'!$D$8*(VLOOKUP(A73,[1]!TOX,10,FALSE))/'S-3 Assumptions'!$N$64</f>
        <v>821.84788157223079</v>
      </c>
      <c r="D73" s="161">
        <f t="shared" si="4"/>
        <v>1.1527873594881248</v>
      </c>
      <c r="E73" s="161">
        <f>IF(ISERR(1/(VLOOKUP(A73,[1]!TOX,25,FALSE))),0,+'[1]Target Risk'!$D$12/(((('S-3 Assumptions'!$J$29+'S-3 Assumptions'!$O$93)*(VLOOKUP(A73,[1]!TOX,25,FALSE)))+('S-3 Assumptions'!$K$50*(VLOOKUP(A73,[1]!TOX,27,FALSE))))*(VLOOKUP(A73,[1]!TOX,12,FALSE))))</f>
        <v>6.7978766280437064</v>
      </c>
      <c r="F73" s="161">
        <f>IF((VLOOKUP(A73,[1]!TOX,15,FALSE))=0,0, '[1]Target Risk'!$D$12/((VLOOKUP(A73,[1]!TOX,15,FALSE))*'S-3 Assumptions'!$N$72))</f>
        <v>4860.0427259847866</v>
      </c>
      <c r="G73" s="162">
        <f t="shared" si="5"/>
        <v>6.7883815304180946</v>
      </c>
      <c r="H73" s="160">
        <f>IF(D73=0,MIN(G73,(VLOOKUP(A73,[1]!TOX,77,FALSE))),IF(G73=0,MIN(D73,(VLOOKUP(A73,[1]!TOX,77,FALSE))),MIN(D73,G73,(VLOOKUP(A73,[1]!TOX,77,FALSE)))))</f>
        <v>1.1527873594881248</v>
      </c>
      <c r="I73" s="162" t="str">
        <f>IF(H73=D73,"Noncancer Risk",IF(H73=G73,"Cancer Risk",(VLOOKUP(A73,[1]!TOX,78,FALSE))))</f>
        <v>Noncancer Risk</v>
      </c>
      <c r="J73" s="163">
        <f>MAX(H73,(VLOOKUP(A73,[1]!TOX,50,FALSE)),(VLOOKUP(A73,[1]!TOX,35,FALSE)))</f>
        <v>1.1527873594881248</v>
      </c>
      <c r="K73" s="164">
        <f t="shared" si="3"/>
        <v>1</v>
      </c>
      <c r="L73" s="165" t="str">
        <f>IF(J73=0,"Not Calculated",IF(J73=H73,I73,IF(J73=[1]Toxicity!AI69,"Background","PQL")))</f>
        <v>Noncancer Risk</v>
      </c>
    </row>
    <row r="74" spans="1:12" ht="12.5" x14ac:dyDescent="0.25">
      <c r="A74" s="134" t="s">
        <v>40</v>
      </c>
      <c r="B74" s="160">
        <f>IF(ISERR(1/+(VLOOKUP(A74,[1]!TOX,21,FALSE))),0,'[1]Target Risk'!$D$8*(VLOOKUP(A74,[1]!TOX,6,FALSE))/((('S-3 Assumptions'!$J$21+'S-3 Assumptions'!$O$85)*(VLOOKUP(A74,[1]!TOX,21,FALSE)))+('S-3 Assumptions'!$K$42*(VLOOKUP(A74,[1]!TOX,23,FALSE)))))</f>
        <v>0.88800509187452026</v>
      </c>
      <c r="C74" s="161">
        <f>'[1]Target Risk'!$D$8*(VLOOKUP(A74,[1]!TOX,10,FALSE))/'S-3 Assumptions'!$N$64</f>
        <v>714.65033180193996</v>
      </c>
      <c r="D74" s="161">
        <f t="shared" si="4"/>
        <v>0.88690305023323202</v>
      </c>
      <c r="E74" s="161">
        <f>IF(ISERR(1/(VLOOKUP(A74,[1]!TOX,25,FALSE))),0,+'[1]Target Risk'!$D$12/(((('S-3 Assumptions'!$J$29+'S-3 Assumptions'!$O$93)*(VLOOKUP(A74,[1]!TOX,25,FALSE)))+('S-3 Assumptions'!$K$50*(VLOOKUP(A74,[1]!TOX,27,FALSE))))*(VLOOKUP(A74,[1]!TOX,12,FALSE))))</f>
        <v>38.662923321998576</v>
      </c>
      <c r="F74" s="161">
        <f>IF((VLOOKUP(A74,[1]!TOX,15,FALSE))=0,0, '[1]Target Risk'!$D$12/((VLOOKUP(A74,[1]!TOX,15,FALSE))*'S-3 Assumptions'!$N$72))</f>
        <v>27469.806712087917</v>
      </c>
      <c r="G74" s="162">
        <f t="shared" si="5"/>
        <v>38.608582907587497</v>
      </c>
      <c r="H74" s="160">
        <f>IF(D74=0,MIN(G74,(VLOOKUP(A74,[1]!TOX,77,FALSE))),IF(G74=0,MIN(D74,(VLOOKUP(A74,[1]!TOX,77,FALSE))),MIN(D74,G74,(VLOOKUP(A74,[1]!TOX,77,FALSE)))))</f>
        <v>0.88690305023323202</v>
      </c>
      <c r="I74" s="162" t="str">
        <f>IF(H74=D74,"Noncancer Risk",IF(H74=G74,"Cancer Risk",(VLOOKUP(A74,[1]!TOX,78,FALSE))))</f>
        <v>Noncancer Risk</v>
      </c>
      <c r="J74" s="163">
        <f>MAX(H74,(VLOOKUP(A74,[1]!TOX,50,FALSE)),(VLOOKUP(A74,[1]!TOX,35,FALSE)))</f>
        <v>0.88690305023323202</v>
      </c>
      <c r="K74" s="164">
        <f t="shared" si="3"/>
        <v>0.9</v>
      </c>
      <c r="L74" s="165" t="str">
        <f>IF(J74=0,"Not Calculated",IF(J74=H74,I74,IF(J74=[1]Toxicity!AI70,"Background","PQL")))</f>
        <v>Noncancer Risk</v>
      </c>
    </row>
    <row r="75" spans="1:12" ht="12.5" x14ac:dyDescent="0.25">
      <c r="A75" s="134" t="s">
        <v>39</v>
      </c>
      <c r="B75" s="160">
        <f>IF(ISERR(1/+(VLOOKUP(A75,[1]!TOX,21,FALSE))),0,'[1]Target Risk'!$D$8*(VLOOKUP(A75,[1]!TOX,6,FALSE))/((('S-3 Assumptions'!$J$21+'S-3 Assumptions'!$O$85)*(VLOOKUP(A75,[1]!TOX,21,FALSE)))+('S-3 Assumptions'!$K$42*(VLOOKUP(A75,[1]!TOX,23,FALSE)))))</f>
        <v>138.12305357109091</v>
      </c>
      <c r="C75" s="161">
        <f>'[1]Target Risk'!$D$8*(VLOOKUP(A75,[1]!TOX,10,FALSE))/'S-3 Assumptions'!$N$64</f>
        <v>71465.03318019399</v>
      </c>
      <c r="D75" s="161">
        <f t="shared" si="4"/>
        <v>137.8566131104844</v>
      </c>
      <c r="E75" s="161">
        <f>IF(ISERR(1/(VLOOKUP(A75,[1]!TOX,25,FALSE))),0,+'[1]Target Risk'!$D$12/(((('S-3 Assumptions'!$J$29+'S-3 Assumptions'!$O$93)*(VLOOKUP(A75,[1]!TOX,25,FALSE)))+('S-3 Assumptions'!$K$50*(VLOOKUP(A75,[1]!TOX,27,FALSE))))*(VLOOKUP(A75,[1]!TOX,12,FALSE))))</f>
        <v>1233.589837827825</v>
      </c>
      <c r="F75" s="161">
        <f>IF((VLOOKUP(A75,[1]!TOX,15,FALSE))=0,0, '[1]Target Risk'!$D$12/((VLOOKUP(A75,[1]!TOX,15,FALSE))*'S-3 Assumptions'!$N$72))</f>
        <v>574368.68579820206</v>
      </c>
      <c r="G75" s="162">
        <f t="shared" si="5"/>
        <v>1230.9460958684824</v>
      </c>
      <c r="H75" s="160">
        <f>IF(D75=0,MIN(G75,(VLOOKUP(A75,[1]!TOX,77,FALSE))),IF(G75=0,MIN(D75,(VLOOKUP(A75,[1]!TOX,77,FALSE))),MIN(D75,G75,(VLOOKUP(A75,[1]!TOX,77,FALSE)))))</f>
        <v>137.8566131104844</v>
      </c>
      <c r="I75" s="162" t="str">
        <f>IF(H75=D75,"Noncancer Risk",IF(H75=G75,"Cancer Risk",(VLOOKUP(A75,[1]!TOX,78,FALSE))))</f>
        <v>Noncancer Risk</v>
      </c>
      <c r="J75" s="163">
        <f>MAX(H75,(VLOOKUP(A75,[1]!TOX,50,FALSE)),(VLOOKUP(A75,[1]!TOX,35,FALSE)))</f>
        <v>137.8566131104844</v>
      </c>
      <c r="K75" s="164">
        <f t="shared" si="3"/>
        <v>100</v>
      </c>
      <c r="L75" s="165" t="str">
        <f>IF(J75=0,"Not Calculated",IF(J75=H75,I75,IF(J75=[1]Toxicity!AI71,"Background","PQL")))</f>
        <v>Noncancer Risk</v>
      </c>
    </row>
    <row r="76" spans="1:12" ht="20" x14ac:dyDescent="0.25">
      <c r="A76" s="134" t="s">
        <v>38</v>
      </c>
      <c r="B76" s="160">
        <f>IF(ISERR(1/+(VLOOKUP(A76,[1]!TOX,21,FALSE))),0,'[1]Target Risk'!$D$8*(VLOOKUP(A76,[1]!TOX,6,FALSE))/((('S-3 Assumptions'!$J$21+'S-3 Assumptions'!$O$85)*(VLOOKUP(A76,[1]!TOX,21,FALSE)))+('S-3 Assumptions'!$K$42*(VLOOKUP(A76,[1]!TOX,23,FALSE)))))</f>
        <v>383.90717532382348</v>
      </c>
      <c r="C76" s="161">
        <f>'[1]Target Risk'!$D$8*(VLOOKUP(A76,[1]!TOX,10,FALSE))/'S-3 Assumptions'!$N$64</f>
        <v>196528.84124553346</v>
      </c>
      <c r="D76" s="161">
        <f t="shared" si="4"/>
        <v>383.15869803910181</v>
      </c>
      <c r="E76" s="161">
        <f>IF(ISERR(1/(VLOOKUP(A76,[1]!TOX,25,FALSE))),0,+'[1]Target Risk'!$D$12/(((('S-3 Assumptions'!$J$29+'S-3 Assumptions'!$O$93)*(VLOOKUP(A76,[1]!TOX,25,FALSE)))+('S-3 Assumptions'!$K$50*(VLOOKUP(A76,[1]!TOX,27,FALSE))))*(VLOOKUP(A76,[1]!TOX,12,FALSE))))</f>
        <v>68.574213775965148</v>
      </c>
      <c r="F76" s="161">
        <f>IF((VLOOKUP(A76,[1]!TOX,15,FALSE))=0,0, '[1]Target Risk'!$D$12/((VLOOKUP(A76,[1]!TOX,15,FALSE))*'S-3 Assumptions'!$N$72))</f>
        <v>34020.299081893507</v>
      </c>
      <c r="G76" s="162">
        <f t="shared" si="5"/>
        <v>68.436267802972566</v>
      </c>
      <c r="H76" s="160">
        <f>IF(D76=0,MIN(G76,(VLOOKUP(A76,[1]!TOX,77,FALSE))),IF(G76=0,MIN(D76,(VLOOKUP(A76,[1]!TOX,77,FALSE))),MIN(D76,G76,(VLOOKUP(A76,[1]!TOX,77,FALSE)))))</f>
        <v>68.436267802972566</v>
      </c>
      <c r="I76" s="162" t="str">
        <f>IF(H76=D76,"Noncancer Risk",IF(H76=G76,"Cancer Risk",(VLOOKUP(A76,[1]!TOX,78,FALSE))))</f>
        <v>Cancer Risk</v>
      </c>
      <c r="J76" s="163">
        <f>MAX(H76,(VLOOKUP(A76,[1]!TOX,50,FALSE)),(VLOOKUP(A76,[1]!TOX,35,FALSE)))</f>
        <v>68.436267802972566</v>
      </c>
      <c r="K76" s="164">
        <f t="shared" si="3"/>
        <v>70</v>
      </c>
      <c r="L76" s="165" t="str">
        <f>IF(J76=0,"Not Calculated",IF(J76=H76,I76,IF(J76=[1]Toxicity!AI72,"Background","PQL")))</f>
        <v>Cancer Risk</v>
      </c>
    </row>
    <row r="77" spans="1:12" ht="12.5" x14ac:dyDescent="0.25">
      <c r="A77" s="134" t="s">
        <v>37</v>
      </c>
      <c r="B77" s="160">
        <f>IF(ISERR(1/+(VLOOKUP(A77,[1]!TOX,21,FALSE))),0,'[1]Target Risk'!$D$8*(VLOOKUP(A77,[1]!TOX,6,FALSE))/((('S-3 Assumptions'!$J$21+'S-3 Assumptions'!$O$85)*(VLOOKUP(A77,[1]!TOX,21,FALSE)))+('S-3 Assumptions'!$K$42*(VLOOKUP(A77,[1]!TOX,23,FALSE)))))</f>
        <v>276.24610714218181</v>
      </c>
      <c r="C77" s="161">
        <f>'[1]Target Risk'!$D$8*(VLOOKUP(A77,[1]!TOX,10,FALSE))/'S-3 Assumptions'!$N$64</f>
        <v>5359877.4885145491</v>
      </c>
      <c r="D77" s="161">
        <f t="shared" si="4"/>
        <v>276.23187025356083</v>
      </c>
      <c r="E77" s="161">
        <f>IF(ISERR(1/(VLOOKUP(A77,[1]!TOX,25,FALSE))),0,+'[1]Target Risk'!$D$12/(((('S-3 Assumptions'!$J$29+'S-3 Assumptions'!$O$93)*(VLOOKUP(A77,[1]!TOX,25,FALSE)))+('S-3 Assumptions'!$K$50*(VLOOKUP(A77,[1]!TOX,27,FALSE))))*(VLOOKUP(A77,[1]!TOX,12,FALSE))))</f>
        <v>2405.500183764259</v>
      </c>
      <c r="F77" s="161">
        <f>IF((VLOOKUP(A77,[1]!TOX,15,FALSE))=0,0, '[1]Target Risk'!$D$12/((VLOOKUP(A77,[1]!TOX,15,FALSE))*'S-3 Assumptions'!$N$72))</f>
        <v>3159027.7718901113</v>
      </c>
      <c r="G77" s="162">
        <f t="shared" si="5"/>
        <v>2403.6698648436591</v>
      </c>
      <c r="H77" s="160">
        <f>IF(D77=0,MIN(G77,(VLOOKUP(A77,[1]!TOX,77,FALSE))),IF(G77=0,MIN(D77,(VLOOKUP(A77,[1]!TOX,77,FALSE))),MIN(D77,G77,(VLOOKUP(A77,[1]!TOX,77,FALSE)))))</f>
        <v>276.23187025356083</v>
      </c>
      <c r="I77" s="162" t="str">
        <f>IF(H77=D77,"Noncancer Risk",IF(H77=G77,"Cancer Risk",(VLOOKUP(A77,[1]!TOX,78,FALSE))))</f>
        <v>Noncancer Risk</v>
      </c>
      <c r="J77" s="163">
        <f>MAX(H77,(VLOOKUP(A77,[1]!TOX,50,FALSE)),(VLOOKUP(A77,[1]!TOX,35,FALSE)))</f>
        <v>276.23187025356083</v>
      </c>
      <c r="K77" s="164">
        <f t="shared" si="3"/>
        <v>300</v>
      </c>
      <c r="L77" s="165" t="str">
        <f>IF(J77=0,"Not Calculated",IF(J77=H77,I77,IF(J77=[1]Toxicity!AI73,"Background","PQL")))</f>
        <v>Noncancer Risk</v>
      </c>
    </row>
    <row r="78" spans="1:12" ht="12.5" x14ac:dyDescent="0.25">
      <c r="A78" s="134" t="s">
        <v>36</v>
      </c>
      <c r="B78" s="160">
        <f>IF(ISERR(1/+(VLOOKUP(A78,[1]!TOX,21,FALSE))),0,'[1]Target Risk'!$D$8*(VLOOKUP(A78,[1]!TOX,6,FALSE))/((('S-3 Assumptions'!$J$21+'S-3 Assumptions'!$O$85)*(VLOOKUP(A78,[1]!TOX,21,FALSE)))+('S-3 Assumptions'!$K$42*(VLOOKUP(A78,[1]!TOX,23,FALSE)))))</f>
        <v>6906.1526785545466</v>
      </c>
      <c r="C78" s="161">
        <f>'[1]Target Risk'!$D$8*(VLOOKUP(A78,[1]!TOX,10,FALSE))/'S-3 Assumptions'!$N$64</f>
        <v>3215926.4931087289</v>
      </c>
      <c r="D78" s="161">
        <f t="shared" si="4"/>
        <v>6891.3536026913152</v>
      </c>
      <c r="E78" s="161">
        <f>IF(ISERR(1/(VLOOKUP(A78,[1]!TOX,25,FALSE))),0,+'[1]Target Risk'!$D$12/(((('S-3 Assumptions'!$J$29+'S-3 Assumptions'!$O$93)*(VLOOKUP(A78,[1]!TOX,25,FALSE)))+('S-3 Assumptions'!$K$50*(VLOOKUP(A78,[1]!TOX,27,FALSE))))*(VLOOKUP(A78,[1]!TOX,12,FALSE))))</f>
        <v>0</v>
      </c>
      <c r="F78" s="161">
        <f>IF((VLOOKUP(A78,[1]!TOX,15,FALSE))=0,0, '[1]Target Risk'!$D$12/((VLOOKUP(A78,[1]!TOX,15,FALSE))*'S-3 Assumptions'!$N$72))</f>
        <v>0</v>
      </c>
      <c r="G78" s="162">
        <f t="shared" si="5"/>
        <v>0</v>
      </c>
      <c r="H78" s="160">
        <f>IF(D78=0,MIN(G78,(VLOOKUP(A78,[1]!TOX,77,FALSE))),IF(G78=0,MIN(D78,(VLOOKUP(A78,[1]!TOX,77,FALSE))),MIN(D78,G78,(VLOOKUP(A78,[1]!TOX,77,FALSE)))))</f>
        <v>5000</v>
      </c>
      <c r="I78" s="162" t="str">
        <f>IF(H78=D78,"Noncancer Risk",IF(H78=G78,"Cancer Risk",(VLOOKUP(A78,[1]!TOX,78,FALSE))))</f>
        <v>Ceiling (High)</v>
      </c>
      <c r="J78" s="163">
        <f>MAX(H78,(VLOOKUP(A78,[1]!TOX,50,FALSE)),(VLOOKUP(A78,[1]!TOX,35,FALSE)))</f>
        <v>5000</v>
      </c>
      <c r="K78" s="164">
        <f t="shared" si="3"/>
        <v>5000</v>
      </c>
      <c r="L78" s="165" t="str">
        <f>IF(J78=0,"Not Calculated",IF(J78=H78,I78,IF(J78=[1]Toxicity!AI74,"Background","PQL")))</f>
        <v>Ceiling (High)</v>
      </c>
    </row>
    <row r="79" spans="1:12" ht="12.5" x14ac:dyDescent="0.25">
      <c r="A79" s="134" t="s">
        <v>35</v>
      </c>
      <c r="B79" s="160">
        <f>IF(ISERR(1/+(VLOOKUP(A79,[1]!TOX,21,FALSE))),0,'[1]Target Risk'!$D$8*(VLOOKUP(A79,[1]!TOX,6,FALSE))/((('S-3 Assumptions'!$J$21+'S-3 Assumptions'!$O$85)*(VLOOKUP(A79,[1]!TOX,21,FALSE)))+('S-3 Assumptions'!$K$42*(VLOOKUP(A79,[1]!TOX,23,FALSE)))))</f>
        <v>106994.17135325648</v>
      </c>
      <c r="C79" s="161">
        <f>'[1]Target Risk'!$D$8*(VLOOKUP(A79,[1]!TOX,10,FALSE))/'S-3 Assumptions'!$N$64</f>
        <v>8933129.1475242488</v>
      </c>
      <c r="D79" s="161">
        <f t="shared" si="4"/>
        <v>105727.84430220121</v>
      </c>
      <c r="E79" s="161">
        <f>IF(ISERR(1/(VLOOKUP(A79,[1]!TOX,25,FALSE))),0,+'[1]Target Risk'!$D$12/(((('S-3 Assumptions'!$J$29+'S-3 Assumptions'!$O$93)*(VLOOKUP(A79,[1]!TOX,25,FALSE)))+('S-3 Assumptions'!$K$50*(VLOOKUP(A79,[1]!TOX,27,FALSE))))*(VLOOKUP(A79,[1]!TOX,12,FALSE))))</f>
        <v>2484.4947284101213</v>
      </c>
      <c r="F79" s="161">
        <f>IF((VLOOKUP(A79,[1]!TOX,15,FALSE))=0,0, '[1]Target Risk'!$D$12/((VLOOKUP(A79,[1]!TOX,15,FALSE))*'S-3 Assumptions'!$N$72))</f>
        <v>210601.85145934075</v>
      </c>
      <c r="G79" s="162">
        <f t="shared" si="5"/>
        <v>2455.5265933515807</v>
      </c>
      <c r="H79" s="160">
        <f>IF(D79=0,MIN(G79,(VLOOKUP(A79,[1]!TOX,77,FALSE))),IF(G79=0,MIN(D79,(VLOOKUP(A79,[1]!TOX,77,FALSE))),MIN(D79,G79,(VLOOKUP(A79,[1]!TOX,77,FALSE)))))</f>
        <v>2455.5265933515807</v>
      </c>
      <c r="I79" s="162" t="str">
        <f>IF(H79=D79,"Noncancer Risk",IF(H79=G79,"Cancer Risk",(VLOOKUP(A79,[1]!TOX,78,FALSE))))</f>
        <v>Cancer Risk</v>
      </c>
      <c r="J79" s="163">
        <f>MAX(H79,(VLOOKUP(A79,[1]!TOX,50,FALSE)),(VLOOKUP(A79,[1]!TOX,35,FALSE)))</f>
        <v>2455.5265933515807</v>
      </c>
      <c r="K79" s="164">
        <f t="shared" si="3"/>
        <v>2000</v>
      </c>
      <c r="L79" s="165" t="str">
        <f>IF(J79=0,"Not Calculated",IF(J79=H79,I79,IF(J79=[1]Toxicity!AI75,"Background","PQL")))</f>
        <v>Cancer Risk</v>
      </c>
    </row>
    <row r="80" spans="1:12" ht="12.5" x14ac:dyDescent="0.25">
      <c r="A80" s="134" t="s">
        <v>34</v>
      </c>
      <c r="B80" s="160">
        <f>IF(ISERR(1/+(VLOOKUP(A80,[1]!TOX,21,FALSE))),0,'[1]Target Risk'!$D$8*(VLOOKUP(A80,[1]!TOX,6,FALSE))/((('S-3 Assumptions'!$J$21+'S-3 Assumptions'!$O$85)*(VLOOKUP(A80,[1]!TOX,21,FALSE)))+('S-3 Assumptions'!$K$42*(VLOOKUP(A80,[1]!TOX,23,FALSE)))))</f>
        <v>241.70630281650605</v>
      </c>
      <c r="C80" s="161">
        <f>'[1]Target Risk'!$D$8*(VLOOKUP(A80,[1]!TOX,10,FALSE))/'S-3 Assumptions'!$N$64</f>
        <v>17866.258295048498</v>
      </c>
      <c r="D80" s="161">
        <f t="shared" si="4"/>
        <v>238.47999118410354</v>
      </c>
      <c r="E80" s="161">
        <f>IF(ISERR(1/(VLOOKUP(A80,[1]!TOX,25,FALSE))),0,+'[1]Target Risk'!$D$12/(((('S-3 Assumptions'!$J$29+'S-3 Assumptions'!$O$93)*(VLOOKUP(A80,[1]!TOX,25,FALSE)))+('S-3 Assumptions'!$K$50*(VLOOKUP(A80,[1]!TOX,27,FALSE))))*(VLOOKUP(A80,[1]!TOX,12,FALSE))))</f>
        <v>0</v>
      </c>
      <c r="F80" s="161">
        <f>IF((VLOOKUP(A80,[1]!TOX,15,FALSE))=0,0, '[1]Target Risk'!$D$12/((VLOOKUP(A80,[1]!TOX,15,FALSE))*'S-3 Assumptions'!$N$72))</f>
        <v>0</v>
      </c>
      <c r="G80" s="162">
        <f t="shared" si="5"/>
        <v>0</v>
      </c>
      <c r="H80" s="160">
        <f>IF(D80=0,MIN(G80,(VLOOKUP(A80,[1]!TOX,77,FALSE))),IF(G80=0,MIN(D80,(VLOOKUP(A80,[1]!TOX,77,FALSE))),MIN(D80,G80,(VLOOKUP(A80,[1]!TOX,77,FALSE)))))</f>
        <v>238.47999118410354</v>
      </c>
      <c r="I80" s="162" t="str">
        <f>IF(H80=D80,"Noncancer Risk",IF(H80=G80,"Cancer Risk",(VLOOKUP(A80,[1]!TOX,78,FALSE))))</f>
        <v>Noncancer Risk</v>
      </c>
      <c r="J80" s="163">
        <f>MAX(H80,(VLOOKUP(A80,[1]!TOX,50,FALSE)),(VLOOKUP(A80,[1]!TOX,35,FALSE)))</f>
        <v>600</v>
      </c>
      <c r="K80" s="164">
        <f t="shared" si="3"/>
        <v>600</v>
      </c>
      <c r="L80" s="165" t="str">
        <f>IF(J80=0,"Not Calculated",IF(J80=H80,I80,IF(J80=[1]Toxicity!AI76,"Background","PQL")))</f>
        <v>Background</v>
      </c>
    </row>
    <row r="81" spans="1:12" ht="12.5" x14ac:dyDescent="0.25">
      <c r="A81" s="134" t="s">
        <v>33</v>
      </c>
      <c r="B81" s="160">
        <f>IF(ISERR(1/+(VLOOKUP(A81,[1]!TOX,21,FALSE))),0,'[1]Target Risk'!$D$8*(VLOOKUP(A81,[1]!TOX,6,FALSE))/((('S-3 Assumptions'!$J$21+'S-3 Assumptions'!$O$85)*(VLOOKUP(A81,[1]!TOX,21,FALSE)))+('S-3 Assumptions'!$K$42*(VLOOKUP(A81,[1]!TOX,23,FALSE)))))</f>
        <v>35.281922132013953</v>
      </c>
      <c r="C81" s="161">
        <f>'[1]Target Risk'!$D$8*(VLOOKUP(A81,[1]!TOX,10,FALSE))/'S-3 Assumptions'!$N$64</f>
        <v>5359.8774885145485</v>
      </c>
      <c r="D81" s="161">
        <f t="shared" si="4"/>
        <v>35.05119418968976</v>
      </c>
      <c r="E81" s="161">
        <f>IF(ISERR(1/(VLOOKUP(A81,[1]!TOX,25,FALSE))),0,+'[1]Target Risk'!$D$12/(((('S-3 Assumptions'!$J$29+'S-3 Assumptions'!$O$93)*(VLOOKUP(A81,[1]!TOX,25,FALSE)))+('S-3 Assumptions'!$K$50*(VLOOKUP(A81,[1]!TOX,27,FALSE))))*(VLOOKUP(A81,[1]!TOX,12,FALSE))))</f>
        <v>0</v>
      </c>
      <c r="F81" s="161">
        <f>IF((VLOOKUP(A81,[1]!TOX,15,FALSE))=0,0, '[1]Target Risk'!$D$12/((VLOOKUP(A81,[1]!TOX,15,FALSE))*'S-3 Assumptions'!$N$72))</f>
        <v>0</v>
      </c>
      <c r="G81" s="162">
        <f t="shared" si="5"/>
        <v>0</v>
      </c>
      <c r="H81" s="160">
        <f>IF(D81=0,MIN(G81,(VLOOKUP(A81,[1]!TOX,77,FALSE))),IF(G81=0,MIN(D81,(VLOOKUP(A81,[1]!TOX,77,FALSE))),MIN(D81,G81,(VLOOKUP(A81,[1]!TOX,77,FALSE)))))</f>
        <v>35.05119418968976</v>
      </c>
      <c r="I81" s="162" t="str">
        <f>IF(H81=D81,"Noncancer Risk",IF(H81=G81,"Cancer Risk",(VLOOKUP(A81,[1]!TOX,78,FALSE))))</f>
        <v>Noncancer Risk</v>
      </c>
      <c r="J81" s="163">
        <f>MAX(H81,(VLOOKUP(A81,[1]!TOX,50,FALSE)),(VLOOKUP(A81,[1]!TOX,35,FALSE)))</f>
        <v>35.05119418968976</v>
      </c>
      <c r="K81" s="164">
        <f>IF(J81&lt;&gt;0,ROUND(J81,1-(1+INT(LOG10(ABS(J81))))),"")</f>
        <v>40</v>
      </c>
      <c r="L81" s="165" t="str">
        <f>IF(J81=0,"Not Calculated",IF(J81=H81,I81,IF(J81=[1]Toxicity!AI77,"Background","PQL")))</f>
        <v>Noncancer Risk</v>
      </c>
    </row>
    <row r="82" spans="1:12" ht="12.5" x14ac:dyDescent="0.25">
      <c r="A82" s="134" t="s">
        <v>32</v>
      </c>
      <c r="B82" s="160">
        <f>IF(ISERR(1/+(VLOOKUP(A82,[1]!TOX,21,FALSE))),0,'[1]Target Risk'!$D$8*(VLOOKUP(A82,[1]!TOX,6,FALSE))/((('S-3 Assumptions'!$J$21+'S-3 Assumptions'!$O$85)*(VLOOKUP(A82,[1]!TOX,21,FALSE)))+('S-3 Assumptions'!$K$42*(VLOOKUP(A82,[1]!TOX,23,FALSE)))))</f>
        <v>444.00254593726009</v>
      </c>
      <c r="C82" s="161">
        <f>'[1]Target Risk'!$D$8*(VLOOKUP(A82,[1]!TOX,10,FALSE))/'S-3 Assumptions'!$N$64</f>
        <v>321592.64931087295</v>
      </c>
      <c r="D82" s="161">
        <f t="shared" si="4"/>
        <v>443.39038499327404</v>
      </c>
      <c r="E82" s="161">
        <f>IF(ISERR(1/(VLOOKUP(A82,[1]!TOX,25,FALSE))),0,+'[1]Target Risk'!$D$12/(((('S-3 Assumptions'!$J$29+'S-3 Assumptions'!$O$93)*(VLOOKUP(A82,[1]!TOX,25,FALSE)))+('S-3 Assumptions'!$K$50*(VLOOKUP(A82,[1]!TOX,27,FALSE))))*(VLOOKUP(A82,[1]!TOX,12,FALSE))))</f>
        <v>0</v>
      </c>
      <c r="F82" s="161">
        <f>IF((VLOOKUP(A82,[1]!TOX,15,FALSE))=0,0, '[1]Target Risk'!$D$12/((VLOOKUP(A82,[1]!TOX,15,FALSE))*'S-3 Assumptions'!$N$72))</f>
        <v>0</v>
      </c>
      <c r="G82" s="162">
        <f t="shared" si="5"/>
        <v>0</v>
      </c>
      <c r="H82" s="160">
        <f>IF(D82=0,MIN(G82,(VLOOKUP(A82,[1]!TOX,77,FALSE))),IF(G82=0,MIN(D82,(VLOOKUP(A82,[1]!TOX,77,FALSE))),MIN(D82,G82,(VLOOKUP(A82,[1]!TOX,77,FALSE)))))</f>
        <v>443.39038499327404</v>
      </c>
      <c r="I82" s="162" t="str">
        <f>IF(H82=D82,"Noncancer Risk",IF(H82=G82,"Cancer Risk",(VLOOKUP(A82,[1]!TOX,78,FALSE))))</f>
        <v>Noncancer Risk</v>
      </c>
      <c r="J82" s="163">
        <f>MAX(H82,(VLOOKUP(A82,[1]!TOX,50,FALSE)),(VLOOKUP(A82,[1]!TOX,35,FALSE)))</f>
        <v>443.39038499327404</v>
      </c>
      <c r="K82" s="164">
        <f t="shared" ref="K82:K97" si="6">IF(J82&lt;&gt;0,ROUND(J82,1-(1+INT(LOG10(ABS(J82))))),"")</f>
        <v>400</v>
      </c>
      <c r="L82" s="165" t="str">
        <f>IF(J82=0,"Not Calculated",IF(J82=H82,I82,IF(J82=[1]Toxicity!AI78,"Background","PQL")))</f>
        <v>Noncancer Risk</v>
      </c>
    </row>
    <row r="83" spans="1:12" ht="20" x14ac:dyDescent="0.25">
      <c r="A83" s="134" t="s">
        <v>31</v>
      </c>
      <c r="B83" s="160">
        <f>IF(ISERR(1/+(VLOOKUP(A83,[1]!TOX,21,FALSE))),0,'[1]Target Risk'!$D$8*(VLOOKUP(A83,[1]!TOX,6,FALSE))/((('S-3 Assumptions'!$J$21+'S-3 Assumptions'!$O$85)*(VLOOKUP(A83,[1]!TOX,21,FALSE)))+('S-3 Assumptions'!$K$42*(VLOOKUP(A83,[1]!TOX,23,FALSE)))))</f>
        <v>82873.832142654544</v>
      </c>
      <c r="C83" s="161">
        <f>'[1]Target Risk'!$D$8*(VLOOKUP(A83,[1]!TOX,10,FALSE))/'S-3 Assumptions'!$N$64</f>
        <v>89331291.475242481</v>
      </c>
      <c r="D83" s="161">
        <f t="shared" si="4"/>
        <v>82797.020241202496</v>
      </c>
      <c r="E83" s="161">
        <f>IF(ISERR(1/(VLOOKUP(A83,[1]!TOX,25,FALSE))),0,+'[1]Target Risk'!$D$12/(((('S-3 Assumptions'!$J$29+'S-3 Assumptions'!$O$93)*(VLOOKUP(A83,[1]!TOX,25,FALSE)))+('S-3 Assumptions'!$K$50*(VLOOKUP(A83,[1]!TOX,27,FALSE))))*(VLOOKUP(A83,[1]!TOX,12,FALSE))))</f>
        <v>0</v>
      </c>
      <c r="F83" s="161">
        <f>IF((VLOOKUP(A83,[1]!TOX,15,FALSE))=0,0, '[1]Target Risk'!$D$12/((VLOOKUP(A83,[1]!TOX,15,FALSE))*'S-3 Assumptions'!$N$72))</f>
        <v>0</v>
      </c>
      <c r="G83" s="162">
        <f t="shared" si="5"/>
        <v>0</v>
      </c>
      <c r="H83" s="160">
        <f>IF(D83=0,MIN(G83,(VLOOKUP(A83,[1]!TOX,77,FALSE))),IF(G83=0,MIN(D83,(VLOOKUP(A83,[1]!TOX,77,FALSE))),MIN(D83,G83,(VLOOKUP(A83,[1]!TOX,77,FALSE)))))</f>
        <v>3000</v>
      </c>
      <c r="I83" s="162" t="str">
        <f>IF(H83=D83,"Noncancer Risk",IF(H83=G83,"Cancer Risk",(VLOOKUP(A83,[1]!TOX,78,FALSE))))</f>
        <v>Ceiling (Medium)</v>
      </c>
      <c r="J83" s="163">
        <f>MAX(H83,(VLOOKUP(A83,[1]!TOX,50,FALSE)),(VLOOKUP(A83,[1]!TOX,35,FALSE)))</f>
        <v>3000</v>
      </c>
      <c r="K83" s="164">
        <f t="shared" si="6"/>
        <v>3000</v>
      </c>
      <c r="L83" s="165" t="str">
        <f>IF(J83=0,"Not Calculated",IF(J83=H83,I83,IF(J83=[1]Toxicity!AI79,"Background","PQL")))</f>
        <v>Ceiling (Medium)</v>
      </c>
    </row>
    <row r="84" spans="1:12" ht="20" x14ac:dyDescent="0.25">
      <c r="A84" s="134" t="s">
        <v>30</v>
      </c>
      <c r="B84" s="160">
        <f>IF(ISERR(1/+(VLOOKUP(A84,[1]!TOX,21,FALSE))),0,'[1]Target Risk'!$D$8*(VLOOKUP(A84,[1]!TOX,6,FALSE))/((('S-3 Assumptions'!$J$21+'S-3 Assumptions'!$O$85)*(VLOOKUP(A84,[1]!TOX,21,FALSE)))+('S-3 Assumptions'!$K$42*(VLOOKUP(A84,[1]!TOX,23,FALSE)))))</f>
        <v>110498.44285687275</v>
      </c>
      <c r="C84" s="161">
        <f>'[1]Target Risk'!$D$8*(VLOOKUP(A84,[1]!TOX,10,FALSE))/'S-3 Assumptions'!$N$64</f>
        <v>53598774.8851455</v>
      </c>
      <c r="D84" s="161">
        <f t="shared" si="4"/>
        <v>110271.10956566942</v>
      </c>
      <c r="E84" s="161">
        <f>IF(ISERR(1/(VLOOKUP(A84,[1]!TOX,25,FALSE))),0,+'[1]Target Risk'!$D$12/(((('S-3 Assumptions'!$J$29+'S-3 Assumptions'!$O$93)*(VLOOKUP(A84,[1]!TOX,25,FALSE)))+('S-3 Assumptions'!$K$50*(VLOOKUP(A84,[1]!TOX,27,FALSE))))*(VLOOKUP(A84,[1]!TOX,12,FALSE))))</f>
        <v>0</v>
      </c>
      <c r="F84" s="161">
        <f>IF((VLOOKUP(A84,[1]!TOX,15,FALSE))=0,0, '[1]Target Risk'!$D$12/((VLOOKUP(A84,[1]!TOX,15,FALSE))*'S-3 Assumptions'!$N$72))</f>
        <v>0</v>
      </c>
      <c r="G84" s="162">
        <f t="shared" si="5"/>
        <v>0</v>
      </c>
      <c r="H84" s="160">
        <f>IF(D84=0,MIN(G84,(VLOOKUP(A84,[1]!TOX,77,FALSE))),IF(G84=0,MIN(D84,(VLOOKUP(A84,[1]!TOX,77,FALSE))),MIN(D84,G84,(VLOOKUP(A84,[1]!TOX,77,FALSE)))))</f>
        <v>3000</v>
      </c>
      <c r="I84" s="162" t="str">
        <f>IF(H84=D84,"Noncancer Risk",IF(H84=G84,"Cancer Risk",(VLOOKUP(A84,[1]!TOX,78,FALSE))))</f>
        <v>Ceiling (Medium)</v>
      </c>
      <c r="J84" s="163">
        <f>MAX(H84,(VLOOKUP(A84,[1]!TOX,50,FALSE)),(VLOOKUP(A84,[1]!TOX,35,FALSE)))</f>
        <v>3000</v>
      </c>
      <c r="K84" s="164">
        <f t="shared" si="6"/>
        <v>3000</v>
      </c>
      <c r="L84" s="165" t="str">
        <f>IF(J84=0,"Not Calculated",IF(J84=H84,I84,IF(J84=[1]Toxicity!AI80,"Background","PQL")))</f>
        <v>Ceiling (Medium)</v>
      </c>
    </row>
    <row r="85" spans="1:12" ht="12.5" x14ac:dyDescent="0.25">
      <c r="A85" s="134" t="s">
        <v>29</v>
      </c>
      <c r="B85" s="160">
        <f>IF(ISERR(1/+(VLOOKUP(A85,[1]!TOX,21,FALSE))),0,'[1]Target Risk'!$D$8*(VLOOKUP(A85,[1]!TOX,6,FALSE))/((('S-3 Assumptions'!$J$21+'S-3 Assumptions'!$O$85)*(VLOOKUP(A85,[1]!TOX,21,FALSE)))+('S-3 Assumptions'!$K$42*(VLOOKUP(A85,[1]!TOX,23,FALSE)))))</f>
        <v>8.8800509187452015</v>
      </c>
      <c r="C85" s="161">
        <f>'[1]Target Risk'!$D$8*(VLOOKUP(A85,[1]!TOX,10,FALSE))/'S-3 Assumptions'!$N$64</f>
        <v>357.32516590096998</v>
      </c>
      <c r="D85" s="161">
        <f t="shared" si="4"/>
        <v>8.664720004007501</v>
      </c>
      <c r="E85" s="161">
        <f>IF(ISERR(1/(VLOOKUP(A85,[1]!TOX,25,FALSE))),0,+'[1]Target Risk'!$D$12/(((('S-3 Assumptions'!$J$29+'S-3 Assumptions'!$O$93)*(VLOOKUP(A85,[1]!TOX,25,FALSE)))+('S-3 Assumptions'!$K$50*(VLOOKUP(A85,[1]!TOX,27,FALSE))))*(VLOOKUP(A85,[1]!TOX,12,FALSE))))</f>
        <v>0</v>
      </c>
      <c r="F85" s="161">
        <f>IF((VLOOKUP(A85,[1]!TOX,15,FALSE))=0,0, '[1]Target Risk'!$D$12/((VLOOKUP(A85,[1]!TOX,15,FALSE))*'S-3 Assumptions'!$N$72))</f>
        <v>0</v>
      </c>
      <c r="G85" s="162">
        <f t="shared" si="5"/>
        <v>0</v>
      </c>
      <c r="H85" s="160">
        <f>IF(D85=0,MIN(G85,(VLOOKUP(A85,[1]!TOX,77,FALSE))),IF(G85=0,MIN(D85,(VLOOKUP(A85,[1]!TOX,77,FALSE))),MIN(D85,G85,(VLOOKUP(A85,[1]!TOX,77,FALSE)))))</f>
        <v>8.664720004007501</v>
      </c>
      <c r="I85" s="162" t="str">
        <f>IF(H85=D85,"Noncancer Risk",IF(H85=G85,"Cancer Risk",(VLOOKUP(A85,[1]!TOX,78,FALSE))))</f>
        <v>Noncancer Risk</v>
      </c>
      <c r="J85" s="163">
        <f>MAX(H85,(VLOOKUP(A85,[1]!TOX,50,FALSE)),(VLOOKUP(A85,[1]!TOX,35,FALSE)))</f>
        <v>8.664720004007501</v>
      </c>
      <c r="K85" s="164">
        <f t="shared" si="6"/>
        <v>9</v>
      </c>
      <c r="L85" s="165" t="str">
        <f>IF(J85=0,"Not Calculated",IF(J85=H85,I85,IF(J85=[1]Toxicity!AI81,"Background","PQL")))</f>
        <v>Noncancer Risk</v>
      </c>
    </row>
    <row r="86" spans="1:12" ht="12.5" x14ac:dyDescent="0.25">
      <c r="A86" s="134" t="s">
        <v>28</v>
      </c>
      <c r="B86" s="160">
        <f>IF(ISERR(1/+(VLOOKUP(A86,[1]!TOX,21,FALSE))),0,'[1]Target Risk'!$D$8*(VLOOKUP(A86,[1]!TOX,6,FALSE))/((('S-3 Assumptions'!$J$21+'S-3 Assumptions'!$O$85)*(VLOOKUP(A86,[1]!TOX,21,FALSE)))+('S-3 Assumptions'!$K$42*(VLOOKUP(A86,[1]!TOX,23,FALSE)))))</f>
        <v>138123.05357109092</v>
      </c>
      <c r="C86" s="161">
        <f>'[1]Target Risk'!$D$8*(VLOOKUP(A86,[1]!TOX,10,FALSE))/'S-3 Assumptions'!$N$64</f>
        <v>53598774.8851455</v>
      </c>
      <c r="D86" s="161">
        <f t="shared" si="4"/>
        <v>137768.02790605233</v>
      </c>
      <c r="E86" s="161">
        <f>IF(ISERR(1/(VLOOKUP(A86,[1]!TOX,25,FALSE))),0,+'[1]Target Risk'!$D$12/(((('S-3 Assumptions'!$J$29+'S-3 Assumptions'!$O$93)*(VLOOKUP(A86,[1]!TOX,25,FALSE)))+('S-3 Assumptions'!$K$50*(VLOOKUP(A86,[1]!TOX,27,FALSE))))*(VLOOKUP(A86,[1]!TOX,12,FALSE))))</f>
        <v>0</v>
      </c>
      <c r="F86" s="161">
        <f>IF((VLOOKUP(A86,[1]!TOX,15,FALSE))=0,0, '[1]Target Risk'!$D$12/((VLOOKUP(A86,[1]!TOX,15,FALSE))*'S-3 Assumptions'!$N$72))</f>
        <v>0</v>
      </c>
      <c r="G86" s="162">
        <f t="shared" si="5"/>
        <v>0</v>
      </c>
      <c r="H86" s="160">
        <f>IF(D86=0,MIN(G86,(VLOOKUP(A86,[1]!TOX,77,FALSE))),IF(G86=0,MIN(D86,(VLOOKUP(A86,[1]!TOX,77,FALSE))),MIN(D86,G86,(VLOOKUP(A86,[1]!TOX,77,FALSE)))))</f>
        <v>500</v>
      </c>
      <c r="I86" s="162" t="str">
        <f>IF(H86=D86,"Noncancer Risk",IF(H86=G86,"Cancer Risk",(VLOOKUP(A86,[1]!TOX,78,FALSE))))</f>
        <v>High Volatility</v>
      </c>
      <c r="J86" s="163">
        <f>MAX(H86,(VLOOKUP(A86,[1]!TOX,50,FALSE)),(VLOOKUP(A86,[1]!TOX,35,FALSE)))</f>
        <v>500</v>
      </c>
      <c r="K86" s="164">
        <f t="shared" si="6"/>
        <v>500</v>
      </c>
      <c r="L86" s="165" t="str">
        <f>IF(J86=0,"Not Calculated",IF(J86=H86,I86,IF(J86=[1]Toxicity!AI82,"Background","PQL")))</f>
        <v>High Volatility</v>
      </c>
    </row>
    <row r="87" spans="1:12" ht="12.5" x14ac:dyDescent="0.25">
      <c r="A87" s="134" t="s">
        <v>27</v>
      </c>
      <c r="B87" s="160">
        <f>IF(ISERR(1/+(VLOOKUP(A87,[1]!TOX,21,FALSE))),0,'[1]Target Risk'!$D$8*(VLOOKUP(A87,[1]!TOX,6,FALSE))/((('S-3 Assumptions'!$J$21+'S-3 Assumptions'!$O$85)*(VLOOKUP(A87,[1]!TOX,21,FALSE)))+('S-3 Assumptions'!$K$42*(VLOOKUP(A87,[1]!TOX,23,FALSE)))))</f>
        <v>540.56722797397128</v>
      </c>
      <c r="C87" s="161">
        <f>'[1]Target Risk'!$D$8*(VLOOKUP(A87,[1]!TOX,10,FALSE))/'S-3 Assumptions'!$N$64</f>
        <v>8933129.1475242488</v>
      </c>
      <c r="D87" s="161">
        <f t="shared" si="4"/>
        <v>540.53451880323973</v>
      </c>
      <c r="E87" s="161">
        <f>IF(ISERR(1/(VLOOKUP(A87,[1]!TOX,25,FALSE))),0,+'[1]Target Risk'!$D$12/(((('S-3 Assumptions'!$J$29+'S-3 Assumptions'!$O$93)*(VLOOKUP(A87,[1]!TOX,25,FALSE)))+('S-3 Assumptions'!$K$50*(VLOOKUP(A87,[1]!TOX,27,FALSE))))*(VLOOKUP(A87,[1]!TOX,12,FALSE))))</f>
        <v>0</v>
      </c>
      <c r="F87" s="161">
        <f>IF((VLOOKUP(A87,[1]!TOX,15,FALSE))=0,0, '[1]Target Risk'!$D$12/((VLOOKUP(A87,[1]!TOX,15,FALSE))*'S-3 Assumptions'!$N$72))</f>
        <v>0</v>
      </c>
      <c r="G87" s="162">
        <f t="shared" si="5"/>
        <v>0</v>
      </c>
      <c r="H87" s="160">
        <f>IF(D87=0,MIN(G87,(VLOOKUP(A87,[1]!TOX,77,FALSE))),IF(G87=0,MIN(D87,(VLOOKUP(A87,[1]!TOX,77,FALSE))),MIN(D87,G87,(VLOOKUP(A87,[1]!TOX,77,FALSE)))))</f>
        <v>540.53451880323973</v>
      </c>
      <c r="I87" s="162" t="str">
        <f>IF(H87=D87,"Noncancer Risk",IF(H87=G87,"Cancer Risk",(VLOOKUP(A87,[1]!TOX,78,FALSE))))</f>
        <v>Noncancer Risk</v>
      </c>
      <c r="J87" s="163">
        <f>MAX(H87,(VLOOKUP(A87,[1]!TOX,50,FALSE)),(VLOOKUP(A87,[1]!TOX,35,FALSE)))</f>
        <v>540.53451880323973</v>
      </c>
      <c r="K87" s="164">
        <f t="shared" si="6"/>
        <v>500</v>
      </c>
      <c r="L87" s="165" t="str">
        <f>IF(J87=0,"Not Calculated",IF(J87=H87,I87,IF(J87=[1]Toxicity!AI83,"Background","PQL")))</f>
        <v>Noncancer Risk</v>
      </c>
    </row>
    <row r="88" spans="1:12" ht="20" x14ac:dyDescent="0.25">
      <c r="A88" s="134" t="s">
        <v>26</v>
      </c>
      <c r="B88" s="160">
        <f>IF(ISERR(1/+(VLOOKUP(A88,[1]!TOX,21,FALSE))),0,'[1]Target Risk'!$D$8*(VLOOKUP(A88,[1]!TOX,6,FALSE))/((('S-3 Assumptions'!$J$21+'S-3 Assumptions'!$O$85)*(VLOOKUP(A88,[1]!TOX,21,FALSE)))+('S-3 Assumptions'!$K$42*(VLOOKUP(A88,[1]!TOX,23,FALSE)))))</f>
        <v>27028.361398698569</v>
      </c>
      <c r="C88" s="161">
        <f>'[1]Target Risk'!$D$8*(VLOOKUP(A88,[1]!TOX,10,FALSE))/'S-3 Assumptions'!$N$64</f>
        <v>53598.774885145496</v>
      </c>
      <c r="D88" s="161">
        <f t="shared" si="4"/>
        <v>17967.735490730636</v>
      </c>
      <c r="E88" s="161">
        <f>IF(ISERR(1/(VLOOKUP(A88,[1]!TOX,25,FALSE))),0,+'[1]Target Risk'!$D$12/(((('S-3 Assumptions'!$J$29+'S-3 Assumptions'!$O$93)*(VLOOKUP(A88,[1]!TOX,25,FALSE)))+('S-3 Assumptions'!$K$50*(VLOOKUP(A88,[1]!TOX,27,FALSE))))*(VLOOKUP(A88,[1]!TOX,12,FALSE))))</f>
        <v>0</v>
      </c>
      <c r="F88" s="161">
        <f>IF((VLOOKUP(A88,[1]!TOX,15,FALSE))=0,0, '[1]Target Risk'!$D$12/((VLOOKUP(A88,[1]!TOX,15,FALSE))*'S-3 Assumptions'!$N$72))</f>
        <v>0</v>
      </c>
      <c r="G88" s="162">
        <f t="shared" si="5"/>
        <v>0</v>
      </c>
      <c r="H88" s="160">
        <f>IF(D88=0,MIN(G88,(VLOOKUP(A88,[1]!TOX,77,FALSE))),IF(G88=0,MIN(D88,(VLOOKUP(A88,[1]!TOX,77,FALSE))),MIN(D88,G88,(VLOOKUP(A88,[1]!TOX,77,FALSE)))))</f>
        <v>3000</v>
      </c>
      <c r="I88" s="162" t="str">
        <f>IF(H88=D88,"Noncancer Risk",IF(H88=G88,"Cancer Risk",(VLOOKUP(A88,[1]!TOX,78,FALSE))))</f>
        <v>Ceiling (Medium)</v>
      </c>
      <c r="J88" s="163">
        <f>MAX(H88,(VLOOKUP(A88,[1]!TOX,50,FALSE)),(VLOOKUP(A88,[1]!TOX,35,FALSE)))</f>
        <v>3000</v>
      </c>
      <c r="K88" s="164">
        <f t="shared" si="6"/>
        <v>3000</v>
      </c>
      <c r="L88" s="165" t="str">
        <f>IF(J88=0,"Not Calculated",IF(J88=H88,I88,IF(J88=[1]Toxicity!AI84,"Background","PQL")))</f>
        <v>Ceiling (Medium)</v>
      </c>
    </row>
    <row r="89" spans="1:12" ht="12.5" x14ac:dyDescent="0.25">
      <c r="A89" s="134" t="s">
        <v>25</v>
      </c>
      <c r="B89" s="160">
        <f>IF(ISERR(1/+(VLOOKUP(A89,[1]!TOX,21,FALSE))),0,'[1]Target Risk'!$D$8*(VLOOKUP(A89,[1]!TOX,6,FALSE))/((('S-3 Assumptions'!$J$21+'S-3 Assumptions'!$O$85)*(VLOOKUP(A89,[1]!TOX,21,FALSE)))+('S-3 Assumptions'!$K$42*(VLOOKUP(A89,[1]!TOX,23,FALSE)))))</f>
        <v>1176.0640710671321</v>
      </c>
      <c r="C89" s="161">
        <f>'[1]Target Risk'!$D$8*(VLOOKUP(A89,[1]!TOX,10,FALSE))/'S-3 Assumptions'!$N$64</f>
        <v>17866.258295048498</v>
      </c>
      <c r="D89" s="161">
        <f t="shared" si="4"/>
        <v>1103.4297215029126</v>
      </c>
      <c r="E89" s="161">
        <f>IF(ISERR(1/(VLOOKUP(A89,[1]!TOX,25,FALSE))),0,+'[1]Target Risk'!$D$12/(((('S-3 Assumptions'!$J$29+'S-3 Assumptions'!$O$93)*(VLOOKUP(A89,[1]!TOX,25,FALSE)))+('S-3 Assumptions'!$K$50*(VLOOKUP(A89,[1]!TOX,27,FALSE))))*(VLOOKUP(A89,[1]!TOX,12,FALSE))))</f>
        <v>0</v>
      </c>
      <c r="F89" s="161">
        <f>IF((VLOOKUP(A89,[1]!TOX,15,FALSE))=0,0, '[1]Target Risk'!$D$12/((VLOOKUP(A89,[1]!TOX,15,FALSE))*'S-3 Assumptions'!$N$72))</f>
        <v>26325.231432417593</v>
      </c>
      <c r="G89" s="162">
        <f t="shared" si="5"/>
        <v>26325.231432417593</v>
      </c>
      <c r="H89" s="160">
        <f>IF(D89=0,MIN(G89,(VLOOKUP(A89,[1]!TOX,77,FALSE))),IF(G89=0,MIN(D89,(VLOOKUP(A89,[1]!TOX,77,FALSE))),MIN(D89,G89,(VLOOKUP(A89,[1]!TOX,77,FALSE)))))</f>
        <v>1103.4297215029126</v>
      </c>
      <c r="I89" s="162" t="str">
        <f>IF(H89=D89,"Noncancer Risk",IF(H89=G89,"Cancer Risk",(VLOOKUP(A89,[1]!TOX,78,FALSE))))</f>
        <v>Noncancer Risk</v>
      </c>
      <c r="J89" s="163">
        <f>MAX(H89,(VLOOKUP(A89,[1]!TOX,50,FALSE)),(VLOOKUP(A89,[1]!TOX,35,FALSE)))</f>
        <v>1103.4297215029126</v>
      </c>
      <c r="K89" s="164">
        <f t="shared" si="6"/>
        <v>1000</v>
      </c>
      <c r="L89" s="165" t="str">
        <f>IF(J89=0,"Not Calculated",IF(J89=H89,I89,IF(J89=[1]Toxicity!AI85,"Background","PQL")))</f>
        <v>Noncancer Risk</v>
      </c>
    </row>
    <row r="90" spans="1:12" ht="12.5" x14ac:dyDescent="0.25">
      <c r="A90" s="134" t="s">
        <v>24</v>
      </c>
      <c r="B90" s="160">
        <f>IF(ISERR(1/+(VLOOKUP(A90,[1]!TOX,21,FALSE))),0,'[1]Target Risk'!$D$8*(VLOOKUP(A90,[1]!TOX,6,FALSE))/((('S-3 Assumptions'!$J$21+'S-3 Assumptions'!$O$85)*(VLOOKUP(A90,[1]!TOX,21,FALSE)))+('S-3 Assumptions'!$K$42*(VLOOKUP(A90,[1]!TOX,23,FALSE)))))</f>
        <v>219.77485129820494</v>
      </c>
      <c r="C90" s="161">
        <f>'[1]Target Risk'!$D$8*(VLOOKUP(A90,[1]!TOX,10,FALSE))/'S-3 Assumptions'!$N$64</f>
        <v>1250.6380806533948</v>
      </c>
      <c r="D90" s="161">
        <f t="shared" si="4"/>
        <v>186.92626556178814</v>
      </c>
      <c r="E90" s="161">
        <f>IF(ISERR(1/(VLOOKUP(A90,[1]!TOX,25,FALSE))),0,+'[1]Target Risk'!$D$12/(((('S-3 Assumptions'!$J$29+'S-3 Assumptions'!$O$93)*(VLOOKUP(A90,[1]!TOX,25,FALSE)))+('S-3 Assumptions'!$K$50*(VLOOKUP(A90,[1]!TOX,27,FALSE))))*(VLOOKUP(A90,[1]!TOX,12,FALSE))))</f>
        <v>76.550355862570456</v>
      </c>
      <c r="F90" s="161">
        <f>IF((VLOOKUP(A90,[1]!TOX,15,FALSE))=0,0, '[1]Target Risk'!$D$12/((VLOOKUP(A90,[1]!TOX,15,FALSE))*'S-3 Assumptions'!$N$72))</f>
        <v>126361.11087560444</v>
      </c>
      <c r="G90" s="162">
        <f t="shared" si="5"/>
        <v>76.504009252504972</v>
      </c>
      <c r="H90" s="160">
        <f>IF(D90=0,MIN(G90,(VLOOKUP(A90,[1]!TOX,77,FALSE))),IF(G90=0,MIN(D90,(VLOOKUP(A90,[1]!TOX,77,FALSE))),MIN(D90,G90,(VLOOKUP(A90,[1]!TOX,77,FALSE)))))</f>
        <v>76.504009252504972</v>
      </c>
      <c r="I90" s="162" t="str">
        <f>IF(H90=D90,"Noncancer Risk",IF(H90=G90,"Cancer Risk",(VLOOKUP(A90,[1]!TOX,78,FALSE))))</f>
        <v>Cancer Risk</v>
      </c>
      <c r="J90" s="163">
        <f>MAX(H90,(VLOOKUP(A90,[1]!TOX,50,FALSE)),(VLOOKUP(A90,[1]!TOX,35,FALSE)))</f>
        <v>76.504009252504972</v>
      </c>
      <c r="K90" s="164">
        <f t="shared" si="6"/>
        <v>80</v>
      </c>
      <c r="L90" s="165" t="str">
        <f>IF(J90=0,"Not Calculated",IF(J90=H90,I90,IF(J90=[1]Toxicity!AI86,"Background","PQL")))</f>
        <v>Cancer Risk</v>
      </c>
    </row>
    <row r="91" spans="1:12" ht="20" x14ac:dyDescent="0.25">
      <c r="A91" s="135" t="s">
        <v>328</v>
      </c>
      <c r="B91" s="160">
        <f>IF(ISERR(1/+(VLOOKUP(A91,[1]!TOX,21,FALSE))),0,'[1]Target Risk'!$D$8*(VLOOKUP(A91,[1]!TOX,6,FALSE))/((('S-3 Assumptions'!$J$21+'S-3 Assumptions'!$O$85)*(VLOOKUP(A91,[1]!TOX,21,FALSE)))+('S-3 Assumptions'!$K$42*(VLOOKUP(A91,[1]!TOX,23,FALSE)))))</f>
        <v>0.44400254593726013</v>
      </c>
      <c r="C91" s="161">
        <f>'[1]Target Risk'!$D$8*(VLOOKUP(A91,[1]!TOX,10,FALSE))/'S-3 Assumptions'!$N$64</f>
        <v>357.32516590096998</v>
      </c>
      <c r="D91" s="161">
        <f t="shared" si="4"/>
        <v>0.44345152511661601</v>
      </c>
      <c r="E91" s="161">
        <f>IF(ISERR(1/(VLOOKUP(A91,[1]!TOX,25,FALSE))),0,+'[1]Target Risk'!$D$12/(((('S-3 Assumptions'!$J$29+'S-3 Assumptions'!$O$93)*(VLOOKUP(A91,[1]!TOX,25,FALSE)))+('S-3 Assumptions'!$K$50*(VLOOKUP(A91,[1]!TOX,27,FALSE))))*(VLOOKUP(A91,[1]!TOX,12,FALSE))))</f>
        <v>0</v>
      </c>
      <c r="F91" s="161">
        <f>IF((VLOOKUP(A91,[1]!TOX,15,FALSE))=0,0, '[1]Target Risk'!$D$12/((VLOOKUP(A91,[1]!TOX,15,FALSE))*'S-3 Assumptions'!$N$72))</f>
        <v>0</v>
      </c>
      <c r="G91" s="162">
        <f t="shared" si="5"/>
        <v>0</v>
      </c>
      <c r="H91" s="160">
        <f>IF(D91=0,MIN(G91,(VLOOKUP(A91,[1]!TOX,77,FALSE))),IF(G91=0,MIN(D91,(VLOOKUP(A91,[1]!TOX,77,FALSE))),MIN(D91,G91,(VLOOKUP(A91,[1]!TOX,77,FALSE)))))</f>
        <v>0.44345152511661601</v>
      </c>
      <c r="I91" s="162" t="str">
        <f>IF(H91=D91,"Noncancer Risk",IF(H91=G91,"Cancer Risk",(VLOOKUP(A91,[1]!TOX,78,FALSE))))</f>
        <v>Noncancer Risk</v>
      </c>
      <c r="J91" s="163">
        <f>MAX(H91,(VLOOKUP(A91,[1]!TOX,50,FALSE)),(VLOOKUP(A91,[1]!TOX,35,FALSE)))</f>
        <v>0.44345152511661601</v>
      </c>
      <c r="K91" s="164">
        <f t="shared" si="6"/>
        <v>0.4</v>
      </c>
      <c r="L91" s="165" t="str">
        <f>IF(J91=0,"Not Calculated",IF(J91=H91,I91,IF(J91=[1]Toxicity!AI87,"Background","PQL")))</f>
        <v>Noncancer Risk</v>
      </c>
    </row>
    <row r="92" spans="1:12" ht="20" x14ac:dyDescent="0.25">
      <c r="A92" s="134" t="s">
        <v>329</v>
      </c>
      <c r="B92" s="160">
        <f>IF(ISERR(1/+(VLOOKUP(A92,[1]!TOX,21,FALSE))),0,'[1]Target Risk'!$D$8*(VLOOKUP(A92,[1]!TOX,6,FALSE))/((('S-3 Assumptions'!$J$21+'S-3 Assumptions'!$O$85)*(VLOOKUP(A92,[1]!TOX,21,FALSE)))+('S-3 Assumptions'!$K$42*(VLOOKUP(A92,[1]!TOX,23,FALSE)))))</f>
        <v>0.44400254593726013</v>
      </c>
      <c r="C92" s="161">
        <f>'[1]Target Risk'!$D$8*(VLOOKUP(A92,[1]!TOX,10,FALSE))/'S-3 Assumptions'!$N$64</f>
        <v>357.32516590096998</v>
      </c>
      <c r="D92" s="161">
        <f t="shared" si="4"/>
        <v>0.44345152511661601</v>
      </c>
      <c r="E92" s="161">
        <f>IF(ISERR(1/(VLOOKUP(A92,[1]!TOX,25,FALSE))),0,+'[1]Target Risk'!$D$12/(((('S-3 Assumptions'!$J$29+'S-3 Assumptions'!$O$93)*(VLOOKUP(A92,[1]!TOX,25,FALSE)))+('S-3 Assumptions'!$K$50*(VLOOKUP(A92,[1]!TOX,27,FALSE))))*(VLOOKUP(A92,[1]!TOX,12,FALSE))))</f>
        <v>0</v>
      </c>
      <c r="F92" s="161">
        <f>IF((VLOOKUP(A92,[1]!TOX,15,FALSE))=0,0, '[1]Target Risk'!$D$12/((VLOOKUP(A92,[1]!TOX,15,FALSE))*'S-3 Assumptions'!$N$72))</f>
        <v>0</v>
      </c>
      <c r="G92" s="162">
        <f t="shared" si="5"/>
        <v>0</v>
      </c>
      <c r="H92" s="160">
        <f>IF(D92=0,MIN(G92,(VLOOKUP(A92,[1]!TOX,77,FALSE))),IF(G92=0,MIN(D92,(VLOOKUP(A92,[1]!TOX,77,FALSE))),MIN(D92,G92,(VLOOKUP(A92,[1]!TOX,77,FALSE)))))</f>
        <v>0.44345152511661601</v>
      </c>
      <c r="I92" s="162" t="str">
        <f>IF(H92=D92,"Noncancer Risk",IF(H92=G92,"Cancer Risk",(VLOOKUP(A92,[1]!TOX,78,FALSE))))</f>
        <v>Noncancer Risk</v>
      </c>
      <c r="J92" s="163">
        <f>MAX(H92,(VLOOKUP(A92,[1]!TOX,50,FALSE)),(VLOOKUP(A92,[1]!TOX,35,FALSE)))</f>
        <v>0.44345152511661601</v>
      </c>
      <c r="K92" s="164">
        <f t="shared" si="6"/>
        <v>0.4</v>
      </c>
      <c r="L92" s="165" t="str">
        <f>IF(J92=0,"Not Calculated",IF(J92=H92,I92,IF(J92=[1]Toxicity!AI88,"Background","PQL")))</f>
        <v>Noncancer Risk</v>
      </c>
    </row>
    <row r="93" spans="1:12" ht="20" x14ac:dyDescent="0.25">
      <c r="A93" s="134" t="s">
        <v>299</v>
      </c>
      <c r="B93" s="160">
        <f>IF(ISERR(1/+(VLOOKUP(A93,[1]!TOX,21,FALSE))),0,'[1]Target Risk'!$D$8*(VLOOKUP(A93,[1]!TOX,6,FALSE))/((('S-3 Assumptions'!$J$21+'S-3 Assumptions'!$O$85)*(VLOOKUP(A93,[1]!TOX,21,FALSE)))+('S-3 Assumptions'!$K$42*(VLOOKUP(A93,[1]!TOX,23,FALSE)))))</f>
        <v>0.44400254593726013</v>
      </c>
      <c r="C93" s="161">
        <f>'[1]Target Risk'!$D$8*(VLOOKUP(A93,[1]!TOX,10,FALSE))/'S-3 Assumptions'!$N$64</f>
        <v>357.32516590096998</v>
      </c>
      <c r="D93" s="161">
        <f t="shared" ref="D93:D97" si="7">IF(B93=0,C93,IF(C93=0,B93,1/((1/B93)+(1/C93))))</f>
        <v>0.44345152511661601</v>
      </c>
      <c r="E93" s="161">
        <f>IF(ISERR(1/(VLOOKUP(A93,[1]!TOX,25,FALSE))),0,+'[1]Target Risk'!$D$12/(((('S-3 Assumptions'!$J$29+'S-3 Assumptions'!$O$93)*(VLOOKUP(A93,[1]!TOX,25,FALSE)))+('S-3 Assumptions'!$K$50*(VLOOKUP(A93,[1]!TOX,27,FALSE))))*(VLOOKUP(A93,[1]!TOX,12,FALSE))))</f>
        <v>0</v>
      </c>
      <c r="F93" s="161">
        <f>IF((VLOOKUP(A93,[1]!TOX,15,FALSE))=0,0, '[1]Target Risk'!$D$12/((VLOOKUP(A93,[1]!TOX,15,FALSE))*'S-3 Assumptions'!$N$72))</f>
        <v>0</v>
      </c>
      <c r="G93" s="162">
        <f t="shared" ref="G93:G97" si="8">IF(E93=0,F93,IF(F93=0,E93,1/((1/E93)+(1/F93))))</f>
        <v>0</v>
      </c>
      <c r="H93" s="160">
        <f>IF(D93=0,MIN(G93,(VLOOKUP(A93,[1]!TOX,77,FALSE))),IF(G93=0,MIN(D93,(VLOOKUP(A93,[1]!TOX,77,FALSE))),MIN(D93,G93,(VLOOKUP(A93,[1]!TOX,77,FALSE)))))</f>
        <v>0.44345152511661601</v>
      </c>
      <c r="I93" s="162" t="str">
        <f>IF(H93=D93,"Noncancer Risk",IF(H93=G93,"Cancer Risk",(VLOOKUP(A93,[1]!TOX,78,FALSE))))</f>
        <v>Noncancer Risk</v>
      </c>
      <c r="J93" s="163">
        <f>MAX(H93,(VLOOKUP(A93,[1]!TOX,50,FALSE)),(VLOOKUP(A93,[1]!TOX,35,FALSE)))</f>
        <v>0.44345152511661601</v>
      </c>
      <c r="K93" s="164">
        <f t="shared" si="6"/>
        <v>0.4</v>
      </c>
      <c r="L93" s="165" t="str">
        <f>IF(J93=0,"Not Calculated",IF(J93=H93,I93,IF(J93=[1]Toxicity!AI89,"Background","PQL")))</f>
        <v>Noncancer Risk</v>
      </c>
    </row>
    <row r="94" spans="1:12" ht="20" x14ac:dyDescent="0.25">
      <c r="A94" s="134" t="s">
        <v>300</v>
      </c>
      <c r="B94" s="160">
        <f>IF(ISERR(1/+(VLOOKUP(A94,[1]!TOX,21,FALSE))),0,'[1]Target Risk'!$D$8*(VLOOKUP(A94,[1]!TOX,6,FALSE))/((('S-3 Assumptions'!$J$21+'S-3 Assumptions'!$O$85)*(VLOOKUP(A94,[1]!TOX,21,FALSE)))+('S-3 Assumptions'!$K$42*(VLOOKUP(A94,[1]!TOX,23,FALSE)))))</f>
        <v>0.44400254593726013</v>
      </c>
      <c r="C94" s="161">
        <f>'[1]Target Risk'!$D$8*(VLOOKUP(A94,[1]!TOX,10,FALSE))/'S-3 Assumptions'!$N$64</f>
        <v>357.32516590096998</v>
      </c>
      <c r="D94" s="161">
        <f t="shared" si="7"/>
        <v>0.44345152511661601</v>
      </c>
      <c r="E94" s="161">
        <f>IF(ISERR(1/(VLOOKUP(A94,[1]!TOX,25,FALSE))),0,+'[1]Target Risk'!$D$12/(((('S-3 Assumptions'!$J$29+'S-3 Assumptions'!$O$93)*(VLOOKUP(A94,[1]!TOX,25,FALSE)))+('S-3 Assumptions'!$K$50*(VLOOKUP(A94,[1]!TOX,27,FALSE))))*(VLOOKUP(A94,[1]!TOX,12,FALSE))))</f>
        <v>0</v>
      </c>
      <c r="F94" s="161">
        <f>IF((VLOOKUP(A94,[1]!TOX,15,FALSE))=0,0, '[1]Target Risk'!$D$12/((VLOOKUP(A94,[1]!TOX,15,FALSE))*'S-3 Assumptions'!$N$72))</f>
        <v>0</v>
      </c>
      <c r="G94" s="162">
        <f t="shared" si="8"/>
        <v>0</v>
      </c>
      <c r="H94" s="160">
        <f>IF(D94=0,MIN(G94,(VLOOKUP(A94,[1]!TOX,77,FALSE))),IF(G94=0,MIN(D94,(VLOOKUP(A94,[1]!TOX,77,FALSE))),MIN(D94,G94,(VLOOKUP(A94,[1]!TOX,77,FALSE)))))</f>
        <v>0.44345152511661601</v>
      </c>
      <c r="I94" s="162" t="str">
        <f>IF(H94=D94,"Noncancer Risk",IF(H94=G94,"Cancer Risk",(VLOOKUP(A94,[1]!TOX,78,FALSE))))</f>
        <v>Noncancer Risk</v>
      </c>
      <c r="J94" s="163">
        <f>MAX(H94,(VLOOKUP(A94,[1]!TOX,50,FALSE)),(VLOOKUP(A94,[1]!TOX,35,FALSE)))</f>
        <v>0.44345152511661601</v>
      </c>
      <c r="K94" s="164">
        <f t="shared" si="6"/>
        <v>0.4</v>
      </c>
      <c r="L94" s="165" t="str">
        <f>IF(J94=0,"Not Calculated",IF(J94=H94,I94,IF(J94=[1]Toxicity!AI90,"Background","PQL")))</f>
        <v>Noncancer Risk</v>
      </c>
    </row>
    <row r="95" spans="1:12" ht="20" x14ac:dyDescent="0.25">
      <c r="A95" s="134" t="s">
        <v>298</v>
      </c>
      <c r="B95" s="160">
        <f>IF(ISERR(1/+(VLOOKUP(A95,[1]!TOX,21,FALSE))),0,'[1]Target Risk'!$D$8*(VLOOKUP(A95,[1]!TOX,6,FALSE))/((('S-3 Assumptions'!$J$21+'S-3 Assumptions'!$O$85)*(VLOOKUP(A95,[1]!TOX,21,FALSE)))+('S-3 Assumptions'!$K$42*(VLOOKUP(A95,[1]!TOX,23,FALSE)))))</f>
        <v>0.44400254593726013</v>
      </c>
      <c r="C95" s="161">
        <f>'[1]Target Risk'!$D$8*(VLOOKUP(A95,[1]!TOX,10,FALSE))/'S-3 Assumptions'!$N$64</f>
        <v>357.32516590096998</v>
      </c>
      <c r="D95" s="161">
        <f t="shared" si="7"/>
        <v>0.44345152511661601</v>
      </c>
      <c r="E95" s="161">
        <f>IF(ISERR(1/(VLOOKUP(A95,[1]!TOX,25,FALSE))),0,+'[1]Target Risk'!$D$12/(((('S-3 Assumptions'!$J$29+'S-3 Assumptions'!$O$93)*(VLOOKUP(A95,[1]!TOX,25,FALSE)))+('S-3 Assumptions'!$K$50*(VLOOKUP(A95,[1]!TOX,27,FALSE))))*(VLOOKUP(A95,[1]!TOX,12,FALSE))))</f>
        <v>0</v>
      </c>
      <c r="F95" s="161">
        <f>IF((VLOOKUP(A95,[1]!TOX,15,FALSE))=0,0, '[1]Target Risk'!$D$12/((VLOOKUP(A95,[1]!TOX,15,FALSE))*'S-3 Assumptions'!$N$72))</f>
        <v>0</v>
      </c>
      <c r="G95" s="162">
        <f t="shared" si="8"/>
        <v>0</v>
      </c>
      <c r="H95" s="160">
        <f>IF(D95=0,MIN(G95,(VLOOKUP(A95,[1]!TOX,77,FALSE))),IF(G95=0,MIN(D95,(VLOOKUP(A95,[1]!TOX,77,FALSE))),MIN(D95,G95,(VLOOKUP(A95,[1]!TOX,77,FALSE)))))</f>
        <v>0.44345152511661601</v>
      </c>
      <c r="I95" s="162" t="str">
        <f>IF(H95=D95,"Noncancer Risk",IF(H95=G95,"Cancer Risk",(VLOOKUP(A95,[1]!TOX,78,FALSE))))</f>
        <v>Noncancer Risk</v>
      </c>
      <c r="J95" s="163">
        <f>MAX(H95,(VLOOKUP(A95,[1]!TOX,50,FALSE)),(VLOOKUP(A95,[1]!TOX,35,FALSE)))</f>
        <v>0.44345152511661601</v>
      </c>
      <c r="K95" s="164">
        <f t="shared" si="6"/>
        <v>0.4</v>
      </c>
      <c r="L95" s="165" t="str">
        <f>IF(J95=0,"Not Calculated",IF(J95=H95,I95,IF(J95=[1]Toxicity!AI91,"Background","PQL")))</f>
        <v>Noncancer Risk</v>
      </c>
    </row>
    <row r="96" spans="1:12" ht="20" x14ac:dyDescent="0.25">
      <c r="A96" s="134" t="s">
        <v>325</v>
      </c>
      <c r="B96" s="160">
        <f>IF(ISERR(1/+(VLOOKUP(A96,[1]!TOX,21,FALSE))),0,'[1]Target Risk'!$D$8*(VLOOKUP(A96,[1]!TOX,6,FALSE))/((('S-3 Assumptions'!$J$21+'S-3 Assumptions'!$O$85)*(VLOOKUP(A96,[1]!TOX,21,FALSE)))+('S-3 Assumptions'!$K$42*(VLOOKUP(A96,[1]!TOX,23,FALSE)))))</f>
        <v>0.44400254593726013</v>
      </c>
      <c r="C96" s="161">
        <f>'[1]Target Risk'!$D$8*(VLOOKUP(A96,[1]!TOX,10,FALSE))/'S-3 Assumptions'!$N$64</f>
        <v>357.32516590096998</v>
      </c>
      <c r="D96" s="161">
        <f t="shared" si="7"/>
        <v>0.44345152511661601</v>
      </c>
      <c r="E96" s="161">
        <f>IF(ISERR(1/(VLOOKUP(A96,[1]!TOX,25,FALSE))),0,+'[1]Target Risk'!$D$12/(((('S-3 Assumptions'!$J$29+'S-3 Assumptions'!$O$93)*(VLOOKUP(A96,[1]!TOX,25,FALSE)))+('S-3 Assumptions'!$K$50*(VLOOKUP(A96,[1]!TOX,27,FALSE))))*(VLOOKUP(A96,[1]!TOX,12,FALSE))))</f>
        <v>0</v>
      </c>
      <c r="F96" s="161">
        <f>IF((VLOOKUP(A96,[1]!TOX,15,FALSE))=0,0, '[1]Target Risk'!$D$12/((VLOOKUP(A96,[1]!TOX,15,FALSE))*'S-3 Assumptions'!$N$72))</f>
        <v>0</v>
      </c>
      <c r="G96" s="162">
        <f t="shared" si="8"/>
        <v>0</v>
      </c>
      <c r="H96" s="160">
        <f>IF(D96=0,MIN(G96,(VLOOKUP(A96,[1]!TOX,77,FALSE))),IF(G96=0,MIN(D96,(VLOOKUP(A96,[1]!TOX,77,FALSE))),MIN(D96,G96,(VLOOKUP(A96,[1]!TOX,77,FALSE)))))</f>
        <v>0.44345152511661601</v>
      </c>
      <c r="I96" s="162" t="str">
        <f>IF(H96=D96,"Noncancer Risk",IF(H96=G96,"Cancer Risk",(VLOOKUP(A96,[1]!TOX,78,FALSE))))</f>
        <v>Noncancer Risk</v>
      </c>
      <c r="J96" s="163">
        <f>MAX(H96,(VLOOKUP(A96,[1]!TOX,50,FALSE)),(VLOOKUP(A96,[1]!TOX,35,FALSE)))</f>
        <v>0.44345152511661601</v>
      </c>
      <c r="K96" s="164">
        <f t="shared" si="6"/>
        <v>0.4</v>
      </c>
      <c r="L96" s="165" t="str">
        <f>IF(J96=0,"Not Calculated",IF(J96=H96,I96,IF(J96=[1]Toxicity!AI92,"Background","PQL")))</f>
        <v>Noncancer Risk</v>
      </c>
    </row>
    <row r="97" spans="1:12" ht="20" x14ac:dyDescent="0.25">
      <c r="A97" s="134" t="s">
        <v>301</v>
      </c>
      <c r="B97" s="160">
        <f>IF(ISERR(1/+(VLOOKUP(A97,[1]!TOX,21,FALSE))),0,'[1]Target Risk'!$D$8*(VLOOKUP(A97,[1]!TOX,6,FALSE))/((('S-3 Assumptions'!$J$21+'S-3 Assumptions'!$O$85)*(VLOOKUP(A97,[1]!TOX,21,FALSE)))+('S-3 Assumptions'!$K$42*(VLOOKUP(A97,[1]!TOX,23,FALSE)))))</f>
        <v>0.44400254593726013</v>
      </c>
      <c r="C97" s="161">
        <f>'[1]Target Risk'!$D$8*(VLOOKUP(A97,[1]!TOX,10,FALSE))/'S-3 Assumptions'!$N$64</f>
        <v>357.32516590096998</v>
      </c>
      <c r="D97" s="161">
        <f t="shared" si="7"/>
        <v>0.44345152511661601</v>
      </c>
      <c r="E97" s="161">
        <f>IF(ISERR(1/(VLOOKUP(A97,[1]!TOX,25,FALSE))),0,+'[1]Target Risk'!$D$12/(((('S-3 Assumptions'!$J$29+'S-3 Assumptions'!$O$93)*(VLOOKUP(A97,[1]!TOX,25,FALSE)))+('S-3 Assumptions'!$K$50*(VLOOKUP(A97,[1]!TOX,27,FALSE))))*(VLOOKUP(A97,[1]!TOX,12,FALSE))))</f>
        <v>0</v>
      </c>
      <c r="F97" s="161">
        <f>IF((VLOOKUP(A97,[1]!TOX,15,FALSE))=0,0, '[1]Target Risk'!$D$12/((VLOOKUP(A97,[1]!TOX,15,FALSE))*'S-3 Assumptions'!$N$72))</f>
        <v>0</v>
      </c>
      <c r="G97" s="162">
        <f t="shared" si="8"/>
        <v>0</v>
      </c>
      <c r="H97" s="160">
        <f>IF(D97=0,MIN(G97,(VLOOKUP(A97,[1]!TOX,77,FALSE))),IF(G97=0,MIN(D97,(VLOOKUP(A97,[1]!TOX,77,FALSE))),MIN(D97,G97,(VLOOKUP(A97,[1]!TOX,77,FALSE)))))</f>
        <v>0.44345152511661601</v>
      </c>
      <c r="I97" s="162" t="str">
        <f>IF(H97=D97,"Noncancer Risk",IF(H97=G97,"Cancer Risk",(VLOOKUP(A97,[1]!TOX,78,FALSE))))</f>
        <v>Noncancer Risk</v>
      </c>
      <c r="J97" s="163">
        <f>MAX(H97,(VLOOKUP(A97,[1]!TOX,50,FALSE)),(VLOOKUP(A97,[1]!TOX,35,FALSE)))</f>
        <v>0.44345152511661601</v>
      </c>
      <c r="K97" s="164">
        <f t="shared" si="6"/>
        <v>0.4</v>
      </c>
      <c r="L97" s="165" t="str">
        <f>IF(J97=0,"Not Calculated",IF(J97=H97,I97,IF(J97=[1]Toxicity!AI93,"Background","PQL")))</f>
        <v>Noncancer Risk</v>
      </c>
    </row>
    <row r="98" spans="1:12" ht="12.5" x14ac:dyDescent="0.25">
      <c r="A98" s="134" t="s">
        <v>288</v>
      </c>
      <c r="B98" s="160">
        <f>IF(ISERR(1/+(VLOOKUP(A98,[1]!TOX,21,FALSE))),0,'[1]Target Risk'!$D$8*(VLOOKUP(A98,[1]!TOX,6,FALSE))/((('S-3 Assumptions'!$J$21+'S-3 Assumptions'!$O$85)*(VLOOKUP(A98,[1]!TOX,21,FALSE)))+('S-3 Assumptions'!$K$42*(VLOOKUP(A98,[1]!TOX,23,FALSE)))))</f>
        <v>6.216035643121641</v>
      </c>
      <c r="C98" s="161">
        <f>'[1]Target Risk'!$D$8*(VLOOKUP(A98,[1]!TOX,10,FALSE))/'S-3 Assumptions'!$N$64</f>
        <v>3573.2516590096998</v>
      </c>
      <c r="D98" s="161">
        <f>IF(B98=0,C98,IF(C98=0,B98,1/((1/B98)+(1/C98))))</f>
        <v>6.2052409936338755</v>
      </c>
      <c r="E98" s="161">
        <f>IF(ISERR(1/(VLOOKUP(A98,[1]!TOX,25,FALSE))),0,+'[1]Target Risk'!$D$12/(((('S-3 Assumptions'!$J$29+'S-3 Assumptions'!$O$93)*(VLOOKUP(A98,[1]!TOX,25,FALSE)))+('S-3 Assumptions'!$K$50*(VLOOKUP(A98,[1]!TOX,27,FALSE))))*(VLOOKUP(A98,[1]!TOX,12,FALSE))))</f>
        <v>0</v>
      </c>
      <c r="F98" s="161">
        <f>IF((VLOOKUP(A98,[1]!TOX,15,FALSE))=0,0, '[1]Target Risk'!$D$12/((VLOOKUP(A98,[1]!TOX,15,FALSE))*'S-3 Assumptions'!$N$72))</f>
        <v>0</v>
      </c>
      <c r="G98" s="162">
        <f>IF(E98=0,F98,IF(F98=0,E98,1/((1/E98)+(1/F98))))</f>
        <v>0</v>
      </c>
      <c r="H98" s="160">
        <f>IF(D98=0,MIN(G98,(VLOOKUP(A98,[1]!TOX,77,FALSE))),IF(G98=0,MIN(D98,(VLOOKUP(A98,[1]!TOX,77,FALSE))),MIN(D98,G98,(VLOOKUP(A98,[1]!TOX,77,FALSE)))))</f>
        <v>6.2052409936338755</v>
      </c>
      <c r="I98" s="162" t="str">
        <f>IF(H98=D98,"Noncancer Risk",IF(H98=G98,"Cancer Risk",(VLOOKUP(A98,[1]!TOX,78,FALSE))))</f>
        <v>Noncancer Risk</v>
      </c>
      <c r="J98" s="163">
        <f>MAX(H98,(VLOOKUP(A98,[1]!TOX,50,FALSE)),(VLOOKUP(A98,[1]!TOX,35,FALSE)))</f>
        <v>6.2052409936338755</v>
      </c>
      <c r="K98" s="164">
        <f>IF(J98&lt;&gt;0,ROUND(J98,1-(1+INT(LOG10(ABS(J98))))),"")</f>
        <v>6</v>
      </c>
      <c r="L98" s="165" t="str">
        <f>IF(J98=0,"Not Calculated",IF(J98=H98,I98,IF(J98=[1]Toxicity!AI94,"Background","PQL")))</f>
        <v>Noncancer Risk</v>
      </c>
    </row>
    <row r="99" spans="1:12" ht="12.5" x14ac:dyDescent="0.25">
      <c r="A99" s="134" t="s">
        <v>23</v>
      </c>
      <c r="B99" s="160">
        <f>IF(ISERR(1/+(VLOOKUP(A99,[1]!TOX,21,FALSE))),0,'[1]Target Risk'!$D$8*(VLOOKUP(A99,[1]!TOX,6,FALSE))/((('S-3 Assumptions'!$J$21+'S-3 Assumptions'!$O$85)*(VLOOKUP(A99,[1]!TOX,21,FALSE)))+('S-3 Assumptions'!$K$42*(VLOOKUP(A99,[1]!TOX,23,FALSE)))))</f>
        <v>0</v>
      </c>
      <c r="C99" s="161">
        <f>'[1]Target Risk'!$D$8*(VLOOKUP(A99,[1]!TOX,10,FALSE))/'S-3 Assumptions'!$N$64</f>
        <v>0</v>
      </c>
      <c r="D99" s="161">
        <f t="shared" si="4"/>
        <v>0</v>
      </c>
      <c r="E99" s="161">
        <f>IF(ISERR(1/(VLOOKUP(A99,[1]!TOX,25,FALSE))),0,+'[1]Target Risk'!$D$12/(((('S-3 Assumptions'!$J$29+'S-3 Assumptions'!$O$93)*(VLOOKUP(A99,[1]!TOX,25,FALSE)))+('S-3 Assumptions'!$K$50*(VLOOKUP(A99,[1]!TOX,27,FALSE))))*(VLOOKUP(A99,[1]!TOX,12,FALSE))))</f>
        <v>0</v>
      </c>
      <c r="F99" s="161">
        <f>IF((VLOOKUP(A99,[1]!TOX,15,FALSE))=0,0, '[1]Target Risk'!$D$12/((VLOOKUP(A99,[1]!TOX,15,FALSE))*'S-3 Assumptions'!$N$72))</f>
        <v>0</v>
      </c>
      <c r="G99" s="162">
        <f t="shared" si="5"/>
        <v>0</v>
      </c>
      <c r="H99" s="160">
        <f>IF(D99=0,MIN(G99,(VLOOKUP(A99,[1]!TOX,77,FALSE))),IF(G99=0,MIN(D99,(VLOOKUP(A99,[1]!TOX,77,FALSE))),MIN(D99,G99,(VLOOKUP(A99,[1]!TOX,77,FALSE)))))</f>
        <v>0</v>
      </c>
      <c r="I99" s="162" t="str">
        <f>IF(H99=D99,"Noncancer Risk",IF(H99=G99,"Cancer Risk",(VLOOKUP(A99,[1]!TOX,78,FALSE))))</f>
        <v>Noncancer Risk</v>
      </c>
      <c r="J99" s="163">
        <f>MAX(H99,(VLOOKUP(A99,[1]!TOX,50,FALSE)),(VLOOKUP(A99,[1]!TOX,35,FALSE)))</f>
        <v>0</v>
      </c>
      <c r="K99" s="164">
        <f>MIN(K102,K103,K105)</f>
        <v>5000</v>
      </c>
      <c r="L99" s="165" t="str">
        <f>IF(J99=0,"Not Calculated",IF(J99=H99,I99,IF(J99=[1]Toxicity!AI95,"Background","PQL")))</f>
        <v>Not Calculated</v>
      </c>
    </row>
    <row r="100" spans="1:12" ht="20" x14ac:dyDescent="0.25">
      <c r="A100" s="134" t="s">
        <v>381</v>
      </c>
      <c r="B100" s="160">
        <f>IF(ISERR(1/+(VLOOKUP(A100,[1]!TOX,21,FALSE))),0,'[1]Target Risk'!$D$8*(VLOOKUP(A100,[1]!TOX,6,FALSE))/((('S-3 Assumptions'!$J$21+'S-3 Assumptions'!$O$85)*(VLOOKUP(A100,[1]!TOX,21,FALSE)))+('S-3 Assumptions'!$K$42*(VLOOKUP(A100,[1]!TOX,23,FALSE)))))</f>
        <v>23521.281421342643</v>
      </c>
      <c r="C100" s="161">
        <f>'[1]Target Risk'!$D$8*(VLOOKUP(A100,[1]!TOX,10,FALSE))/'S-3 Assumptions'!$N$64</f>
        <v>3573251.6590097002</v>
      </c>
      <c r="D100" s="161">
        <f t="shared" si="4"/>
        <v>23367.462793126513</v>
      </c>
      <c r="E100" s="161">
        <f>IF(ISERR(1/(VLOOKUP(A100,[1]!TOX,25,FALSE))),0,+'[1]Target Risk'!$D$12/(((('S-3 Assumptions'!$J$29+'S-3 Assumptions'!$O$93)*(VLOOKUP(A100,[1]!TOX,25,FALSE)))+('S-3 Assumptions'!$K$50*(VLOOKUP(A100,[1]!TOX,27,FALSE))))*(VLOOKUP(A100,[1]!TOX,12,FALSE))))</f>
        <v>0</v>
      </c>
      <c r="F100" s="161">
        <f>IF((VLOOKUP(A100,[1]!TOX,15,FALSE))=0,0, '[1]Target Risk'!$D$12/((VLOOKUP(A100,[1]!TOX,15,FALSE))*'S-3 Assumptions'!$N$72))</f>
        <v>0</v>
      </c>
      <c r="G100" s="162">
        <f t="shared" si="5"/>
        <v>0</v>
      </c>
      <c r="H100" s="160">
        <f>IF(D100=0,MIN(G100,(VLOOKUP(A100,[1]!TOX,77,FALSE))),IF(G100=0,MIN(D100,(VLOOKUP(A100,[1]!TOX,77,FALSE))),MIN(D100,G100,(VLOOKUP(A100,[1]!TOX,77,FALSE)))))</f>
        <v>500</v>
      </c>
      <c r="I100" s="162" t="str">
        <f>IF(H100=D100,"Noncancer Risk",IF(H100=G100,"Cancer Risk",(VLOOKUP(A100,[1]!TOX,78,FALSE))))</f>
        <v>High Volatility</v>
      </c>
      <c r="J100" s="163">
        <f>MAX(H100,(VLOOKUP(A100,[1]!TOX,50,FALSE)),(VLOOKUP(A100,[1]!TOX,35,FALSE)))</f>
        <v>500</v>
      </c>
      <c r="K100" s="164">
        <f>IF(J100&lt;&gt;0,ROUND(J100,1-(1+INT(LOG10(ABS(J100))))),"")</f>
        <v>500</v>
      </c>
      <c r="L100" s="165" t="str">
        <f>IF(J100=0,"Not Calculated",IF(J100=H100,I100,IF(J100=[1]Toxicity!AI96,"Background","PQL")))</f>
        <v>High Volatility</v>
      </c>
    </row>
    <row r="101" spans="1:12" ht="20" x14ac:dyDescent="0.25">
      <c r="A101" s="352" t="s">
        <v>382</v>
      </c>
      <c r="B101" s="160">
        <f>IF(ISERR(1/+(VLOOKUP(A101,[1]!TOX,21,FALSE))),0,'[1]Target Risk'!$D$8*(VLOOKUP(A101,[1]!TOX,6,FALSE))/((('S-3 Assumptions'!$J$21+'S-3 Assumptions'!$O$85)*(VLOOKUP(A101,[1]!TOX,21,FALSE)))+('S-3 Assumptions'!$K$42*(VLOOKUP(A101,[1]!TOX,23,FALSE)))))</f>
        <v>58803.203553356601</v>
      </c>
      <c r="C101" s="161">
        <f>'[1]Target Risk'!$D$8*(VLOOKUP(A101,[1]!TOX,10,FALSE))/'S-3 Assumptions'!$N$64</f>
        <v>10719754.977029098</v>
      </c>
      <c r="D101" s="161">
        <f t="shared" si="4"/>
        <v>58482.398424302628</v>
      </c>
      <c r="E101" s="161">
        <f>IF(ISERR(1/(VLOOKUP(A101,[1]!TOX,25,FALSE))),0,+'[1]Target Risk'!$D$12/(((('S-3 Assumptions'!$J$29+'S-3 Assumptions'!$O$93)*(VLOOKUP(A101,[1]!TOX,25,FALSE)))+('S-3 Assumptions'!$K$50*(VLOOKUP(A101,[1]!TOX,27,FALSE))))*(VLOOKUP(A101,[1]!TOX,12,FALSE))))</f>
        <v>0</v>
      </c>
      <c r="F101" s="161">
        <f>IF((VLOOKUP(A101,[1]!TOX,15,FALSE))=0,0, '[1]Target Risk'!$D$12/((VLOOKUP(A101,[1]!TOX,15,FALSE))*'S-3 Assumptions'!$N$72))</f>
        <v>0</v>
      </c>
      <c r="G101" s="162">
        <f t="shared" si="5"/>
        <v>0</v>
      </c>
      <c r="H101" s="160">
        <f>IF(D101=0,MIN(G101,(VLOOKUP(A101,[1]!TOX,77,FALSE))),IF(G101=0,MIN(D101,(VLOOKUP(A101,[1]!TOX,77,FALSE))),MIN(D101,G101,(VLOOKUP(A101,[1]!TOX,77,FALSE)))))</f>
        <v>5000</v>
      </c>
      <c r="I101" s="162" t="str">
        <f>IF(H101=D101,"Noncancer Risk",IF(H101=G101,"Cancer Risk",(VLOOKUP(A101,[1]!TOX,78,FALSE))))</f>
        <v>Ceiling (High)</v>
      </c>
      <c r="J101" s="163">
        <f>MAX(H101,(VLOOKUP(A101,[1]!TOX,50,FALSE)),(VLOOKUP(A101,[1]!TOX,35,FALSE)))</f>
        <v>5000</v>
      </c>
      <c r="K101" s="164">
        <f>IF(J101&lt;&gt;0,ROUND(J101,1-(1+INT(LOG10(ABS(J101))))),"")</f>
        <v>5000</v>
      </c>
      <c r="L101" s="165" t="str">
        <f>IF(J101=0,"Not Calculated",IF(J101=H101,I101,IF(J101=[1]Toxicity!AI97,"Background","PQL")))</f>
        <v>Ceiling (High)</v>
      </c>
    </row>
    <row r="102" spans="1:12" ht="20" x14ac:dyDescent="0.25">
      <c r="A102" s="134" t="s">
        <v>383</v>
      </c>
      <c r="B102" s="160">
        <f>IF(ISERR(1/+(VLOOKUP(A102,[1]!TOX,21,FALSE))),0,'[1]Target Risk'!$D$8*(VLOOKUP(A102,[1]!TOX,6,FALSE))/((('S-3 Assumptions'!$J$21+'S-3 Assumptions'!$O$85)*(VLOOKUP(A102,[1]!TOX,21,FALSE)))+('S-3 Assumptions'!$K$42*(VLOOKUP(A102,[1]!TOX,23,FALSE)))))</f>
        <v>58803.203553356601</v>
      </c>
      <c r="C102" s="161">
        <f>'[1]Target Risk'!$D$8*(VLOOKUP(A102,[1]!TOX,10,FALSE))/'S-3 Assumptions'!$N$64</f>
        <v>10719754.977029098</v>
      </c>
      <c r="D102" s="161">
        <f t="shared" si="4"/>
        <v>58482.398424302628</v>
      </c>
      <c r="E102" s="161">
        <f>IF(ISERR(1/(VLOOKUP(A102,[1]!TOX,25,FALSE))),0,+'[1]Target Risk'!$D$12/(((('S-3 Assumptions'!$J$29+'S-3 Assumptions'!$O$93)*(VLOOKUP(A102,[1]!TOX,25,FALSE)))+('S-3 Assumptions'!$K$50*(VLOOKUP(A102,[1]!TOX,27,FALSE))))*(VLOOKUP(A102,[1]!TOX,12,FALSE))))</f>
        <v>0</v>
      </c>
      <c r="F102" s="161">
        <f>IF((VLOOKUP(A102,[1]!TOX,15,FALSE))=0,0, '[1]Target Risk'!$D$12/((VLOOKUP(A102,[1]!TOX,15,FALSE))*'S-3 Assumptions'!$N$72))</f>
        <v>0</v>
      </c>
      <c r="G102" s="162">
        <f t="shared" si="5"/>
        <v>0</v>
      </c>
      <c r="H102" s="160">
        <f>IF(D102=0,MIN(G102,(VLOOKUP(A102,[1]!TOX,77,FALSE))),IF(G102=0,MIN(D102,(VLOOKUP(A102,[1]!TOX,77,FALSE))),MIN(D102,G102,(VLOOKUP(A102,[1]!TOX,77,FALSE)))))</f>
        <v>5000</v>
      </c>
      <c r="I102" s="162" t="str">
        <f>IF(H102=D102,"Noncancer Risk",IF(H102=G102,"Cancer Risk",(VLOOKUP(A102,[1]!TOX,78,FALSE))))</f>
        <v>Ceiling (High)</v>
      </c>
      <c r="J102" s="163">
        <f>MAX(H102,(VLOOKUP(A102,[1]!TOX,50,FALSE)),(VLOOKUP(A102,[1]!TOX,35,FALSE)))</f>
        <v>5000</v>
      </c>
      <c r="K102" s="164">
        <f>IF(J102&lt;&gt;0,ROUND(J102,1-(1+INT(LOG10(ABS(J102))))),"")</f>
        <v>5000</v>
      </c>
      <c r="L102" s="165" t="str">
        <f>IF(J102=0,"Not Calculated",IF(J102=H102,I102,IF(J102=[1]Toxicity!AI98,"Background","PQL")))</f>
        <v>Ceiling (High)</v>
      </c>
    </row>
    <row r="103" spans="1:12" ht="20" x14ac:dyDescent="0.25">
      <c r="A103" s="134" t="s">
        <v>384</v>
      </c>
      <c r="B103" s="160">
        <f>IF(ISERR(1/+(VLOOKUP(A103,[1]!TOX,21,FALSE))),0,'[1]Target Risk'!$D$8*(VLOOKUP(A103,[1]!TOX,6,FALSE))/((('S-3 Assumptions'!$J$21+'S-3 Assumptions'!$O$85)*(VLOOKUP(A103,[1]!TOX,21,FALSE)))+('S-3 Assumptions'!$K$42*(VLOOKUP(A103,[1]!TOX,23,FALSE)))))</f>
        <v>352819.22132013965</v>
      </c>
      <c r="C103" s="161">
        <f>'[1]Target Risk'!$D$8*(VLOOKUP(A103,[1]!TOX,10,FALSE))/'S-3 Assumptions'!$N$64</f>
        <v>0</v>
      </c>
      <c r="D103" s="161">
        <f t="shared" si="4"/>
        <v>352819.22132013965</v>
      </c>
      <c r="E103" s="161">
        <f>IF(ISERR(1/(VLOOKUP(A103,[1]!TOX,25,FALSE))),0,+'[1]Target Risk'!$D$12/(((('S-3 Assumptions'!$J$29+'S-3 Assumptions'!$O$93)*(VLOOKUP(A103,[1]!TOX,25,FALSE)))+('S-3 Assumptions'!$K$50*(VLOOKUP(A103,[1]!TOX,27,FALSE))))*(VLOOKUP(A103,[1]!TOX,12,FALSE))))</f>
        <v>0</v>
      </c>
      <c r="F103" s="161">
        <f>IF((VLOOKUP(A103,[1]!TOX,15,FALSE))=0,0, '[1]Target Risk'!$D$12/((VLOOKUP(A103,[1]!TOX,15,FALSE))*'S-3 Assumptions'!$N$72))</f>
        <v>0</v>
      </c>
      <c r="G103" s="162">
        <f t="shared" si="5"/>
        <v>0</v>
      </c>
      <c r="H103" s="160">
        <f>IF(D103=0,MIN(G103,(VLOOKUP(A103,[1]!TOX,77,FALSE))),IF(G103=0,MIN(D103,(VLOOKUP(A103,[1]!TOX,77,FALSE))),MIN(D103,G103,(VLOOKUP(A103,[1]!TOX,77,FALSE)))))</f>
        <v>5000</v>
      </c>
      <c r="I103" s="162" t="str">
        <f>IF(H103=D103,"Noncancer Risk",IF(H103=G103,"Cancer Risk",(VLOOKUP(A103,[1]!TOX,78,FALSE))))</f>
        <v>Ceiling (High)</v>
      </c>
      <c r="J103" s="163">
        <f>MAX(H103,(VLOOKUP(A103,[1]!TOX,50,FALSE)),(VLOOKUP(A103,[1]!TOX,35,FALSE)))</f>
        <v>5000</v>
      </c>
      <c r="K103" s="164">
        <f>IF(J103&lt;&gt;0,ROUND(J103,1-(1+INT(LOG10(ABS(J103))))),"")</f>
        <v>5000</v>
      </c>
      <c r="L103" s="165" t="str">
        <f>IF(J103=0,"Not Calculated",IF(J103=H103,I103,IF(J103=[1]Toxicity!AI99,"Background","PQL")))</f>
        <v>Ceiling (High)</v>
      </c>
    </row>
    <row r="104" spans="1:12" ht="20" x14ac:dyDescent="0.25">
      <c r="A104" s="134" t="s">
        <v>385</v>
      </c>
      <c r="B104" s="160">
        <f>IF(ISERR(1/+(VLOOKUP(A104,[1]!TOX,21,FALSE))),0,'[1]Target Risk'!$D$8*(VLOOKUP(A104,[1]!TOX,6,FALSE))/((('S-3 Assumptions'!$J$21+'S-3 Assumptions'!$O$85)*(VLOOKUP(A104,[1]!TOX,21,FALSE)))+('S-3 Assumptions'!$K$42*(VLOOKUP(A104,[1]!TOX,23,FALSE)))))</f>
        <v>17640.961066006977</v>
      </c>
      <c r="C104" s="161">
        <f>'[1]Target Risk'!$D$8*(VLOOKUP(A104,[1]!TOX,10,FALSE))/'S-3 Assumptions'!$N$64</f>
        <v>8933129.1475242488</v>
      </c>
      <c r="D104" s="161">
        <f t="shared" si="4"/>
        <v>17606.192716070953</v>
      </c>
      <c r="E104" s="161">
        <f>IF(ISERR(1/(VLOOKUP(A104,[1]!TOX,25,FALSE))),0,+'[1]Target Risk'!$D$12/(((('S-3 Assumptions'!$J$29+'S-3 Assumptions'!$O$93)*(VLOOKUP(A104,[1]!TOX,25,FALSE)))+('S-3 Assumptions'!$K$50*(VLOOKUP(A104,[1]!TOX,27,FALSE))))*(VLOOKUP(A104,[1]!TOX,12,FALSE))))</f>
        <v>0</v>
      </c>
      <c r="F104" s="161">
        <f>IF((VLOOKUP(A104,[1]!TOX,15,FALSE))=0,0, '[1]Target Risk'!$D$12/((VLOOKUP(A104,[1]!TOX,15,FALSE))*'S-3 Assumptions'!$N$72))</f>
        <v>0</v>
      </c>
      <c r="G104" s="162">
        <f t="shared" si="5"/>
        <v>0</v>
      </c>
      <c r="H104" s="160">
        <f>IF(D104=0,MIN(G104,(VLOOKUP(A104,[1]!TOX,77,FALSE))),IF(G104=0,MIN(D104,(VLOOKUP(A104,[1]!TOX,77,FALSE))),MIN(D104,G104,(VLOOKUP(A104,[1]!TOX,77,FALSE)))))</f>
        <v>500</v>
      </c>
      <c r="I104" s="162" t="str">
        <f>IF(H104=D104,"Noncancer Risk",IF(H104=G104,"Cancer Risk",(VLOOKUP(A104,[1]!TOX,78,FALSE))))</f>
        <v>High Volatility</v>
      </c>
      <c r="J104" s="163">
        <f>MAX(H104,(VLOOKUP(A104,[1]!TOX,50,FALSE)),(VLOOKUP(A104,[1]!TOX,35,FALSE)))</f>
        <v>500</v>
      </c>
      <c r="K104" s="164">
        <f>IF(J104&lt;&gt;0,ROUND(J104,1-(1+INT(LOG10(ABS(J104))))),"")</f>
        <v>500</v>
      </c>
      <c r="L104" s="165" t="str">
        <f>IF(J104=0,"Not Calculated",IF(J104=H104,I104,IF(J104=[1]Toxicity!AI100,"Background","PQL")))</f>
        <v>High Volatility</v>
      </c>
    </row>
    <row r="105" spans="1:12" ht="20" x14ac:dyDescent="0.25">
      <c r="A105" s="134" t="s">
        <v>386</v>
      </c>
      <c r="B105" s="160">
        <f>IF(ISERR(1/+(VLOOKUP(A105,[1]!TOX,21,FALSE))),0,'[1]Target Risk'!$D$8*(VLOOKUP(A105,[1]!TOX,6,FALSE))/((('S-3 Assumptions'!$J$21+'S-3 Assumptions'!$O$85)*(VLOOKUP(A105,[1]!TOX,21,FALSE)))+('S-3 Assumptions'!$K$42*(VLOOKUP(A105,[1]!TOX,23,FALSE)))))</f>
        <v>40542.542098047845</v>
      </c>
      <c r="C105" s="161">
        <f>'[1]Target Risk'!$D$8*(VLOOKUP(A105,[1]!TOX,10,FALSE))/'S-3 Assumptions'!$N$64</f>
        <v>8933129.1475242488</v>
      </c>
      <c r="D105" s="161">
        <f t="shared" si="4"/>
        <v>40359.373181619485</v>
      </c>
      <c r="E105" s="161">
        <f>IF(ISERR(1/(VLOOKUP(A105,[1]!TOX,25,FALSE))),0,+'[1]Target Risk'!$D$12/(((('S-3 Assumptions'!$J$29+'S-3 Assumptions'!$O$93)*(VLOOKUP(A105,[1]!TOX,25,FALSE)))+('S-3 Assumptions'!$K$50*(VLOOKUP(A105,[1]!TOX,27,FALSE))))*(VLOOKUP(A105,[1]!TOX,12,FALSE))))</f>
        <v>0</v>
      </c>
      <c r="F105" s="161">
        <f>IF((VLOOKUP(A105,[1]!TOX,15,FALSE))=0,0, '[1]Target Risk'!$D$12/((VLOOKUP(A105,[1]!TOX,15,FALSE))*'S-3 Assumptions'!$N$72))</f>
        <v>0</v>
      </c>
      <c r="G105" s="162">
        <f t="shared" si="5"/>
        <v>0</v>
      </c>
      <c r="H105" s="160">
        <f>IF(D105=0,MIN(G105,(VLOOKUP(A105,[1]!TOX,77,FALSE))),IF(G105=0,MIN(D105,(VLOOKUP(A105,[1]!TOX,77,FALSE))),MIN(D105,G105,(VLOOKUP(A105,[1]!TOX,77,FALSE)))))</f>
        <v>5000</v>
      </c>
      <c r="I105" s="162" t="str">
        <f>IF(H105=D105,"Noncancer Risk",IF(H105=G105,"Cancer Risk",(VLOOKUP(A105,[1]!TOX,78,FALSE))))</f>
        <v>Ceiling (High)</v>
      </c>
      <c r="J105" s="163">
        <f>MAX(H105,(VLOOKUP(A105,[1]!TOX,50,FALSE)),(VLOOKUP(A105,[1]!TOX,35,FALSE)))</f>
        <v>5000</v>
      </c>
      <c r="K105" s="164">
        <f t="shared" ref="K105:K129" si="9">IF(J105&lt;&gt;0,ROUND(J105,1-(1+INT(LOG10(ABS(J105))))),"")</f>
        <v>5000</v>
      </c>
      <c r="L105" s="165" t="str">
        <f>IF(J105=0,"Not Calculated",IF(J105=H105,I105,IF(J105=[1]Toxicity!AI101,"Background","PQL")))</f>
        <v>Ceiling (High)</v>
      </c>
    </row>
    <row r="106" spans="1:12" ht="20" x14ac:dyDescent="0.25">
      <c r="A106" s="134" t="s">
        <v>22</v>
      </c>
      <c r="B106" s="160">
        <f>IF(ISERR(1/+(VLOOKUP(A106,[1]!TOX,21,FALSE))),0,'[1]Target Risk'!$D$8*(VLOOKUP(A106,[1]!TOX,6,FALSE))/((('S-3 Assumptions'!$J$21+'S-3 Assumptions'!$O$85)*(VLOOKUP(A106,[1]!TOX,21,FALSE)))+('S-3 Assumptions'!$K$42*(VLOOKUP(A106,[1]!TOX,23,FALSE)))))</f>
        <v>40542.542098047845</v>
      </c>
      <c r="C106" s="161">
        <f>'[1]Target Risk'!$D$8*(VLOOKUP(A106,[1]!TOX,10,FALSE))/'S-3 Assumptions'!$N$64</f>
        <v>8933129.1475242488</v>
      </c>
      <c r="D106" s="161">
        <f t="shared" si="4"/>
        <v>40359.373181619485</v>
      </c>
      <c r="E106" s="161">
        <f>IF(ISERR(1/(VLOOKUP(A106,[1]!TOX,25,FALSE))),0,+'[1]Target Risk'!$D$12/(((('S-3 Assumptions'!$J$29+'S-3 Assumptions'!$O$93)*(VLOOKUP(A106,[1]!TOX,25,FALSE)))+('S-3 Assumptions'!$K$50*(VLOOKUP(A106,[1]!TOX,27,FALSE))))*(VLOOKUP(A106,[1]!TOX,12,FALSE))))</f>
        <v>0</v>
      </c>
      <c r="F106" s="161">
        <f>IF((VLOOKUP(A106,[1]!TOX,15,FALSE))=0,0, '[1]Target Risk'!$D$12/((VLOOKUP(A106,[1]!TOX,15,FALSE))*'S-3 Assumptions'!$N$72))</f>
        <v>0</v>
      </c>
      <c r="G106" s="162">
        <f t="shared" si="5"/>
        <v>0</v>
      </c>
      <c r="H106" s="160">
        <f>IF(D106=0,MIN(G106,(VLOOKUP(A106,[1]!TOX,77,FALSE))),IF(G106=0,MIN(D106,(VLOOKUP(A106,[1]!TOX,77,FALSE))),MIN(D106,G106,(VLOOKUP(A106,[1]!TOX,77,FALSE)))))</f>
        <v>3000</v>
      </c>
      <c r="I106" s="162" t="str">
        <f>IF(H106=D106,"Noncancer Risk",IF(H106=G106,"Cancer Risk",(VLOOKUP(A106,[1]!TOX,78,FALSE))))</f>
        <v>Ceiling (Medium)</v>
      </c>
      <c r="J106" s="163">
        <f>MAX(H106,(VLOOKUP(A106,[1]!TOX,50,FALSE)),(VLOOKUP(A106,[1]!TOX,35,FALSE)))</f>
        <v>3000</v>
      </c>
      <c r="K106" s="164">
        <f t="shared" si="9"/>
        <v>3000</v>
      </c>
      <c r="L106" s="165" t="str">
        <f>IF(J106=0,"Not Calculated",IF(J106=H106,I106,IF(J106=[1]Toxicity!AI102,"Background","PQL")))</f>
        <v>Ceiling (Medium)</v>
      </c>
    </row>
    <row r="107" spans="1:12" ht="20" x14ac:dyDescent="0.25">
      <c r="A107" s="134" t="s">
        <v>21</v>
      </c>
      <c r="B107" s="160">
        <f>IF(ISERR(1/+(VLOOKUP(A107,[1]!TOX,21,FALSE))),0,'[1]Target Risk'!$D$8*(VLOOKUP(A107,[1]!TOX,6,FALSE))/((('S-3 Assumptions'!$J$21+'S-3 Assumptions'!$O$85)*(VLOOKUP(A107,[1]!TOX,21,FALSE)))+('S-3 Assumptions'!$K$42*(VLOOKUP(A107,[1]!TOX,23,FALSE)))))</f>
        <v>13186.491077892297</v>
      </c>
      <c r="C107" s="161">
        <f>'[1]Target Risk'!$D$8*(VLOOKUP(A107,[1]!TOX,10,FALSE))/'S-3 Assumptions'!$N$64</f>
        <v>4645227.1567126093</v>
      </c>
      <c r="D107" s="161">
        <f t="shared" si="4"/>
        <v>13149.164305283812</v>
      </c>
      <c r="E107" s="161">
        <f>IF(ISERR(1/(VLOOKUP(A107,[1]!TOX,25,FALSE))),0,+'[1]Target Risk'!$D$12/(((('S-3 Assumptions'!$J$29+'S-3 Assumptions'!$O$93)*(VLOOKUP(A107,[1]!TOX,25,FALSE)))+('S-3 Assumptions'!$K$50*(VLOOKUP(A107,[1]!TOX,27,FALSE))))*(VLOOKUP(A107,[1]!TOX,12,FALSE))))</f>
        <v>0</v>
      </c>
      <c r="F107" s="161">
        <f>IF((VLOOKUP(A107,[1]!TOX,15,FALSE))=0,0, '[1]Target Risk'!$D$12/((VLOOKUP(A107,[1]!TOX,15,FALSE))*'S-3 Assumptions'!$N$72))</f>
        <v>0</v>
      </c>
      <c r="G107" s="162">
        <f t="shared" si="5"/>
        <v>0</v>
      </c>
      <c r="H107" s="160">
        <f>IF(D107=0,MIN(G107,(VLOOKUP(A107,[1]!TOX,77,FALSE))),IF(G107=0,MIN(D107,(VLOOKUP(A107,[1]!TOX,77,FALSE))),MIN(D107,G107,(VLOOKUP(A107,[1]!TOX,77,FALSE)))))</f>
        <v>3000</v>
      </c>
      <c r="I107" s="162" t="str">
        <f>IF(H107=D107,"Noncancer Risk",IF(H107=G107,"Cancer Risk",(VLOOKUP(A107,[1]!TOX,78,FALSE))))</f>
        <v>Ceiling (Medium)</v>
      </c>
      <c r="J107" s="163">
        <f>MAX(H107,(VLOOKUP(A107,[1]!TOX,50,FALSE)),(VLOOKUP(A107,[1]!TOX,35,FALSE)))</f>
        <v>3000</v>
      </c>
      <c r="K107" s="164">
        <f t="shared" si="9"/>
        <v>3000</v>
      </c>
      <c r="L107" s="165" t="str">
        <f>IF(J107=0,"Not Calculated",IF(J107=H107,I107,IF(J107=[1]Toxicity!AI103,"Background","PQL")))</f>
        <v>Ceiling (Medium)</v>
      </c>
    </row>
    <row r="108" spans="1:12" ht="20" x14ac:dyDescent="0.25">
      <c r="A108" s="134" t="s">
        <v>20</v>
      </c>
      <c r="B108" s="160">
        <f>IF(ISERR(1/+(VLOOKUP(A108,[1]!TOX,21,FALSE))),0,'[1]Target Risk'!$D$8*(VLOOKUP(A108,[1]!TOX,6,FALSE))/((('S-3 Assumptions'!$J$21+'S-3 Assumptions'!$O$85)*(VLOOKUP(A108,[1]!TOX,21,FALSE)))+('S-3 Assumptions'!$K$42*(VLOOKUP(A108,[1]!TOX,23,FALSE)))))</f>
        <v>4.4400254593726007</v>
      </c>
      <c r="C108" s="161">
        <f>'[1]Target Risk'!$D$8*(VLOOKUP(A108,[1]!TOX,10,FALSE))/'S-3 Assumptions'!$N$64</f>
        <v>357.32516590096998</v>
      </c>
      <c r="D108" s="161">
        <f t="shared" si="4"/>
        <v>4.3855320295162148</v>
      </c>
      <c r="E108" s="161">
        <f>IF(ISERR(1/(VLOOKUP(A108,[1]!TOX,25,FALSE))),0,+'[1]Target Risk'!$D$12/(((('S-3 Assumptions'!$J$29+'S-3 Assumptions'!$O$93)*(VLOOKUP(A108,[1]!TOX,25,FALSE)))+('S-3 Assumptions'!$K$50*(VLOOKUP(A108,[1]!TOX,27,FALSE))))*(VLOOKUP(A108,[1]!TOX,12,FALSE))))</f>
        <v>30.930338657598863</v>
      </c>
      <c r="F108" s="161">
        <f>IF((VLOOKUP(A108,[1]!TOX,15,FALSE))=0,0, '[1]Target Risk'!$D$12/((VLOOKUP(A108,[1]!TOX,15,FALSE))*'S-3 Assumptions'!$N$72))</f>
        <v>126361.11087560444</v>
      </c>
      <c r="G108" s="162">
        <f t="shared" si="5"/>
        <v>30.922769463840439</v>
      </c>
      <c r="H108" s="160">
        <f>IF(D108=0,MIN(G108,(VLOOKUP(A108,[1]!TOX,77,FALSE))),IF(G108=0,MIN(D108,(VLOOKUP(A108,[1]!TOX,77,FALSE))),MIN(D108,G108,(VLOOKUP(A108,[1]!TOX,77,FALSE)))))</f>
        <v>4.3855320295162148</v>
      </c>
      <c r="I108" s="162" t="str">
        <f>IF(H108=D108,"Noncancer Risk",IF(H108=G108,"Cancer Risk",(VLOOKUP(A108,[1]!TOX,78,FALSE))))</f>
        <v>Noncancer Risk</v>
      </c>
      <c r="J108" s="163">
        <f>MAX(H108,(VLOOKUP(A108,[1]!TOX,50,FALSE)),(VLOOKUP(A108,[1]!TOX,35,FALSE)))</f>
        <v>4.3855320295162148</v>
      </c>
      <c r="K108" s="164">
        <f t="shared" si="9"/>
        <v>4</v>
      </c>
      <c r="L108" s="165" t="str">
        <f>IF(J108=0,"Not Calculated",IF(J108=H108,I108,IF(J108=[1]Toxicity!AI104,"Background","PQL")))</f>
        <v>Noncancer Risk</v>
      </c>
    </row>
    <row r="109" spans="1:12" ht="12.5" x14ac:dyDescent="0.25">
      <c r="A109" s="134" t="s">
        <v>19</v>
      </c>
      <c r="B109" s="160">
        <f>IF(ISERR(1/+(VLOOKUP(A109,[1]!TOX,21,FALSE))),0,'[1]Target Risk'!$D$8*(VLOOKUP(A109,[1]!TOX,6,FALSE))/((('S-3 Assumptions'!$J$21+'S-3 Assumptions'!$O$85)*(VLOOKUP(A109,[1]!TOX,21,FALSE)))+('S-3 Assumptions'!$K$42*(VLOOKUP(A109,[1]!TOX,23,FALSE)))))</f>
        <v>40542.542098047845</v>
      </c>
      <c r="C109" s="161">
        <f>'[1]Target Risk'!$D$8*(VLOOKUP(A109,[1]!TOX,10,FALSE))/'S-3 Assumptions'!$N$64</f>
        <v>8933129.1475242488</v>
      </c>
      <c r="D109" s="161">
        <f t="shared" si="4"/>
        <v>40359.373181619485</v>
      </c>
      <c r="E109" s="161">
        <f>IF(ISERR(1/(VLOOKUP(A109,[1]!TOX,25,FALSE))),0,+'[1]Target Risk'!$D$12/(((('S-3 Assumptions'!$J$29+'S-3 Assumptions'!$O$93)*(VLOOKUP(A109,[1]!TOX,25,FALSE)))+('S-3 Assumptions'!$K$50*(VLOOKUP(A109,[1]!TOX,27,FALSE))))*(VLOOKUP(A109,[1]!TOX,12,FALSE))))</f>
        <v>0</v>
      </c>
      <c r="F109" s="161">
        <f>IF((VLOOKUP(A109,[1]!TOX,15,FALSE))=0,0, '[1]Target Risk'!$D$12/((VLOOKUP(A109,[1]!TOX,15,FALSE))*'S-3 Assumptions'!$N$72))</f>
        <v>0</v>
      </c>
      <c r="G109" s="162">
        <f t="shared" si="5"/>
        <v>0</v>
      </c>
      <c r="H109" s="160">
        <f>IF(D109=0,MIN(G109,(VLOOKUP(A109,[1]!TOX,77,FALSE))),IF(G109=0,MIN(D109,(VLOOKUP(A109,[1]!TOX,77,FALSE))),MIN(D109,G109,(VLOOKUP(A109,[1]!TOX,77,FALSE)))))</f>
        <v>5000</v>
      </c>
      <c r="I109" s="162" t="str">
        <f>IF(H109=D109,"Noncancer Risk",IF(H109=G109,"Cancer Risk",(VLOOKUP(A109,[1]!TOX,78,FALSE))))</f>
        <v>Ceiling (High)</v>
      </c>
      <c r="J109" s="163">
        <f>MAX(H109,(VLOOKUP(A109,[1]!TOX,50,FALSE)),(VLOOKUP(A109,[1]!TOX,35,FALSE)))</f>
        <v>5000</v>
      </c>
      <c r="K109" s="164">
        <f t="shared" si="9"/>
        <v>5000</v>
      </c>
      <c r="L109" s="165" t="str">
        <f>IF(J109=0,"Not Calculated",IF(J109=H109,I109,IF(J109=[1]Toxicity!AI105,"Background","PQL")))</f>
        <v>Ceiling (High)</v>
      </c>
    </row>
    <row r="110" spans="1:12" ht="12.5" x14ac:dyDescent="0.25">
      <c r="A110" s="134" t="s">
        <v>18</v>
      </c>
      <c r="B110" s="160">
        <f>IF(ISERR(1/+(VLOOKUP(A110,[1]!TOX,21,FALSE))),0,'[1]Target Risk'!$D$8*(VLOOKUP(A110,[1]!TOX,6,FALSE))/((('S-3 Assumptions'!$J$21+'S-3 Assumptions'!$O$85)*(VLOOKUP(A110,[1]!TOX,21,FALSE)))+('S-3 Assumptions'!$K$42*(VLOOKUP(A110,[1]!TOX,23,FALSE)))))</f>
        <v>450.08193225171055</v>
      </c>
      <c r="C110" s="161">
        <f>'[1]Target Risk'!$D$8*(VLOOKUP(A110,[1]!TOX,10,FALSE))/'S-3 Assumptions'!$N$64</f>
        <v>196528.84124553346</v>
      </c>
      <c r="D110" s="161">
        <f t="shared" si="4"/>
        <v>449.05352909836097</v>
      </c>
      <c r="E110" s="161">
        <f>IF(ISERR(1/(VLOOKUP(A110,[1]!TOX,25,FALSE))),0,+'[1]Target Risk'!$D$12/(((('S-3 Assumptions'!$J$29+'S-3 Assumptions'!$O$93)*(VLOOKUP(A110,[1]!TOX,25,FALSE)))+('S-3 Assumptions'!$K$50*(VLOOKUP(A110,[1]!TOX,27,FALSE))))*(VLOOKUP(A110,[1]!TOX,12,FALSE))))</f>
        <v>950.11648671116779</v>
      </c>
      <c r="F110" s="161">
        <f>IF((VLOOKUP(A110,[1]!TOX,15,FALSE))=0,0, '[1]Target Risk'!$D$12/((VLOOKUP(A110,[1]!TOX,15,FALSE))*'S-3 Assumptions'!$N$72))</f>
        <v>402058.08005874138</v>
      </c>
      <c r="G110" s="162">
        <f t="shared" si="5"/>
        <v>947.87652894837697</v>
      </c>
      <c r="H110" s="160">
        <f>IF(D110=0,MIN(G110,(VLOOKUP(A110,[1]!TOX,77,FALSE))),IF(G110=0,MIN(D110,(VLOOKUP(A110,[1]!TOX,77,FALSE))),MIN(D110,G110,(VLOOKUP(A110,[1]!TOX,77,FALSE)))))</f>
        <v>449.05352909836097</v>
      </c>
      <c r="I110" s="162" t="str">
        <f>IF(H110=D110,"Noncancer Risk",IF(H110=G110,"Cancer Risk",(VLOOKUP(A110,[1]!TOX,78,FALSE))))</f>
        <v>Noncancer Risk</v>
      </c>
      <c r="J110" s="163">
        <f>MAX(H110,(VLOOKUP(A110,[1]!TOX,50,FALSE)),(VLOOKUP(A110,[1]!TOX,35,FALSE)))</f>
        <v>449.05352909836097</v>
      </c>
      <c r="K110" s="164">
        <f t="shared" si="9"/>
        <v>400</v>
      </c>
      <c r="L110" s="165" t="str">
        <f>IF(J110=0,"Not Calculated",IF(J110=H110,I110,IF(J110=[1]Toxicity!AI106,"Background","PQL")))</f>
        <v>Noncancer Risk</v>
      </c>
    </row>
    <row r="111" spans="1:12" ht="12.5" x14ac:dyDescent="0.25">
      <c r="A111" s="134" t="s">
        <v>17</v>
      </c>
      <c r="B111" s="160">
        <f>IF(ISERR(1/+(VLOOKUP(A111,[1]!TOX,21,FALSE))),0,'[1]Target Risk'!$D$8*(VLOOKUP(A111,[1]!TOX,6,FALSE))/((('S-3 Assumptions'!$J$21+'S-3 Assumptions'!$O$85)*(VLOOKUP(A111,[1]!TOX,21,FALSE)))+('S-3 Assumptions'!$K$42*(VLOOKUP(A111,[1]!TOX,23,FALSE)))))</f>
        <v>820.88527510728522</v>
      </c>
      <c r="C111" s="161">
        <f>'[1]Target Risk'!$D$8*(VLOOKUP(A111,[1]!TOX,10,FALSE))/'S-3 Assumptions'!$N$64</f>
        <v>53598.774885145496</v>
      </c>
      <c r="D111" s="161">
        <f t="shared" si="4"/>
        <v>808.50275318591298</v>
      </c>
      <c r="E111" s="161">
        <f>IF(ISERR(1/(VLOOKUP(A111,[1]!TOX,25,FALSE))),0,+'[1]Target Risk'!$D$12/(((('S-3 Assumptions'!$J$29+'S-3 Assumptions'!$O$93)*(VLOOKUP(A111,[1]!TOX,25,FALSE)))+('S-3 Assumptions'!$K$50*(VLOOKUP(A111,[1]!TOX,27,FALSE))))*(VLOOKUP(A111,[1]!TOX,12,FALSE))))</f>
        <v>0</v>
      </c>
      <c r="F111" s="161">
        <f>IF((VLOOKUP(A111,[1]!TOX,15,FALSE))=0,0, '[1]Target Risk'!$D$12/((VLOOKUP(A111,[1]!TOX,15,FALSE))*'S-3 Assumptions'!$N$72))</f>
        <v>0</v>
      </c>
      <c r="G111" s="162">
        <f t="shared" si="5"/>
        <v>0</v>
      </c>
      <c r="H111" s="160">
        <f>IF(D111=0,MIN(G111,(VLOOKUP(A111,[1]!TOX,77,FALSE))),IF(G111=0,MIN(D111,(VLOOKUP(A111,[1]!TOX,77,FALSE))),MIN(D111,G111,(VLOOKUP(A111,[1]!TOX,77,FALSE)))))</f>
        <v>808.50275318591298</v>
      </c>
      <c r="I111" s="162" t="str">
        <f>IF(H111=D111,"Noncancer Risk",IF(H111=G111,"Cancer Risk",(VLOOKUP(A111,[1]!TOX,78,FALSE))))</f>
        <v>Noncancer Risk</v>
      </c>
      <c r="J111" s="163">
        <f>MAX(H111,(VLOOKUP(A111,[1]!TOX,50,FALSE)),(VLOOKUP(A111,[1]!TOX,35,FALSE)))</f>
        <v>808.50275318591298</v>
      </c>
      <c r="K111" s="164">
        <f t="shared" si="9"/>
        <v>800</v>
      </c>
      <c r="L111" s="165" t="str">
        <f>IF(J111=0,"Not Calculated",IF(J111=H111,I111,IF(J111=[1]Toxicity!AI107,"Background","PQL")))</f>
        <v>Noncancer Risk</v>
      </c>
    </row>
    <row r="112" spans="1:12" ht="12.5" x14ac:dyDescent="0.25">
      <c r="A112" s="134" t="s">
        <v>16</v>
      </c>
      <c r="B112" s="160">
        <f>IF(ISERR(1/+(VLOOKUP(A112,[1]!TOX,21,FALSE))),0,'[1]Target Risk'!$D$8*(VLOOKUP(A112,[1]!TOX,6,FALSE))/((('S-3 Assumptions'!$J$21+'S-3 Assumptions'!$O$85)*(VLOOKUP(A112,[1]!TOX,21,FALSE)))+('S-3 Assumptions'!$K$42*(VLOOKUP(A112,[1]!TOX,23,FALSE)))))</f>
        <v>219.77485129820494</v>
      </c>
      <c r="C112" s="161">
        <f>'[1]Target Risk'!$D$8*(VLOOKUP(A112,[1]!TOX,10,FALSE))/'S-3 Assumptions'!$N$64</f>
        <v>2501.2761613067896</v>
      </c>
      <c r="D112" s="161">
        <f t="shared" si="4"/>
        <v>202.02399508882164</v>
      </c>
      <c r="E112" s="161">
        <f>IF(ISERR(1/(VLOOKUP(A112,[1]!TOX,25,FALSE))),0,+'[1]Target Risk'!$D$12/(((('S-3 Assumptions'!$J$29+'S-3 Assumptions'!$O$93)*(VLOOKUP(A112,[1]!TOX,25,FALSE)))+('S-3 Assumptions'!$K$50*(VLOOKUP(A112,[1]!TOX,27,FALSE))))*(VLOOKUP(A112,[1]!TOX,12,FALSE))))</f>
        <v>0</v>
      </c>
      <c r="F112" s="161">
        <f>IF((VLOOKUP(A112,[1]!TOX,15,FALSE))=0,0, '[1]Target Risk'!$D$12/((VLOOKUP(A112,[1]!TOX,15,FALSE))*'S-3 Assumptions'!$N$72))</f>
        <v>0</v>
      </c>
      <c r="G112" s="162">
        <f t="shared" si="5"/>
        <v>0</v>
      </c>
      <c r="H112" s="160">
        <f>IF(D112=0,MIN(G112,(VLOOKUP(A112,[1]!TOX,77,FALSE))),IF(G112=0,MIN(D112,(VLOOKUP(A112,[1]!TOX,77,FALSE))),MIN(D112,G112,(VLOOKUP(A112,[1]!TOX,77,FALSE)))))</f>
        <v>202.02399508882164</v>
      </c>
      <c r="I112" s="162" t="str">
        <f>IF(H112=D112,"Noncancer Risk",IF(H112=G112,"Cancer Risk",(VLOOKUP(A112,[1]!TOX,78,FALSE))))</f>
        <v>Noncancer Risk</v>
      </c>
      <c r="J112" s="163">
        <f>MAX(H112,(VLOOKUP(A112,[1]!TOX,50,FALSE)),(VLOOKUP(A112,[1]!TOX,35,FALSE)))</f>
        <v>202.02399508882164</v>
      </c>
      <c r="K112" s="164">
        <f t="shared" si="9"/>
        <v>200</v>
      </c>
      <c r="L112" s="165" t="str">
        <f>IF(J112=0,"Not Calculated",IF(J112=H112,I112,IF(J112=[1]Toxicity!AI108,"Background","PQL")))</f>
        <v>Noncancer Risk</v>
      </c>
    </row>
    <row r="113" spans="1:12" ht="20" x14ac:dyDescent="0.25">
      <c r="A113" s="134" t="s">
        <v>15</v>
      </c>
      <c r="B113" s="160">
        <f>IF(ISERR(1/+(VLOOKUP(A113,[1]!TOX,21,FALSE))),0,'[1]Target Risk'!$D$8*(VLOOKUP(A113,[1]!TOX,6,FALSE))/((('S-3 Assumptions'!$J$21+'S-3 Assumptions'!$O$85)*(VLOOKUP(A113,[1]!TOX,21,FALSE)))+('S-3 Assumptions'!$K$42*(VLOOKUP(A113,[1]!TOX,23,FALSE)))))</f>
        <v>276246.10714218183</v>
      </c>
      <c r="C113" s="161">
        <f>'[1]Target Risk'!$D$8*(VLOOKUP(A113,[1]!TOX,10,FALSE))/'S-3 Assumptions'!$N$64</f>
        <v>53598774.8851455</v>
      </c>
      <c r="D113" s="161">
        <f t="shared" si="4"/>
        <v>274829.64529575146</v>
      </c>
      <c r="E113" s="161">
        <f>IF(ISERR(1/(VLOOKUP(A113,[1]!TOX,25,FALSE))),0,+'[1]Target Risk'!$D$12/(((('S-3 Assumptions'!$J$29+'S-3 Assumptions'!$O$93)*(VLOOKUP(A113,[1]!TOX,25,FALSE)))+('S-3 Assumptions'!$K$50*(VLOOKUP(A113,[1]!TOX,27,FALSE))))*(VLOOKUP(A113,[1]!TOX,12,FALSE))))</f>
        <v>3207.3335783523457</v>
      </c>
      <c r="F113" s="161">
        <f>IF((VLOOKUP(A113,[1]!TOX,15,FALSE))=0,0, '[1]Target Risk'!$D$12/((VLOOKUP(A113,[1]!TOX,15,FALSE))*'S-3 Assumptions'!$N$72))</f>
        <v>22168615.943088494</v>
      </c>
      <c r="G113" s="162">
        <f t="shared" si="5"/>
        <v>3206.8696116070555</v>
      </c>
      <c r="H113" s="160">
        <f>IF(D113=0,MIN(G113,(VLOOKUP(A113,[1]!TOX,77,FALSE))),IF(G113=0,MIN(D113,(VLOOKUP(A113,[1]!TOX,77,FALSE))),MIN(D113,G113,(VLOOKUP(A113,[1]!TOX,77,FALSE)))))</f>
        <v>3000</v>
      </c>
      <c r="I113" s="162" t="str">
        <f>IF(H113=D113,"Noncancer Risk",IF(H113=G113,"Cancer Risk",(VLOOKUP(A113,[1]!TOX,78,FALSE))))</f>
        <v>Ceiling (Medium)</v>
      </c>
      <c r="J113" s="163">
        <f>MAX(H113,(VLOOKUP(A113,[1]!TOX,50,FALSE)),(VLOOKUP(A113,[1]!TOX,35,FALSE)))</f>
        <v>3000</v>
      </c>
      <c r="K113" s="164">
        <f t="shared" si="9"/>
        <v>3000</v>
      </c>
      <c r="L113" s="165" t="str">
        <f>IF(J113=0,"Not Calculated",IF(J113=H113,I113,IF(J113=[1]Toxicity!AI109,"Background","PQL")))</f>
        <v>Ceiling (Medium)</v>
      </c>
    </row>
    <row r="114" spans="1:12" ht="12.5" x14ac:dyDescent="0.25">
      <c r="A114" s="134" t="s">
        <v>14</v>
      </c>
      <c r="B114" s="160">
        <f>IF(ISERR(1/+(VLOOKUP(A114,[1]!TOX,21,FALSE))),0,'[1]Target Risk'!$D$8*(VLOOKUP(A114,[1]!TOX,6,FALSE))/((('S-3 Assumptions'!$J$21+'S-3 Assumptions'!$O$85)*(VLOOKUP(A114,[1]!TOX,21,FALSE)))+('S-3 Assumptions'!$K$42*(VLOOKUP(A114,[1]!TOX,23,FALSE)))))</f>
        <v>6.2160356431216411E-5</v>
      </c>
      <c r="C114" s="161">
        <f>'[1]Target Risk'!$D$8*(VLOOKUP(A114,[1]!TOX,10,FALSE))/'S-3 Assumptions'!$N$64</f>
        <v>3.5732516590096996E-3</v>
      </c>
      <c r="D114" s="161">
        <f t="shared" si="4"/>
        <v>6.1097503061297278E-5</v>
      </c>
      <c r="E114" s="161">
        <f>IF(ISERR(1/(VLOOKUP(A114,[1]!TOX,25,FALSE))),0,+'[1]Target Risk'!$D$12/(((('S-3 Assumptions'!$J$29+'S-3 Assumptions'!$O$93)*(VLOOKUP(A114,[1]!TOX,25,FALSE)))+('S-3 Assumptions'!$K$50*(VLOOKUP(A114,[1]!TOX,27,FALSE))))*(VLOOKUP(A114,[1]!TOX,12,FALSE))))</f>
        <v>4.1240451543465145E-4</v>
      </c>
      <c r="F114" s="161">
        <f>IF((VLOOKUP(A114,[1]!TOX,15,FALSE))=0,0, '[1]Target Risk'!$D$12/((VLOOKUP(A114,[1]!TOX,15,FALSE))*'S-3 Assumptions'!$N$72))</f>
        <v>0.38291245719880129</v>
      </c>
      <c r="G114" s="162">
        <f t="shared" si="5"/>
        <v>4.1196082523519426E-4</v>
      </c>
      <c r="H114" s="160">
        <f>IF(D114=0,MIN(G114,(VLOOKUP(A114,[1]!TOX,77,FALSE))),IF(G114=0,MIN(D114,(VLOOKUP(A114,[1]!TOX,77,FALSE))),MIN(D114,G114,(VLOOKUP(A114,[1]!TOX,77,FALSE)))))</f>
        <v>6.1097503061297278E-5</v>
      </c>
      <c r="I114" s="162" t="str">
        <f>IF(H114=D114,"Noncancer Risk",IF(H114=G114,"Cancer Risk",(VLOOKUP(A114,[1]!TOX,78,FALSE))))</f>
        <v>Noncancer Risk</v>
      </c>
      <c r="J114" s="163">
        <f>MAX(H114,(VLOOKUP(A114,[1]!TOX,50,FALSE)),(VLOOKUP(A114,[1]!TOX,35,FALSE)))</f>
        <v>6.1097503061297278E-5</v>
      </c>
      <c r="K114" s="164">
        <f t="shared" si="9"/>
        <v>6.0000000000000002E-5</v>
      </c>
      <c r="L114" s="165" t="str">
        <f>IF(J114=0,"Not Calculated",IF(J114=H114,I114,IF(J114=[1]Toxicity!AI110,"Background","PQL")))</f>
        <v>Noncancer Risk</v>
      </c>
    </row>
    <row r="115" spans="1:12" ht="12.5" x14ac:dyDescent="0.25">
      <c r="A115" s="134" t="s">
        <v>13</v>
      </c>
      <c r="B115" s="160">
        <f>IF(ISERR(1/+(VLOOKUP(A115,[1]!TOX,21,FALSE))),0,'[1]Target Risk'!$D$8*(VLOOKUP(A115,[1]!TOX,6,FALSE))/((('S-3 Assumptions'!$J$21+'S-3 Assumptions'!$O$85)*(VLOOKUP(A115,[1]!TOX,21,FALSE)))+('S-3 Assumptions'!$K$42*(VLOOKUP(A115,[1]!TOX,23,FALSE)))))</f>
        <v>12431.074821398181</v>
      </c>
      <c r="C115" s="161">
        <f>'[1]Target Risk'!$D$8*(VLOOKUP(A115,[1]!TOX,10,FALSE))/'S-3 Assumptions'!$N$64</f>
        <v>5359877.4885145491</v>
      </c>
      <c r="D115" s="161">
        <f t="shared" si="4"/>
        <v>12402.31034903153</v>
      </c>
      <c r="E115" s="161">
        <f>IF(ISERR(1/(VLOOKUP(A115,[1]!TOX,25,FALSE))),0,+'[1]Target Risk'!$D$12/(((('S-3 Assumptions'!$J$29+'S-3 Assumptions'!$O$93)*(VLOOKUP(A115,[1]!TOX,25,FALSE)))+('S-3 Assumptions'!$K$50*(VLOOKUP(A115,[1]!TOX,27,FALSE))))*(VLOOKUP(A115,[1]!TOX,12,FALSE))))</f>
        <v>3700.7695134834753</v>
      </c>
      <c r="F115" s="161">
        <f>IF((VLOOKUP(A115,[1]!TOX,15,FALSE))=0,0, '[1]Target Risk'!$D$12/((VLOOKUP(A115,[1]!TOX,15,FALSE))*'S-3 Assumptions'!$N$72))</f>
        <v>1707582.57940006</v>
      </c>
      <c r="G115" s="162">
        <f t="shared" si="5"/>
        <v>3692.7663414777267</v>
      </c>
      <c r="H115" s="160">
        <f>IF(D115=0,MIN(G115,(VLOOKUP(A115,[1]!TOX,77,FALSE))),IF(G115=0,MIN(D115,(VLOOKUP(A115,[1]!TOX,77,FALSE))),MIN(D115,G115,(VLOOKUP(A115,[1]!TOX,77,FALSE)))))</f>
        <v>500</v>
      </c>
      <c r="I115" s="162" t="str">
        <f>IF(H115=D115,"Noncancer Risk",IF(H115=G115,"Cancer Risk",(VLOOKUP(A115,[1]!TOX,78,FALSE))))</f>
        <v>High Volatility</v>
      </c>
      <c r="J115" s="163">
        <f>MAX(H115,(VLOOKUP(A115,[1]!TOX,50,FALSE)),(VLOOKUP(A115,[1]!TOX,35,FALSE)))</f>
        <v>500</v>
      </c>
      <c r="K115" s="164">
        <f t="shared" si="9"/>
        <v>500</v>
      </c>
      <c r="L115" s="165" t="str">
        <f>IF(J115=0,"Not Calculated",IF(J115=H115,I115,IF(J115=[1]Toxicity!AI111,"Background","PQL")))</f>
        <v>High Volatility</v>
      </c>
    </row>
    <row r="116" spans="1:12" ht="12.5" x14ac:dyDescent="0.25">
      <c r="A116" s="134" t="s">
        <v>12</v>
      </c>
      <c r="B116" s="160">
        <f>IF(ISERR(1/+(VLOOKUP(A116,[1]!TOX,21,FALSE))),0,'[1]Target Risk'!$D$8*(VLOOKUP(A116,[1]!TOX,6,FALSE))/((('S-3 Assumptions'!$J$21+'S-3 Assumptions'!$O$85)*(VLOOKUP(A116,[1]!TOX,21,FALSE)))+('S-3 Assumptions'!$K$42*(VLOOKUP(A116,[1]!TOX,23,FALSE)))))</f>
        <v>6906.1526785545466</v>
      </c>
      <c r="C116" s="161">
        <f>'[1]Target Risk'!$D$8*(VLOOKUP(A116,[1]!TOX,10,FALSE))/'S-3 Assumptions'!$N$64</f>
        <v>1661562.0214395104</v>
      </c>
      <c r="D116" s="161">
        <f t="shared" si="4"/>
        <v>6877.5666104716374</v>
      </c>
      <c r="E116" s="161">
        <f>IF(ISERR(1/(VLOOKUP(A116,[1]!TOX,25,FALSE))),0,+'[1]Target Risk'!$D$12/(((('S-3 Assumptions'!$J$29+'S-3 Assumptions'!$O$93)*(VLOOKUP(A116,[1]!TOX,25,FALSE)))+('S-3 Assumptions'!$K$50*(VLOOKUP(A116,[1]!TOX,27,FALSE))))*(VLOOKUP(A116,[1]!TOX,12,FALSE))))</f>
        <v>481.10003675285179</v>
      </c>
      <c r="F116" s="161">
        <f>IF((VLOOKUP(A116,[1]!TOX,15,FALSE))=0,0, '[1]Target Risk'!$D$12/((VLOOKUP(A116,[1]!TOX,15,FALSE))*'S-3 Assumptions'!$N$72))</f>
        <v>217863.9842682835</v>
      </c>
      <c r="G116" s="162">
        <f t="shared" si="5"/>
        <v>480.03998428544543</v>
      </c>
      <c r="H116" s="160">
        <f>IF(D116=0,MIN(G116,(VLOOKUP(A116,[1]!TOX,77,FALSE))),IF(G116=0,MIN(D116,(VLOOKUP(A116,[1]!TOX,77,FALSE))),MIN(D116,G116,(VLOOKUP(A116,[1]!TOX,77,FALSE)))))</f>
        <v>480.03998428544543</v>
      </c>
      <c r="I116" s="162" t="str">
        <f>IF(H116=D116,"Noncancer Risk",IF(H116=G116,"Cancer Risk",(VLOOKUP(A116,[1]!TOX,78,FALSE))))</f>
        <v>Cancer Risk</v>
      </c>
      <c r="J116" s="163">
        <f>MAX(H116,(VLOOKUP(A116,[1]!TOX,50,FALSE)),(VLOOKUP(A116,[1]!TOX,35,FALSE)))</f>
        <v>480.03998428544543</v>
      </c>
      <c r="K116" s="164">
        <f t="shared" si="9"/>
        <v>500</v>
      </c>
      <c r="L116" s="165" t="str">
        <f>IF(J116=0,"Not Calculated",IF(J116=H116,I116,IF(J116=[1]Toxicity!AI112,"Background","PQL")))</f>
        <v>Cancer Risk</v>
      </c>
    </row>
    <row r="117" spans="1:12" ht="12.5" x14ac:dyDescent="0.25">
      <c r="A117" s="134" t="s">
        <v>11</v>
      </c>
      <c r="B117" s="160">
        <f>IF(ISERR(1/+(VLOOKUP(A117,[1]!TOX,21,FALSE))),0,'[1]Target Risk'!$D$8*(VLOOKUP(A117,[1]!TOX,6,FALSE))/((('S-3 Assumptions'!$J$21+'S-3 Assumptions'!$O$85)*(VLOOKUP(A117,[1]!TOX,21,FALSE)))+('S-3 Assumptions'!$K$42*(VLOOKUP(A117,[1]!TOX,23,FALSE)))))</f>
        <v>828.73832142654555</v>
      </c>
      <c r="C117" s="161">
        <f>'[1]Target Risk'!$D$8*(VLOOKUP(A117,[1]!TOX,10,FALSE))/'S-3 Assumptions'!$N$64</f>
        <v>714650.33180193987</v>
      </c>
      <c r="D117" s="161">
        <f t="shared" si="4"/>
        <v>827.77839508616705</v>
      </c>
      <c r="E117" s="161">
        <f>IF(ISERR(1/(VLOOKUP(A117,[1]!TOX,25,FALSE))),0,+'[1]Target Risk'!$D$12/(((('S-3 Assumptions'!$J$29+'S-3 Assumptions'!$O$93)*(VLOOKUP(A117,[1]!TOX,25,FALSE)))+('S-3 Assumptions'!$K$50*(VLOOKUP(A117,[1]!TOX,27,FALSE))))*(VLOOKUP(A117,[1]!TOX,12,FALSE))))</f>
        <v>4811.0003675285179</v>
      </c>
      <c r="F117" s="161">
        <f>IF((VLOOKUP(A117,[1]!TOX,15,FALSE))=0,0, '[1]Target Risk'!$D$12/((VLOOKUP(A117,[1]!TOX,15,FALSE))*'S-3 Assumptions'!$N$72))</f>
        <v>4212037.029186815</v>
      </c>
      <c r="G117" s="162">
        <f t="shared" si="5"/>
        <v>4805.5114989769027</v>
      </c>
      <c r="H117" s="160">
        <f>IF(D117=0,MIN(G117,(VLOOKUP(A117,[1]!TOX,77,FALSE))),IF(G117=0,MIN(D117,(VLOOKUP(A117,[1]!TOX,77,FALSE))),MIN(D117,G117,(VLOOKUP(A117,[1]!TOX,77,FALSE)))))</f>
        <v>827.77839508616705</v>
      </c>
      <c r="I117" s="162" t="str">
        <f>IF(H117=D117,"Noncancer Risk",IF(H117=G117,"Cancer Risk",(VLOOKUP(A117,[1]!TOX,78,FALSE))))</f>
        <v>Noncancer Risk</v>
      </c>
      <c r="J117" s="163">
        <f>MAX(H117,(VLOOKUP(A117,[1]!TOX,50,FALSE)),(VLOOKUP(A117,[1]!TOX,35,FALSE)))</f>
        <v>827.77839508616705</v>
      </c>
      <c r="K117" s="164">
        <f t="shared" si="9"/>
        <v>800</v>
      </c>
      <c r="L117" s="165" t="str">
        <f>IF(J117=0,"Not Calculated",IF(J117=H117,I117,IF(J117=[1]Toxicity!AI113,"Background","PQL")))</f>
        <v>Noncancer Risk</v>
      </c>
    </row>
    <row r="118" spans="1:12" ht="12.5" x14ac:dyDescent="0.25">
      <c r="A118" s="134" t="s">
        <v>10</v>
      </c>
      <c r="B118" s="160">
        <f>IF(ISERR(1/+(VLOOKUP(A118,[1]!TOX,21,FALSE))),0,'[1]Target Risk'!$D$8*(VLOOKUP(A118,[1]!TOX,6,FALSE))/((('S-3 Assumptions'!$J$21+'S-3 Assumptions'!$O$85)*(VLOOKUP(A118,[1]!TOX,21,FALSE)))+('S-3 Assumptions'!$K$42*(VLOOKUP(A118,[1]!TOX,23,FALSE)))))</f>
        <v>131.34164401716563</v>
      </c>
      <c r="C118" s="161">
        <f>'[1]Target Risk'!$D$8*(VLOOKUP(A118,[1]!TOX,10,FALSE))/'S-3 Assumptions'!$N$64</f>
        <v>250.12761613067897</v>
      </c>
      <c r="D118" s="161">
        <f t="shared" si="4"/>
        <v>86.120103895043869</v>
      </c>
      <c r="E118" s="161">
        <f>IF(ISERR(1/(VLOOKUP(A118,[1]!TOX,25,FALSE))),0,+'[1]Target Risk'!$D$12/(((('S-3 Assumptions'!$J$29+'S-3 Assumptions'!$O$93)*(VLOOKUP(A118,[1]!TOX,25,FALSE)))+('S-3 Assumptions'!$K$50*(VLOOKUP(A118,[1]!TOX,27,FALSE))))*(VLOOKUP(A118,[1]!TOX,12,FALSE))))</f>
        <v>0</v>
      </c>
      <c r="F118" s="161">
        <f>IF((VLOOKUP(A118,[1]!TOX,15,FALSE))=0,0, '[1]Target Risk'!$D$12/((VLOOKUP(A118,[1]!TOX,15,FALSE))*'S-3 Assumptions'!$N$72))</f>
        <v>0</v>
      </c>
      <c r="G118" s="162">
        <f t="shared" si="5"/>
        <v>0</v>
      </c>
      <c r="H118" s="160">
        <f>IF(D118=0,MIN(G118,(VLOOKUP(A118,[1]!TOX,77,FALSE))),IF(G118=0,MIN(D118,(VLOOKUP(A118,[1]!TOX,77,FALSE))),MIN(D118,G118,(VLOOKUP(A118,[1]!TOX,77,FALSE)))))</f>
        <v>86.120103895043869</v>
      </c>
      <c r="I118" s="162" t="str">
        <f>IF(H118=D118,"Noncancer Risk",IF(H118=G118,"Cancer Risk",(VLOOKUP(A118,[1]!TOX,78,FALSE))))</f>
        <v>Noncancer Risk</v>
      </c>
      <c r="J118" s="163">
        <f>MAX(H118,(VLOOKUP(A118,[1]!TOX,50,FALSE)),(VLOOKUP(A118,[1]!TOX,35,FALSE)))</f>
        <v>86.120103895043869</v>
      </c>
      <c r="K118" s="164">
        <f t="shared" si="9"/>
        <v>90</v>
      </c>
      <c r="L118" s="165" t="str">
        <f>IF(J118=0,"Not Calculated",IF(J118=H118,I118,IF(J118=[1]Toxicity!AI114,"Background","PQL")))</f>
        <v>Noncancer Risk</v>
      </c>
    </row>
    <row r="119" spans="1:12" ht="20" x14ac:dyDescent="0.25">
      <c r="A119" s="134" t="s">
        <v>9</v>
      </c>
      <c r="B119" s="160">
        <f>IF(ISERR(1/+(VLOOKUP(A119,[1]!TOX,21,FALSE))),0,'[1]Target Risk'!$D$8*(VLOOKUP(A119,[1]!TOX,6,FALSE))/((('S-3 Assumptions'!$J$21+'S-3 Assumptions'!$O$85)*(VLOOKUP(A119,[1]!TOX,21,FALSE)))+('S-3 Assumptions'!$K$42*(VLOOKUP(A119,[1]!TOX,23,FALSE)))))</f>
        <v>110498.44285687275</v>
      </c>
      <c r="C119" s="161">
        <f>'[1]Target Risk'!$D$8*(VLOOKUP(A119,[1]!TOX,10,FALSE))/'S-3 Assumptions'!$N$64</f>
        <v>89331291.475242481</v>
      </c>
      <c r="D119" s="161">
        <f t="shared" si="4"/>
        <v>110361.9305410417</v>
      </c>
      <c r="E119" s="161">
        <f>IF(ISERR(1/(VLOOKUP(A119,[1]!TOX,25,FALSE))),0,+'[1]Target Risk'!$D$12/(((('S-3 Assumptions'!$J$29+'S-3 Assumptions'!$O$93)*(VLOOKUP(A119,[1]!TOX,25,FALSE)))+('S-3 Assumptions'!$K$50*(VLOOKUP(A119,[1]!TOX,27,FALSE))))*(VLOOKUP(A119,[1]!TOX,12,FALSE))))</f>
        <v>0</v>
      </c>
      <c r="F119" s="161">
        <f>IF((VLOOKUP(A119,[1]!TOX,15,FALSE))=0,0, '[1]Target Risk'!$D$12/((VLOOKUP(A119,[1]!TOX,15,FALSE))*'S-3 Assumptions'!$N$72))</f>
        <v>0</v>
      </c>
      <c r="G119" s="162">
        <f t="shared" si="5"/>
        <v>0</v>
      </c>
      <c r="H119" s="160">
        <f>IF(D119=0,MIN(G119,(VLOOKUP(A119,[1]!TOX,77,FALSE))),IF(G119=0,MIN(D119,(VLOOKUP(A119,[1]!TOX,77,FALSE))),MIN(D119,G119,(VLOOKUP(A119,[1]!TOX,77,FALSE)))))</f>
        <v>3000</v>
      </c>
      <c r="I119" s="162" t="str">
        <f>IF(H119=D119,"Noncancer Risk",IF(H119=G119,"Cancer Risk",(VLOOKUP(A119,[1]!TOX,78,FALSE))))</f>
        <v>Ceiling (Medium)</v>
      </c>
      <c r="J119" s="163">
        <f>MAX(H119,(VLOOKUP(A119,[1]!TOX,50,FALSE)),(VLOOKUP(A119,[1]!TOX,35,FALSE)))</f>
        <v>3000</v>
      </c>
      <c r="K119" s="164">
        <f t="shared" si="9"/>
        <v>3000</v>
      </c>
      <c r="L119" s="165" t="str">
        <f>IF(J119=0,"Not Calculated",IF(J119=H119,I119,IF(J119=[1]Toxicity!AI115,"Background","PQL")))</f>
        <v>Ceiling (Medium)</v>
      </c>
    </row>
    <row r="120" spans="1:12" ht="12.5" x14ac:dyDescent="0.25">
      <c r="A120" s="134" t="s">
        <v>8</v>
      </c>
      <c r="B120" s="160">
        <f>IF(ISERR(1/+(VLOOKUP(A120,[1]!TOX,21,FALSE))),0,'[1]Target Risk'!$D$8*(VLOOKUP(A120,[1]!TOX,6,FALSE))/((('S-3 Assumptions'!$J$21+'S-3 Assumptions'!$O$85)*(VLOOKUP(A120,[1]!TOX,21,FALSE)))+('S-3 Assumptions'!$K$42*(VLOOKUP(A120,[1]!TOX,23,FALSE)))))</f>
        <v>12431.074821398181</v>
      </c>
      <c r="C120" s="161">
        <f>'[1]Target Risk'!$D$8*(VLOOKUP(A120,[1]!TOX,10,FALSE))/'S-3 Assumptions'!$N$64</f>
        <v>357325.16590096994</v>
      </c>
      <c r="D120" s="161">
        <f t="shared" si="4"/>
        <v>12013.146456177621</v>
      </c>
      <c r="E120" s="161">
        <f>IF(ISERR(1/(VLOOKUP(A120,[1]!TOX,25,FALSE))),0,+'[1]Target Risk'!$D$12/(((('S-3 Assumptions'!$J$29+'S-3 Assumptions'!$O$93)*(VLOOKUP(A120,[1]!TOX,25,FALSE)))+('S-3 Assumptions'!$K$50*(VLOOKUP(A120,[1]!TOX,27,FALSE))))*(VLOOKUP(A120,[1]!TOX,12,FALSE))))</f>
        <v>0</v>
      </c>
      <c r="F120" s="161">
        <f>IF((VLOOKUP(A120,[1]!TOX,15,FALSE))=0,0, '[1]Target Risk'!$D$12/((VLOOKUP(A120,[1]!TOX,15,FALSE))*'S-3 Assumptions'!$N$72))</f>
        <v>0</v>
      </c>
      <c r="G120" s="162">
        <f t="shared" si="5"/>
        <v>0</v>
      </c>
      <c r="H120" s="160">
        <f>IF(D120=0,MIN(G120,(VLOOKUP(A120,[1]!TOX,77,FALSE))),IF(G120=0,MIN(D120,(VLOOKUP(A120,[1]!TOX,77,FALSE))),MIN(D120,G120,(VLOOKUP(A120,[1]!TOX,77,FALSE)))))</f>
        <v>5000</v>
      </c>
      <c r="I120" s="162" t="str">
        <f>IF(H120=D120,"Noncancer Risk",IF(H120=G120,"Cancer Risk",(VLOOKUP(A120,[1]!TOX,78,FALSE))))</f>
        <v>Ceiling (High)</v>
      </c>
      <c r="J120" s="163">
        <f>MAX(H120,(VLOOKUP(A120,[1]!TOX,50,FALSE)),(VLOOKUP(A120,[1]!TOX,35,FALSE)))</f>
        <v>5000</v>
      </c>
      <c r="K120" s="164">
        <f t="shared" si="9"/>
        <v>5000</v>
      </c>
      <c r="L120" s="165" t="str">
        <f>IF(J120=0,"Not Calculated",IF(J120=H120,I120,IF(J120=[1]Toxicity!AI116,"Background","PQL")))</f>
        <v>Ceiling (High)</v>
      </c>
    </row>
    <row r="121" spans="1:12" ht="20" x14ac:dyDescent="0.25">
      <c r="A121" s="134" t="s">
        <v>7</v>
      </c>
      <c r="B121" s="160">
        <f>IF(ISERR(1/+(VLOOKUP(A121,[1]!TOX,21,FALSE))),0,'[1]Target Risk'!$D$8*(VLOOKUP(A121,[1]!TOX,6,FALSE))/((('S-3 Assumptions'!$J$21+'S-3 Assumptions'!$O$85)*(VLOOKUP(A121,[1]!TOX,21,FALSE)))+('S-3 Assumptions'!$K$42*(VLOOKUP(A121,[1]!TOX,23,FALSE)))))</f>
        <v>966861.37499763642</v>
      </c>
      <c r="C121" s="161">
        <f>'[1]Target Risk'!$D$8*(VLOOKUP(A121,[1]!TOX,10,FALSE))/'S-3 Assumptions'!$N$64</f>
        <v>89331291.475242481</v>
      </c>
      <c r="D121" s="161">
        <f t="shared" si="4"/>
        <v>956508.77210427797</v>
      </c>
      <c r="E121" s="161">
        <f>IF(ISERR(1/(VLOOKUP(A121,[1]!TOX,25,FALSE))),0,+'[1]Target Risk'!$D$12/(((('S-3 Assumptions'!$J$29+'S-3 Assumptions'!$O$93)*(VLOOKUP(A121,[1]!TOX,25,FALSE)))+('S-3 Assumptions'!$K$50*(VLOOKUP(A121,[1]!TOX,27,FALSE))))*(VLOOKUP(A121,[1]!TOX,12,FALSE))))</f>
        <v>0</v>
      </c>
      <c r="F121" s="161">
        <f>IF((VLOOKUP(A121,[1]!TOX,15,FALSE))=0,0, '[1]Target Risk'!$D$12/((VLOOKUP(A121,[1]!TOX,15,FALSE))*'S-3 Assumptions'!$N$72))</f>
        <v>0</v>
      </c>
      <c r="G121" s="162">
        <f t="shared" si="5"/>
        <v>0</v>
      </c>
      <c r="H121" s="160">
        <f>IF(D121=0,MIN(G121,(VLOOKUP(A121,[1]!TOX,77,FALSE))),IF(G121=0,MIN(D121,(VLOOKUP(A121,[1]!TOX,77,FALSE))),MIN(D121,G121,(VLOOKUP(A121,[1]!TOX,77,FALSE)))))</f>
        <v>3000</v>
      </c>
      <c r="I121" s="162" t="str">
        <f>IF(H121=D121,"Noncancer Risk",IF(H121=G121,"Cancer Risk",(VLOOKUP(A121,[1]!TOX,78,FALSE))))</f>
        <v>Ceiling (Medium)</v>
      </c>
      <c r="J121" s="163">
        <f>MAX(H121,(VLOOKUP(A121,[1]!TOX,50,FALSE)),(VLOOKUP(A121,[1]!TOX,35,FALSE)))</f>
        <v>3000</v>
      </c>
      <c r="K121" s="164">
        <f t="shared" si="9"/>
        <v>3000</v>
      </c>
      <c r="L121" s="165" t="str">
        <f>IF(J121=0,"Not Calculated",IF(J121=H121,I121,IF(J121=[1]Toxicity!AI117,"Background","PQL")))</f>
        <v>Ceiling (Medium)</v>
      </c>
    </row>
    <row r="122" spans="1:12" ht="12.5" x14ac:dyDescent="0.25">
      <c r="A122" s="134" t="s">
        <v>6</v>
      </c>
      <c r="B122" s="160">
        <f>IF(ISERR(1/+(VLOOKUP(A122,[1]!TOX,21,FALSE))),0,'[1]Target Risk'!$D$8*(VLOOKUP(A122,[1]!TOX,6,FALSE))/((('S-3 Assumptions'!$J$21+'S-3 Assumptions'!$O$85)*(VLOOKUP(A122,[1]!TOX,21,FALSE)))+('S-3 Assumptions'!$K$42*(VLOOKUP(A122,[1]!TOX,23,FALSE)))))</f>
        <v>552.49221428436363</v>
      </c>
      <c r="C122" s="161">
        <f>'[1]Target Risk'!$D$8*(VLOOKUP(A122,[1]!TOX,10,FALSE))/'S-3 Assumptions'!$N$64</f>
        <v>1322103.1138335888</v>
      </c>
      <c r="D122" s="161">
        <f t="shared" si="4"/>
        <v>552.26143036340261</v>
      </c>
      <c r="E122" s="161">
        <f>IF(ISERR(1/(VLOOKUP(A122,[1]!TOX,25,FALSE))),0,+'[1]Target Risk'!$D$12/(((('S-3 Assumptions'!$J$29+'S-3 Assumptions'!$O$93)*(VLOOKUP(A122,[1]!TOX,25,FALSE)))+('S-3 Assumptions'!$K$50*(VLOOKUP(A122,[1]!TOX,27,FALSE))))*(VLOOKUP(A122,[1]!TOX,12,FALSE))))</f>
        <v>1688.0703043959711</v>
      </c>
      <c r="F122" s="161">
        <f>IF((VLOOKUP(A122,[1]!TOX,15,FALSE))=0,0, '[1]Target Risk'!$D$12/((VLOOKUP(A122,[1]!TOX,15,FALSE))*'S-3 Assumptions'!$N$72))</f>
        <v>789756.94297252782</v>
      </c>
      <c r="G122" s="162">
        <f t="shared" si="5"/>
        <v>1684.4698251399516</v>
      </c>
      <c r="H122" s="160">
        <f>IF(D122=0,MIN(G122,(VLOOKUP(A122,[1]!TOX,77,FALSE))),IF(G122=0,MIN(D122,(VLOOKUP(A122,[1]!TOX,77,FALSE))),MIN(D122,G122,(VLOOKUP(A122,[1]!TOX,77,FALSE)))))</f>
        <v>500</v>
      </c>
      <c r="I122" s="162" t="str">
        <f>IF(H122=D122,"Noncancer Risk",IF(H122=G122,"Cancer Risk",(VLOOKUP(A122,[1]!TOX,78,FALSE))))</f>
        <v>High Volatility</v>
      </c>
      <c r="J122" s="163">
        <f>MAX(H122,(VLOOKUP(A122,[1]!TOX,50,FALSE)),(VLOOKUP(A122,[1]!TOX,35,FALSE)))</f>
        <v>500</v>
      </c>
      <c r="K122" s="164">
        <f t="shared" si="9"/>
        <v>500</v>
      </c>
      <c r="L122" s="165" t="str">
        <f>IF(J122=0,"Not Calculated",IF(J122=H122,I122,IF(J122=[1]Toxicity!AI118,"Background","PQL")))</f>
        <v>High Volatility</v>
      </c>
    </row>
    <row r="123" spans="1:12" ht="12.5" x14ac:dyDescent="0.25">
      <c r="A123" s="134" t="s">
        <v>5</v>
      </c>
      <c r="B123" s="160">
        <f>IF(ISERR(1/+(VLOOKUP(A123,[1]!TOX,21,FALSE))),0,'[1]Target Risk'!$D$8*(VLOOKUP(A123,[1]!TOX,6,FALSE))/((('S-3 Assumptions'!$J$21+'S-3 Assumptions'!$O$85)*(VLOOKUP(A123,[1]!TOX,21,FALSE)))+('S-3 Assumptions'!$K$42*(VLOOKUP(A123,[1]!TOX,23,FALSE)))))</f>
        <v>69.061526785545453</v>
      </c>
      <c r="C123" s="161">
        <f>'[1]Target Risk'!$D$8*(VLOOKUP(A123,[1]!TOX,10,FALSE))/'S-3 Assumptions'!$N$64</f>
        <v>35732.516590096995</v>
      </c>
      <c r="D123" s="161">
        <f t="shared" si="4"/>
        <v>68.928306555242202</v>
      </c>
      <c r="E123" s="161">
        <f>IF(ISERR(1/(VLOOKUP(A123,[1]!TOX,25,FALSE))),0,+'[1]Target Risk'!$D$12/(((('S-3 Assumptions'!$J$29+'S-3 Assumptions'!$O$93)*(VLOOKUP(A123,[1]!TOX,25,FALSE)))+('S-3 Assumptions'!$K$50*(VLOOKUP(A123,[1]!TOX,27,FALSE))))*(VLOOKUP(A123,[1]!TOX,12,FALSE))))</f>
        <v>2078.1859039000078</v>
      </c>
      <c r="F123" s="161">
        <f>IF((VLOOKUP(A123,[1]!TOX,15,FALSE))=0,0, '[1]Target Risk'!$D$12/((VLOOKUP(A123,[1]!TOX,15,FALSE))*'S-3 Assumptions'!$N$72))</f>
        <v>3081978.3140391326</v>
      </c>
      <c r="G123" s="162">
        <f t="shared" si="5"/>
        <v>2076.785522081047</v>
      </c>
      <c r="H123" s="160">
        <f>IF(D123=0,MIN(G123,(VLOOKUP(A123,[1]!TOX,77,FALSE))),IF(G123=0,MIN(D123,(VLOOKUP(A123,[1]!TOX,77,FALSE))),MIN(D123,G123,(VLOOKUP(A123,[1]!TOX,77,FALSE)))))</f>
        <v>68.928306555242202</v>
      </c>
      <c r="I123" s="162" t="str">
        <f>IF(H123=D123,"Noncancer Risk",IF(H123=G123,"Cancer Risk",(VLOOKUP(A123,[1]!TOX,78,FALSE))))</f>
        <v>Noncancer Risk</v>
      </c>
      <c r="J123" s="163">
        <f>MAX(H123,(VLOOKUP(A123,[1]!TOX,50,FALSE)),(VLOOKUP(A123,[1]!TOX,35,FALSE)))</f>
        <v>68.928306555242202</v>
      </c>
      <c r="K123" s="164">
        <f t="shared" si="9"/>
        <v>70</v>
      </c>
      <c r="L123" s="165" t="str">
        <f>IF(J123=0,"Not Calculated",IF(J123=H123,I123,IF(J123=[1]Toxicity!AI119,"Background","PQL")))</f>
        <v>Noncancer Risk</v>
      </c>
    </row>
    <row r="124" spans="1:12" ht="12.5" x14ac:dyDescent="0.25">
      <c r="A124" s="134" t="s">
        <v>4</v>
      </c>
      <c r="B124" s="160">
        <f>IF(ISERR(1/+(VLOOKUP(A124,[1]!TOX,21,FALSE))),0,'[1]Target Risk'!$D$8*(VLOOKUP(A124,[1]!TOX,6,FALSE))/((('S-3 Assumptions'!$J$21+'S-3 Assumptions'!$O$85)*(VLOOKUP(A124,[1]!TOX,21,FALSE)))+('S-3 Assumptions'!$K$42*(VLOOKUP(A124,[1]!TOX,23,FALSE)))))</f>
        <v>13186.491077892297</v>
      </c>
      <c r="C124" s="161">
        <f>'[1]Target Risk'!$D$8*(VLOOKUP(A124,[1]!TOX,10,FALSE))/'S-3 Assumptions'!$N$64</f>
        <v>17866258.295048498</v>
      </c>
      <c r="D124" s="161">
        <f t="shared" si="4"/>
        <v>13176.765745309136</v>
      </c>
      <c r="E124" s="161">
        <f>IF(ISERR(1/(VLOOKUP(A124,[1]!TOX,25,FALSE))),0,+'[1]Target Risk'!$D$12/(((('S-3 Assumptions'!$J$29+'S-3 Assumptions'!$O$93)*(VLOOKUP(A124,[1]!TOX,25,FALSE)))+('S-3 Assumptions'!$K$50*(VLOOKUP(A124,[1]!TOX,27,FALSE))))*(VLOOKUP(A124,[1]!TOX,12,FALSE))))</f>
        <v>0</v>
      </c>
      <c r="F124" s="161">
        <f>IF((VLOOKUP(A124,[1]!TOX,15,FALSE))=0,0, '[1]Target Risk'!$D$12/((VLOOKUP(A124,[1]!TOX,15,FALSE))*'S-3 Assumptions'!$N$72))</f>
        <v>0</v>
      </c>
      <c r="G124" s="162">
        <f t="shared" si="5"/>
        <v>0</v>
      </c>
      <c r="H124" s="160">
        <f>IF(D124=0,MIN(G124,(VLOOKUP(A124,[1]!TOX,77,FALSE))),IF(G124=0,MIN(D124,(VLOOKUP(A124,[1]!TOX,77,FALSE))),MIN(D124,G124,(VLOOKUP(A124,[1]!TOX,77,FALSE)))))</f>
        <v>5000</v>
      </c>
      <c r="I124" s="162" t="str">
        <f>IF(H124=D124,"Noncancer Risk",IF(H124=G124,"Cancer Risk",(VLOOKUP(A124,[1]!TOX,78,FALSE))))</f>
        <v>Ceiling (High)</v>
      </c>
      <c r="J124" s="163">
        <f>MAX(H124,(VLOOKUP(A124,[1]!TOX,50,FALSE)),(VLOOKUP(A124,[1]!TOX,35,FALSE)))</f>
        <v>5000</v>
      </c>
      <c r="K124" s="164">
        <f t="shared" si="9"/>
        <v>5000</v>
      </c>
      <c r="L124" s="165" t="str">
        <f>IF(J124=0,"Not Calculated",IF(J124=H124,I124,IF(J124=[1]Toxicity!AI120,"Background","PQL")))</f>
        <v>Ceiling (High)</v>
      </c>
    </row>
    <row r="125" spans="1:12" ht="12.5" x14ac:dyDescent="0.25">
      <c r="A125" s="134" t="s">
        <v>3</v>
      </c>
      <c r="B125" s="160">
        <f>IF(ISERR(1/+(VLOOKUP(A125,[1]!TOX,21,FALSE))),0,'[1]Target Risk'!$D$8*(VLOOKUP(A125,[1]!TOX,6,FALSE))/((('S-3 Assumptions'!$J$21+'S-3 Assumptions'!$O$85)*(VLOOKUP(A125,[1]!TOX,21,FALSE)))+('S-3 Assumptions'!$K$42*(VLOOKUP(A125,[1]!TOX,23,FALSE)))))</f>
        <v>439.54970259640987</v>
      </c>
      <c r="C125" s="161">
        <f>'[1]Target Risk'!$D$8*(VLOOKUP(A125,[1]!TOX,10,FALSE))/'S-3 Assumptions'!$N$64</f>
        <v>714650.33180193987</v>
      </c>
      <c r="D125" s="161">
        <f t="shared" si="4"/>
        <v>439.27952125830166</v>
      </c>
      <c r="E125" s="161">
        <f>IF(ISERR(1/(VLOOKUP(A125,[1]!TOX,25,FALSE))),0,+'[1]Target Risk'!$D$12/(((('S-3 Assumptions'!$J$29+'S-3 Assumptions'!$O$93)*(VLOOKUP(A125,[1]!TOX,25,FALSE)))+('S-3 Assumptions'!$K$50*(VLOOKUP(A125,[1]!TOX,27,FALSE))))*(VLOOKUP(A125,[1]!TOX,12,FALSE))))</f>
        <v>2783.6493040934715</v>
      </c>
      <c r="F125" s="161">
        <f>IF((VLOOKUP(A125,[1]!TOX,15,FALSE))=0,0, '[1]Target Risk'!$D$12/((VLOOKUP(A125,[1]!TOX,15,FALSE))*'S-3 Assumptions'!$N$72))</f>
        <v>4076164.8669549818</v>
      </c>
      <c r="G125" s="162">
        <f t="shared" si="5"/>
        <v>2781.7496224923693</v>
      </c>
      <c r="H125" s="160">
        <f>IF(D125=0,MIN(G125,(VLOOKUP(A125,[1]!TOX,77,FALSE))),IF(G125=0,MIN(D125,(VLOOKUP(A125,[1]!TOX,77,FALSE))),MIN(D125,G125,(VLOOKUP(A125,[1]!TOX,77,FALSE)))))</f>
        <v>439.27952125830166</v>
      </c>
      <c r="I125" s="162" t="str">
        <f>IF(H125=D125,"Noncancer Risk",IF(H125=G125,"Cancer Risk",(VLOOKUP(A125,[1]!TOX,78,FALSE))))</f>
        <v>Noncancer Risk</v>
      </c>
      <c r="J125" s="163">
        <f>MAX(H125,(VLOOKUP(A125,[1]!TOX,50,FALSE)),(VLOOKUP(A125,[1]!TOX,35,FALSE)))</f>
        <v>439.27952125830166</v>
      </c>
      <c r="K125" s="164">
        <f t="shared" si="9"/>
        <v>400</v>
      </c>
      <c r="L125" s="165" t="str">
        <f>IF(J125=0,"Not Calculated",IF(J125=H125,I125,IF(J125=[1]Toxicity!AI121,"Background","PQL")))</f>
        <v>Noncancer Risk</v>
      </c>
    </row>
    <row r="126" spans="1:12" ht="12.5" x14ac:dyDescent="0.25">
      <c r="A126" s="134" t="s">
        <v>2</v>
      </c>
      <c r="B126" s="160">
        <f>IF(ISERR(1/+(VLOOKUP(A126,[1]!TOX,21,FALSE))),0,'[1]Target Risk'!$D$8*(VLOOKUP(A126,[1]!TOX,6,FALSE))/((('S-3 Assumptions'!$J$21+'S-3 Assumptions'!$O$85)*(VLOOKUP(A126,[1]!TOX,21,FALSE)))+('S-3 Assumptions'!$K$42*(VLOOKUP(A126,[1]!TOX,23,FALSE)))))</f>
        <v>799.20458268706807</v>
      </c>
      <c r="C126" s="161">
        <f>'[1]Target Risk'!$D$8*(VLOOKUP(A126,[1]!TOX,10,FALSE))/'S-3 Assumptions'!$N$64</f>
        <v>17866.258295048498</v>
      </c>
      <c r="D126" s="161">
        <f t="shared" si="4"/>
        <v>764.98480634549696</v>
      </c>
      <c r="E126" s="161">
        <f>IF(ISERR(1/(VLOOKUP(A126,[1]!TOX,25,FALSE))),0,+'[1]Target Risk'!$D$12/(((('S-3 Assumptions'!$J$29+'S-3 Assumptions'!$O$93)*(VLOOKUP(A126,[1]!TOX,25,FALSE)))+('S-3 Assumptions'!$K$50*(VLOOKUP(A126,[1]!TOX,27,FALSE))))*(VLOOKUP(A126,[1]!TOX,12,FALSE))))</f>
        <v>0</v>
      </c>
      <c r="F126" s="161">
        <f>IF((VLOOKUP(A126,[1]!TOX,15,FALSE))=0,0, '[1]Target Risk'!$D$12/((VLOOKUP(A126,[1]!TOX,15,FALSE))*'S-3 Assumptions'!$N$72))</f>
        <v>0</v>
      </c>
      <c r="G126" s="162">
        <f t="shared" si="5"/>
        <v>0</v>
      </c>
      <c r="H126" s="160">
        <f>IF(D126=0,MIN(G126,(VLOOKUP(A126,[1]!TOX,77,FALSE))),IF(G126=0,MIN(D126,(VLOOKUP(A126,[1]!TOX,77,FALSE))),MIN(D126,G126,(VLOOKUP(A126,[1]!TOX,77,FALSE)))))</f>
        <v>764.98480634549696</v>
      </c>
      <c r="I126" s="162" t="str">
        <f>IF(H126=D126,"Noncancer Risk",IF(H126=G126,"Cancer Risk",(VLOOKUP(A126,[1]!TOX,78,FALSE))))</f>
        <v>Noncancer Risk</v>
      </c>
      <c r="J126" s="163">
        <f>MAX(H126,(VLOOKUP(A126,[1]!TOX,50,FALSE)),(VLOOKUP(A126,[1]!TOX,35,FALSE)))</f>
        <v>764.98480634549696</v>
      </c>
      <c r="K126" s="164">
        <f t="shared" si="9"/>
        <v>800</v>
      </c>
      <c r="L126" s="165" t="str">
        <f>IF(J126=0,"Not Calculated",IF(J126=H126,I126,IF(J126=[1]Toxicity!AI122,"Background","PQL")))</f>
        <v>Noncancer Risk</v>
      </c>
    </row>
    <row r="127" spans="1:12" ht="12.5" x14ac:dyDescent="0.25">
      <c r="A127" s="134" t="s">
        <v>1</v>
      </c>
      <c r="B127" s="160">
        <f>IF(ISERR(1/+(VLOOKUP(A127,[1]!TOX,21,FALSE))),0,'[1]Target Risk'!$D$8*(VLOOKUP(A127,[1]!TOX,6,FALSE))/((('S-3 Assumptions'!$J$21+'S-3 Assumptions'!$O$85)*(VLOOKUP(A127,[1]!TOX,21,FALSE)))+('S-3 Assumptions'!$K$42*(VLOOKUP(A127,[1]!TOX,23,FALSE)))))</f>
        <v>414.36916071327278</v>
      </c>
      <c r="C127" s="161">
        <f>'[1]Target Risk'!$D$8*(VLOOKUP(A127,[1]!TOX,10,FALSE))/'S-3 Assumptions'!$N$64</f>
        <v>1786625.8295048501</v>
      </c>
      <c r="D127" s="161">
        <f t="shared" si="4"/>
        <v>414.27307904623564</v>
      </c>
      <c r="E127" s="161">
        <f>IF(ISERR(1/(VLOOKUP(A127,[1]!TOX,25,FALSE))),0,+'[1]Target Risk'!$D$12/(((('S-3 Assumptions'!$J$29+'S-3 Assumptions'!$O$93)*(VLOOKUP(A127,[1]!TOX,25,FALSE)))+('S-3 Assumptions'!$K$50*(VLOOKUP(A127,[1]!TOX,27,FALSE))))*(VLOOKUP(A127,[1]!TOX,12,FALSE))))</f>
        <v>133.63889909801441</v>
      </c>
      <c r="F127" s="161">
        <f>IF((VLOOKUP(A127,[1]!TOX,15,FALSE))=0,0, '[1]Target Risk'!$D$12/((VLOOKUP(A127,[1]!TOX,15,FALSE))*'S-3 Assumptions'!$N$72))</f>
        <v>2871843.4289910095</v>
      </c>
      <c r="G127" s="162">
        <f t="shared" si="5"/>
        <v>133.63268060986846</v>
      </c>
      <c r="H127" s="160">
        <f>IF(D127=0,MIN(G127,(VLOOKUP(A127,[1]!TOX,77,FALSE))),IF(G127=0,MIN(D127,(VLOOKUP(A127,[1]!TOX,77,FALSE))),MIN(D127,G127,(VLOOKUP(A127,[1]!TOX,77,FALSE)))))</f>
        <v>133.63268060986846</v>
      </c>
      <c r="I127" s="162" t="str">
        <f>IF(H127=D127,"Noncancer Risk",IF(H127=G127,"Cancer Risk",(VLOOKUP(A127,[1]!TOX,78,FALSE))))</f>
        <v>Cancer Risk</v>
      </c>
      <c r="J127" s="163">
        <f>MAX(H127,(VLOOKUP(A127,[1]!TOX,50,FALSE)),(VLOOKUP(A127,[1]!TOX,35,FALSE)))</f>
        <v>133.63268060986846</v>
      </c>
      <c r="K127" s="164">
        <f t="shared" si="9"/>
        <v>100</v>
      </c>
      <c r="L127" s="165" t="str">
        <f>IF(J127=0,"Not Calculated",IF(J127=H127,I127,IF(J127=[1]Toxicity!AI123,"Background","PQL")))</f>
        <v>Cancer Risk</v>
      </c>
    </row>
    <row r="128" spans="1:12" ht="20" x14ac:dyDescent="0.25">
      <c r="A128" s="134" t="s">
        <v>291</v>
      </c>
      <c r="B128" s="160">
        <f>IF(ISERR(1/+(VLOOKUP(A128,[1]!TOX,21,FALSE))),0,'[1]Target Risk'!$D$8*(VLOOKUP(A128,[1]!TOX,6,FALSE))/((('S-3 Assumptions'!$J$21+'S-3 Assumptions'!$O$85)*(VLOOKUP(A128,[1]!TOX,21,FALSE)))+('S-3 Assumptions'!$K$42*(VLOOKUP(A128,[1]!TOX,23,FALSE)))))</f>
        <v>55249.221428436373</v>
      </c>
      <c r="C128" s="161">
        <f>'[1]Target Risk'!$D$8*(VLOOKUP(A128,[1]!TOX,10,FALSE))/'S-3 Assumptions'!$N$64</f>
        <v>7146503.3180194004</v>
      </c>
      <c r="D128" s="161">
        <f t="shared" si="4"/>
        <v>54825.369532425182</v>
      </c>
      <c r="E128" s="161">
        <f>IF(ISERR(1/(VLOOKUP(A128,[1]!TOX,25,FALSE))),0,+'[1]Target Risk'!$D$12/(((('S-3 Assumptions'!$J$29+'S-3 Assumptions'!$O$93)*(VLOOKUP(A128,[1]!TOX,25,FALSE)))+('S-3 Assumptions'!$K$50*(VLOOKUP(A128,[1]!TOX,27,FALSE))))*(VLOOKUP(A128,[1]!TOX,12,FALSE))))</f>
        <v>0</v>
      </c>
      <c r="F128" s="161">
        <f>IF((VLOOKUP(A128,[1]!TOX,15,FALSE))=0,0, '[1]Target Risk'!$D$12/((VLOOKUP(A128,[1]!TOX,15,FALSE))*'S-3 Assumptions'!$N$72))</f>
        <v>0</v>
      </c>
      <c r="G128" s="162">
        <f t="shared" si="5"/>
        <v>0</v>
      </c>
      <c r="H128" s="160">
        <f>IF(D128=0,MIN(G128,(VLOOKUP(A128,[1]!TOX,77,FALSE))),IF(G128=0,MIN(D128,(VLOOKUP(A128,[1]!TOX,77,FALSE))),MIN(D128,G128,(VLOOKUP(A128,[1]!TOX,77,FALSE)))))</f>
        <v>3000</v>
      </c>
      <c r="I128" s="162" t="str">
        <f>IF(H128=D128,"Noncancer Risk",IF(H128=G128,"Cancer Risk",(VLOOKUP(A128,[1]!TOX,78,FALSE))))</f>
        <v>Ceiling (Medium)</v>
      </c>
      <c r="J128" s="163">
        <f>MAX(H128,(VLOOKUP(A128,[1]!TOX,50,FALSE)),(VLOOKUP(A128,[1]!TOX,35,FALSE)))</f>
        <v>3000</v>
      </c>
      <c r="K128" s="164">
        <f t="shared" si="9"/>
        <v>3000</v>
      </c>
      <c r="L128" s="165" t="str">
        <f>IF(J128=0,"Not Calculated",IF(J128=H128,I128,IF(J128=[1]Toxicity!AI124,"Background","PQL")))</f>
        <v>Ceiling (Medium)</v>
      </c>
    </row>
    <row r="129" spans="1:12" thickBot="1" x14ac:dyDescent="0.3">
      <c r="A129" s="137" t="s">
        <v>0</v>
      </c>
      <c r="B129" s="166">
        <f>IF(ISERR(1/+(VLOOKUP(A129,[1]!TOX,21,FALSE))),0,'[1]Target Risk'!$D$8*(VLOOKUP(A129,[1]!TOX,6,FALSE))/((('S-3 Assumptions'!$J$21+'S-3 Assumptions'!$O$85)*(VLOOKUP(A129,[1]!TOX,21,FALSE)))+('S-3 Assumptions'!$K$42*(VLOOKUP(A129,[1]!TOX,23,FALSE)))))</f>
        <v>26640.152756235602</v>
      </c>
      <c r="C129" s="167">
        <f>'[1]Target Risk'!$D$8*(VLOOKUP(A129,[1]!TOX,10,FALSE))/'S-3 Assumptions'!$N$64</f>
        <v>25012.761613067898</v>
      </c>
      <c r="D129" s="167">
        <f t="shared" si="4"/>
        <v>12900.410332382566</v>
      </c>
      <c r="E129" s="167">
        <f>IF(ISERR(1/(VLOOKUP(A129,[1]!TOX,25,FALSE))),0,+'[1]Target Risk'!$D$12/(((('S-3 Assumptions'!$J$29+'S-3 Assumptions'!$O$93)*(VLOOKUP(A129,[1]!TOX,25,FALSE)))+('S-3 Assumptions'!$K$50*(VLOOKUP(A129,[1]!TOX,27,FALSE))))*(VLOOKUP(A129,[1]!TOX,12,FALSE))))</f>
        <v>0</v>
      </c>
      <c r="F129" s="167">
        <f>IF((VLOOKUP(A129,[1]!TOX,15,FALSE))=0,0, '[1]Target Risk'!$D$12/((VLOOKUP(A129,[1]!TOX,15,FALSE))*'S-3 Assumptions'!$N$72))</f>
        <v>0</v>
      </c>
      <c r="G129" s="168">
        <f t="shared" si="5"/>
        <v>0</v>
      </c>
      <c r="H129" s="166">
        <f>IF(D129=0,MIN(G129,(VLOOKUP(A129,[1]!TOX,77,FALSE))),IF(G129=0,MIN(D129,(VLOOKUP(A129,[1]!TOX,77,FALSE))),MIN(D129,G129,(VLOOKUP(A129,[1]!TOX,77,FALSE)))))</f>
        <v>5000</v>
      </c>
      <c r="I129" s="168" t="str">
        <f>IF(H129=D129,"Noncancer Risk",IF(H129=G129,"Cancer Risk",(VLOOKUP(A129,[1]!TOX,78,FALSE))))</f>
        <v>Ceiling (High)</v>
      </c>
      <c r="J129" s="169">
        <f>MAX(H129,(VLOOKUP(A129,[1]!TOX,50,FALSE)),(VLOOKUP(A129,[1]!TOX,35,FALSE)))</f>
        <v>5000</v>
      </c>
      <c r="K129" s="170">
        <f t="shared" si="9"/>
        <v>5000</v>
      </c>
      <c r="L129" s="171" t="str">
        <f>IF(J129=0,"Not Calculated",IF(J129=H129,I129,IF(J129=[1]Toxicity!AI125,"Background","PQL")))</f>
        <v>Ceiling (High)</v>
      </c>
    </row>
    <row r="130" spans="1:12" ht="14.5" thickTop="1" x14ac:dyDescent="0.25">
      <c r="A130" s="74"/>
      <c r="B130" s="172"/>
      <c r="C130" s="172"/>
      <c r="D130" s="172"/>
      <c r="E130" s="172"/>
      <c r="F130" s="172"/>
      <c r="G130" s="172"/>
      <c r="H130" s="172"/>
      <c r="I130" s="172"/>
      <c r="J130" s="172"/>
      <c r="K130" s="173"/>
      <c r="L130" s="173"/>
    </row>
    <row r="131" spans="1:12" ht="14" x14ac:dyDescent="0.25">
      <c r="A131" s="74"/>
      <c r="B131" s="172"/>
      <c r="C131" s="172"/>
      <c r="D131" s="172"/>
      <c r="E131" s="172"/>
      <c r="F131" s="172"/>
      <c r="G131" s="172"/>
      <c r="H131" s="172"/>
      <c r="I131" s="172"/>
      <c r="J131" s="172"/>
      <c r="K131" s="173"/>
      <c r="L131" s="173"/>
    </row>
    <row r="132" spans="1:12" ht="14" x14ac:dyDescent="0.25">
      <c r="A132" s="74"/>
      <c r="B132" s="172"/>
      <c r="C132" s="172"/>
      <c r="D132" s="172"/>
      <c r="E132" s="172"/>
      <c r="F132" s="172"/>
      <c r="G132" s="172"/>
      <c r="H132" s="172"/>
      <c r="I132" s="172"/>
      <c r="J132" s="172"/>
      <c r="K132" s="173"/>
      <c r="L132" s="173"/>
    </row>
    <row r="133" spans="1:12" ht="14" x14ac:dyDescent="0.25">
      <c r="A133" s="74"/>
      <c r="B133" s="172"/>
      <c r="C133" s="172"/>
      <c r="D133" s="172"/>
      <c r="E133" s="172"/>
      <c r="F133" s="172"/>
      <c r="G133" s="172"/>
      <c r="H133" s="172"/>
      <c r="I133" s="172"/>
      <c r="J133" s="172"/>
      <c r="K133" s="173"/>
      <c r="L133" s="173"/>
    </row>
    <row r="134" spans="1:12" ht="14" x14ac:dyDescent="0.25">
      <c r="A134" s="74"/>
      <c r="B134" s="172"/>
      <c r="C134" s="172"/>
      <c r="D134" s="172"/>
      <c r="E134" s="172"/>
      <c r="F134" s="172"/>
      <c r="G134" s="172"/>
      <c r="H134" s="172"/>
      <c r="I134" s="172"/>
      <c r="J134" s="172"/>
      <c r="K134" s="173"/>
      <c r="L134" s="173"/>
    </row>
    <row r="135" spans="1:12" ht="14" x14ac:dyDescent="0.25">
      <c r="A135" s="74"/>
      <c r="B135" s="172"/>
      <c r="C135" s="172"/>
      <c r="D135" s="172"/>
      <c r="E135" s="172"/>
      <c r="F135" s="172"/>
      <c r="G135" s="172"/>
      <c r="H135" s="172"/>
      <c r="I135" s="172"/>
      <c r="J135" s="172"/>
      <c r="K135" s="173"/>
      <c r="L135" s="173"/>
    </row>
    <row r="136" spans="1:12" ht="14" x14ac:dyDescent="0.25">
      <c r="B136" s="174"/>
      <c r="C136" s="174"/>
      <c r="D136" s="174"/>
    </row>
    <row r="139" spans="1:12" x14ac:dyDescent="0.25">
      <c r="A139" s="79"/>
      <c r="K139" s="176"/>
      <c r="L139" s="176"/>
    </row>
    <row r="140" spans="1:12" x14ac:dyDescent="0.25">
      <c r="K140" s="176"/>
      <c r="L140" s="176"/>
    </row>
    <row r="141" spans="1:12" x14ac:dyDescent="0.25">
      <c r="A141" s="79"/>
      <c r="K141" s="176"/>
      <c r="L141" s="176"/>
    </row>
    <row r="142" spans="1:12" x14ac:dyDescent="0.25">
      <c r="K142" s="176"/>
      <c r="L142" s="176"/>
    </row>
    <row r="143" spans="1:12" x14ac:dyDescent="0.25">
      <c r="K143" s="176"/>
      <c r="L143" s="176"/>
    </row>
    <row r="144" spans="1:12" x14ac:dyDescent="0.25">
      <c r="K144" s="176"/>
      <c r="L144" s="176"/>
    </row>
    <row r="145" spans="11:12" x14ac:dyDescent="0.25">
      <c r="K145" s="176"/>
      <c r="L145" s="176"/>
    </row>
    <row r="146" spans="11:12" x14ac:dyDescent="0.25">
      <c r="K146" s="176"/>
      <c r="L146" s="176"/>
    </row>
    <row r="147" spans="11:12" x14ac:dyDescent="0.25">
      <c r="K147" s="176"/>
      <c r="L147" s="176"/>
    </row>
    <row r="148" spans="11:12" x14ac:dyDescent="0.25">
      <c r="K148" s="176"/>
      <c r="L148" s="176"/>
    </row>
    <row r="149" spans="11:12" x14ac:dyDescent="0.25">
      <c r="K149" s="176"/>
      <c r="L149" s="176"/>
    </row>
    <row r="150" spans="11:12" x14ac:dyDescent="0.25">
      <c r="K150" s="176"/>
      <c r="L150" s="176"/>
    </row>
    <row r="151" spans="11:12" x14ac:dyDescent="0.25">
      <c r="K151" s="176"/>
      <c r="L151" s="176"/>
    </row>
    <row r="152" spans="11:12" x14ac:dyDescent="0.25">
      <c r="K152" s="176"/>
      <c r="L152" s="176"/>
    </row>
    <row r="153" spans="11:12" x14ac:dyDescent="0.25">
      <c r="K153" s="176"/>
      <c r="L153" s="176"/>
    </row>
    <row r="154" spans="11:12" x14ac:dyDescent="0.25">
      <c r="K154" s="176"/>
      <c r="L154" s="176"/>
    </row>
    <row r="155" spans="11:12" x14ac:dyDescent="0.25">
      <c r="K155" s="176"/>
      <c r="L155" s="176"/>
    </row>
    <row r="156" spans="11:12" x14ac:dyDescent="0.25">
      <c r="K156" s="176"/>
      <c r="L156" s="176"/>
    </row>
    <row r="157" spans="11:12" x14ac:dyDescent="0.25">
      <c r="K157" s="176"/>
      <c r="L157" s="176"/>
    </row>
    <row r="158" spans="11:12" x14ac:dyDescent="0.25">
      <c r="K158" s="176"/>
      <c r="L158" s="176"/>
    </row>
    <row r="159" spans="11:12" x14ac:dyDescent="0.25">
      <c r="K159" s="176"/>
      <c r="L159" s="176"/>
    </row>
    <row r="160" spans="11:12" x14ac:dyDescent="0.25">
      <c r="K160" s="176"/>
      <c r="L160" s="176"/>
    </row>
    <row r="161" spans="11:12" x14ac:dyDescent="0.25">
      <c r="K161" s="176"/>
      <c r="L161" s="176"/>
    </row>
    <row r="162" spans="11:12" x14ac:dyDescent="0.25">
      <c r="K162" s="176"/>
      <c r="L162" s="176"/>
    </row>
    <row r="163" spans="11:12" x14ac:dyDescent="0.25">
      <c r="K163" s="176"/>
      <c r="L163" s="176"/>
    </row>
    <row r="164" spans="11:12" x14ac:dyDescent="0.25">
      <c r="K164" s="176"/>
      <c r="L164" s="176"/>
    </row>
    <row r="165" spans="11:12" x14ac:dyDescent="0.25">
      <c r="K165" s="176"/>
      <c r="L165" s="176"/>
    </row>
    <row r="166" spans="11:12" x14ac:dyDescent="0.25">
      <c r="K166" s="176"/>
      <c r="L166" s="176"/>
    </row>
    <row r="167" spans="11:12" x14ac:dyDescent="0.25">
      <c r="K167" s="176"/>
      <c r="L167" s="176"/>
    </row>
    <row r="168" spans="11:12" x14ac:dyDescent="0.25">
      <c r="K168" s="176"/>
      <c r="L168" s="176"/>
    </row>
    <row r="169" spans="11:12" x14ac:dyDescent="0.25">
      <c r="K169" s="176"/>
      <c r="L169" s="176"/>
    </row>
    <row r="170" spans="11:12" x14ac:dyDescent="0.25">
      <c r="K170" s="176"/>
      <c r="L170" s="176"/>
    </row>
    <row r="171" spans="11:12" x14ac:dyDescent="0.25">
      <c r="K171" s="176"/>
      <c r="L171" s="176"/>
    </row>
    <row r="172" spans="11:12" x14ac:dyDescent="0.25">
      <c r="K172" s="176"/>
      <c r="L172" s="176"/>
    </row>
    <row r="173" spans="11:12" x14ac:dyDescent="0.25">
      <c r="K173" s="176"/>
      <c r="L173" s="176"/>
    </row>
    <row r="174" spans="11:12" x14ac:dyDescent="0.25">
      <c r="K174" s="176"/>
      <c r="L174" s="176"/>
    </row>
    <row r="175" spans="11:12" x14ac:dyDescent="0.25">
      <c r="K175" s="176"/>
      <c r="L175" s="176"/>
    </row>
    <row r="176" spans="11:12" x14ac:dyDescent="0.25">
      <c r="K176" s="176"/>
      <c r="L176" s="176"/>
    </row>
    <row r="177" spans="11:12" x14ac:dyDescent="0.25">
      <c r="K177" s="176"/>
      <c r="L177" s="176"/>
    </row>
    <row r="178" spans="11:12" x14ac:dyDescent="0.25">
      <c r="K178" s="176"/>
      <c r="L178" s="176"/>
    </row>
    <row r="179" spans="11:12" x14ac:dyDescent="0.25">
      <c r="K179" s="176"/>
      <c r="L179" s="176"/>
    </row>
    <row r="180" spans="11:12" x14ac:dyDescent="0.25">
      <c r="K180" s="176"/>
      <c r="L180" s="176"/>
    </row>
    <row r="181" spans="11:12" x14ac:dyDescent="0.25">
      <c r="K181" s="176"/>
      <c r="L181" s="176"/>
    </row>
    <row r="182" spans="11:12" x14ac:dyDescent="0.25">
      <c r="K182" s="176"/>
      <c r="L182" s="176"/>
    </row>
    <row r="183" spans="11:12" x14ac:dyDescent="0.25">
      <c r="K183" s="176"/>
      <c r="L183" s="176"/>
    </row>
    <row r="184" spans="11:12" x14ac:dyDescent="0.25">
      <c r="K184" s="176"/>
      <c r="L184" s="176"/>
    </row>
    <row r="185" spans="11:12" x14ac:dyDescent="0.25">
      <c r="K185" s="176"/>
      <c r="L185" s="176"/>
    </row>
    <row r="186" spans="11:12" x14ac:dyDescent="0.25">
      <c r="K186" s="176"/>
      <c r="L186" s="176"/>
    </row>
    <row r="187" spans="11:12" x14ac:dyDescent="0.25">
      <c r="K187" s="176"/>
      <c r="L187" s="176"/>
    </row>
    <row r="188" spans="11:12" x14ac:dyDescent="0.25">
      <c r="K188" s="176"/>
      <c r="L188" s="176"/>
    </row>
    <row r="189" spans="11:12" x14ac:dyDescent="0.25">
      <c r="K189" s="176"/>
      <c r="L189" s="176"/>
    </row>
    <row r="190" spans="11:12" x14ac:dyDescent="0.25">
      <c r="K190" s="176"/>
      <c r="L190" s="176"/>
    </row>
    <row r="191" spans="11:12" x14ac:dyDescent="0.25">
      <c r="K191" s="176"/>
      <c r="L191" s="176"/>
    </row>
    <row r="192" spans="11:12" x14ac:dyDescent="0.25">
      <c r="K192" s="176"/>
      <c r="L192" s="176"/>
    </row>
    <row r="193" spans="11:12" x14ac:dyDescent="0.25">
      <c r="K193" s="176"/>
      <c r="L193" s="176"/>
    </row>
    <row r="194" spans="11:12" x14ac:dyDescent="0.25">
      <c r="K194" s="176"/>
      <c r="L194" s="176"/>
    </row>
    <row r="195" spans="11:12" x14ac:dyDescent="0.25">
      <c r="K195" s="176"/>
      <c r="L195" s="176"/>
    </row>
    <row r="196" spans="11:12" x14ac:dyDescent="0.25">
      <c r="K196" s="176"/>
      <c r="L196" s="176"/>
    </row>
    <row r="197" spans="11:12" x14ac:dyDescent="0.25">
      <c r="K197" s="176"/>
      <c r="L197" s="176"/>
    </row>
    <row r="198" spans="11:12" x14ac:dyDescent="0.25">
      <c r="K198" s="176"/>
      <c r="L198" s="176"/>
    </row>
    <row r="199" spans="11:12" x14ac:dyDescent="0.25">
      <c r="K199" s="176"/>
      <c r="L199" s="176"/>
    </row>
    <row r="200" spans="11:12" x14ac:dyDescent="0.25">
      <c r="K200" s="176"/>
      <c r="L200" s="176"/>
    </row>
    <row r="201" spans="11:12" x14ac:dyDescent="0.25">
      <c r="K201" s="176"/>
      <c r="L201" s="176"/>
    </row>
    <row r="202" spans="11:12" x14ac:dyDescent="0.25">
      <c r="K202" s="176"/>
      <c r="L202" s="176"/>
    </row>
    <row r="203" spans="11:12" x14ac:dyDescent="0.25">
      <c r="K203" s="176"/>
      <c r="L203" s="176"/>
    </row>
    <row r="204" spans="11:12" x14ac:dyDescent="0.25">
      <c r="K204" s="176"/>
      <c r="L204" s="176"/>
    </row>
    <row r="205" spans="11:12" x14ac:dyDescent="0.25">
      <c r="K205" s="176"/>
      <c r="L205" s="176"/>
    </row>
    <row r="206" spans="11:12" x14ac:dyDescent="0.25">
      <c r="K206" s="176"/>
      <c r="L206" s="176"/>
    </row>
    <row r="207" spans="11:12" x14ac:dyDescent="0.25">
      <c r="K207" s="176"/>
      <c r="L207" s="176"/>
    </row>
    <row r="208" spans="11:12" x14ac:dyDescent="0.25">
      <c r="K208" s="176"/>
      <c r="L208" s="176"/>
    </row>
    <row r="209" spans="11:12" x14ac:dyDescent="0.25">
      <c r="K209" s="176"/>
      <c r="L209" s="176"/>
    </row>
    <row r="210" spans="11:12" x14ac:dyDescent="0.25">
      <c r="K210" s="176"/>
      <c r="L210" s="176"/>
    </row>
    <row r="211" spans="11:12" x14ac:dyDescent="0.25">
      <c r="K211" s="176"/>
      <c r="L211" s="176"/>
    </row>
    <row r="212" spans="11:12" x14ac:dyDescent="0.25">
      <c r="K212" s="176"/>
      <c r="L212" s="176"/>
    </row>
    <row r="213" spans="11:12" x14ac:dyDescent="0.25">
      <c r="K213" s="176"/>
      <c r="L213" s="176"/>
    </row>
    <row r="214" spans="11:12" x14ac:dyDescent="0.25">
      <c r="K214" s="176"/>
      <c r="L214" s="176"/>
    </row>
    <row r="215" spans="11:12" x14ac:dyDescent="0.25">
      <c r="K215" s="176"/>
      <c r="L215" s="176"/>
    </row>
    <row r="216" spans="11:12" x14ac:dyDescent="0.25">
      <c r="K216" s="176"/>
      <c r="L216" s="176"/>
    </row>
    <row r="217" spans="11:12" x14ac:dyDescent="0.25">
      <c r="K217" s="176"/>
      <c r="L217" s="176"/>
    </row>
    <row r="218" spans="11:12" x14ac:dyDescent="0.25">
      <c r="K218" s="176"/>
      <c r="L218" s="176"/>
    </row>
    <row r="219" spans="11:12" x14ac:dyDescent="0.25">
      <c r="K219" s="176"/>
      <c r="L219" s="176"/>
    </row>
    <row r="220" spans="11:12" x14ac:dyDescent="0.25">
      <c r="K220" s="176"/>
      <c r="L220" s="176"/>
    </row>
    <row r="221" spans="11:12" x14ac:dyDescent="0.25">
      <c r="K221" s="176"/>
      <c r="L221" s="176"/>
    </row>
    <row r="222" spans="11:12" x14ac:dyDescent="0.25">
      <c r="K222" s="176"/>
      <c r="L222" s="176"/>
    </row>
    <row r="223" spans="11:12" x14ac:dyDescent="0.25">
      <c r="K223" s="176"/>
      <c r="L223" s="176"/>
    </row>
    <row r="224" spans="11:12" x14ac:dyDescent="0.25">
      <c r="K224" s="176"/>
      <c r="L224" s="176"/>
    </row>
    <row r="225" spans="11:12" x14ac:dyDescent="0.25">
      <c r="K225" s="176"/>
      <c r="L225" s="176"/>
    </row>
    <row r="226" spans="11:12" x14ac:dyDescent="0.25">
      <c r="K226" s="176"/>
      <c r="L226" s="176"/>
    </row>
    <row r="227" spans="11:12" x14ac:dyDescent="0.25">
      <c r="K227" s="176"/>
      <c r="L227" s="176"/>
    </row>
    <row r="228" spans="11:12" x14ac:dyDescent="0.25">
      <c r="K228" s="176"/>
      <c r="L228" s="176"/>
    </row>
    <row r="229" spans="11:12" x14ac:dyDescent="0.25">
      <c r="K229" s="176"/>
      <c r="L229" s="176"/>
    </row>
    <row r="230" spans="11:12" x14ac:dyDescent="0.25">
      <c r="K230" s="176"/>
      <c r="L230" s="176"/>
    </row>
    <row r="231" spans="11:12" x14ac:dyDescent="0.25">
      <c r="K231" s="176"/>
      <c r="L231" s="176"/>
    </row>
    <row r="232" spans="11:12" x14ac:dyDescent="0.25">
      <c r="K232" s="176"/>
      <c r="L232" s="176"/>
    </row>
    <row r="233" spans="11:12" x14ac:dyDescent="0.25">
      <c r="K233" s="176"/>
      <c r="L233" s="176"/>
    </row>
    <row r="234" spans="11:12" x14ac:dyDescent="0.25">
      <c r="K234" s="176"/>
      <c r="L234" s="176"/>
    </row>
    <row r="235" spans="11:12" x14ac:dyDescent="0.25">
      <c r="K235" s="176"/>
      <c r="L235" s="176"/>
    </row>
    <row r="236" spans="11:12" x14ac:dyDescent="0.25">
      <c r="K236" s="176"/>
      <c r="L236" s="176"/>
    </row>
    <row r="237" spans="11:12" x14ac:dyDescent="0.25">
      <c r="K237" s="176"/>
      <c r="L237" s="176"/>
    </row>
    <row r="238" spans="11:12" x14ac:dyDescent="0.25">
      <c r="K238" s="176"/>
      <c r="L238" s="176"/>
    </row>
    <row r="239" spans="11:12" x14ac:dyDescent="0.25">
      <c r="K239" s="176"/>
      <c r="L239" s="176"/>
    </row>
    <row r="240" spans="11:12" x14ac:dyDescent="0.25">
      <c r="K240" s="176"/>
      <c r="L240" s="176"/>
    </row>
    <row r="241" spans="11:12" x14ac:dyDescent="0.25">
      <c r="K241" s="176"/>
      <c r="L241" s="176"/>
    </row>
    <row r="242" spans="11:12" x14ac:dyDescent="0.25">
      <c r="K242" s="176"/>
      <c r="L242" s="176"/>
    </row>
    <row r="243" spans="11:12" x14ac:dyDescent="0.25">
      <c r="K243" s="176"/>
      <c r="L243" s="176"/>
    </row>
    <row r="244" spans="11:12" x14ac:dyDescent="0.25">
      <c r="K244" s="176"/>
      <c r="L244" s="176"/>
    </row>
    <row r="245" spans="11:12" x14ac:dyDescent="0.25">
      <c r="K245" s="176"/>
      <c r="L245" s="176"/>
    </row>
    <row r="246" spans="11:12" x14ac:dyDescent="0.25">
      <c r="K246" s="176"/>
      <c r="L246" s="176"/>
    </row>
    <row r="247" spans="11:12" x14ac:dyDescent="0.25">
      <c r="K247" s="176"/>
      <c r="L247" s="176"/>
    </row>
    <row r="248" spans="11:12" x14ac:dyDescent="0.25">
      <c r="K248" s="176"/>
      <c r="L248" s="176"/>
    </row>
    <row r="249" spans="11:12" x14ac:dyDescent="0.25">
      <c r="K249" s="176"/>
      <c r="L249" s="176"/>
    </row>
    <row r="250" spans="11:12" x14ac:dyDescent="0.25">
      <c r="K250" s="176"/>
      <c r="L250" s="176"/>
    </row>
    <row r="251" spans="11:12" x14ac:dyDescent="0.25">
      <c r="K251" s="176"/>
      <c r="L251" s="176"/>
    </row>
    <row r="252" spans="11:12" x14ac:dyDescent="0.25">
      <c r="K252" s="176"/>
      <c r="L252" s="176"/>
    </row>
    <row r="253" spans="11:12" x14ac:dyDescent="0.25">
      <c r="K253" s="176"/>
      <c r="L253" s="176"/>
    </row>
    <row r="254" spans="11:12" x14ac:dyDescent="0.25">
      <c r="K254" s="176"/>
      <c r="L254" s="176"/>
    </row>
    <row r="255" spans="11:12" x14ac:dyDescent="0.25">
      <c r="K255" s="176"/>
      <c r="L255" s="176"/>
    </row>
    <row r="256" spans="11:12" x14ac:dyDescent="0.25">
      <c r="K256" s="176"/>
      <c r="L256" s="176"/>
    </row>
    <row r="257" spans="11:12" x14ac:dyDescent="0.25">
      <c r="K257" s="176"/>
      <c r="L257" s="176"/>
    </row>
    <row r="258" spans="11:12" x14ac:dyDescent="0.25">
      <c r="K258" s="176"/>
      <c r="L258" s="176"/>
    </row>
    <row r="259" spans="11:12" x14ac:dyDescent="0.25">
      <c r="K259" s="176"/>
      <c r="L259" s="176"/>
    </row>
    <row r="260" spans="11:12" x14ac:dyDescent="0.25">
      <c r="K260" s="176"/>
      <c r="L260" s="176"/>
    </row>
    <row r="261" spans="11:12" x14ac:dyDescent="0.25">
      <c r="K261" s="176"/>
      <c r="L261" s="176"/>
    </row>
    <row r="262" spans="11:12" x14ac:dyDescent="0.25">
      <c r="K262" s="176"/>
      <c r="L262" s="176"/>
    </row>
    <row r="263" spans="11:12" x14ac:dyDescent="0.25">
      <c r="K263" s="176"/>
      <c r="L263" s="176"/>
    </row>
    <row r="264" spans="11:12" x14ac:dyDescent="0.25">
      <c r="K264" s="176"/>
      <c r="L264" s="176"/>
    </row>
    <row r="265" spans="11:12" x14ac:dyDescent="0.25">
      <c r="K265" s="176"/>
      <c r="L265" s="176"/>
    </row>
    <row r="266" spans="11:12" x14ac:dyDescent="0.25">
      <c r="K266" s="176"/>
      <c r="L266" s="176"/>
    </row>
    <row r="267" spans="11:12" x14ac:dyDescent="0.25">
      <c r="K267" s="176"/>
      <c r="L267" s="176"/>
    </row>
    <row r="268" spans="11:12" x14ac:dyDescent="0.25">
      <c r="K268" s="176"/>
      <c r="L268" s="176"/>
    </row>
    <row r="269" spans="11:12" x14ac:dyDescent="0.25">
      <c r="K269" s="176"/>
      <c r="L269" s="176"/>
    </row>
    <row r="270" spans="11:12" x14ac:dyDescent="0.25">
      <c r="K270" s="176"/>
      <c r="L270" s="176"/>
    </row>
    <row r="271" spans="11:12" x14ac:dyDescent="0.25">
      <c r="K271" s="176"/>
      <c r="L271" s="176"/>
    </row>
    <row r="272" spans="11:12" x14ac:dyDescent="0.25">
      <c r="K272" s="176"/>
      <c r="L272" s="176"/>
    </row>
    <row r="273" spans="11:12" x14ac:dyDescent="0.25">
      <c r="K273" s="176"/>
      <c r="L273" s="176"/>
    </row>
    <row r="274" spans="11:12" x14ac:dyDescent="0.25">
      <c r="K274" s="176"/>
      <c r="L274" s="176"/>
    </row>
    <row r="275" spans="11:12" x14ac:dyDescent="0.25">
      <c r="K275" s="176"/>
      <c r="L275" s="176"/>
    </row>
    <row r="276" spans="11:12" x14ac:dyDescent="0.25">
      <c r="K276" s="176"/>
      <c r="L276" s="176"/>
    </row>
    <row r="277" spans="11:12" x14ac:dyDescent="0.25">
      <c r="K277" s="176"/>
      <c r="L277" s="176"/>
    </row>
    <row r="278" spans="11:12" x14ac:dyDescent="0.25">
      <c r="K278" s="176"/>
      <c r="L278" s="176"/>
    </row>
    <row r="279" spans="11:12" x14ac:dyDescent="0.25">
      <c r="K279" s="176"/>
      <c r="L279" s="176"/>
    </row>
    <row r="280" spans="11:12" x14ac:dyDescent="0.25">
      <c r="K280" s="176"/>
      <c r="L280" s="176"/>
    </row>
    <row r="281" spans="11:12" x14ac:dyDescent="0.25">
      <c r="K281" s="176"/>
      <c r="L281" s="176"/>
    </row>
    <row r="282" spans="11:12" x14ac:dyDescent="0.25">
      <c r="K282" s="176"/>
      <c r="L282" s="176"/>
    </row>
    <row r="283" spans="11:12" x14ac:dyDescent="0.25">
      <c r="K283" s="176"/>
      <c r="L283" s="176"/>
    </row>
    <row r="284" spans="11:12" x14ac:dyDescent="0.25">
      <c r="K284" s="176"/>
      <c r="L284" s="176"/>
    </row>
    <row r="285" spans="11:12" x14ac:dyDescent="0.25">
      <c r="K285" s="176"/>
      <c r="L285" s="176"/>
    </row>
    <row r="286" spans="11:12" x14ac:dyDescent="0.25">
      <c r="K286" s="176"/>
      <c r="L286" s="176"/>
    </row>
    <row r="287" spans="11:12" x14ac:dyDescent="0.25">
      <c r="K287" s="176"/>
      <c r="L287" s="176"/>
    </row>
    <row r="288" spans="11:12" x14ac:dyDescent="0.25">
      <c r="K288" s="176"/>
      <c r="L288" s="176"/>
    </row>
    <row r="289" spans="11:12" x14ac:dyDescent="0.25">
      <c r="K289" s="176"/>
      <c r="L289" s="176"/>
    </row>
    <row r="290" spans="11:12" x14ac:dyDescent="0.25">
      <c r="K290" s="176"/>
      <c r="L290" s="176"/>
    </row>
    <row r="291" spans="11:12" x14ac:dyDescent="0.25">
      <c r="K291" s="176"/>
      <c r="L291" s="176"/>
    </row>
    <row r="292" spans="11:12" x14ac:dyDescent="0.25">
      <c r="K292" s="176"/>
      <c r="L292" s="176"/>
    </row>
    <row r="293" spans="11:12" x14ac:dyDescent="0.25">
      <c r="K293" s="176"/>
      <c r="L293" s="176"/>
    </row>
    <row r="294" spans="11:12" x14ac:dyDescent="0.25">
      <c r="K294" s="176"/>
      <c r="L294" s="176"/>
    </row>
    <row r="295" spans="11:12" x14ac:dyDescent="0.25">
      <c r="K295" s="176"/>
      <c r="L295" s="176"/>
    </row>
    <row r="296" spans="11:12" x14ac:dyDescent="0.25">
      <c r="K296" s="176"/>
      <c r="L296" s="176"/>
    </row>
    <row r="297" spans="11:12" x14ac:dyDescent="0.25">
      <c r="K297" s="176"/>
      <c r="L297" s="176"/>
    </row>
    <row r="298" spans="11:12" x14ac:dyDescent="0.25">
      <c r="K298" s="176"/>
      <c r="L298" s="176"/>
    </row>
    <row r="299" spans="11:12" x14ac:dyDescent="0.25">
      <c r="K299" s="176"/>
      <c r="L299" s="176"/>
    </row>
    <row r="300" spans="11:12" x14ac:dyDescent="0.25">
      <c r="K300" s="176"/>
      <c r="L300" s="176"/>
    </row>
    <row r="301" spans="11:12" x14ac:dyDescent="0.25">
      <c r="K301" s="176"/>
      <c r="L301" s="176"/>
    </row>
    <row r="302" spans="11:12" x14ac:dyDescent="0.25">
      <c r="K302" s="176"/>
      <c r="L302" s="176"/>
    </row>
    <row r="303" spans="11:12" x14ac:dyDescent="0.25">
      <c r="K303" s="176"/>
      <c r="L303" s="176"/>
    </row>
    <row r="304" spans="11:12" x14ac:dyDescent="0.25">
      <c r="K304" s="176"/>
      <c r="L304" s="176"/>
    </row>
    <row r="305" spans="11:12" x14ac:dyDescent="0.25">
      <c r="K305" s="176"/>
      <c r="L305" s="176"/>
    </row>
    <row r="306" spans="11:12" x14ac:dyDescent="0.25">
      <c r="K306" s="176"/>
      <c r="L306" s="176"/>
    </row>
    <row r="307" spans="11:12" x14ac:dyDescent="0.25">
      <c r="K307" s="176"/>
      <c r="L307" s="176"/>
    </row>
    <row r="308" spans="11:12" x14ac:dyDescent="0.25">
      <c r="K308" s="176"/>
      <c r="L308" s="176"/>
    </row>
    <row r="309" spans="11:12" x14ac:dyDescent="0.25">
      <c r="K309" s="176"/>
      <c r="L309" s="176"/>
    </row>
    <row r="310" spans="11:12" x14ac:dyDescent="0.25">
      <c r="K310" s="176"/>
      <c r="L310" s="176"/>
    </row>
    <row r="311" spans="11:12" x14ac:dyDescent="0.25">
      <c r="K311" s="176"/>
      <c r="L311" s="176"/>
    </row>
    <row r="312" spans="11:12" x14ac:dyDescent="0.25">
      <c r="K312" s="176"/>
      <c r="L312" s="176"/>
    </row>
    <row r="313" spans="11:12" x14ac:dyDescent="0.25">
      <c r="K313" s="176"/>
      <c r="L313" s="176"/>
    </row>
    <row r="314" spans="11:12" x14ac:dyDescent="0.25">
      <c r="K314" s="176"/>
      <c r="L314" s="176"/>
    </row>
    <row r="315" spans="11:12" x14ac:dyDescent="0.25">
      <c r="K315" s="176"/>
      <c r="L315" s="176"/>
    </row>
    <row r="316" spans="11:12" x14ac:dyDescent="0.25">
      <c r="K316" s="176"/>
      <c r="L316" s="176"/>
    </row>
    <row r="317" spans="11:12" x14ac:dyDescent="0.25">
      <c r="K317" s="176"/>
      <c r="L317" s="176"/>
    </row>
    <row r="318" spans="11:12" x14ac:dyDescent="0.25">
      <c r="K318" s="176"/>
      <c r="L318" s="176"/>
    </row>
    <row r="319" spans="11:12" x14ac:dyDescent="0.25">
      <c r="K319" s="176"/>
      <c r="L319" s="176"/>
    </row>
    <row r="320" spans="11:12" x14ac:dyDescent="0.25">
      <c r="K320" s="176"/>
      <c r="L320" s="176"/>
    </row>
    <row r="321" spans="11:12" x14ac:dyDescent="0.25">
      <c r="K321" s="176"/>
      <c r="L321" s="176"/>
    </row>
    <row r="322" spans="11:12" x14ac:dyDescent="0.25">
      <c r="K322" s="176"/>
      <c r="L322" s="176"/>
    </row>
    <row r="323" spans="11:12" x14ac:dyDescent="0.25">
      <c r="K323" s="176"/>
      <c r="L323" s="176"/>
    </row>
    <row r="324" spans="11:12" x14ac:dyDescent="0.25">
      <c r="K324" s="176"/>
      <c r="L324" s="176"/>
    </row>
    <row r="325" spans="11:12" x14ac:dyDescent="0.25">
      <c r="K325" s="176"/>
      <c r="L325" s="176"/>
    </row>
    <row r="326" spans="11:12" x14ac:dyDescent="0.25">
      <c r="K326" s="176"/>
      <c r="L326" s="176"/>
    </row>
    <row r="327" spans="11:12" x14ac:dyDescent="0.25">
      <c r="K327" s="176"/>
      <c r="L327" s="176"/>
    </row>
    <row r="328" spans="11:12" x14ac:dyDescent="0.25">
      <c r="K328" s="176"/>
      <c r="L328" s="176"/>
    </row>
    <row r="329" spans="11:12" x14ac:dyDescent="0.25">
      <c r="K329" s="176"/>
      <c r="L329" s="176"/>
    </row>
    <row r="330" spans="11:12" x14ac:dyDescent="0.25">
      <c r="K330" s="176"/>
      <c r="L330" s="176"/>
    </row>
    <row r="331" spans="11:12" x14ac:dyDescent="0.25">
      <c r="K331" s="176"/>
      <c r="L331" s="176"/>
    </row>
    <row r="332" spans="11:12" x14ac:dyDescent="0.25">
      <c r="K332" s="176"/>
      <c r="L332" s="176"/>
    </row>
    <row r="333" spans="11:12" x14ac:dyDescent="0.25">
      <c r="K333" s="176"/>
      <c r="L333" s="176"/>
    </row>
    <row r="334" spans="11:12" x14ac:dyDescent="0.25">
      <c r="K334" s="176"/>
      <c r="L334" s="176"/>
    </row>
    <row r="335" spans="11:12" x14ac:dyDescent="0.25">
      <c r="K335" s="176"/>
      <c r="L335" s="176"/>
    </row>
    <row r="336" spans="11:12" x14ac:dyDescent="0.25">
      <c r="K336" s="176"/>
      <c r="L336" s="176"/>
    </row>
    <row r="337" spans="11:12" x14ac:dyDescent="0.25">
      <c r="K337" s="176"/>
      <c r="L337" s="176"/>
    </row>
    <row r="338" spans="11:12" x14ac:dyDescent="0.25">
      <c r="K338" s="176"/>
      <c r="L338" s="176"/>
    </row>
    <row r="339" spans="11:12" x14ac:dyDescent="0.25">
      <c r="K339" s="176"/>
      <c r="L339" s="176"/>
    </row>
    <row r="340" spans="11:12" x14ac:dyDescent="0.25">
      <c r="K340" s="176"/>
      <c r="L340" s="176"/>
    </row>
    <row r="341" spans="11:12" x14ac:dyDescent="0.25">
      <c r="K341" s="176"/>
      <c r="L341" s="176"/>
    </row>
    <row r="342" spans="11:12" x14ac:dyDescent="0.25">
      <c r="K342" s="176"/>
      <c r="L342" s="176"/>
    </row>
    <row r="343" spans="11:12" x14ac:dyDescent="0.25">
      <c r="K343" s="176"/>
      <c r="L343" s="176"/>
    </row>
    <row r="344" spans="11:12" x14ac:dyDescent="0.25">
      <c r="K344" s="176"/>
      <c r="L344" s="176"/>
    </row>
    <row r="345" spans="11:12" x14ac:dyDescent="0.25">
      <c r="K345" s="176"/>
      <c r="L345" s="176"/>
    </row>
    <row r="346" spans="11:12" x14ac:dyDescent="0.25">
      <c r="K346" s="176"/>
      <c r="L346" s="176"/>
    </row>
    <row r="347" spans="11:12" x14ac:dyDescent="0.25">
      <c r="K347" s="176"/>
      <c r="L347" s="176"/>
    </row>
    <row r="348" spans="11:12" x14ac:dyDescent="0.25">
      <c r="K348" s="176"/>
      <c r="L348" s="176"/>
    </row>
    <row r="349" spans="11:12" x14ac:dyDescent="0.25">
      <c r="K349" s="176"/>
      <c r="L349" s="176"/>
    </row>
    <row r="350" spans="11:12" x14ac:dyDescent="0.25">
      <c r="K350" s="176"/>
      <c r="L350" s="176"/>
    </row>
    <row r="351" spans="11:12" x14ac:dyDescent="0.25">
      <c r="K351" s="176"/>
      <c r="L351" s="176"/>
    </row>
    <row r="352" spans="11:12" x14ac:dyDescent="0.25">
      <c r="K352" s="176"/>
      <c r="L352" s="176"/>
    </row>
    <row r="353" spans="11:12" x14ac:dyDescent="0.25">
      <c r="K353" s="176"/>
      <c r="L353" s="176"/>
    </row>
    <row r="354" spans="11:12" x14ac:dyDescent="0.25">
      <c r="K354" s="176"/>
      <c r="L354" s="176"/>
    </row>
    <row r="355" spans="11:12" x14ac:dyDescent="0.25">
      <c r="K355" s="176"/>
      <c r="L355" s="176"/>
    </row>
    <row r="356" spans="11:12" x14ac:dyDescent="0.25">
      <c r="K356" s="176"/>
      <c r="L356" s="176"/>
    </row>
    <row r="357" spans="11:12" x14ac:dyDescent="0.25">
      <c r="K357" s="176"/>
      <c r="L357" s="176"/>
    </row>
    <row r="358" spans="11:12" x14ac:dyDescent="0.25">
      <c r="K358" s="176"/>
      <c r="L358" s="176"/>
    </row>
    <row r="359" spans="11:12" x14ac:dyDescent="0.25">
      <c r="K359" s="176"/>
      <c r="L359" s="176"/>
    </row>
    <row r="360" spans="11:12" x14ac:dyDescent="0.25">
      <c r="K360" s="176"/>
      <c r="L360" s="176"/>
    </row>
    <row r="361" spans="11:12" x14ac:dyDescent="0.25">
      <c r="K361" s="176"/>
      <c r="L361" s="176"/>
    </row>
    <row r="362" spans="11:12" x14ac:dyDescent="0.25">
      <c r="K362" s="176"/>
      <c r="L362" s="176"/>
    </row>
    <row r="363" spans="11:12" x14ac:dyDescent="0.25">
      <c r="K363" s="176"/>
      <c r="L363" s="176"/>
    </row>
    <row r="364" spans="11:12" x14ac:dyDescent="0.25">
      <c r="K364" s="176"/>
      <c r="L364" s="176"/>
    </row>
    <row r="365" spans="11:12" x14ac:dyDescent="0.25">
      <c r="K365" s="176"/>
      <c r="L365" s="176"/>
    </row>
    <row r="366" spans="11:12" x14ac:dyDescent="0.25">
      <c r="K366" s="176"/>
      <c r="L366" s="176"/>
    </row>
    <row r="367" spans="11:12" x14ac:dyDescent="0.25">
      <c r="K367" s="176"/>
      <c r="L367" s="176"/>
    </row>
    <row r="368" spans="11:12" x14ac:dyDescent="0.25">
      <c r="K368" s="176"/>
      <c r="L368" s="176"/>
    </row>
    <row r="369" spans="11:12" x14ac:dyDescent="0.25">
      <c r="K369" s="176"/>
      <c r="L369" s="176"/>
    </row>
    <row r="370" spans="11:12" x14ac:dyDescent="0.25">
      <c r="K370" s="176"/>
      <c r="L370" s="176"/>
    </row>
    <row r="371" spans="11:12" x14ac:dyDescent="0.25">
      <c r="K371" s="176"/>
      <c r="L371" s="176"/>
    </row>
    <row r="372" spans="11:12" x14ac:dyDescent="0.25">
      <c r="K372" s="176"/>
      <c r="L372" s="176"/>
    </row>
    <row r="373" spans="11:12" x14ac:dyDescent="0.25">
      <c r="K373" s="176"/>
      <c r="L373" s="176"/>
    </row>
    <row r="374" spans="11:12" x14ac:dyDescent="0.25">
      <c r="K374" s="176"/>
      <c r="L374" s="176"/>
    </row>
    <row r="375" spans="11:12" x14ac:dyDescent="0.25">
      <c r="K375" s="176"/>
      <c r="L375" s="176"/>
    </row>
    <row r="376" spans="11:12" x14ac:dyDescent="0.25">
      <c r="K376" s="176"/>
      <c r="L376" s="176"/>
    </row>
    <row r="377" spans="11:12" x14ac:dyDescent="0.25">
      <c r="K377" s="176"/>
      <c r="L377" s="176"/>
    </row>
    <row r="378" spans="11:12" x14ac:dyDescent="0.25">
      <c r="K378" s="176"/>
      <c r="L378" s="176"/>
    </row>
    <row r="379" spans="11:12" x14ac:dyDescent="0.25">
      <c r="K379" s="176"/>
      <c r="L379" s="176"/>
    </row>
    <row r="380" spans="11:12" x14ac:dyDescent="0.25">
      <c r="K380" s="176"/>
      <c r="L380" s="176"/>
    </row>
    <row r="381" spans="11:12" x14ac:dyDescent="0.25">
      <c r="K381" s="176"/>
      <c r="L381" s="176"/>
    </row>
    <row r="382" spans="11:12" x14ac:dyDescent="0.25">
      <c r="K382" s="176"/>
      <c r="L382" s="176"/>
    </row>
    <row r="383" spans="11:12" x14ac:dyDescent="0.25">
      <c r="K383" s="176"/>
      <c r="L383" s="176"/>
    </row>
    <row r="384" spans="11:12" x14ac:dyDescent="0.25">
      <c r="K384" s="176"/>
      <c r="L384" s="176"/>
    </row>
    <row r="385" spans="11:12" x14ac:dyDescent="0.25">
      <c r="K385" s="176"/>
      <c r="L385" s="176"/>
    </row>
    <row r="386" spans="11:12" x14ac:dyDescent="0.25">
      <c r="K386" s="176"/>
      <c r="L386" s="176"/>
    </row>
    <row r="387" spans="11:12" x14ac:dyDescent="0.25">
      <c r="K387" s="176"/>
      <c r="L387" s="176"/>
    </row>
    <row r="388" spans="11:12" x14ac:dyDescent="0.25">
      <c r="K388" s="176"/>
      <c r="L388" s="176"/>
    </row>
    <row r="389" spans="11:12" x14ac:dyDescent="0.25">
      <c r="K389" s="176"/>
      <c r="L389" s="176"/>
    </row>
    <row r="390" spans="11:12" x14ac:dyDescent="0.25">
      <c r="K390" s="176"/>
      <c r="L390" s="176"/>
    </row>
    <row r="391" spans="11:12" x14ac:dyDescent="0.25">
      <c r="K391" s="176"/>
      <c r="L391" s="176"/>
    </row>
    <row r="392" spans="11:12" x14ac:dyDescent="0.25">
      <c r="K392" s="176"/>
      <c r="L392" s="176"/>
    </row>
    <row r="393" spans="11:12" x14ac:dyDescent="0.25">
      <c r="K393" s="176"/>
      <c r="L393" s="176"/>
    </row>
    <row r="394" spans="11:12" x14ac:dyDescent="0.25">
      <c r="K394" s="176"/>
      <c r="L394" s="176"/>
    </row>
    <row r="395" spans="11:12" x14ac:dyDescent="0.25">
      <c r="K395" s="176"/>
      <c r="L395" s="176"/>
    </row>
    <row r="396" spans="11:12" x14ac:dyDescent="0.25">
      <c r="K396" s="176"/>
      <c r="L396" s="176"/>
    </row>
    <row r="397" spans="11:12" x14ac:dyDescent="0.25">
      <c r="K397" s="176"/>
      <c r="L397" s="176"/>
    </row>
    <row r="398" spans="11:12" x14ac:dyDescent="0.25">
      <c r="K398" s="176"/>
      <c r="L398" s="176"/>
    </row>
    <row r="399" spans="11:12" x14ac:dyDescent="0.25">
      <c r="K399" s="176"/>
      <c r="L399" s="176"/>
    </row>
    <row r="400" spans="11:12" x14ac:dyDescent="0.25">
      <c r="K400" s="176"/>
      <c r="L400" s="176"/>
    </row>
    <row r="401" spans="11:12" x14ac:dyDescent="0.25">
      <c r="K401" s="176"/>
      <c r="L401" s="176"/>
    </row>
    <row r="402" spans="11:12" x14ac:dyDescent="0.25">
      <c r="K402" s="176"/>
      <c r="L402" s="176"/>
    </row>
    <row r="403" spans="11:12" x14ac:dyDescent="0.25">
      <c r="K403" s="176"/>
      <c r="L403" s="176"/>
    </row>
    <row r="404" spans="11:12" x14ac:dyDescent="0.25">
      <c r="K404" s="176"/>
      <c r="L404" s="176"/>
    </row>
    <row r="405" spans="11:12" x14ac:dyDescent="0.25">
      <c r="K405" s="176"/>
      <c r="L405" s="176"/>
    </row>
    <row r="406" spans="11:12" x14ac:dyDescent="0.25">
      <c r="K406" s="176"/>
      <c r="L406" s="176"/>
    </row>
    <row r="407" spans="11:12" x14ac:dyDescent="0.25">
      <c r="K407" s="176"/>
      <c r="L407" s="176"/>
    </row>
    <row r="408" spans="11:12" x14ac:dyDescent="0.25">
      <c r="K408" s="176"/>
      <c r="L408" s="176"/>
    </row>
    <row r="410" spans="11:12" x14ac:dyDescent="0.25">
      <c r="K410" s="176"/>
      <c r="L410" s="176"/>
    </row>
    <row r="411" spans="11:12" x14ac:dyDescent="0.25">
      <c r="K411" s="176"/>
      <c r="L411" s="176"/>
    </row>
  </sheetData>
  <sheetProtection sheet="1" objects="1" scenarios="1"/>
  <mergeCells count="9">
    <mergeCell ref="B2:G2"/>
    <mergeCell ref="B1:G1"/>
    <mergeCell ref="K1:L4"/>
    <mergeCell ref="E4:G4"/>
    <mergeCell ref="E3:G3"/>
    <mergeCell ref="B4:D4"/>
    <mergeCell ref="B3:D3"/>
    <mergeCell ref="J1:J4"/>
    <mergeCell ref="H1:I4"/>
  </mergeCells>
  <phoneticPr fontId="0" type="noConversion"/>
  <printOptions horizontalCentered="1"/>
  <pageMargins left="0.5" right="0.5" top="0.75" bottom="1" header="0.5" footer="0.4"/>
  <pageSetup scale="90" orientation="landscape" horizontalDpi="1200" verticalDpi="1200" r:id="rId1"/>
  <headerFooter>
    <oddHeader>&amp;C&amp;"Arial,Bold"MCP Numerical Standards Derivation</oddHeader>
    <oddFooter>&amp;L&amp;8MassDEP&amp;C&amp;8 2024&amp;R&amp;8Workbook: &amp;F
Sheet: &amp;A
Page &amp;P of &amp;N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93"/>
  <sheetViews>
    <sheetView showGridLines="0" zoomScaleNormal="100" workbookViewId="0">
      <selection sqref="A1:B1"/>
    </sheetView>
  </sheetViews>
  <sheetFormatPr defaultColWidth="9.1796875" defaultRowHeight="10" x14ac:dyDescent="0.2"/>
  <cols>
    <col min="1" max="1" width="19.81640625" style="3" customWidth="1"/>
    <col min="2" max="2" width="9.1796875" style="3" bestFit="1" customWidth="1"/>
    <col min="3" max="3" width="9.81640625" style="3" bestFit="1" customWidth="1"/>
    <col min="4" max="4" width="7.54296875" style="3" bestFit="1" customWidth="1"/>
    <col min="5" max="6" width="8.1796875" style="3" bestFit="1" customWidth="1"/>
    <col min="7" max="7" width="7" style="3" bestFit="1" customWidth="1"/>
    <col min="8" max="9" width="7.81640625" style="3" bestFit="1" customWidth="1"/>
    <col min="10" max="11" width="14.81640625" style="3" bestFit="1" customWidth="1"/>
    <col min="12" max="12" width="11.453125" style="3" customWidth="1"/>
    <col min="13" max="13" width="5.81640625" style="3" bestFit="1" customWidth="1"/>
    <col min="14" max="14" width="11" style="3" bestFit="1" customWidth="1"/>
    <col min="15" max="15" width="14.81640625" style="3" bestFit="1" customWidth="1"/>
    <col min="16" max="16" width="6.81640625" style="3" bestFit="1" customWidth="1"/>
    <col min="17" max="17" width="7.54296875" style="3" bestFit="1" customWidth="1"/>
    <col min="18" max="18" width="8.54296875" style="3" bestFit="1" customWidth="1"/>
    <col min="19" max="19" width="7.54296875" style="3" bestFit="1" customWidth="1"/>
    <col min="20" max="20" width="9.453125" style="3" bestFit="1" customWidth="1"/>
    <col min="21" max="21" width="7.54296875" style="3" bestFit="1" customWidth="1"/>
    <col min="22" max="22" width="9.453125" style="3" bestFit="1" customWidth="1"/>
    <col min="23" max="24" width="7.54296875" style="3" bestFit="1" customWidth="1"/>
    <col min="25" max="25" width="7.54296875" style="3" customWidth="1"/>
    <col min="26" max="27" width="12.453125" style="3" customWidth="1"/>
    <col min="28" max="29" width="9.1796875" style="3"/>
    <col min="30" max="30" width="15" style="3" customWidth="1"/>
    <col min="31" max="31" width="9.1796875" style="3"/>
    <col min="32" max="32" width="7.453125" style="3" customWidth="1"/>
    <col min="33" max="33" width="11.453125" style="3" customWidth="1"/>
    <col min="34" max="34" width="11.54296875" style="3" customWidth="1"/>
    <col min="35" max="35" width="11.453125" style="3" customWidth="1"/>
    <col min="36" max="38" width="12.1796875" style="3" customWidth="1"/>
    <col min="39" max="39" width="11.453125" style="3" customWidth="1"/>
    <col min="40" max="42" width="9.1796875" style="3"/>
    <col min="43" max="43" width="11.54296875" style="3" customWidth="1"/>
    <col min="44" max="44" width="9.1796875" style="3"/>
    <col min="45" max="45" width="22.1796875" style="3" customWidth="1"/>
    <col min="46" max="46" width="9.1796875" style="3"/>
    <col min="47" max="47" width="9.453125" style="3" customWidth="1"/>
    <col min="48" max="48" width="21" style="3" customWidth="1"/>
    <col min="49" max="49" width="16.54296875" style="3" customWidth="1"/>
    <col min="50" max="50" width="21" style="3" customWidth="1"/>
    <col min="51" max="16384" width="9.1796875" style="3"/>
  </cols>
  <sheetData>
    <row r="1" spans="1:50" ht="10.5" x14ac:dyDescent="0.25">
      <c r="A1" s="546" t="s">
        <v>218</v>
      </c>
      <c r="B1" s="546"/>
      <c r="I1" s="180"/>
      <c r="J1" s="180"/>
      <c r="K1" s="180"/>
      <c r="L1" s="180"/>
      <c r="M1" s="180"/>
      <c r="S1" s="181"/>
      <c r="T1" s="180"/>
      <c r="U1" s="180"/>
      <c r="V1" s="180"/>
      <c r="AF1" s="181"/>
      <c r="AG1" s="180"/>
      <c r="AH1" s="180"/>
      <c r="AI1" s="180"/>
      <c r="AJ1" s="180"/>
      <c r="AK1" s="180"/>
      <c r="AL1" s="180"/>
      <c r="AM1" s="180"/>
      <c r="AU1" s="181"/>
      <c r="AV1" s="180"/>
      <c r="AW1" s="180"/>
      <c r="AX1" s="180"/>
    </row>
    <row r="2" spans="1:50" ht="10.5" x14ac:dyDescent="0.25">
      <c r="I2" s="181"/>
      <c r="J2" s="181"/>
      <c r="K2" s="181"/>
      <c r="L2" s="181"/>
      <c r="M2" s="181"/>
      <c r="S2" s="181"/>
      <c r="T2" s="180"/>
      <c r="U2" s="180"/>
      <c r="V2" s="180"/>
      <c r="AU2" s="181"/>
      <c r="AV2" s="180"/>
      <c r="AW2" s="180"/>
      <c r="AX2" s="180"/>
    </row>
    <row r="3" spans="1:50" ht="10.5" x14ac:dyDescent="0.25">
      <c r="A3" s="253" t="s">
        <v>217</v>
      </c>
      <c r="I3" s="182"/>
      <c r="J3" s="182"/>
      <c r="K3" s="182"/>
      <c r="L3" s="182"/>
      <c r="M3" s="182"/>
      <c r="N3" s="180"/>
      <c r="O3" s="180"/>
      <c r="P3" s="180"/>
      <c r="Q3" s="180"/>
      <c r="S3" s="181"/>
      <c r="T3" s="180"/>
      <c r="U3" s="180"/>
      <c r="V3" s="180"/>
      <c r="X3" s="181"/>
      <c r="Y3" s="180"/>
      <c r="Z3" s="180"/>
      <c r="AA3" s="180"/>
      <c r="AB3" s="180"/>
      <c r="AC3" s="180"/>
      <c r="AD3" s="180"/>
      <c r="AF3" s="182"/>
      <c r="AG3" s="182"/>
      <c r="AH3" s="182"/>
      <c r="AI3" s="182"/>
      <c r="AJ3" s="182"/>
      <c r="AK3" s="182"/>
      <c r="AL3" s="182"/>
      <c r="AM3" s="254"/>
      <c r="AO3" s="181"/>
      <c r="AP3" s="180"/>
      <c r="AQ3" s="180"/>
      <c r="AR3" s="180"/>
      <c r="AS3" s="180"/>
      <c r="AU3" s="181"/>
      <c r="AV3" s="180"/>
      <c r="AW3" s="180"/>
      <c r="AX3" s="180"/>
    </row>
    <row r="4" spans="1:50" ht="10.5" x14ac:dyDescent="0.25">
      <c r="A4" s="253" t="s">
        <v>216</v>
      </c>
      <c r="B4" s="180"/>
      <c r="C4" s="180"/>
      <c r="D4" s="180"/>
      <c r="E4" s="180"/>
      <c r="F4" s="180"/>
      <c r="G4" s="180"/>
      <c r="I4" s="182"/>
      <c r="J4" s="182"/>
      <c r="K4" s="182"/>
      <c r="L4" s="182"/>
      <c r="M4" s="182"/>
      <c r="N4" s="180"/>
      <c r="O4" s="180"/>
      <c r="P4" s="180"/>
      <c r="Q4" s="180"/>
      <c r="T4" s="180"/>
      <c r="U4" s="180"/>
      <c r="V4" s="180"/>
      <c r="AF4" s="254"/>
      <c r="AG4" s="254"/>
      <c r="AH4" s="254"/>
      <c r="AI4" s="254"/>
      <c r="AJ4" s="254"/>
      <c r="AK4" s="254"/>
      <c r="AL4" s="254"/>
      <c r="AM4" s="254"/>
      <c r="AO4" s="181"/>
      <c r="AP4" s="180"/>
      <c r="AQ4" s="180"/>
      <c r="AR4" s="180"/>
      <c r="AS4" s="180"/>
      <c r="AV4" s="180"/>
      <c r="AW4" s="180"/>
      <c r="AX4" s="180"/>
    </row>
    <row r="5" spans="1:50" ht="10.5" x14ac:dyDescent="0.25">
      <c r="A5" s="253" t="s">
        <v>215</v>
      </c>
      <c r="Z5" s="181"/>
      <c r="AA5" s="182"/>
      <c r="AB5" s="182"/>
      <c r="AC5" s="254"/>
      <c r="AD5" s="254"/>
      <c r="AF5" s="254"/>
      <c r="AG5" s="254"/>
      <c r="AH5" s="254"/>
      <c r="AI5" s="254"/>
      <c r="AJ5" s="254"/>
      <c r="AK5" s="254"/>
      <c r="AL5" s="254"/>
      <c r="AM5" s="254"/>
      <c r="AO5" s="181"/>
      <c r="AP5" s="180"/>
      <c r="AQ5" s="180"/>
      <c r="AR5" s="180"/>
      <c r="AS5" s="180"/>
      <c r="AV5" s="180"/>
      <c r="AW5" s="180"/>
      <c r="AX5" s="180"/>
    </row>
    <row r="6" spans="1:50" ht="10.5" x14ac:dyDescent="0.25">
      <c r="A6" s="253"/>
      <c r="Z6" s="181"/>
      <c r="AA6" s="182"/>
      <c r="AB6" s="182"/>
      <c r="AC6" s="254"/>
      <c r="AD6" s="254"/>
      <c r="AF6" s="254"/>
      <c r="AG6" s="254"/>
      <c r="AH6" s="254"/>
      <c r="AI6" s="254"/>
      <c r="AJ6" s="254"/>
      <c r="AK6" s="254"/>
      <c r="AL6" s="254"/>
      <c r="AM6" s="254"/>
      <c r="AO6" s="181"/>
      <c r="AP6" s="180"/>
      <c r="AQ6" s="180"/>
      <c r="AR6" s="180"/>
      <c r="AS6" s="180"/>
      <c r="AV6" s="180"/>
      <c r="AW6" s="180"/>
      <c r="AX6" s="180"/>
    </row>
    <row r="7" spans="1:50" ht="10.5" x14ac:dyDescent="0.25">
      <c r="A7" s="253" t="s">
        <v>269</v>
      </c>
      <c r="Z7" s="181"/>
      <c r="AA7" s="182"/>
      <c r="AB7" s="182"/>
      <c r="AC7" s="254"/>
      <c r="AD7" s="254"/>
      <c r="AF7" s="254"/>
      <c r="AG7" s="254"/>
      <c r="AH7" s="254"/>
      <c r="AI7" s="254"/>
      <c r="AJ7" s="254"/>
      <c r="AK7" s="254"/>
      <c r="AL7" s="254"/>
      <c r="AM7" s="254"/>
      <c r="AO7" s="181"/>
      <c r="AP7" s="180"/>
      <c r="AQ7" s="180"/>
      <c r="AR7" s="180"/>
      <c r="AS7" s="180"/>
      <c r="AV7" s="180"/>
      <c r="AW7" s="180"/>
      <c r="AX7" s="180"/>
    </row>
    <row r="8" spans="1:50" ht="10.5" x14ac:dyDescent="0.25">
      <c r="A8" s="3" t="s">
        <v>289</v>
      </c>
      <c r="Z8" s="181"/>
      <c r="AA8" s="254"/>
      <c r="AB8" s="182"/>
      <c r="AC8" s="254"/>
      <c r="AD8" s="254"/>
      <c r="AF8" s="254"/>
      <c r="AG8" s="254"/>
      <c r="AH8" s="254"/>
      <c r="AI8" s="254"/>
      <c r="AJ8" s="254"/>
      <c r="AK8" s="254"/>
      <c r="AL8" s="254"/>
      <c r="AM8" s="254"/>
      <c r="AU8" s="181"/>
      <c r="AV8" s="181"/>
      <c r="AW8" s="181"/>
      <c r="AX8" s="180"/>
    </row>
    <row r="9" spans="1:50" ht="10.5" x14ac:dyDescent="0.25">
      <c r="Z9" s="181"/>
      <c r="AA9" s="254"/>
      <c r="AB9" s="254"/>
      <c r="AC9" s="254"/>
      <c r="AD9" s="254"/>
      <c r="AF9" s="254"/>
      <c r="AG9" s="254"/>
      <c r="AH9" s="254"/>
      <c r="AI9" s="254"/>
      <c r="AJ9" s="254"/>
      <c r="AK9" s="254"/>
      <c r="AL9" s="254"/>
      <c r="AM9" s="254"/>
    </row>
    <row r="10" spans="1:50" ht="11" thickBot="1" x14ac:dyDescent="0.3">
      <c r="A10" s="182" t="s">
        <v>193</v>
      </c>
      <c r="Z10" s="181"/>
      <c r="AA10" s="254"/>
      <c r="AB10" s="254"/>
      <c r="AC10" s="254"/>
      <c r="AD10" s="254"/>
      <c r="AF10" s="254"/>
      <c r="AG10" s="254"/>
      <c r="AH10" s="254"/>
      <c r="AI10" s="254"/>
      <c r="AJ10" s="254"/>
      <c r="AK10" s="254"/>
      <c r="AL10" s="254"/>
      <c r="AM10" s="254"/>
      <c r="AP10" s="254"/>
      <c r="AQ10" s="254"/>
      <c r="AR10" s="254"/>
      <c r="AS10" s="254"/>
      <c r="AU10" s="254"/>
      <c r="AV10" s="254"/>
      <c r="AW10" s="254"/>
      <c r="AX10" s="254"/>
    </row>
    <row r="11" spans="1:50" ht="10.5" x14ac:dyDescent="0.25">
      <c r="A11" s="255"/>
      <c r="B11" s="256"/>
      <c r="C11" s="256"/>
      <c r="D11" s="256"/>
      <c r="E11" s="256"/>
      <c r="F11" s="256"/>
      <c r="G11" s="256"/>
      <c r="H11" s="256"/>
      <c r="I11" s="187"/>
      <c r="L11" s="257" t="s">
        <v>214</v>
      </c>
      <c r="M11" s="258"/>
      <c r="N11" s="258"/>
      <c r="O11" s="258"/>
      <c r="P11" s="258"/>
      <c r="Q11" s="258"/>
      <c r="R11" s="258"/>
      <c r="S11" s="258"/>
      <c r="T11" s="258"/>
      <c r="U11" s="258"/>
      <c r="V11" s="258"/>
      <c r="W11" s="259"/>
      <c r="AF11" s="254"/>
      <c r="AG11" s="254"/>
      <c r="AH11" s="254"/>
      <c r="AI11" s="254"/>
      <c r="AJ11" s="254"/>
      <c r="AK11" s="254"/>
      <c r="AL11" s="254"/>
      <c r="AM11" s="254"/>
      <c r="AO11" s="254"/>
      <c r="AP11" s="254"/>
      <c r="AQ11" s="254"/>
      <c r="AR11" s="254"/>
      <c r="AS11" s="254"/>
      <c r="AU11" s="254"/>
      <c r="AV11" s="254"/>
      <c r="AW11" s="254"/>
      <c r="AX11" s="254"/>
    </row>
    <row r="12" spans="1:50" ht="10.5" x14ac:dyDescent="0.25">
      <c r="A12" s="260"/>
      <c r="B12" s="261" t="s">
        <v>141</v>
      </c>
      <c r="C12" s="261" t="s">
        <v>171</v>
      </c>
      <c r="D12" s="262" t="s">
        <v>159</v>
      </c>
      <c r="E12" s="262"/>
      <c r="F12" s="261" t="s">
        <v>159</v>
      </c>
      <c r="G12" s="261" t="s">
        <v>158</v>
      </c>
      <c r="H12" s="263" t="s">
        <v>157</v>
      </c>
      <c r="I12" s="189" t="s">
        <v>157</v>
      </c>
      <c r="L12" s="264"/>
      <c r="U12" s="90" t="s">
        <v>186</v>
      </c>
      <c r="W12" s="265"/>
      <c r="AB12" s="254"/>
      <c r="AC12" s="182"/>
      <c r="AD12" s="254"/>
      <c r="AF12" s="254"/>
      <c r="AG12" s="254"/>
      <c r="AH12" s="254"/>
      <c r="AI12" s="254"/>
      <c r="AJ12" s="254"/>
      <c r="AK12" s="254"/>
      <c r="AL12" s="254"/>
      <c r="AM12" s="266"/>
      <c r="AN12" s="266"/>
      <c r="AO12" s="266"/>
      <c r="AP12" s="266"/>
      <c r="AQ12" s="266"/>
      <c r="AR12" s="254"/>
      <c r="AS12" s="254"/>
      <c r="AU12" s="254"/>
      <c r="AV12" s="254"/>
      <c r="AW12" s="254"/>
      <c r="AX12" s="254"/>
    </row>
    <row r="13" spans="1:50" ht="10.5" x14ac:dyDescent="0.25">
      <c r="A13" s="267"/>
      <c r="B13" s="261" t="s">
        <v>155</v>
      </c>
      <c r="C13" s="261" t="s">
        <v>170</v>
      </c>
      <c r="D13" s="262" t="s">
        <v>153</v>
      </c>
      <c r="E13" s="262"/>
      <c r="F13" s="261" t="s">
        <v>152</v>
      </c>
      <c r="G13" s="261" t="s">
        <v>152</v>
      </c>
      <c r="H13" s="263" t="s">
        <v>151</v>
      </c>
      <c r="I13" s="189" t="s">
        <v>151</v>
      </c>
      <c r="L13" s="268" t="s">
        <v>191</v>
      </c>
      <c r="M13" s="90" t="s">
        <v>190</v>
      </c>
      <c r="N13" s="90" t="s">
        <v>189</v>
      </c>
      <c r="O13" s="90" t="s">
        <v>189</v>
      </c>
      <c r="P13" s="90" t="s">
        <v>188</v>
      </c>
      <c r="Q13" s="90" t="s">
        <v>188</v>
      </c>
      <c r="R13" s="90" t="s">
        <v>187</v>
      </c>
      <c r="S13" s="90" t="s">
        <v>187</v>
      </c>
      <c r="T13" s="90" t="s">
        <v>186</v>
      </c>
      <c r="U13" s="90" t="s">
        <v>182</v>
      </c>
      <c r="V13" s="90" t="s">
        <v>185</v>
      </c>
      <c r="W13" s="265" t="s">
        <v>185</v>
      </c>
      <c r="X13" s="90"/>
      <c r="AB13" s="254"/>
      <c r="AC13" s="182"/>
      <c r="AD13" s="182"/>
      <c r="AF13" s="254"/>
      <c r="AG13" s="254"/>
      <c r="AH13" s="254"/>
      <c r="AI13" s="254"/>
      <c r="AJ13" s="254"/>
      <c r="AK13" s="266"/>
      <c r="AL13" s="266"/>
      <c r="AM13" s="266"/>
      <c r="AN13" s="266"/>
      <c r="AO13" s="266"/>
      <c r="AP13" s="266"/>
      <c r="AQ13" s="266"/>
      <c r="AR13" s="266"/>
      <c r="AS13" s="254"/>
      <c r="AU13" s="254"/>
      <c r="AV13" s="254"/>
      <c r="AW13" s="254"/>
      <c r="AX13" s="254"/>
    </row>
    <row r="14" spans="1:50" ht="11" thickBot="1" x14ac:dyDescent="0.3">
      <c r="A14" s="267"/>
      <c r="B14" s="261" t="s">
        <v>149</v>
      </c>
      <c r="C14" s="261" t="s">
        <v>184</v>
      </c>
      <c r="D14" s="543" t="s">
        <v>147</v>
      </c>
      <c r="E14" s="543"/>
      <c r="F14" s="261" t="s">
        <v>145</v>
      </c>
      <c r="G14" s="261" t="s">
        <v>144</v>
      </c>
      <c r="H14" s="261" t="s">
        <v>143</v>
      </c>
      <c r="I14" s="189" t="s">
        <v>142</v>
      </c>
      <c r="L14" s="268"/>
      <c r="M14" s="90"/>
      <c r="N14" s="90" t="s">
        <v>183</v>
      </c>
      <c r="O14" s="90" t="s">
        <v>160</v>
      </c>
      <c r="P14" s="90"/>
      <c r="Q14" s="90" t="s">
        <v>160</v>
      </c>
      <c r="R14" s="90"/>
      <c r="S14" s="90" t="s">
        <v>160</v>
      </c>
      <c r="T14" s="90" t="s">
        <v>182</v>
      </c>
      <c r="U14" s="90" t="s">
        <v>160</v>
      </c>
      <c r="V14" s="90"/>
      <c r="W14" s="265" t="s">
        <v>160</v>
      </c>
      <c r="X14" s="90"/>
      <c r="AF14" s="254"/>
      <c r="AG14" s="254"/>
      <c r="AH14" s="254"/>
      <c r="AI14" s="254"/>
      <c r="AJ14" s="254"/>
      <c r="AK14" s="266"/>
      <c r="AL14" s="266"/>
      <c r="AM14" s="266"/>
      <c r="AN14" s="266"/>
      <c r="AO14" s="266"/>
      <c r="AP14" s="266"/>
      <c r="AQ14" s="266"/>
      <c r="AR14" s="266"/>
      <c r="AS14" s="254"/>
      <c r="AU14" s="254"/>
      <c r="AV14" s="254"/>
      <c r="AW14" s="254"/>
      <c r="AX14" s="254"/>
    </row>
    <row r="15" spans="1:50" x14ac:dyDescent="0.2">
      <c r="A15" s="260"/>
      <c r="B15" s="261" t="s">
        <v>139</v>
      </c>
      <c r="C15" s="261" t="s">
        <v>181</v>
      </c>
      <c r="D15" s="544" t="s">
        <v>136</v>
      </c>
      <c r="E15" s="544"/>
      <c r="F15" s="261" t="s">
        <v>213</v>
      </c>
      <c r="G15" s="261" t="s">
        <v>213</v>
      </c>
      <c r="H15" s="263" t="s">
        <v>136</v>
      </c>
      <c r="I15" s="189" t="s">
        <v>109</v>
      </c>
      <c r="J15" s="3" t="s">
        <v>122</v>
      </c>
      <c r="L15" s="268"/>
      <c r="M15" s="90"/>
      <c r="N15" s="90" t="s">
        <v>180</v>
      </c>
      <c r="O15" s="90" t="s">
        <v>127</v>
      </c>
      <c r="P15" s="90"/>
      <c r="Q15" s="90" t="s">
        <v>127</v>
      </c>
      <c r="R15" s="90"/>
      <c r="S15" s="90" t="s">
        <v>127</v>
      </c>
      <c r="T15" s="90"/>
      <c r="U15" s="90" t="s">
        <v>127</v>
      </c>
      <c r="V15" s="90"/>
      <c r="W15" s="265" t="s">
        <v>127</v>
      </c>
      <c r="X15" s="269" t="s">
        <v>127</v>
      </c>
      <c r="AK15" s="266"/>
      <c r="AL15" s="266"/>
      <c r="AM15" s="266"/>
      <c r="AN15" s="266"/>
      <c r="AO15" s="266"/>
      <c r="AP15" s="266"/>
      <c r="AQ15" s="266"/>
      <c r="AR15" s="266"/>
    </row>
    <row r="16" spans="1:50" ht="12" x14ac:dyDescent="0.2">
      <c r="A16" s="255"/>
      <c r="B16" s="270"/>
      <c r="C16" s="270"/>
      <c r="D16" s="270"/>
      <c r="E16" s="256"/>
      <c r="F16" s="270"/>
      <c r="G16" s="270"/>
      <c r="H16" s="256"/>
      <c r="I16" s="271"/>
      <c r="J16" s="3" t="s">
        <v>171</v>
      </c>
      <c r="L16" s="272"/>
      <c r="M16" s="273" t="s">
        <v>366</v>
      </c>
      <c r="N16" s="273" t="s">
        <v>366</v>
      </c>
      <c r="O16" s="273" t="s">
        <v>367</v>
      </c>
      <c r="P16" s="273" t="s">
        <v>366</v>
      </c>
      <c r="Q16" s="273" t="s">
        <v>367</v>
      </c>
      <c r="R16" s="273" t="s">
        <v>366</v>
      </c>
      <c r="S16" s="273" t="s">
        <v>367</v>
      </c>
      <c r="T16" s="273" t="s">
        <v>366</v>
      </c>
      <c r="U16" s="273" t="s">
        <v>367</v>
      </c>
      <c r="V16" s="273" t="s">
        <v>366</v>
      </c>
      <c r="W16" s="274" t="s">
        <v>367</v>
      </c>
      <c r="X16" s="275" t="s">
        <v>125</v>
      </c>
      <c r="AD16" s="276"/>
      <c r="AG16" s="277"/>
      <c r="AH16" s="277"/>
      <c r="AI16" s="277"/>
      <c r="AJ16" s="266"/>
      <c r="AK16" s="266"/>
      <c r="AL16" s="266"/>
      <c r="AM16" s="266"/>
      <c r="AN16" s="266"/>
      <c r="AO16" s="266"/>
      <c r="AP16" s="266"/>
      <c r="AQ16" s="266"/>
      <c r="AR16" s="266"/>
      <c r="AS16" s="276"/>
      <c r="AV16" s="277"/>
      <c r="AX16" s="277"/>
    </row>
    <row r="17" spans="1:51" ht="11" thickBot="1" x14ac:dyDescent="0.3">
      <c r="A17" s="267" t="s">
        <v>131</v>
      </c>
      <c r="B17" s="261"/>
      <c r="C17" s="261"/>
      <c r="D17" s="261"/>
      <c r="E17" s="261"/>
      <c r="F17" s="261"/>
      <c r="G17" s="261"/>
      <c r="H17" s="261"/>
      <c r="I17" s="189"/>
      <c r="J17" s="90" t="s">
        <v>170</v>
      </c>
      <c r="L17" s="278" t="s">
        <v>129</v>
      </c>
      <c r="M17" s="279">
        <f>'[1]Skin Surface Area'!$I$23*10000</f>
        <v>1066.7361445783133</v>
      </c>
      <c r="N17" s="279">
        <f>0.33*M17</f>
        <v>352.02292771084342</v>
      </c>
      <c r="O17" s="280">
        <v>0.11020000000000001</v>
      </c>
      <c r="P17" s="279">
        <f>'[1]Skin Surface Area'!$J$23*10000</f>
        <v>1035.0781686746989</v>
      </c>
      <c r="Q17" s="280">
        <v>0.32790000000000002</v>
      </c>
      <c r="R17" s="280">
        <f>'[1]Skin Surface Area'!$K$23*10000</f>
        <v>825.86024096385563</v>
      </c>
      <c r="S17" s="280">
        <v>0.34870000000000001</v>
      </c>
      <c r="T17" s="280">
        <f>'[1]Skin Surface Area'!$L$23*10000</f>
        <v>2222.9404819277115</v>
      </c>
      <c r="U17" s="280">
        <v>4.19E-2</v>
      </c>
      <c r="V17" s="280">
        <f>'[1]Skin Surface Area'!$M$23*10000</f>
        <v>1135.5578313253015</v>
      </c>
      <c r="W17" s="281">
        <v>0.25629999999999997</v>
      </c>
      <c r="X17" s="282">
        <f>((N17*O17)+(P17*Q17)+(R17*S17)+(T17*U17)+(V17*W17))/(N17+P17+R17+T17+V17)</f>
        <v>0.18852460008646779</v>
      </c>
      <c r="AD17" s="276"/>
      <c r="AG17" s="277"/>
      <c r="AH17" s="277"/>
      <c r="AI17" s="277"/>
      <c r="AJ17" s="266"/>
      <c r="AK17" s="266"/>
      <c r="AL17" s="266"/>
      <c r="AM17" s="266"/>
      <c r="AN17" s="266"/>
      <c r="AO17" s="266"/>
      <c r="AP17" s="266"/>
      <c r="AQ17" s="266"/>
      <c r="AR17" s="266"/>
      <c r="AS17" s="276"/>
      <c r="AV17" s="277"/>
      <c r="AX17" s="277"/>
    </row>
    <row r="18" spans="1:51" x14ac:dyDescent="0.2">
      <c r="A18" s="260" t="s">
        <v>124</v>
      </c>
      <c r="B18" s="261"/>
      <c r="C18" s="261"/>
      <c r="D18" s="261"/>
      <c r="E18" s="261"/>
      <c r="F18" s="261"/>
      <c r="G18" s="261"/>
      <c r="H18" s="261"/>
      <c r="I18" s="189"/>
      <c r="J18" s="3" t="s">
        <v>292</v>
      </c>
      <c r="Z18" s="253"/>
      <c r="AD18" s="276"/>
      <c r="AG18" s="277"/>
      <c r="AH18" s="277"/>
      <c r="AI18" s="277"/>
      <c r="AJ18" s="266"/>
      <c r="AK18" s="266"/>
      <c r="AL18" s="266"/>
      <c r="AM18" s="266"/>
      <c r="AN18" s="266"/>
      <c r="AO18" s="266"/>
      <c r="AP18" s="266"/>
      <c r="AQ18" s="266"/>
      <c r="AR18" s="266"/>
      <c r="AS18" s="276"/>
      <c r="AV18" s="277"/>
      <c r="AX18" s="277"/>
    </row>
    <row r="19" spans="1:51" x14ac:dyDescent="0.2">
      <c r="A19" s="283" t="s">
        <v>200</v>
      </c>
      <c r="B19" s="261"/>
      <c r="C19" s="261"/>
      <c r="D19" s="261"/>
      <c r="E19" s="261"/>
      <c r="F19" s="261"/>
      <c r="G19" s="261"/>
      <c r="H19" s="261"/>
      <c r="I19" s="189"/>
      <c r="J19" s="90" t="s">
        <v>293</v>
      </c>
      <c r="Z19" s="253"/>
      <c r="AD19" s="276"/>
      <c r="AG19" s="277"/>
      <c r="AH19" s="277"/>
      <c r="AI19" s="277"/>
      <c r="AJ19" s="266"/>
      <c r="AK19" s="266"/>
      <c r="AL19" s="266"/>
      <c r="AM19" s="266"/>
      <c r="AN19" s="266"/>
      <c r="AO19" s="266"/>
      <c r="AP19" s="266"/>
      <c r="AQ19" s="266"/>
      <c r="AR19" s="266"/>
      <c r="AS19" s="276"/>
      <c r="AV19" s="277"/>
      <c r="AX19" s="277"/>
    </row>
    <row r="20" spans="1:51" ht="10.5" x14ac:dyDescent="0.25">
      <c r="A20" s="284" t="s">
        <v>212</v>
      </c>
      <c r="B20" s="285">
        <f>[1]BW!$C$29</f>
        <v>65.3</v>
      </c>
      <c r="C20" s="286">
        <v>100</v>
      </c>
      <c r="D20" s="545">
        <v>5</v>
      </c>
      <c r="E20" s="545"/>
      <c r="F20" s="286">
        <v>26</v>
      </c>
      <c r="G20" s="286"/>
      <c r="H20" s="286"/>
      <c r="I20" s="190"/>
      <c r="J20" s="183"/>
      <c r="Z20" s="253"/>
      <c r="AD20" s="276"/>
      <c r="AG20" s="277"/>
      <c r="AH20" s="277"/>
      <c r="AI20" s="277"/>
      <c r="AJ20" s="266"/>
      <c r="AK20" s="266"/>
      <c r="AL20" s="266"/>
      <c r="AM20" s="266"/>
      <c r="AN20" s="266"/>
      <c r="AO20" s="266"/>
      <c r="AP20" s="266"/>
      <c r="AQ20" s="266"/>
      <c r="AR20" s="266"/>
      <c r="AS20" s="276"/>
      <c r="AV20" s="277"/>
      <c r="AX20" s="277"/>
    </row>
    <row r="21" spans="1:51" x14ac:dyDescent="0.2">
      <c r="A21" s="287" t="s">
        <v>118</v>
      </c>
      <c r="B21" s="288"/>
      <c r="C21" s="288"/>
      <c r="D21" s="288"/>
      <c r="E21" s="288"/>
      <c r="F21" s="288">
        <v>26</v>
      </c>
      <c r="G21" s="288">
        <v>26</v>
      </c>
      <c r="H21" s="288">
        <v>7</v>
      </c>
      <c r="I21" s="191">
        <v>1000000</v>
      </c>
      <c r="J21" s="184">
        <f>((C20*D20*F20)/B20)/(G21*H21*I21)</f>
        <v>1.0938525486764384E-6</v>
      </c>
      <c r="K21" s="185"/>
      <c r="Z21" s="253"/>
      <c r="AD21" s="276"/>
      <c r="AG21" s="277"/>
      <c r="AH21" s="277"/>
      <c r="AI21" s="277"/>
      <c r="AJ21" s="266"/>
      <c r="AK21" s="266"/>
      <c r="AL21" s="266"/>
      <c r="AM21" s="266"/>
      <c r="AN21" s="266"/>
      <c r="AO21" s="266"/>
      <c r="AP21" s="266"/>
      <c r="AQ21" s="266"/>
      <c r="AS21" s="276"/>
      <c r="AV21" s="277"/>
      <c r="AX21" s="277"/>
    </row>
    <row r="22" spans="1:51" x14ac:dyDescent="0.2">
      <c r="A22" s="260"/>
      <c r="B22" s="261"/>
      <c r="C22" s="261"/>
      <c r="D22" s="261"/>
      <c r="E22" s="261"/>
      <c r="F22" s="261"/>
      <c r="G22" s="261"/>
      <c r="H22" s="261"/>
      <c r="I22" s="189"/>
      <c r="J22" s="90" t="s">
        <v>123</v>
      </c>
      <c r="Z22" s="253"/>
      <c r="AD22" s="276"/>
      <c r="AG22" s="277"/>
      <c r="AH22" s="277"/>
      <c r="AI22" s="277"/>
      <c r="AJ22" s="266"/>
      <c r="AK22" s="266"/>
      <c r="AL22" s="266"/>
      <c r="AM22" s="266"/>
      <c r="AN22" s="266"/>
      <c r="AO22" s="266"/>
      <c r="AP22" s="266"/>
      <c r="AQ22" s="266"/>
      <c r="AS22" s="276"/>
      <c r="AV22" s="277"/>
      <c r="AX22" s="277"/>
    </row>
    <row r="23" spans="1:51" x14ac:dyDescent="0.2">
      <c r="A23" s="260"/>
      <c r="B23" s="261"/>
      <c r="C23" s="261"/>
      <c r="D23" s="261"/>
      <c r="E23" s="261"/>
      <c r="F23" s="261" t="s">
        <v>159</v>
      </c>
      <c r="G23" s="261" t="s">
        <v>158</v>
      </c>
      <c r="H23" s="261" t="s">
        <v>157</v>
      </c>
      <c r="I23" s="189"/>
      <c r="J23" s="3" t="s">
        <v>122</v>
      </c>
      <c r="Z23" s="253"/>
      <c r="AD23" s="276"/>
      <c r="AG23" s="277"/>
      <c r="AH23" s="277"/>
      <c r="AI23" s="277"/>
      <c r="AJ23" s="266"/>
      <c r="AK23" s="266"/>
      <c r="AL23" s="266"/>
      <c r="AM23" s="266"/>
      <c r="AN23" s="266"/>
      <c r="AO23" s="266"/>
      <c r="AP23" s="266"/>
      <c r="AQ23" s="266"/>
      <c r="AS23" s="276"/>
      <c r="AV23" s="277"/>
      <c r="AX23" s="277"/>
    </row>
    <row r="24" spans="1:51" ht="10.5" x14ac:dyDescent="0.25">
      <c r="A24" s="267" t="s">
        <v>126</v>
      </c>
      <c r="B24" s="261"/>
      <c r="C24" s="261"/>
      <c r="D24" s="261"/>
      <c r="E24" s="261"/>
      <c r="F24" s="261" t="s">
        <v>152</v>
      </c>
      <c r="G24" s="261" t="s">
        <v>152</v>
      </c>
      <c r="H24" s="261" t="s">
        <v>151</v>
      </c>
      <c r="I24" s="189"/>
      <c r="J24" s="3" t="s">
        <v>171</v>
      </c>
      <c r="Z24" s="253"/>
      <c r="AD24" s="276"/>
      <c r="AG24" s="277"/>
      <c r="AH24" s="277"/>
      <c r="AI24" s="277"/>
      <c r="AJ24" s="266"/>
      <c r="AK24" s="266"/>
      <c r="AL24" s="266"/>
      <c r="AM24" s="266"/>
      <c r="AN24" s="266"/>
      <c r="AO24" s="266"/>
      <c r="AP24" s="266"/>
      <c r="AQ24" s="266"/>
      <c r="AS24" s="276"/>
      <c r="AV24" s="277"/>
      <c r="AX24" s="277"/>
    </row>
    <row r="25" spans="1:51" ht="10.5" x14ac:dyDescent="0.25">
      <c r="A25" s="267"/>
      <c r="B25" s="261"/>
      <c r="C25" s="261"/>
      <c r="D25" s="261"/>
      <c r="E25" s="261" t="s">
        <v>146</v>
      </c>
      <c r="F25" s="261" t="s">
        <v>145</v>
      </c>
      <c r="G25" s="261" t="s">
        <v>144</v>
      </c>
      <c r="H25" s="261" t="s">
        <v>286</v>
      </c>
      <c r="I25" s="189"/>
      <c r="J25" s="90" t="s">
        <v>170</v>
      </c>
      <c r="Z25" s="253"/>
      <c r="AD25" s="276"/>
      <c r="AG25" s="277"/>
      <c r="AH25" s="277"/>
      <c r="AI25" s="277"/>
      <c r="AJ25" s="266"/>
      <c r="AK25" s="266"/>
      <c r="AL25" s="266"/>
      <c r="AM25" s="277"/>
      <c r="AQ25" s="276"/>
      <c r="AS25" s="276"/>
      <c r="AV25" s="277"/>
      <c r="AX25" s="277"/>
    </row>
    <row r="26" spans="1:51" x14ac:dyDescent="0.2">
      <c r="A26" s="260" t="s">
        <v>124</v>
      </c>
      <c r="B26" s="261"/>
      <c r="C26" s="261"/>
      <c r="D26" s="261"/>
      <c r="E26" s="186" t="s">
        <v>135</v>
      </c>
      <c r="F26" s="186" t="s">
        <v>134</v>
      </c>
      <c r="G26" s="186" t="s">
        <v>134</v>
      </c>
      <c r="H26" s="186" t="s">
        <v>133</v>
      </c>
      <c r="I26" s="189"/>
      <c r="J26" s="3" t="s">
        <v>292</v>
      </c>
      <c r="Z26" s="253"/>
      <c r="AD26" s="276"/>
      <c r="AG26" s="277"/>
      <c r="AH26" s="277"/>
      <c r="AI26" s="277"/>
      <c r="AJ26" s="266"/>
      <c r="AK26" s="266"/>
      <c r="AL26" s="266"/>
      <c r="AM26" s="277"/>
      <c r="AQ26" s="276"/>
      <c r="AS26" s="276"/>
      <c r="AV26" s="277"/>
      <c r="AX26" s="277"/>
    </row>
    <row r="27" spans="1:51" x14ac:dyDescent="0.2">
      <c r="A27" s="283" t="s">
        <v>200</v>
      </c>
      <c r="B27" s="261"/>
      <c r="C27" s="261"/>
      <c r="D27" s="261"/>
      <c r="E27" s="261"/>
      <c r="F27" s="261"/>
      <c r="G27" s="261"/>
      <c r="H27" s="261"/>
      <c r="I27" s="189"/>
      <c r="J27" s="90" t="s">
        <v>293</v>
      </c>
      <c r="Z27" s="253"/>
      <c r="AD27" s="276"/>
      <c r="AG27" s="277"/>
      <c r="AH27" s="277"/>
      <c r="AI27" s="277"/>
      <c r="AJ27" s="266"/>
      <c r="AK27" s="266"/>
      <c r="AL27" s="266"/>
      <c r="AM27" s="277"/>
      <c r="AQ27" s="276"/>
      <c r="AS27" s="276"/>
      <c r="AX27" s="277"/>
    </row>
    <row r="28" spans="1:51" ht="10.5" x14ac:dyDescent="0.25">
      <c r="A28" s="284" t="s">
        <v>211</v>
      </c>
      <c r="B28" s="285">
        <f>[1]BW!$F$33</f>
        <v>64.807142857142864</v>
      </c>
      <c r="C28" s="286">
        <v>100</v>
      </c>
      <c r="D28" s="289">
        <v>5</v>
      </c>
      <c r="E28" s="286">
        <v>26</v>
      </c>
      <c r="F28" s="286">
        <v>1</v>
      </c>
      <c r="G28" s="286"/>
      <c r="H28" s="286"/>
      <c r="I28" s="190"/>
      <c r="J28" s="183"/>
      <c r="Z28" s="253"/>
      <c r="AD28" s="276"/>
      <c r="AG28" s="277"/>
      <c r="AH28" s="277"/>
      <c r="AI28" s="277"/>
      <c r="AJ28" s="266"/>
      <c r="AK28" s="266"/>
      <c r="AL28" s="266"/>
      <c r="AM28" s="277"/>
      <c r="AQ28" s="276"/>
      <c r="AS28" s="276"/>
      <c r="AX28" s="277"/>
    </row>
    <row r="29" spans="1:51" x14ac:dyDescent="0.2">
      <c r="A29" s="287" t="s">
        <v>118</v>
      </c>
      <c r="B29" s="288"/>
      <c r="C29" s="288"/>
      <c r="D29" s="288"/>
      <c r="E29" s="288"/>
      <c r="F29" s="288">
        <v>1</v>
      </c>
      <c r="G29" s="288">
        <v>70</v>
      </c>
      <c r="H29" s="288">
        <v>365</v>
      </c>
      <c r="I29" s="191">
        <v>1000000</v>
      </c>
      <c r="J29" s="184">
        <f>(C28*D28*E28*F28)/(B28*G29*H29*I29)</f>
        <v>7.8510830720080198E-9</v>
      </c>
      <c r="K29" s="185"/>
      <c r="Z29" s="253"/>
      <c r="AD29" s="276"/>
      <c r="AG29" s="277"/>
      <c r="AH29" s="277"/>
      <c r="AI29" s="277"/>
      <c r="AJ29" s="266"/>
      <c r="AK29" s="266"/>
      <c r="AL29" s="266"/>
      <c r="AM29" s="277"/>
      <c r="AQ29" s="276"/>
      <c r="AS29" s="276"/>
      <c r="AX29" s="277"/>
    </row>
    <row r="30" spans="1:51" x14ac:dyDescent="0.2">
      <c r="AA30" s="253"/>
      <c r="AE30" s="276"/>
      <c r="AH30" s="277"/>
      <c r="AI30" s="277"/>
      <c r="AJ30" s="277"/>
      <c r="AK30" s="266"/>
      <c r="AL30" s="266"/>
      <c r="AM30" s="266"/>
      <c r="AN30" s="277"/>
      <c r="AR30" s="276"/>
      <c r="AT30" s="276"/>
      <c r="AW30" s="277"/>
      <c r="AY30" s="277"/>
    </row>
    <row r="31" spans="1:51" ht="10.5" x14ac:dyDescent="0.25">
      <c r="A31" s="182" t="s">
        <v>164</v>
      </c>
      <c r="AA31" s="253"/>
      <c r="AE31" s="276"/>
      <c r="AH31" s="277"/>
      <c r="AI31" s="277"/>
      <c r="AJ31" s="277"/>
      <c r="AK31" s="266"/>
      <c r="AL31" s="266"/>
      <c r="AM31" s="266"/>
      <c r="AN31" s="277"/>
      <c r="AR31" s="276"/>
      <c r="AT31" s="276"/>
      <c r="AW31" s="277"/>
      <c r="AY31" s="277"/>
    </row>
    <row r="32" spans="1:51" x14ac:dyDescent="0.2">
      <c r="A32" s="255"/>
      <c r="B32" s="270"/>
      <c r="C32" s="270" t="s">
        <v>161</v>
      </c>
      <c r="D32" s="270" t="s">
        <v>160</v>
      </c>
      <c r="E32" s="270"/>
      <c r="F32" s="270"/>
      <c r="G32" s="270"/>
      <c r="H32" s="270"/>
      <c r="I32" s="270"/>
      <c r="J32" s="271"/>
      <c r="AA32" s="253"/>
      <c r="AE32" s="276"/>
      <c r="AH32" s="277"/>
      <c r="AI32" s="277"/>
      <c r="AJ32" s="277"/>
      <c r="AK32" s="266"/>
      <c r="AL32" s="266"/>
      <c r="AM32" s="266"/>
      <c r="AN32" s="277"/>
      <c r="AR32" s="276"/>
      <c r="AT32" s="276"/>
      <c r="AW32" s="277"/>
      <c r="AY32" s="277"/>
    </row>
    <row r="33" spans="1:51" x14ac:dyDescent="0.2">
      <c r="A33" s="260"/>
      <c r="B33" s="261" t="s">
        <v>141</v>
      </c>
      <c r="C33" s="261" t="s">
        <v>154</v>
      </c>
      <c r="D33" s="261" t="s">
        <v>127</v>
      </c>
      <c r="E33" s="261" t="s">
        <v>159</v>
      </c>
      <c r="F33" s="261"/>
      <c r="G33" s="261" t="s">
        <v>159</v>
      </c>
      <c r="H33" s="261" t="s">
        <v>158</v>
      </c>
      <c r="I33" s="261" t="s">
        <v>157</v>
      </c>
      <c r="J33" s="189" t="s">
        <v>157</v>
      </c>
      <c r="AA33" s="253"/>
      <c r="AE33" s="276"/>
      <c r="AH33" s="277"/>
      <c r="AI33" s="277"/>
      <c r="AJ33" s="277"/>
      <c r="AK33" s="266"/>
      <c r="AL33" s="266"/>
      <c r="AM33" s="266"/>
      <c r="AN33" s="277"/>
      <c r="AR33" s="276"/>
      <c r="AT33" s="276"/>
      <c r="AW33" s="277"/>
      <c r="AY33" s="277"/>
    </row>
    <row r="34" spans="1:51" ht="10.5" x14ac:dyDescent="0.25">
      <c r="A34" s="267"/>
      <c r="B34" s="261" t="s">
        <v>155</v>
      </c>
      <c r="C34" s="261" t="s">
        <v>148</v>
      </c>
      <c r="D34" s="261" t="s">
        <v>125</v>
      </c>
      <c r="E34" s="261" t="s">
        <v>153</v>
      </c>
      <c r="F34" s="261"/>
      <c r="G34" s="261" t="s">
        <v>152</v>
      </c>
      <c r="H34" s="261" t="s">
        <v>152</v>
      </c>
      <c r="I34" s="261" t="s">
        <v>151</v>
      </c>
      <c r="J34" s="189" t="s">
        <v>151</v>
      </c>
      <c r="AA34" s="253"/>
      <c r="AE34" s="276"/>
      <c r="AH34" s="277"/>
      <c r="AI34" s="277"/>
      <c r="AJ34" s="277"/>
      <c r="AK34" s="266"/>
      <c r="AL34" s="266"/>
      <c r="AM34" s="266"/>
      <c r="AN34" s="277"/>
      <c r="AR34" s="276"/>
      <c r="AT34" s="276"/>
      <c r="AW34" s="277"/>
      <c r="AY34" s="277"/>
    </row>
    <row r="35" spans="1:51" ht="10.5" x14ac:dyDescent="0.25">
      <c r="A35" s="267"/>
      <c r="B35" s="261" t="s">
        <v>149</v>
      </c>
      <c r="C35" s="261" t="s">
        <v>275</v>
      </c>
      <c r="D35" s="261" t="s">
        <v>276</v>
      </c>
      <c r="E35" s="261" t="s">
        <v>147</v>
      </c>
      <c r="F35" s="261"/>
      <c r="G35" s="261" t="s">
        <v>145</v>
      </c>
      <c r="H35" s="261" t="s">
        <v>144</v>
      </c>
      <c r="I35" s="261" t="s">
        <v>143</v>
      </c>
      <c r="J35" s="189" t="s">
        <v>142</v>
      </c>
      <c r="AA35" s="253"/>
      <c r="AE35" s="276"/>
      <c r="AH35" s="277"/>
      <c r="AI35" s="277"/>
      <c r="AJ35" s="277"/>
      <c r="AK35" s="266"/>
      <c r="AL35" s="266"/>
      <c r="AM35" s="266"/>
      <c r="AN35" s="277"/>
      <c r="AR35" s="276"/>
      <c r="AT35" s="276"/>
      <c r="AW35" s="277"/>
      <c r="AY35" s="277"/>
    </row>
    <row r="36" spans="1:51" ht="12" x14ac:dyDescent="0.2">
      <c r="A36" s="260"/>
      <c r="B36" s="261" t="s">
        <v>139</v>
      </c>
      <c r="C36" s="261" t="s">
        <v>368</v>
      </c>
      <c r="D36" s="261" t="s">
        <v>367</v>
      </c>
      <c r="E36" s="261" t="s">
        <v>136</v>
      </c>
      <c r="F36" s="261"/>
      <c r="G36" s="261" t="s">
        <v>213</v>
      </c>
      <c r="H36" s="261" t="s">
        <v>213</v>
      </c>
      <c r="I36" s="261" t="s">
        <v>136</v>
      </c>
      <c r="J36" s="189" t="s">
        <v>109</v>
      </c>
      <c r="K36" s="90" t="s">
        <v>122</v>
      </c>
      <c r="AA36" s="253"/>
      <c r="AE36" s="276"/>
      <c r="AH36" s="277"/>
      <c r="AI36" s="277"/>
      <c r="AJ36" s="277"/>
      <c r="AK36" s="266"/>
      <c r="AL36" s="266"/>
      <c r="AM36" s="266"/>
      <c r="AN36" s="277"/>
      <c r="AR36" s="276"/>
      <c r="AT36" s="276"/>
      <c r="AW36" s="277"/>
      <c r="AY36" s="277"/>
    </row>
    <row r="37" spans="1:51" x14ac:dyDescent="0.2">
      <c r="A37" s="255"/>
      <c r="B37" s="270"/>
      <c r="C37" s="270"/>
      <c r="D37" s="270"/>
      <c r="E37" s="270"/>
      <c r="F37" s="270"/>
      <c r="G37" s="270"/>
      <c r="H37" s="270"/>
      <c r="I37" s="270"/>
      <c r="J37" s="271"/>
      <c r="K37" s="90" t="s">
        <v>120</v>
      </c>
      <c r="AA37" s="253"/>
      <c r="AE37" s="276"/>
      <c r="AH37" s="277"/>
      <c r="AI37" s="277"/>
      <c r="AJ37" s="277"/>
      <c r="AK37" s="266"/>
      <c r="AL37" s="266"/>
      <c r="AM37" s="266"/>
      <c r="AN37" s="277"/>
      <c r="AR37" s="276"/>
      <c r="AT37" s="276"/>
      <c r="AW37" s="277"/>
      <c r="AY37" s="277"/>
    </row>
    <row r="38" spans="1:51" ht="10.5" x14ac:dyDescent="0.25">
      <c r="A38" s="267" t="s">
        <v>131</v>
      </c>
      <c r="B38" s="261"/>
      <c r="C38" s="261"/>
      <c r="D38" s="261"/>
      <c r="E38" s="261"/>
      <c r="F38" s="261"/>
      <c r="G38" s="261"/>
      <c r="H38" s="261"/>
      <c r="I38" s="261"/>
      <c r="J38" s="189"/>
      <c r="K38" s="90" t="s">
        <v>119</v>
      </c>
      <c r="AA38" s="253"/>
      <c r="AE38" s="276"/>
      <c r="AH38" s="277"/>
      <c r="AI38" s="277"/>
      <c r="AJ38" s="277"/>
      <c r="AK38" s="266"/>
      <c r="AL38" s="266"/>
      <c r="AM38" s="266"/>
      <c r="AN38" s="277"/>
      <c r="AR38" s="276"/>
      <c r="AT38" s="276"/>
      <c r="AW38" s="277"/>
      <c r="AY38" s="277"/>
    </row>
    <row r="39" spans="1:51" x14ac:dyDescent="0.2">
      <c r="A39" s="260" t="s">
        <v>124</v>
      </c>
      <c r="B39" s="261"/>
      <c r="C39" s="261"/>
      <c r="D39" s="261"/>
      <c r="E39" s="261"/>
      <c r="F39" s="261"/>
      <c r="G39" s="261"/>
      <c r="H39" s="261"/>
      <c r="I39" s="261"/>
      <c r="J39" s="189"/>
      <c r="K39" s="3" t="s">
        <v>292</v>
      </c>
      <c r="AA39" s="253"/>
      <c r="AE39" s="276"/>
      <c r="AH39" s="277"/>
      <c r="AI39" s="277"/>
      <c r="AJ39" s="277"/>
      <c r="AK39" s="266"/>
      <c r="AL39" s="266"/>
      <c r="AM39" s="266"/>
      <c r="AN39" s="277"/>
      <c r="AR39" s="276"/>
      <c r="AT39" s="276"/>
      <c r="AW39" s="277"/>
      <c r="AY39" s="277"/>
    </row>
    <row r="40" spans="1:51" x14ac:dyDescent="0.2">
      <c r="A40" s="283" t="s">
        <v>200</v>
      </c>
      <c r="B40" s="261"/>
      <c r="C40" s="261"/>
      <c r="D40" s="261"/>
      <c r="E40" s="261"/>
      <c r="F40" s="261"/>
      <c r="G40" s="261"/>
      <c r="H40" s="261"/>
      <c r="I40" s="261"/>
      <c r="J40" s="189"/>
      <c r="K40" s="90" t="s">
        <v>293</v>
      </c>
      <c r="AA40" s="253"/>
      <c r="AE40" s="276"/>
      <c r="AH40" s="277"/>
      <c r="AI40" s="277"/>
      <c r="AJ40" s="277"/>
      <c r="AK40" s="266"/>
      <c r="AL40" s="266"/>
      <c r="AM40" s="266"/>
      <c r="AN40" s="277"/>
      <c r="AR40" s="276"/>
      <c r="AT40" s="276"/>
      <c r="AW40" s="277"/>
      <c r="AY40" s="277"/>
    </row>
    <row r="41" spans="1:51" ht="10.5" x14ac:dyDescent="0.25">
      <c r="A41" s="284" t="s">
        <v>212</v>
      </c>
      <c r="B41" s="285">
        <f>[1]BW!$C$29</f>
        <v>65.3</v>
      </c>
      <c r="C41" s="290">
        <f>SUM(N17,P17,R17,T17,V17)</f>
        <v>5571.4596506024109</v>
      </c>
      <c r="D41" s="291">
        <f>X17</f>
        <v>0.18852460008646779</v>
      </c>
      <c r="E41" s="286">
        <v>5</v>
      </c>
      <c r="F41" s="286"/>
      <c r="G41" s="286">
        <v>26</v>
      </c>
      <c r="H41" s="286"/>
      <c r="I41" s="286"/>
      <c r="J41" s="190"/>
      <c r="K41" s="183"/>
      <c r="AA41" s="253"/>
      <c r="AE41" s="276"/>
      <c r="AH41" s="277"/>
      <c r="AI41" s="277"/>
      <c r="AJ41" s="277"/>
      <c r="AK41" s="266"/>
      <c r="AL41" s="266"/>
      <c r="AM41" s="266"/>
      <c r="AN41" s="277"/>
      <c r="AR41" s="276"/>
      <c r="AT41" s="276"/>
      <c r="AW41" s="277"/>
      <c r="AY41" s="277"/>
    </row>
    <row r="42" spans="1:51" x14ac:dyDescent="0.2">
      <c r="A42" s="287" t="s">
        <v>118</v>
      </c>
      <c r="B42" s="288"/>
      <c r="C42" s="288"/>
      <c r="D42" s="292"/>
      <c r="E42" s="288"/>
      <c r="F42" s="288"/>
      <c r="G42" s="288">
        <v>26</v>
      </c>
      <c r="H42" s="288">
        <v>26</v>
      </c>
      <c r="I42" s="288">
        <v>7</v>
      </c>
      <c r="J42" s="191">
        <v>1000000</v>
      </c>
      <c r="K42" s="184">
        <f>(C41*D41*E41*G41)/(B41*H42*I42*J42)</f>
        <v>1.1489359030055907E-5</v>
      </c>
      <c r="L42" s="293"/>
      <c r="AA42" s="253"/>
      <c r="AE42" s="276"/>
      <c r="AH42" s="277"/>
      <c r="AI42" s="277"/>
      <c r="AJ42" s="277"/>
      <c r="AK42" s="266"/>
      <c r="AL42" s="266"/>
      <c r="AM42" s="266"/>
      <c r="AN42" s="277"/>
      <c r="AR42" s="276"/>
      <c r="AT42" s="276"/>
      <c r="AW42" s="277"/>
      <c r="AY42" s="277"/>
    </row>
    <row r="43" spans="1:51" x14ac:dyDescent="0.2">
      <c r="A43" s="260"/>
      <c r="B43" s="261"/>
      <c r="C43" s="261"/>
      <c r="D43" s="291"/>
      <c r="E43" s="261"/>
      <c r="F43" s="261"/>
      <c r="G43" s="261" t="s">
        <v>159</v>
      </c>
      <c r="H43" s="261" t="s">
        <v>158</v>
      </c>
      <c r="I43" s="261" t="s">
        <v>157</v>
      </c>
      <c r="J43" s="189"/>
      <c r="K43" s="90" t="s">
        <v>123</v>
      </c>
      <c r="AA43" s="253"/>
      <c r="AE43" s="276"/>
      <c r="AH43" s="277"/>
      <c r="AI43" s="277"/>
      <c r="AJ43" s="277"/>
      <c r="AK43" s="266"/>
      <c r="AL43" s="266"/>
      <c r="AM43" s="266"/>
      <c r="AN43" s="277"/>
      <c r="AR43" s="276"/>
      <c r="AT43" s="276"/>
      <c r="AW43" s="277"/>
      <c r="AY43" s="277"/>
    </row>
    <row r="44" spans="1:51" ht="10.5" x14ac:dyDescent="0.25">
      <c r="A44" s="267" t="s">
        <v>126</v>
      </c>
      <c r="B44" s="261"/>
      <c r="C44" s="261"/>
      <c r="D44" s="291"/>
      <c r="E44" s="261"/>
      <c r="F44" s="261"/>
      <c r="G44" s="261" t="s">
        <v>152</v>
      </c>
      <c r="H44" s="261" t="s">
        <v>152</v>
      </c>
      <c r="I44" s="261" t="s">
        <v>151</v>
      </c>
      <c r="J44" s="189"/>
      <c r="K44" s="90" t="s">
        <v>122</v>
      </c>
      <c r="AA44" s="253"/>
      <c r="AE44" s="276"/>
      <c r="AH44" s="277"/>
      <c r="AI44" s="277"/>
      <c r="AJ44" s="277"/>
      <c r="AK44" s="266"/>
      <c r="AL44" s="266"/>
      <c r="AM44" s="266"/>
      <c r="AN44" s="277"/>
      <c r="AR44" s="276"/>
      <c r="AT44" s="276"/>
      <c r="AW44" s="277"/>
      <c r="AY44" s="277"/>
    </row>
    <row r="45" spans="1:51" ht="10.5" x14ac:dyDescent="0.25">
      <c r="A45" s="267"/>
      <c r="B45" s="261"/>
      <c r="C45" s="261"/>
      <c r="D45" s="291"/>
      <c r="E45" s="261"/>
      <c r="F45" s="261" t="s">
        <v>146</v>
      </c>
      <c r="G45" s="261" t="s">
        <v>145</v>
      </c>
      <c r="H45" s="261" t="s">
        <v>144</v>
      </c>
      <c r="I45" s="261" t="s">
        <v>286</v>
      </c>
      <c r="J45" s="189"/>
      <c r="K45" s="90" t="s">
        <v>120</v>
      </c>
      <c r="AA45" s="253"/>
      <c r="AE45" s="276"/>
      <c r="AH45" s="277"/>
      <c r="AI45" s="277"/>
      <c r="AJ45" s="277"/>
      <c r="AK45" s="266"/>
      <c r="AL45" s="266"/>
      <c r="AM45" s="266"/>
      <c r="AN45" s="277"/>
      <c r="AR45" s="276"/>
      <c r="AT45" s="276"/>
      <c r="AW45" s="277"/>
      <c r="AY45" s="277"/>
    </row>
    <row r="46" spans="1:51" x14ac:dyDescent="0.2">
      <c r="A46" s="260" t="s">
        <v>124</v>
      </c>
      <c r="B46" s="261"/>
      <c r="C46" s="261"/>
      <c r="D46" s="291"/>
      <c r="E46" s="261"/>
      <c r="F46" s="186" t="s">
        <v>135</v>
      </c>
      <c r="G46" s="186" t="s">
        <v>134</v>
      </c>
      <c r="H46" s="186" t="s">
        <v>134</v>
      </c>
      <c r="I46" s="186" t="s">
        <v>133</v>
      </c>
      <c r="J46" s="189"/>
      <c r="K46" s="90" t="s">
        <v>119</v>
      </c>
      <c r="AA46" s="253"/>
      <c r="AE46" s="276"/>
      <c r="AH46" s="277"/>
      <c r="AI46" s="277"/>
      <c r="AJ46" s="277"/>
      <c r="AK46" s="266"/>
      <c r="AL46" s="266"/>
      <c r="AM46" s="266"/>
      <c r="AN46" s="277"/>
      <c r="AR46" s="276"/>
      <c r="AT46" s="276"/>
      <c r="AW46" s="277"/>
      <c r="AY46" s="277"/>
    </row>
    <row r="47" spans="1:51" x14ac:dyDescent="0.2">
      <c r="A47" s="283" t="s">
        <v>200</v>
      </c>
      <c r="B47" s="261"/>
      <c r="C47" s="261"/>
      <c r="D47" s="291"/>
      <c r="E47" s="261"/>
      <c r="F47" s="261"/>
      <c r="G47" s="261"/>
      <c r="H47" s="261"/>
      <c r="I47" s="261"/>
      <c r="J47" s="189"/>
      <c r="K47" s="3" t="s">
        <v>292</v>
      </c>
      <c r="AA47" s="253"/>
      <c r="AE47" s="276"/>
      <c r="AH47" s="277"/>
      <c r="AI47" s="277"/>
      <c r="AJ47" s="277"/>
      <c r="AK47" s="266"/>
      <c r="AL47" s="266"/>
      <c r="AM47" s="266"/>
      <c r="AN47" s="277"/>
      <c r="AR47" s="276"/>
      <c r="AT47" s="276"/>
      <c r="AW47" s="277"/>
      <c r="AY47" s="277"/>
    </row>
    <row r="48" spans="1:51" ht="10.5" x14ac:dyDescent="0.25">
      <c r="A48" s="284" t="s">
        <v>211</v>
      </c>
      <c r="B48" s="285">
        <f>[1]BW!$F$33</f>
        <v>64.807142857142864</v>
      </c>
      <c r="C48" s="290">
        <f>SUM(N17,P17,R17,T17,V17)</f>
        <v>5571.4596506024109</v>
      </c>
      <c r="D48" s="291">
        <f>X17</f>
        <v>0.18852460008646779</v>
      </c>
      <c r="E48" s="286">
        <v>5</v>
      </c>
      <c r="F48" s="286">
        <v>26</v>
      </c>
      <c r="G48" s="286">
        <v>1</v>
      </c>
      <c r="H48" s="286"/>
      <c r="I48" s="286"/>
      <c r="J48" s="190"/>
      <c r="K48" s="90" t="s">
        <v>293</v>
      </c>
      <c r="Z48" s="253"/>
      <c r="AD48" s="276"/>
      <c r="AG48" s="277"/>
      <c r="AH48" s="277"/>
      <c r="AI48" s="277"/>
      <c r="AJ48" s="266"/>
      <c r="AK48" s="266"/>
      <c r="AL48" s="266"/>
      <c r="AM48" s="277"/>
      <c r="AQ48" s="276"/>
      <c r="AS48" s="276"/>
      <c r="AX48" s="277"/>
    </row>
    <row r="49" spans="1:15" x14ac:dyDescent="0.2">
      <c r="A49" s="284"/>
      <c r="B49" s="286"/>
      <c r="C49" s="286"/>
      <c r="D49" s="286"/>
      <c r="E49" s="286"/>
      <c r="F49" s="286"/>
      <c r="G49" s="288"/>
      <c r="H49" s="286"/>
      <c r="I49" s="286"/>
      <c r="J49" s="190"/>
      <c r="K49" s="183"/>
    </row>
    <row r="50" spans="1:15" x14ac:dyDescent="0.2">
      <c r="A50" s="287" t="s">
        <v>118</v>
      </c>
      <c r="B50" s="288"/>
      <c r="C50" s="288"/>
      <c r="D50" s="288"/>
      <c r="E50" s="288"/>
      <c r="F50" s="288"/>
      <c r="G50" s="288">
        <f>G48</f>
        <v>1</v>
      </c>
      <c r="H50" s="288">
        <v>70</v>
      </c>
      <c r="I50" s="288">
        <v>365</v>
      </c>
      <c r="J50" s="191">
        <v>1000000</v>
      </c>
      <c r="K50" s="184">
        <f>(C48*D48*E48*F48*G48)/(B48*H50*I50*J50)</f>
        <v>8.2464416523270105E-8</v>
      </c>
      <c r="L50" s="293"/>
    </row>
    <row r="53" spans="1:15" ht="10.5" x14ac:dyDescent="0.25">
      <c r="A53" s="182" t="s">
        <v>245</v>
      </c>
    </row>
    <row r="54" spans="1:15" x14ac:dyDescent="0.2">
      <c r="A54" s="255"/>
      <c r="B54" s="256"/>
      <c r="C54" s="256"/>
      <c r="D54" s="270" t="s">
        <v>251</v>
      </c>
      <c r="E54" s="270" t="s">
        <v>253</v>
      </c>
      <c r="F54" s="256"/>
      <c r="G54" s="256"/>
      <c r="H54" s="256"/>
      <c r="I54" s="256"/>
      <c r="J54" s="256"/>
      <c r="K54" s="256"/>
      <c r="L54" s="256"/>
      <c r="M54" s="187"/>
    </row>
    <row r="55" spans="1:15" ht="13" x14ac:dyDescent="0.35">
      <c r="A55" s="260"/>
      <c r="B55" s="261" t="s">
        <v>369</v>
      </c>
      <c r="C55" s="261" t="s">
        <v>277</v>
      </c>
      <c r="D55" s="261" t="s">
        <v>247</v>
      </c>
      <c r="E55" s="261" t="s">
        <v>247</v>
      </c>
      <c r="F55" s="262" t="s">
        <v>159</v>
      </c>
      <c r="G55" s="261"/>
      <c r="H55" s="261" t="s">
        <v>159</v>
      </c>
      <c r="I55" s="261" t="s">
        <v>158</v>
      </c>
      <c r="J55" s="263"/>
      <c r="K55" s="263"/>
      <c r="L55" s="263"/>
      <c r="M55" s="189"/>
    </row>
    <row r="56" spans="1:15" ht="13" x14ac:dyDescent="0.35">
      <c r="A56" s="267"/>
      <c r="B56" s="261" t="s">
        <v>246</v>
      </c>
      <c r="C56" s="261" t="s">
        <v>370</v>
      </c>
      <c r="D56" s="261" t="s">
        <v>170</v>
      </c>
      <c r="E56" s="261" t="s">
        <v>170</v>
      </c>
      <c r="F56" s="262" t="s">
        <v>153</v>
      </c>
      <c r="G56" s="261"/>
      <c r="H56" s="261" t="s">
        <v>152</v>
      </c>
      <c r="I56" s="261" t="s">
        <v>152</v>
      </c>
      <c r="J56" s="263"/>
      <c r="K56" s="263"/>
      <c r="L56" s="263"/>
      <c r="M56" s="189"/>
    </row>
    <row r="57" spans="1:15" ht="13" x14ac:dyDescent="0.35">
      <c r="A57" s="267"/>
      <c r="B57" s="263"/>
      <c r="C57" s="261" t="s">
        <v>279</v>
      </c>
      <c r="D57" s="261" t="s">
        <v>371</v>
      </c>
      <c r="E57" s="261" t="s">
        <v>372</v>
      </c>
      <c r="F57" s="261" t="s">
        <v>257</v>
      </c>
      <c r="G57" s="261" t="s">
        <v>147</v>
      </c>
      <c r="H57" s="261" t="s">
        <v>145</v>
      </c>
      <c r="I57" s="261" t="s">
        <v>144</v>
      </c>
      <c r="J57" s="261" t="s">
        <v>241</v>
      </c>
      <c r="K57" s="261" t="s">
        <v>259</v>
      </c>
      <c r="L57" s="261" t="s">
        <v>280</v>
      </c>
      <c r="M57" s="189"/>
    </row>
    <row r="58" spans="1:15" ht="13.5" x14ac:dyDescent="0.35">
      <c r="A58" s="260"/>
      <c r="B58" s="261" t="s">
        <v>373</v>
      </c>
      <c r="C58" s="261" t="s">
        <v>374</v>
      </c>
      <c r="D58" s="261" t="s">
        <v>248</v>
      </c>
      <c r="E58" s="261" t="s">
        <v>254</v>
      </c>
      <c r="F58" s="261" t="s">
        <v>249</v>
      </c>
      <c r="G58" s="261" t="s">
        <v>250</v>
      </c>
      <c r="H58" s="261" t="s">
        <v>213</v>
      </c>
      <c r="I58" s="261" t="s">
        <v>213</v>
      </c>
      <c r="J58" s="261" t="s">
        <v>255</v>
      </c>
      <c r="K58" s="261" t="s">
        <v>252</v>
      </c>
      <c r="L58" s="261" t="s">
        <v>267</v>
      </c>
      <c r="M58" s="189"/>
    </row>
    <row r="59" spans="1:15" x14ac:dyDescent="0.2">
      <c r="A59" s="255"/>
      <c r="B59" s="270"/>
      <c r="C59" s="270"/>
      <c r="D59" s="270"/>
      <c r="E59" s="270"/>
      <c r="F59" s="256"/>
      <c r="G59" s="270"/>
      <c r="H59" s="270"/>
      <c r="I59" s="256"/>
      <c r="J59" s="256"/>
      <c r="K59" s="256"/>
      <c r="L59" s="256"/>
      <c r="M59" s="271"/>
      <c r="N59" s="90" t="s">
        <v>122</v>
      </c>
      <c r="O59" s="90"/>
    </row>
    <row r="60" spans="1:15" ht="10.5" x14ac:dyDescent="0.25">
      <c r="A60" s="267" t="s">
        <v>131</v>
      </c>
      <c r="B60" s="263"/>
      <c r="C60" s="263"/>
      <c r="D60" s="263"/>
      <c r="E60" s="263"/>
      <c r="F60" s="263"/>
      <c r="G60" s="263"/>
      <c r="H60" s="263"/>
      <c r="I60" s="263"/>
      <c r="J60" s="263"/>
      <c r="K60" s="263"/>
      <c r="L60" s="263"/>
      <c r="M60" s="188"/>
      <c r="N60" s="90" t="s">
        <v>268</v>
      </c>
      <c r="O60" s="90"/>
    </row>
    <row r="61" spans="1:15" x14ac:dyDescent="0.2">
      <c r="A61" s="260" t="s">
        <v>124</v>
      </c>
      <c r="B61" s="263"/>
      <c r="C61" s="263"/>
      <c r="D61" s="263"/>
      <c r="E61" s="263"/>
      <c r="F61" s="263"/>
      <c r="G61" s="263"/>
      <c r="H61" s="263"/>
      <c r="I61" s="263"/>
      <c r="J61" s="263"/>
      <c r="K61" s="263"/>
      <c r="L61" s="263"/>
      <c r="M61" s="188"/>
      <c r="N61" s="90" t="s">
        <v>159</v>
      </c>
      <c r="O61" s="90"/>
    </row>
    <row r="62" spans="1:15" ht="12" x14ac:dyDescent="0.2">
      <c r="A62" s="283" t="s">
        <v>200</v>
      </c>
      <c r="B62" s="261"/>
      <c r="C62" s="261"/>
      <c r="D62" s="261"/>
      <c r="E62" s="261"/>
      <c r="F62" s="261"/>
      <c r="G62" s="261"/>
      <c r="H62" s="261"/>
      <c r="I62" s="261"/>
      <c r="J62" s="261"/>
      <c r="K62" s="261"/>
      <c r="L62" s="261"/>
      <c r="M62" s="189"/>
      <c r="N62" s="90" t="s">
        <v>375</v>
      </c>
      <c r="O62" s="90"/>
    </row>
    <row r="63" spans="1:15" ht="10.5" x14ac:dyDescent="0.25">
      <c r="A63" s="284" t="s">
        <v>212</v>
      </c>
      <c r="B63" s="382">
        <f>[1]BW!$C$29</f>
        <v>65.3</v>
      </c>
      <c r="C63" s="286">
        <v>0.5</v>
      </c>
      <c r="D63" s="286">
        <v>20</v>
      </c>
      <c r="E63" s="286">
        <v>20000</v>
      </c>
      <c r="F63" s="286">
        <v>8</v>
      </c>
      <c r="G63" s="286">
        <v>5</v>
      </c>
      <c r="H63" s="286">
        <v>26</v>
      </c>
      <c r="I63" s="286"/>
      <c r="J63" s="286"/>
      <c r="K63" s="286"/>
      <c r="L63" s="286"/>
      <c r="M63" s="190"/>
      <c r="N63" s="183"/>
    </row>
    <row r="64" spans="1:15" x14ac:dyDescent="0.2">
      <c r="A64" s="287" t="s">
        <v>118</v>
      </c>
      <c r="B64" s="288"/>
      <c r="C64" s="288"/>
      <c r="D64" s="288"/>
      <c r="E64" s="288"/>
      <c r="F64" s="288"/>
      <c r="G64" s="288"/>
      <c r="H64" s="288">
        <v>26</v>
      </c>
      <c r="I64" s="288">
        <v>26</v>
      </c>
      <c r="J64" s="294">
        <f>1/(24*7)</f>
        <v>5.9523809523809521E-3</v>
      </c>
      <c r="K64" s="295">
        <v>1.0000000000000001E-9</v>
      </c>
      <c r="L64" s="186">
        <f>60*24</f>
        <v>1440</v>
      </c>
      <c r="M64" s="191"/>
      <c r="N64" s="296">
        <f>C63*B63*D63*F63*G63*H63*J64*K64*L64/(E63*I64)</f>
        <v>1.1194285714285713E-8</v>
      </c>
    </row>
    <row r="65" spans="1:15" x14ac:dyDescent="0.2">
      <c r="A65" s="260"/>
      <c r="B65" s="261"/>
      <c r="C65" s="261"/>
      <c r="D65" s="261"/>
      <c r="E65" s="261"/>
      <c r="F65" s="261"/>
      <c r="G65" s="261"/>
      <c r="H65" s="261"/>
      <c r="I65" s="261"/>
      <c r="J65" s="261"/>
      <c r="K65" s="261"/>
      <c r="L65" s="261"/>
      <c r="M65" s="189"/>
    </row>
    <row r="66" spans="1:15" ht="10.5" x14ac:dyDescent="0.25">
      <c r="A66" s="267" t="s">
        <v>126</v>
      </c>
      <c r="B66" s="261"/>
      <c r="C66" s="261"/>
      <c r="D66" s="261"/>
      <c r="E66" s="261"/>
      <c r="F66" s="261"/>
      <c r="G66" s="261"/>
      <c r="H66" s="261"/>
      <c r="I66" s="261" t="s">
        <v>159</v>
      </c>
      <c r="J66" s="261" t="s">
        <v>158</v>
      </c>
      <c r="K66" s="261"/>
      <c r="L66" s="261"/>
      <c r="M66" s="189"/>
      <c r="N66" s="90" t="s">
        <v>123</v>
      </c>
    </row>
    <row r="67" spans="1:15" ht="10.5" x14ac:dyDescent="0.25">
      <c r="A67" s="267"/>
      <c r="B67" s="261"/>
      <c r="C67" s="261"/>
      <c r="D67" s="261"/>
      <c r="E67" s="261"/>
      <c r="F67" s="261"/>
      <c r="G67" s="261"/>
      <c r="H67" s="261"/>
      <c r="I67" s="261" t="s">
        <v>152</v>
      </c>
      <c r="J67" s="261" t="s">
        <v>152</v>
      </c>
      <c r="K67" s="261"/>
      <c r="L67" s="261"/>
      <c r="M67" s="189"/>
      <c r="N67" s="90" t="s">
        <v>122</v>
      </c>
    </row>
    <row r="68" spans="1:15" x14ac:dyDescent="0.2">
      <c r="A68" s="260" t="s">
        <v>124</v>
      </c>
      <c r="B68" s="261"/>
      <c r="C68" s="261"/>
      <c r="D68" s="261"/>
      <c r="E68" s="261"/>
      <c r="F68" s="261"/>
      <c r="G68" s="261"/>
      <c r="H68" s="261" t="s">
        <v>146</v>
      </c>
      <c r="I68" s="261" t="s">
        <v>145</v>
      </c>
      <c r="J68" s="261" t="s">
        <v>144</v>
      </c>
      <c r="K68" s="261" t="s">
        <v>281</v>
      </c>
      <c r="L68" s="261" t="s">
        <v>282</v>
      </c>
      <c r="M68" s="189" t="s">
        <v>280</v>
      </c>
      <c r="N68" s="90" t="s">
        <v>268</v>
      </c>
    </row>
    <row r="69" spans="1:15" x14ac:dyDescent="0.2">
      <c r="A69" s="283" t="s">
        <v>200</v>
      </c>
      <c r="B69" s="261"/>
      <c r="C69" s="261"/>
      <c r="D69" s="261"/>
      <c r="E69" s="261"/>
      <c r="F69" s="261"/>
      <c r="G69" s="261"/>
      <c r="H69" s="186" t="s">
        <v>256</v>
      </c>
      <c r="I69" s="186" t="s">
        <v>134</v>
      </c>
      <c r="J69" s="186" t="s">
        <v>134</v>
      </c>
      <c r="K69" s="186" t="s">
        <v>258</v>
      </c>
      <c r="L69" s="186" t="s">
        <v>260</v>
      </c>
      <c r="M69" s="297" t="s">
        <v>267</v>
      </c>
      <c r="N69" s="90" t="s">
        <v>159</v>
      </c>
    </row>
    <row r="70" spans="1:15" ht="12.5" x14ac:dyDescent="0.25">
      <c r="A70" s="284" t="s">
        <v>211</v>
      </c>
      <c r="B70" s="285">
        <f>[1]BW!$F$33</f>
        <v>64.807142857142864</v>
      </c>
      <c r="C70" s="261">
        <f>C63</f>
        <v>0.5</v>
      </c>
      <c r="D70" s="261">
        <v>20</v>
      </c>
      <c r="E70" s="261">
        <v>20000</v>
      </c>
      <c r="F70" s="261">
        <v>8</v>
      </c>
      <c r="G70" s="261">
        <v>5</v>
      </c>
      <c r="H70" s="261">
        <v>26</v>
      </c>
      <c r="I70" s="261"/>
      <c r="J70" s="261"/>
      <c r="K70" s="261"/>
      <c r="L70" s="261"/>
      <c r="M70" s="189"/>
      <c r="N70" s="90" t="s">
        <v>376</v>
      </c>
    </row>
    <row r="71" spans="1:15" x14ac:dyDescent="0.2">
      <c r="A71" s="284"/>
      <c r="B71" s="286"/>
      <c r="C71" s="286"/>
      <c r="D71" s="286"/>
      <c r="E71" s="286"/>
      <c r="F71" s="286"/>
      <c r="G71" s="286"/>
      <c r="H71" s="286"/>
      <c r="I71" s="286"/>
      <c r="J71" s="286"/>
      <c r="K71" s="286"/>
      <c r="L71" s="286"/>
      <c r="M71" s="190"/>
      <c r="N71" s="183"/>
    </row>
    <row r="72" spans="1:15" x14ac:dyDescent="0.2">
      <c r="A72" s="287" t="s">
        <v>118</v>
      </c>
      <c r="B72" s="288"/>
      <c r="C72" s="288"/>
      <c r="D72" s="288"/>
      <c r="E72" s="288"/>
      <c r="F72" s="288"/>
      <c r="G72" s="288"/>
      <c r="H72" s="288"/>
      <c r="I72" s="186">
        <v>1</v>
      </c>
      <c r="J72" s="186">
        <v>70</v>
      </c>
      <c r="K72" s="294">
        <f>1/(365*24)</f>
        <v>1.1415525114155251E-4</v>
      </c>
      <c r="L72" s="298">
        <v>9.9999999999999995E-7</v>
      </c>
      <c r="M72" s="191">
        <f>60*24</f>
        <v>1440</v>
      </c>
      <c r="N72" s="296">
        <f>C70*B70*D70*F70*G70*H70*I72*K72*L72*M72/(E70*J72)</f>
        <v>7.9138272295219448E-8</v>
      </c>
    </row>
    <row r="74" spans="1:15" ht="10.5" x14ac:dyDescent="0.25">
      <c r="A74" s="182" t="s">
        <v>261</v>
      </c>
    </row>
    <row r="75" spans="1:15" x14ac:dyDescent="0.2">
      <c r="A75" s="255"/>
      <c r="B75" s="256"/>
      <c r="C75" s="256"/>
      <c r="D75" s="256"/>
      <c r="E75" s="270" t="s">
        <v>251</v>
      </c>
      <c r="F75" s="256"/>
      <c r="G75" s="256"/>
      <c r="H75" s="256"/>
      <c r="I75" s="256"/>
      <c r="J75" s="256"/>
      <c r="K75" s="256"/>
      <c r="L75" s="256"/>
      <c r="M75" s="256"/>
      <c r="N75" s="187"/>
    </row>
    <row r="76" spans="1:15" ht="13" x14ac:dyDescent="0.35">
      <c r="A76" s="260"/>
      <c r="B76" s="261" t="s">
        <v>141</v>
      </c>
      <c r="C76" s="261" t="s">
        <v>369</v>
      </c>
      <c r="D76" s="261" t="s">
        <v>277</v>
      </c>
      <c r="E76" s="261" t="s">
        <v>247</v>
      </c>
      <c r="F76" s="262" t="s">
        <v>159</v>
      </c>
      <c r="G76" s="261"/>
      <c r="H76" s="261" t="s">
        <v>159</v>
      </c>
      <c r="I76" s="261" t="s">
        <v>158</v>
      </c>
      <c r="J76" s="263"/>
      <c r="K76" s="263"/>
      <c r="L76" s="263"/>
      <c r="M76" s="261"/>
      <c r="N76" s="189"/>
    </row>
    <row r="77" spans="1:15" ht="13" x14ac:dyDescent="0.35">
      <c r="A77" s="267"/>
      <c r="B77" s="261" t="s">
        <v>155</v>
      </c>
      <c r="C77" s="261" t="s">
        <v>246</v>
      </c>
      <c r="D77" s="261" t="s">
        <v>370</v>
      </c>
      <c r="E77" s="261" t="s">
        <v>170</v>
      </c>
      <c r="F77" s="262" t="s">
        <v>153</v>
      </c>
      <c r="G77" s="261"/>
      <c r="H77" s="261" t="s">
        <v>152</v>
      </c>
      <c r="I77" s="261" t="s">
        <v>152</v>
      </c>
      <c r="J77" s="263"/>
      <c r="K77" s="263"/>
      <c r="L77" s="263"/>
      <c r="M77" s="261"/>
      <c r="N77" s="189"/>
    </row>
    <row r="78" spans="1:15" ht="13" x14ac:dyDescent="0.35">
      <c r="A78" s="267"/>
      <c r="B78" s="261" t="s">
        <v>149</v>
      </c>
      <c r="C78" s="263"/>
      <c r="D78" s="261" t="s">
        <v>278</v>
      </c>
      <c r="E78" s="261" t="s">
        <v>371</v>
      </c>
      <c r="F78" s="261" t="s">
        <v>257</v>
      </c>
      <c r="G78" s="261" t="s">
        <v>147</v>
      </c>
      <c r="H78" s="261" t="s">
        <v>145</v>
      </c>
      <c r="I78" s="261" t="s">
        <v>144</v>
      </c>
      <c r="J78" s="261" t="s">
        <v>283</v>
      </c>
      <c r="K78" s="261" t="s">
        <v>259</v>
      </c>
      <c r="L78" s="261" t="s">
        <v>284</v>
      </c>
      <c r="M78" s="261" t="s">
        <v>285</v>
      </c>
      <c r="N78" s="189"/>
      <c r="O78" s="90" t="s">
        <v>122</v>
      </c>
    </row>
    <row r="79" spans="1:15" ht="13.5" x14ac:dyDescent="0.35">
      <c r="A79" s="260"/>
      <c r="B79" s="261" t="s">
        <v>139</v>
      </c>
      <c r="C79" s="261" t="s">
        <v>373</v>
      </c>
      <c r="D79" s="261" t="s">
        <v>377</v>
      </c>
      <c r="E79" s="261" t="s">
        <v>248</v>
      </c>
      <c r="F79" s="261" t="s">
        <v>249</v>
      </c>
      <c r="G79" s="261" t="s">
        <v>250</v>
      </c>
      <c r="H79" s="261" t="s">
        <v>213</v>
      </c>
      <c r="I79" s="261" t="s">
        <v>213</v>
      </c>
      <c r="J79" s="261" t="s">
        <v>263</v>
      </c>
      <c r="K79" s="261" t="s">
        <v>252</v>
      </c>
      <c r="L79" s="261" t="s">
        <v>378</v>
      </c>
      <c r="M79" s="261" t="s">
        <v>264</v>
      </c>
      <c r="N79" s="297"/>
      <c r="O79" s="90" t="s">
        <v>160</v>
      </c>
    </row>
    <row r="80" spans="1:15" x14ac:dyDescent="0.2">
      <c r="A80" s="255"/>
      <c r="B80" s="270"/>
      <c r="C80" s="270"/>
      <c r="D80" s="270"/>
      <c r="E80" s="270"/>
      <c r="F80" s="256"/>
      <c r="G80" s="270"/>
      <c r="H80" s="270"/>
      <c r="I80" s="256"/>
      <c r="J80" s="256"/>
      <c r="K80" s="256"/>
      <c r="L80" s="256"/>
      <c r="M80" s="270"/>
      <c r="N80" s="189"/>
      <c r="O80" s="90" t="s">
        <v>262</v>
      </c>
    </row>
    <row r="81" spans="1:15" ht="10.5" x14ac:dyDescent="0.25">
      <c r="A81" s="267" t="s">
        <v>131</v>
      </c>
      <c r="B81" s="261"/>
      <c r="C81" s="261"/>
      <c r="D81" s="261"/>
      <c r="E81" s="261"/>
      <c r="F81" s="261"/>
      <c r="G81" s="261"/>
      <c r="H81" s="261"/>
      <c r="I81" s="261"/>
      <c r="J81" s="261"/>
      <c r="K81" s="261"/>
      <c r="L81" s="261"/>
      <c r="M81" s="261"/>
      <c r="N81" s="189"/>
      <c r="O81" s="90" t="s">
        <v>159</v>
      </c>
    </row>
    <row r="82" spans="1:15" x14ac:dyDescent="0.2">
      <c r="A82" s="260" t="s">
        <v>124</v>
      </c>
      <c r="B82" s="261"/>
      <c r="C82" s="261"/>
      <c r="D82" s="261"/>
      <c r="E82" s="261"/>
      <c r="F82" s="261"/>
      <c r="G82" s="261"/>
      <c r="H82" s="261"/>
      <c r="I82" s="261"/>
      <c r="J82" s="261"/>
      <c r="K82" s="261"/>
      <c r="L82" s="261"/>
      <c r="M82" s="261"/>
      <c r="N82" s="189"/>
      <c r="O82" s="3" t="s">
        <v>292</v>
      </c>
    </row>
    <row r="83" spans="1:15" x14ac:dyDescent="0.2">
      <c r="A83" s="283" t="s">
        <v>200</v>
      </c>
      <c r="B83" s="261"/>
      <c r="C83" s="261"/>
      <c r="D83" s="261"/>
      <c r="E83" s="261"/>
      <c r="F83" s="261"/>
      <c r="G83" s="261"/>
      <c r="H83" s="261"/>
      <c r="I83" s="261"/>
      <c r="J83" s="261"/>
      <c r="K83" s="261"/>
      <c r="L83" s="261"/>
      <c r="M83" s="261"/>
      <c r="N83" s="189"/>
      <c r="O83" s="90" t="s">
        <v>293</v>
      </c>
    </row>
    <row r="84" spans="1:15" ht="10.5" x14ac:dyDescent="0.25">
      <c r="A84" s="284" t="s">
        <v>212</v>
      </c>
      <c r="B84" s="285">
        <f>[1]BW!$C$29</f>
        <v>65.3</v>
      </c>
      <c r="C84" s="286">
        <v>60</v>
      </c>
      <c r="D84" s="286">
        <v>1.5</v>
      </c>
      <c r="E84" s="286">
        <v>20</v>
      </c>
      <c r="F84" s="286">
        <v>8</v>
      </c>
      <c r="G84" s="286">
        <v>5</v>
      </c>
      <c r="H84" s="286">
        <v>26</v>
      </c>
      <c r="I84" s="286"/>
      <c r="J84" s="286"/>
      <c r="K84" s="286"/>
      <c r="L84" s="286"/>
      <c r="M84" s="286"/>
      <c r="N84" s="190"/>
      <c r="O84" s="183"/>
    </row>
    <row r="85" spans="1:15" x14ac:dyDescent="0.2">
      <c r="A85" s="287" t="s">
        <v>118</v>
      </c>
      <c r="B85" s="288"/>
      <c r="C85" s="288"/>
      <c r="D85" s="288"/>
      <c r="E85" s="288"/>
      <c r="F85" s="288"/>
      <c r="G85" s="288"/>
      <c r="H85" s="288">
        <v>26</v>
      </c>
      <c r="I85" s="288">
        <v>26</v>
      </c>
      <c r="J85" s="299">
        <f>1/7</f>
        <v>0.14285714285714285</v>
      </c>
      <c r="K85" s="295">
        <v>1.0000000000000001E-9</v>
      </c>
      <c r="L85" s="288">
        <v>1E-3</v>
      </c>
      <c r="M85" s="288">
        <v>60</v>
      </c>
      <c r="N85" s="191"/>
      <c r="O85" s="296">
        <f>D84*C84*E84*F84*G84*H84*J85*K85*L85*M85/(I85*B84)</f>
        <v>9.4508860205644295E-9</v>
      </c>
    </row>
    <row r="86" spans="1:15" x14ac:dyDescent="0.2">
      <c r="A86" s="260"/>
      <c r="B86" s="261"/>
      <c r="C86" s="261"/>
      <c r="D86" s="261"/>
      <c r="E86" s="261"/>
      <c r="F86" s="261"/>
      <c r="G86" s="261"/>
      <c r="H86" s="261"/>
      <c r="I86" s="261"/>
      <c r="J86" s="261"/>
      <c r="K86" s="261"/>
      <c r="L86" s="261"/>
      <c r="M86" s="261"/>
      <c r="N86" s="189"/>
      <c r="O86" s="90" t="s">
        <v>123</v>
      </c>
    </row>
    <row r="87" spans="1:15" ht="10.5" x14ac:dyDescent="0.25">
      <c r="A87" s="267" t="s">
        <v>126</v>
      </c>
      <c r="B87" s="261"/>
      <c r="C87" s="261"/>
      <c r="D87" s="261"/>
      <c r="E87" s="261"/>
      <c r="F87" s="261"/>
      <c r="G87" s="261"/>
      <c r="H87" s="261"/>
      <c r="I87" s="261" t="s">
        <v>159</v>
      </c>
      <c r="J87" s="261" t="s">
        <v>158</v>
      </c>
      <c r="K87" s="261"/>
      <c r="L87" s="261"/>
      <c r="M87" s="261"/>
      <c r="N87" s="189"/>
      <c r="O87" s="90" t="s">
        <v>122</v>
      </c>
    </row>
    <row r="88" spans="1:15" ht="10.5" x14ac:dyDescent="0.25">
      <c r="A88" s="267"/>
      <c r="B88" s="261"/>
      <c r="C88" s="261"/>
      <c r="D88" s="261"/>
      <c r="E88" s="261"/>
      <c r="F88" s="261"/>
      <c r="G88" s="261"/>
      <c r="H88" s="261"/>
      <c r="I88" s="261" t="s">
        <v>152</v>
      </c>
      <c r="J88" s="261" t="s">
        <v>152</v>
      </c>
      <c r="K88" s="261"/>
      <c r="L88" s="261"/>
      <c r="M88" s="261"/>
      <c r="N88" s="189"/>
      <c r="O88" s="90" t="s">
        <v>160</v>
      </c>
    </row>
    <row r="89" spans="1:15" x14ac:dyDescent="0.2">
      <c r="A89" s="260" t="s">
        <v>124</v>
      </c>
      <c r="B89" s="261"/>
      <c r="C89" s="261"/>
      <c r="D89" s="261"/>
      <c r="E89" s="261"/>
      <c r="F89" s="261"/>
      <c r="G89" s="261"/>
      <c r="H89" s="261" t="s">
        <v>146</v>
      </c>
      <c r="I89" s="261" t="s">
        <v>145</v>
      </c>
      <c r="J89" s="261" t="s">
        <v>144</v>
      </c>
      <c r="K89" s="261" t="s">
        <v>259</v>
      </c>
      <c r="L89" s="261" t="s">
        <v>284</v>
      </c>
      <c r="M89" s="261" t="s">
        <v>285</v>
      </c>
      <c r="N89" s="189" t="s">
        <v>287</v>
      </c>
      <c r="O89" s="90" t="s">
        <v>262</v>
      </c>
    </row>
    <row r="90" spans="1:15" ht="12" x14ac:dyDescent="0.2">
      <c r="A90" s="283" t="s">
        <v>200</v>
      </c>
      <c r="B90" s="261"/>
      <c r="C90" s="261"/>
      <c r="D90" s="261"/>
      <c r="E90" s="261"/>
      <c r="F90" s="261"/>
      <c r="G90" s="261"/>
      <c r="H90" s="186" t="s">
        <v>256</v>
      </c>
      <c r="I90" s="186" t="s">
        <v>134</v>
      </c>
      <c r="J90" s="186" t="s">
        <v>134</v>
      </c>
      <c r="K90" s="186" t="s">
        <v>252</v>
      </c>
      <c r="L90" s="186" t="s">
        <v>378</v>
      </c>
      <c r="M90" s="186" t="s">
        <v>264</v>
      </c>
      <c r="N90" s="297" t="s">
        <v>265</v>
      </c>
      <c r="O90" s="90" t="s">
        <v>159</v>
      </c>
    </row>
    <row r="91" spans="1:15" ht="10.5" x14ac:dyDescent="0.25">
      <c r="A91" s="284" t="s">
        <v>211</v>
      </c>
      <c r="B91" s="285">
        <f>[1]BW!$F$33</f>
        <v>64.807142857142864</v>
      </c>
      <c r="C91" s="261">
        <v>60</v>
      </c>
      <c r="D91" s="261">
        <f>D84</f>
        <v>1.5</v>
      </c>
      <c r="E91" s="261">
        <v>20</v>
      </c>
      <c r="F91" s="261">
        <v>8</v>
      </c>
      <c r="G91" s="261">
        <v>5</v>
      </c>
      <c r="H91" s="261">
        <v>26</v>
      </c>
      <c r="I91" s="261"/>
      <c r="J91" s="261"/>
      <c r="K91" s="261"/>
      <c r="L91" s="261"/>
      <c r="M91" s="261"/>
      <c r="N91" s="189"/>
      <c r="O91" s="90" t="s">
        <v>294</v>
      </c>
    </row>
    <row r="92" spans="1:15" x14ac:dyDescent="0.2">
      <c r="A92" s="284"/>
      <c r="B92" s="286"/>
      <c r="C92" s="286"/>
      <c r="D92" s="286"/>
      <c r="E92" s="286"/>
      <c r="F92" s="286"/>
      <c r="G92" s="286"/>
      <c r="H92" s="286"/>
      <c r="I92" s="286"/>
      <c r="J92" s="286"/>
      <c r="K92" s="286"/>
      <c r="L92" s="286"/>
      <c r="M92" s="286"/>
      <c r="N92" s="190"/>
      <c r="O92" s="183"/>
    </row>
    <row r="93" spans="1:15" x14ac:dyDescent="0.2">
      <c r="A93" s="287" t="s">
        <v>118</v>
      </c>
      <c r="B93" s="288"/>
      <c r="C93" s="288"/>
      <c r="D93" s="288"/>
      <c r="E93" s="288"/>
      <c r="F93" s="288"/>
      <c r="G93" s="288"/>
      <c r="H93" s="288"/>
      <c r="I93" s="186">
        <v>1</v>
      </c>
      <c r="J93" s="186">
        <v>70</v>
      </c>
      <c r="K93" s="295">
        <v>1.0000000000000001E-9</v>
      </c>
      <c r="L93" s="288">
        <v>1E-3</v>
      </c>
      <c r="M93" s="288">
        <v>60</v>
      </c>
      <c r="N93" s="300">
        <f>1/365</f>
        <v>2.7397260273972603E-3</v>
      </c>
      <c r="O93" s="296">
        <f>D91*C91*E91*F91*G91*H91*I93*K93*L93*M93*N93/(J93*B91)</f>
        <v>6.7833357742149295E-11</v>
      </c>
    </row>
  </sheetData>
  <sheetProtection sheet="1" objects="1" scenarios="1"/>
  <mergeCells count="4">
    <mergeCell ref="D14:E14"/>
    <mergeCell ref="D15:E15"/>
    <mergeCell ref="D20:E20"/>
    <mergeCell ref="A1:B1"/>
  </mergeCells>
  <phoneticPr fontId="0" type="noConversion"/>
  <pageMargins left="0.75" right="0.75" top="1" bottom="1" header="0.5" footer="0.5"/>
  <pageSetup pageOrder="overThenDown" orientation="landscape" horizontalDpi="1200" verticalDpi="1200" r:id="rId1"/>
  <headerFooter>
    <oddHeader>&amp;C&amp;"Arial,Bold"MCP Numerical Standards Derivation</oddHeader>
    <oddFooter>&amp;L&amp;8MassDEP&amp;C&amp;8 2024&amp;R&amp;8Workbook: &amp;F
Sheet: &amp;A
Page &amp;P of &amp;N</oddFooter>
  </headerFooter>
  <rowBreaks count="2" manualBreakCount="2">
    <brk id="30" max="16383" man="1"/>
    <brk id="73"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8</vt:i4>
      </vt:variant>
      <vt:variant>
        <vt:lpstr>Named Ranges</vt:lpstr>
      </vt:variant>
      <vt:variant>
        <vt:i4>14</vt:i4>
      </vt:variant>
    </vt:vector>
  </HeadingPairs>
  <TitlesOfParts>
    <vt:vector size="22" baseType="lpstr">
      <vt:lpstr>Introduction</vt:lpstr>
      <vt:lpstr>S-1</vt:lpstr>
      <vt:lpstr>S-1 Assumptions</vt:lpstr>
      <vt:lpstr>S-1 TCE &amp; VC</vt:lpstr>
      <vt:lpstr>S-2</vt:lpstr>
      <vt:lpstr>S-2 Assumptions</vt:lpstr>
      <vt:lpstr>S-3</vt:lpstr>
      <vt:lpstr>S-3 Assumptions</vt:lpstr>
      <vt:lpstr>Introduction!Print_Area</vt:lpstr>
      <vt:lpstr>'S-1'!Print_Area</vt:lpstr>
      <vt:lpstr>'S-1 Assumptions'!Print_Area</vt:lpstr>
      <vt:lpstr>'S-1 TCE &amp; VC'!Print_Area</vt:lpstr>
      <vt:lpstr>'S-2'!Print_Area</vt:lpstr>
      <vt:lpstr>'S-2 Assumptions'!Print_Area</vt:lpstr>
      <vt:lpstr>'S-3'!Print_Area</vt:lpstr>
      <vt:lpstr>'S-3 Assumptions'!Print_Area</vt:lpstr>
      <vt:lpstr>'S-1'!Print_Titles</vt:lpstr>
      <vt:lpstr>'S-2'!Print_Titles</vt:lpstr>
      <vt:lpstr>'S-3'!Print_Titles</vt:lpstr>
      <vt:lpstr>Sone</vt:lpstr>
      <vt:lpstr>Sthree</vt:lpstr>
      <vt:lpstr>Stwo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2022-12-08T13:58:18Z</dcterms:created>
  <dcterms:modified xsi:type="dcterms:W3CDTF">2024-02-29T19:16:34Z</dcterms:modified>
</cp:coreProperties>
</file>