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fileSharing readOnlyRecommended="1"/>
  <workbookPr filterPrivacy="1" updateLinks="always" codeName="ThisWorkbook"/>
  <xr:revisionPtr revIDLastSave="0" documentId="13_ncr:1_{C42FBA64-5143-4379-BB9C-E77E876FBE43}" xr6:coauthVersionLast="47" xr6:coauthVersionMax="47" xr10:uidLastSave="{00000000-0000-0000-0000-000000000000}"/>
  <workbookProtection lockStructure="1"/>
  <bookViews>
    <workbookView xWindow="-110" yWindow="-110" windowWidth="19420" windowHeight="10420" tabRatio="702" xr2:uid="{00000000-000D-0000-FFFF-FFFF00000000}"/>
  </bookViews>
  <sheets>
    <sheet name="Introduction" sheetId="10" r:id="rId1"/>
    <sheet name="DATENTER" sheetId="1" r:id="rId2"/>
    <sheet name="SiteCalcs" sheetId="9" r:id="rId3"/>
    <sheet name="ChemCalcs" sheetId="8" r:id="rId4"/>
    <sheet name="ChemProps" sheetId="6" r:id="rId5"/>
    <sheet name="SoilProp" sheetId="5" r:id="rId6"/>
    <sheet name="Alpha Graph" sheetId="12" r:id="rId7"/>
    <sheet name="Sheet1" sheetId="11" state="hidden" r:id="rId8"/>
  </sheets>
  <externalReferences>
    <externalReference r:id="rId9"/>
  </externalReferences>
  <definedNames>
    <definedName name="_xlnm._FilterDatabase" localSheetId="3" hidden="1">ChemCalcs!$A$6:$L$129</definedName>
    <definedName name="CCalcs">ChemCalcs!$A$1:$L$129</definedName>
    <definedName name="_xlnm.Print_Area" localSheetId="3">ChemCalcs!$A$1:$L$129</definedName>
    <definedName name="_xlnm.Print_Area" localSheetId="4">ChemProps!$C$7:$K$129</definedName>
    <definedName name="_xlnm.Print_Area" localSheetId="1">DATENTER!$B$1:$H$78</definedName>
    <definedName name="_xlnm.Print_Area" localSheetId="0">Introduction!$B$1:$G$43</definedName>
    <definedName name="_xlnm.Print_Area" localSheetId="2">SiteCalcs!$A$1:$N$29</definedName>
    <definedName name="_xlnm.Print_Area" localSheetId="5">SoilProp!$A$1:$I$14</definedName>
    <definedName name="_xlnm.Print_Titles" localSheetId="3">ChemCalcs!$A:$A,ChemCalcs!$1:$6</definedName>
    <definedName name="_xlnm.Print_Titles" localSheetId="4">ChemProps!$A:$A,ChemProps!$1:$6</definedName>
    <definedName name="Props">ChemProps!$A$1:$K$129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9" i="6" l="1"/>
  <c r="K128" i="6"/>
  <c r="K127" i="6"/>
  <c r="K126" i="6"/>
  <c r="K125" i="6"/>
  <c r="K124" i="6"/>
  <c r="K123" i="6"/>
  <c r="K122" i="6"/>
  <c r="K121" i="6"/>
  <c r="K120" i="6"/>
  <c r="K119" i="6"/>
  <c r="K118" i="6"/>
  <c r="K117" i="6"/>
  <c r="K116" i="6"/>
  <c r="K115" i="6"/>
  <c r="K114" i="6"/>
  <c r="K113" i="6"/>
  <c r="K112" i="6"/>
  <c r="K111" i="6"/>
  <c r="K110" i="6"/>
  <c r="K109" i="6"/>
  <c r="K108" i="6"/>
  <c r="K107" i="6"/>
  <c r="K106" i="6"/>
  <c r="K105" i="6"/>
  <c r="K104" i="6"/>
  <c r="K102" i="6"/>
  <c r="K101" i="6"/>
  <c r="K100" i="6"/>
  <c r="K99" i="6"/>
  <c r="K98" i="6"/>
  <c r="K90" i="6"/>
  <c r="K89" i="6"/>
  <c r="K88" i="6"/>
  <c r="K87" i="6"/>
  <c r="K86" i="6"/>
  <c r="K85" i="6"/>
  <c r="K84" i="6"/>
  <c r="K83" i="6"/>
  <c r="K82" i="6"/>
  <c r="K81" i="6"/>
  <c r="K80" i="6"/>
  <c r="K79" i="6"/>
  <c r="K78" i="6"/>
  <c r="K77" i="6"/>
  <c r="K76" i="6"/>
  <c r="K75" i="6"/>
  <c r="K74" i="6"/>
  <c r="K73" i="6"/>
  <c r="K72" i="6"/>
  <c r="K71" i="6"/>
  <c r="K70" i="6"/>
  <c r="K69" i="6"/>
  <c r="K68" i="6"/>
  <c r="K67" i="6"/>
  <c r="K66" i="6"/>
  <c r="K65" i="6"/>
  <c r="K64" i="6"/>
  <c r="K63" i="6"/>
  <c r="K62" i="6"/>
  <c r="K61" i="6"/>
  <c r="K60" i="6"/>
  <c r="K59" i="6"/>
  <c r="K58" i="6"/>
  <c r="K57" i="6"/>
  <c r="K56" i="6"/>
  <c r="K55" i="6"/>
  <c r="K54" i="6"/>
  <c r="K53" i="6"/>
  <c r="K52" i="6"/>
  <c r="K51" i="6"/>
  <c r="K50" i="6"/>
  <c r="K49" i="6"/>
  <c r="K48" i="6"/>
  <c r="K47" i="6"/>
  <c r="K46" i="6"/>
  <c r="K45" i="6"/>
  <c r="K44" i="6"/>
  <c r="K43" i="6"/>
  <c r="K42" i="6"/>
  <c r="K41" i="6"/>
  <c r="K40" i="6"/>
  <c r="K39" i="6"/>
  <c r="K38" i="6"/>
  <c r="K37" i="6"/>
  <c r="K36" i="6"/>
  <c r="K35" i="6"/>
  <c r="K34" i="6"/>
  <c r="K33" i="6"/>
  <c r="K32" i="6"/>
  <c r="K31" i="6"/>
  <c r="K30" i="6"/>
  <c r="K29" i="6"/>
  <c r="K28" i="6"/>
  <c r="K27" i="6"/>
  <c r="K26" i="6"/>
  <c r="K25" i="6"/>
  <c r="K24" i="6"/>
  <c r="K23" i="6"/>
  <c r="K22" i="6"/>
  <c r="K21" i="6"/>
  <c r="K20" i="6"/>
  <c r="K19" i="6"/>
  <c r="K18" i="6"/>
  <c r="K17" i="6"/>
  <c r="K16" i="6"/>
  <c r="K15" i="6"/>
  <c r="K14" i="6"/>
  <c r="K13" i="6"/>
  <c r="K12" i="6"/>
  <c r="K11" i="6"/>
  <c r="K10" i="6"/>
  <c r="K9" i="6"/>
  <c r="K8" i="6"/>
  <c r="K7" i="6"/>
  <c r="F129" i="6"/>
  <c r="E129" i="6"/>
  <c r="B129" i="6"/>
  <c r="F128" i="6"/>
  <c r="E128" i="6"/>
  <c r="B128" i="6"/>
  <c r="F127" i="6"/>
  <c r="E127" i="6"/>
  <c r="B127" i="6"/>
  <c r="F126" i="6"/>
  <c r="E126" i="6"/>
  <c r="B126" i="6"/>
  <c r="F125" i="6"/>
  <c r="E125" i="6"/>
  <c r="B125" i="6"/>
  <c r="F124" i="6"/>
  <c r="E124" i="6"/>
  <c r="B124" i="6"/>
  <c r="F123" i="6"/>
  <c r="E123" i="6"/>
  <c r="B123" i="6"/>
  <c r="F122" i="6"/>
  <c r="E122" i="6"/>
  <c r="B122" i="6"/>
  <c r="F121" i="6"/>
  <c r="E121" i="6"/>
  <c r="B121" i="6"/>
  <c r="F120" i="6"/>
  <c r="E120" i="6"/>
  <c r="B120" i="6"/>
  <c r="F119" i="6"/>
  <c r="E119" i="6"/>
  <c r="B119" i="6"/>
  <c r="F118" i="6"/>
  <c r="E118" i="6"/>
  <c r="B118" i="6"/>
  <c r="F117" i="6"/>
  <c r="E117" i="6"/>
  <c r="B117" i="6"/>
  <c r="F116" i="6"/>
  <c r="E116" i="6"/>
  <c r="B116" i="6"/>
  <c r="F115" i="6"/>
  <c r="E115" i="6"/>
  <c r="B115" i="6"/>
  <c r="F114" i="6"/>
  <c r="E114" i="6"/>
  <c r="B114" i="6"/>
  <c r="F113" i="6"/>
  <c r="E113" i="6"/>
  <c r="B113" i="6"/>
  <c r="F112" i="6"/>
  <c r="E112" i="6"/>
  <c r="B112" i="6"/>
  <c r="F111" i="6"/>
  <c r="E111" i="6"/>
  <c r="B111" i="6"/>
  <c r="F110" i="6"/>
  <c r="E110" i="6"/>
  <c r="B110" i="6"/>
  <c r="F109" i="6"/>
  <c r="E109" i="6"/>
  <c r="B109" i="6"/>
  <c r="F108" i="6"/>
  <c r="E108" i="6"/>
  <c r="B108" i="6"/>
  <c r="F107" i="6"/>
  <c r="E107" i="6"/>
  <c r="B107" i="6"/>
  <c r="F106" i="6"/>
  <c r="E106" i="6"/>
  <c r="B106" i="6"/>
  <c r="F105" i="6"/>
  <c r="E105" i="6"/>
  <c r="B105" i="6"/>
  <c r="F104" i="6"/>
  <c r="E104" i="6"/>
  <c r="B104" i="6"/>
  <c r="F103" i="6"/>
  <c r="E103" i="6"/>
  <c r="B103" i="6"/>
  <c r="F102" i="6"/>
  <c r="E102" i="6"/>
  <c r="B102" i="6"/>
  <c r="F101" i="6"/>
  <c r="E101" i="6"/>
  <c r="B101" i="6"/>
  <c r="F100" i="6"/>
  <c r="E100" i="6"/>
  <c r="B100" i="6"/>
  <c r="F99" i="6"/>
  <c r="E99" i="6"/>
  <c r="B99" i="6"/>
  <c r="F98" i="6"/>
  <c r="E98" i="6"/>
  <c r="B98" i="6"/>
  <c r="F97" i="6"/>
  <c r="E97" i="6"/>
  <c r="B97" i="6"/>
  <c r="F96" i="6"/>
  <c r="E96" i="6"/>
  <c r="B96" i="6"/>
  <c r="F95" i="6"/>
  <c r="E95" i="6"/>
  <c r="B95" i="6"/>
  <c r="F94" i="6"/>
  <c r="E94" i="6"/>
  <c r="B94" i="6"/>
  <c r="F93" i="6"/>
  <c r="E93" i="6"/>
  <c r="B93" i="6"/>
  <c r="B92" i="6"/>
  <c r="B91" i="6"/>
  <c r="F90" i="6"/>
  <c r="E90" i="6"/>
  <c r="B90" i="6"/>
  <c r="F89" i="6"/>
  <c r="E89" i="6"/>
  <c r="B89" i="6"/>
  <c r="F88" i="6"/>
  <c r="E88" i="6"/>
  <c r="B88" i="6"/>
  <c r="F87" i="6"/>
  <c r="E87" i="6"/>
  <c r="B87" i="6"/>
  <c r="F86" i="6"/>
  <c r="E86" i="6"/>
  <c r="B86" i="6"/>
  <c r="F85" i="6"/>
  <c r="E85" i="6"/>
  <c r="B85" i="6"/>
  <c r="F84" i="6"/>
  <c r="E84" i="6"/>
  <c r="B84" i="6"/>
  <c r="F83" i="6"/>
  <c r="E83" i="6"/>
  <c r="B83" i="6"/>
  <c r="F82" i="6"/>
  <c r="E82" i="6"/>
  <c r="B82" i="6"/>
  <c r="F81" i="6"/>
  <c r="E81" i="6"/>
  <c r="B81" i="6"/>
  <c r="F80" i="6"/>
  <c r="E80" i="6"/>
  <c r="B80" i="6"/>
  <c r="F79" i="6"/>
  <c r="E79" i="6"/>
  <c r="B79" i="6"/>
  <c r="F78" i="6"/>
  <c r="E78" i="6"/>
  <c r="B78" i="6"/>
  <c r="F77" i="6"/>
  <c r="E77" i="6"/>
  <c r="B77" i="6"/>
  <c r="F76" i="6"/>
  <c r="E76" i="6"/>
  <c r="B76" i="6"/>
  <c r="F75" i="6"/>
  <c r="E75" i="6"/>
  <c r="B75" i="6"/>
  <c r="F74" i="6"/>
  <c r="E74" i="6"/>
  <c r="B74" i="6"/>
  <c r="F73" i="6"/>
  <c r="E73" i="6"/>
  <c r="B73" i="6"/>
  <c r="F72" i="6"/>
  <c r="E72" i="6"/>
  <c r="B72" i="6"/>
  <c r="F71" i="6"/>
  <c r="E71" i="6"/>
  <c r="B71" i="6"/>
  <c r="F70" i="6"/>
  <c r="E70" i="6"/>
  <c r="B70" i="6"/>
  <c r="F69" i="6"/>
  <c r="E69" i="6"/>
  <c r="B69" i="6"/>
  <c r="F68" i="6"/>
  <c r="E68" i="6"/>
  <c r="B68" i="6"/>
  <c r="F67" i="6"/>
  <c r="E67" i="6"/>
  <c r="B67" i="6"/>
  <c r="F66" i="6"/>
  <c r="E66" i="6"/>
  <c r="B66" i="6"/>
  <c r="F65" i="6"/>
  <c r="E65" i="6"/>
  <c r="B65" i="6"/>
  <c r="F64" i="6"/>
  <c r="E64" i="6"/>
  <c r="B64" i="6"/>
  <c r="F63" i="6"/>
  <c r="E63" i="6"/>
  <c r="B63" i="6"/>
  <c r="F62" i="6"/>
  <c r="E62" i="6"/>
  <c r="B62" i="6"/>
  <c r="F61" i="6"/>
  <c r="E61" i="6"/>
  <c r="B61" i="6"/>
  <c r="F60" i="6"/>
  <c r="E60" i="6"/>
  <c r="B60" i="6"/>
  <c r="F59" i="6"/>
  <c r="E59" i="6"/>
  <c r="B59" i="6"/>
  <c r="F58" i="6"/>
  <c r="E58" i="6"/>
  <c r="B58" i="6"/>
  <c r="F57" i="6"/>
  <c r="E57" i="6"/>
  <c r="B57" i="6"/>
  <c r="F56" i="6"/>
  <c r="E56" i="6"/>
  <c r="B56" i="6"/>
  <c r="F55" i="6"/>
  <c r="E55" i="6"/>
  <c r="B55" i="6"/>
  <c r="F54" i="6"/>
  <c r="E54" i="6"/>
  <c r="B54" i="6"/>
  <c r="F53" i="6"/>
  <c r="E53" i="6"/>
  <c r="B53" i="6"/>
  <c r="F52" i="6"/>
  <c r="E52" i="6"/>
  <c r="B52" i="6"/>
  <c r="F51" i="6"/>
  <c r="E51" i="6"/>
  <c r="B51" i="6"/>
  <c r="F50" i="6"/>
  <c r="E50" i="6"/>
  <c r="B50" i="6"/>
  <c r="F49" i="6"/>
  <c r="E49" i="6"/>
  <c r="B49" i="6"/>
  <c r="F48" i="6"/>
  <c r="E48" i="6"/>
  <c r="B48" i="6"/>
  <c r="F47" i="6"/>
  <c r="E47" i="6"/>
  <c r="B47" i="6"/>
  <c r="F46" i="6"/>
  <c r="E46" i="6"/>
  <c r="B46" i="6"/>
  <c r="F45" i="6"/>
  <c r="E45" i="6"/>
  <c r="B45" i="6"/>
  <c r="F44" i="6"/>
  <c r="E44" i="6"/>
  <c r="B44" i="6"/>
  <c r="F43" i="6"/>
  <c r="E43" i="6"/>
  <c r="B43" i="6"/>
  <c r="F42" i="6"/>
  <c r="E42" i="6"/>
  <c r="B42" i="6"/>
  <c r="F41" i="6"/>
  <c r="E41" i="6"/>
  <c r="B41" i="6"/>
  <c r="F40" i="6"/>
  <c r="E40" i="6"/>
  <c r="B40" i="6"/>
  <c r="F39" i="6"/>
  <c r="E39" i="6"/>
  <c r="B39" i="6"/>
  <c r="F38" i="6"/>
  <c r="E38" i="6"/>
  <c r="B38" i="6"/>
  <c r="F37" i="6"/>
  <c r="E37" i="6"/>
  <c r="B37" i="6"/>
  <c r="F36" i="6"/>
  <c r="E36" i="6"/>
  <c r="B36" i="6"/>
  <c r="F35" i="6"/>
  <c r="E35" i="6"/>
  <c r="B35" i="6"/>
  <c r="F34" i="6"/>
  <c r="E34" i="6"/>
  <c r="B34" i="6"/>
  <c r="F33" i="6"/>
  <c r="E33" i="6"/>
  <c r="B33" i="6"/>
  <c r="F32" i="6"/>
  <c r="E32" i="6"/>
  <c r="B32" i="6"/>
  <c r="F31" i="6"/>
  <c r="E31" i="6"/>
  <c r="B31" i="6"/>
  <c r="F30" i="6"/>
  <c r="E30" i="6"/>
  <c r="B30" i="6"/>
  <c r="F29" i="6"/>
  <c r="E29" i="6"/>
  <c r="B29" i="6"/>
  <c r="F28" i="6"/>
  <c r="E28" i="6"/>
  <c r="B28" i="6"/>
  <c r="F27" i="6"/>
  <c r="E27" i="6"/>
  <c r="B27" i="6"/>
  <c r="F26" i="6"/>
  <c r="E26" i="6"/>
  <c r="B26" i="6"/>
  <c r="F25" i="6"/>
  <c r="E25" i="6"/>
  <c r="B25" i="6"/>
  <c r="F24" i="6"/>
  <c r="E24" i="6"/>
  <c r="B24" i="6"/>
  <c r="F23" i="6"/>
  <c r="E23" i="6"/>
  <c r="B23" i="6"/>
  <c r="F22" i="6"/>
  <c r="E22" i="6"/>
  <c r="B22" i="6"/>
  <c r="F21" i="6"/>
  <c r="E21" i="6"/>
  <c r="B21" i="6"/>
  <c r="F20" i="6"/>
  <c r="E20" i="6"/>
  <c r="B20" i="6"/>
  <c r="F19" i="6"/>
  <c r="E19" i="6"/>
  <c r="B19" i="6"/>
  <c r="F18" i="6"/>
  <c r="E18" i="6"/>
  <c r="B18" i="6"/>
  <c r="F17" i="6"/>
  <c r="E17" i="6"/>
  <c r="B17" i="6"/>
  <c r="F16" i="6"/>
  <c r="E16" i="6"/>
  <c r="B16" i="6"/>
  <c r="F15" i="6"/>
  <c r="E15" i="6"/>
  <c r="B15" i="6"/>
  <c r="F14" i="6"/>
  <c r="E14" i="6"/>
  <c r="B14" i="6"/>
  <c r="F13" i="6"/>
  <c r="E13" i="6"/>
  <c r="B13" i="6"/>
  <c r="F12" i="6"/>
  <c r="E12" i="6"/>
  <c r="B12" i="6"/>
  <c r="F11" i="6"/>
  <c r="E11" i="6"/>
  <c r="B11" i="6"/>
  <c r="F10" i="6"/>
  <c r="E10" i="6"/>
  <c r="B10" i="6"/>
  <c r="F9" i="6"/>
  <c r="E9" i="6"/>
  <c r="B9" i="6"/>
  <c r="F8" i="6"/>
  <c r="E8" i="6"/>
  <c r="B8" i="6"/>
  <c r="F7" i="6"/>
  <c r="E7" i="6"/>
  <c r="B7" i="6"/>
  <c r="E41" i="10"/>
  <c r="E91" i="8" l="1"/>
  <c r="E93" i="8"/>
  <c r="E94" i="8"/>
  <c r="E95" i="8"/>
  <c r="E96" i="8"/>
  <c r="E97" i="8"/>
  <c r="E98" i="8"/>
  <c r="H91" i="8"/>
  <c r="H93" i="8"/>
  <c r="H94" i="8"/>
  <c r="H95" i="8"/>
  <c r="H96" i="8"/>
  <c r="H97" i="8"/>
  <c r="H98" i="8"/>
  <c r="B91" i="8"/>
  <c r="C91" i="8" s="1"/>
  <c r="D91" i="8" s="1"/>
  <c r="B93" i="8"/>
  <c r="B94" i="8"/>
  <c r="B95" i="8"/>
  <c r="B96" i="8"/>
  <c r="B97" i="8"/>
  <c r="C93" i="8" l="1"/>
  <c r="D93" i="8" s="1"/>
  <c r="C94" i="8"/>
  <c r="D94" i="8" s="1"/>
  <c r="C95" i="8"/>
  <c r="D95" i="8" s="1"/>
  <c r="C96" i="8"/>
  <c r="D96" i="8" s="1"/>
  <c r="C97" i="8"/>
  <c r="D97" i="8" s="1"/>
  <c r="H129" i="8" l="1"/>
  <c r="E129" i="8"/>
  <c r="B129" i="8"/>
  <c r="C129" i="8" s="1"/>
  <c r="D129" i="8" s="1"/>
  <c r="G128" i="8"/>
  <c r="F128" i="8"/>
  <c r="B128" i="8"/>
  <c r="C128" i="8" s="1"/>
  <c r="D128" i="8" s="1"/>
  <c r="G127" i="8"/>
  <c r="F127" i="8"/>
  <c r="B127" i="8"/>
  <c r="C127" i="8" s="1"/>
  <c r="D127" i="8" s="1"/>
  <c r="H126" i="8"/>
  <c r="E126" i="8"/>
  <c r="B126" i="8"/>
  <c r="C126" i="8" s="1"/>
  <c r="D126" i="8" s="1"/>
  <c r="G125" i="8"/>
  <c r="F125" i="8"/>
  <c r="B125" i="8"/>
  <c r="C125" i="8" s="1"/>
  <c r="D125" i="8" s="1"/>
  <c r="G124" i="8"/>
  <c r="F124" i="8"/>
  <c r="B124" i="8"/>
  <c r="C124" i="8" s="1"/>
  <c r="D124" i="8" s="1"/>
  <c r="G123" i="8"/>
  <c r="F123" i="8"/>
  <c r="B123" i="8"/>
  <c r="C123" i="8" s="1"/>
  <c r="D123" i="8" s="1"/>
  <c r="G122" i="8"/>
  <c r="F122" i="8"/>
  <c r="B122" i="8"/>
  <c r="C122" i="8" s="1"/>
  <c r="D122" i="8" s="1"/>
  <c r="G121" i="8"/>
  <c r="F121" i="8"/>
  <c r="B121" i="8"/>
  <c r="C121" i="8" s="1"/>
  <c r="D121" i="8" s="1"/>
  <c r="G120" i="8"/>
  <c r="F120" i="8"/>
  <c r="B120" i="8"/>
  <c r="C120" i="8" s="1"/>
  <c r="D120" i="8" s="1"/>
  <c r="G119" i="8"/>
  <c r="F119" i="8"/>
  <c r="B119" i="8"/>
  <c r="C119" i="8" s="1"/>
  <c r="D119" i="8" s="1"/>
  <c r="H118" i="8"/>
  <c r="E118" i="8"/>
  <c r="B118" i="8"/>
  <c r="C118" i="8" s="1"/>
  <c r="D118" i="8" s="1"/>
  <c r="G117" i="8"/>
  <c r="F117" i="8"/>
  <c r="B117" i="8"/>
  <c r="C117" i="8" s="1"/>
  <c r="D117" i="8" s="1"/>
  <c r="G116" i="8"/>
  <c r="F116" i="8"/>
  <c r="B116" i="8"/>
  <c r="C116" i="8" s="1"/>
  <c r="D116" i="8" s="1"/>
  <c r="G115" i="8"/>
  <c r="F115" i="8"/>
  <c r="B115" i="8"/>
  <c r="C115" i="8" s="1"/>
  <c r="D115" i="8" s="1"/>
  <c r="G114" i="8"/>
  <c r="F114" i="8"/>
  <c r="B114" i="8"/>
  <c r="C114" i="8" s="1"/>
  <c r="D114" i="8" s="1"/>
  <c r="G113" i="8"/>
  <c r="F113" i="8"/>
  <c r="B113" i="8"/>
  <c r="C113" i="8" s="1"/>
  <c r="D113" i="8" s="1"/>
  <c r="H112" i="8"/>
  <c r="E112" i="8"/>
  <c r="B112" i="8"/>
  <c r="C112" i="8" s="1"/>
  <c r="D112" i="8" s="1"/>
  <c r="H111" i="8"/>
  <c r="E111" i="8"/>
  <c r="B111" i="8"/>
  <c r="C111" i="8" s="1"/>
  <c r="D111" i="8" s="1"/>
  <c r="G110" i="8"/>
  <c r="F110" i="8"/>
  <c r="C110" i="8"/>
  <c r="D110" i="8" s="1"/>
  <c r="B110" i="8"/>
  <c r="G109" i="8"/>
  <c r="F109" i="8"/>
  <c r="B109" i="8"/>
  <c r="C109" i="8" s="1"/>
  <c r="D109" i="8" s="1"/>
  <c r="G108" i="8"/>
  <c r="F108" i="8"/>
  <c r="B108" i="8"/>
  <c r="C108" i="8" s="1"/>
  <c r="D108" i="8" s="1"/>
  <c r="G107" i="8"/>
  <c r="F107" i="8"/>
  <c r="B107" i="8"/>
  <c r="C107" i="8" s="1"/>
  <c r="D107" i="8" s="1"/>
  <c r="G106" i="8"/>
  <c r="F106" i="8"/>
  <c r="B106" i="8"/>
  <c r="C106" i="8" s="1"/>
  <c r="D106" i="8" s="1"/>
  <c r="G105" i="8"/>
  <c r="F105" i="8"/>
  <c r="C105" i="8"/>
  <c r="D105" i="8" s="1"/>
  <c r="B105" i="8"/>
  <c r="G104" i="8"/>
  <c r="F104" i="8"/>
  <c r="C104" i="8"/>
  <c r="D104" i="8" s="1"/>
  <c r="B104" i="8"/>
  <c r="H103" i="8"/>
  <c r="E103" i="8"/>
  <c r="C103" i="8"/>
  <c r="D103" i="8" s="1"/>
  <c r="B103" i="8"/>
  <c r="G102" i="8"/>
  <c r="F102" i="8"/>
  <c r="C102" i="8"/>
  <c r="D102" i="8" s="1"/>
  <c r="B102" i="8"/>
  <c r="G101" i="8"/>
  <c r="F101" i="8"/>
  <c r="C101" i="8"/>
  <c r="D101" i="8" s="1"/>
  <c r="B101" i="8"/>
  <c r="G100" i="8"/>
  <c r="F100" i="8"/>
  <c r="C100" i="8"/>
  <c r="D100" i="8" s="1"/>
  <c r="B100" i="8"/>
  <c r="H99" i="8"/>
  <c r="E99" i="8"/>
  <c r="B99" i="8"/>
  <c r="C99" i="8" s="1"/>
  <c r="D99" i="8" s="1"/>
  <c r="B98" i="8"/>
  <c r="C98" i="8" s="1"/>
  <c r="D98" i="8" s="1"/>
  <c r="G90" i="8"/>
  <c r="F90" i="8"/>
  <c r="B90" i="8"/>
  <c r="C90" i="8" s="1"/>
  <c r="D90" i="8" s="1"/>
  <c r="H89" i="8"/>
  <c r="E89" i="8"/>
  <c r="B89" i="8"/>
  <c r="C89" i="8" s="1"/>
  <c r="D89" i="8" s="1"/>
  <c r="G88" i="8"/>
  <c r="F88" i="8"/>
  <c r="B88" i="8"/>
  <c r="C88" i="8" s="1"/>
  <c r="D88" i="8" s="1"/>
  <c r="G87" i="8"/>
  <c r="F87" i="8"/>
  <c r="B87" i="8"/>
  <c r="C87" i="8" s="1"/>
  <c r="D87" i="8" s="1"/>
  <c r="G86" i="8"/>
  <c r="F86" i="8"/>
  <c r="B86" i="8"/>
  <c r="C86" i="8" s="1"/>
  <c r="D86" i="8" s="1"/>
  <c r="H85" i="8"/>
  <c r="E85" i="8"/>
  <c r="C85" i="8"/>
  <c r="D85" i="8" s="1"/>
  <c r="B85" i="8"/>
  <c r="G84" i="8"/>
  <c r="F84" i="8"/>
  <c r="B84" i="8"/>
  <c r="C84" i="8" s="1"/>
  <c r="D84" i="8" s="1"/>
  <c r="G83" i="8"/>
  <c r="F83" i="8"/>
  <c r="B83" i="8"/>
  <c r="C83" i="8" s="1"/>
  <c r="D83" i="8" s="1"/>
  <c r="G82" i="8"/>
  <c r="F82" i="8"/>
  <c r="B82" i="8"/>
  <c r="C82" i="8" s="1"/>
  <c r="D82" i="8" s="1"/>
  <c r="H81" i="8"/>
  <c r="E81" i="8"/>
  <c r="B81" i="8"/>
  <c r="C81" i="8" s="1"/>
  <c r="D81" i="8" s="1"/>
  <c r="H80" i="8"/>
  <c r="E80" i="8"/>
  <c r="B80" i="8"/>
  <c r="C80" i="8" s="1"/>
  <c r="D80" i="8" s="1"/>
  <c r="G79" i="8"/>
  <c r="F79" i="8"/>
  <c r="B79" i="8"/>
  <c r="C79" i="8" s="1"/>
  <c r="D79" i="8" s="1"/>
  <c r="G78" i="8"/>
  <c r="F78" i="8"/>
  <c r="C78" i="8"/>
  <c r="D78" i="8" s="1"/>
  <c r="B78" i="8"/>
  <c r="G77" i="8"/>
  <c r="F77" i="8"/>
  <c r="B77" i="8"/>
  <c r="C77" i="8" s="1"/>
  <c r="D77" i="8" s="1"/>
  <c r="G76" i="8"/>
  <c r="F76" i="8"/>
  <c r="B76" i="8"/>
  <c r="C76" i="8" s="1"/>
  <c r="D76" i="8" s="1"/>
  <c r="G75" i="8"/>
  <c r="F75" i="8"/>
  <c r="B75" i="8"/>
  <c r="C75" i="8" s="1"/>
  <c r="D75" i="8" s="1"/>
  <c r="G74" i="8"/>
  <c r="F74" i="8"/>
  <c r="B74" i="8"/>
  <c r="C74" i="8" s="1"/>
  <c r="D74" i="8" s="1"/>
  <c r="G73" i="8"/>
  <c r="F73" i="8"/>
  <c r="B73" i="8"/>
  <c r="C73" i="8" s="1"/>
  <c r="D73" i="8" s="1"/>
  <c r="G72" i="8"/>
  <c r="F72" i="8"/>
  <c r="B72" i="8"/>
  <c r="C72" i="8" s="1"/>
  <c r="D72" i="8" s="1"/>
  <c r="G71" i="8"/>
  <c r="F71" i="8"/>
  <c r="B71" i="8"/>
  <c r="C71" i="8" s="1"/>
  <c r="D71" i="8" s="1"/>
  <c r="G70" i="8"/>
  <c r="F70" i="8"/>
  <c r="B70" i="8"/>
  <c r="C70" i="8" s="1"/>
  <c r="D70" i="8" s="1"/>
  <c r="G69" i="8"/>
  <c r="F69" i="8"/>
  <c r="B69" i="8"/>
  <c r="C69" i="8" s="1"/>
  <c r="D69" i="8" s="1"/>
  <c r="G68" i="8"/>
  <c r="F68" i="8"/>
  <c r="B68" i="8"/>
  <c r="C68" i="8" s="1"/>
  <c r="D68" i="8" s="1"/>
  <c r="G67" i="8"/>
  <c r="F67" i="8"/>
  <c r="B67" i="8"/>
  <c r="C67" i="8" s="1"/>
  <c r="D67" i="8" s="1"/>
  <c r="G66" i="8"/>
  <c r="F66" i="8"/>
  <c r="B66" i="8"/>
  <c r="C66" i="8" s="1"/>
  <c r="D66" i="8" s="1"/>
  <c r="G65" i="8"/>
  <c r="F65" i="8"/>
  <c r="B65" i="8"/>
  <c r="C65" i="8" s="1"/>
  <c r="D65" i="8" s="1"/>
  <c r="G64" i="8"/>
  <c r="F64" i="8"/>
  <c r="B64" i="8"/>
  <c r="C64" i="8" s="1"/>
  <c r="D64" i="8" s="1"/>
  <c r="G63" i="8"/>
  <c r="F63" i="8"/>
  <c r="B63" i="8"/>
  <c r="C63" i="8" s="1"/>
  <c r="D63" i="8" s="1"/>
  <c r="G62" i="8"/>
  <c r="F62" i="8"/>
  <c r="B62" i="8"/>
  <c r="C62" i="8" s="1"/>
  <c r="D62" i="8" s="1"/>
  <c r="G61" i="8"/>
  <c r="F61" i="8"/>
  <c r="B61" i="8"/>
  <c r="C61" i="8" s="1"/>
  <c r="D61" i="8" s="1"/>
  <c r="G60" i="8"/>
  <c r="F60" i="8"/>
  <c r="B60" i="8"/>
  <c r="C60" i="8" s="1"/>
  <c r="D60" i="8" s="1"/>
  <c r="G59" i="8"/>
  <c r="F59" i="8"/>
  <c r="B59" i="8"/>
  <c r="C59" i="8" s="1"/>
  <c r="D59" i="8" s="1"/>
  <c r="G58" i="8"/>
  <c r="F58" i="8"/>
  <c r="B58" i="8"/>
  <c r="C58" i="8" s="1"/>
  <c r="D58" i="8" s="1"/>
  <c r="G57" i="8"/>
  <c r="F57" i="8"/>
  <c r="B57" i="8"/>
  <c r="C57" i="8" s="1"/>
  <c r="D57" i="8" s="1"/>
  <c r="G56" i="8"/>
  <c r="F56" i="8"/>
  <c r="B56" i="8"/>
  <c r="C56" i="8" s="1"/>
  <c r="D56" i="8" s="1"/>
  <c r="G55" i="8"/>
  <c r="F55" i="8"/>
  <c r="B55" i="8"/>
  <c r="C55" i="8" s="1"/>
  <c r="D55" i="8" s="1"/>
  <c r="G54" i="8"/>
  <c r="F54" i="8"/>
  <c r="B54" i="8"/>
  <c r="C54" i="8" s="1"/>
  <c r="D54" i="8" s="1"/>
  <c r="G53" i="8"/>
  <c r="F53" i="8"/>
  <c r="B53" i="8"/>
  <c r="C53" i="8" s="1"/>
  <c r="D53" i="8" s="1"/>
  <c r="G52" i="8"/>
  <c r="F52" i="8"/>
  <c r="B52" i="8"/>
  <c r="C52" i="8" s="1"/>
  <c r="D52" i="8" s="1"/>
  <c r="G51" i="8"/>
  <c r="F51" i="8"/>
  <c r="B51" i="8"/>
  <c r="C51" i="8" s="1"/>
  <c r="D51" i="8" s="1"/>
  <c r="G50" i="8"/>
  <c r="F50" i="8"/>
  <c r="B50" i="8"/>
  <c r="C50" i="8" s="1"/>
  <c r="D50" i="8" s="1"/>
  <c r="G49" i="8"/>
  <c r="F49" i="8"/>
  <c r="B49" i="8"/>
  <c r="C49" i="8" s="1"/>
  <c r="D49" i="8" s="1"/>
  <c r="G48" i="8"/>
  <c r="F48" i="8"/>
  <c r="B48" i="8"/>
  <c r="C48" i="8" s="1"/>
  <c r="D48" i="8" s="1"/>
  <c r="G47" i="8"/>
  <c r="F47" i="8"/>
  <c r="B47" i="8"/>
  <c r="C47" i="8" s="1"/>
  <c r="D47" i="8" s="1"/>
  <c r="G46" i="8"/>
  <c r="F46" i="8"/>
  <c r="B46" i="8"/>
  <c r="C46" i="8" s="1"/>
  <c r="D46" i="8" s="1"/>
  <c r="G45" i="8"/>
  <c r="F45" i="8"/>
  <c r="B45" i="8"/>
  <c r="C45" i="8" s="1"/>
  <c r="D45" i="8" s="1"/>
  <c r="G44" i="8"/>
  <c r="F44" i="8"/>
  <c r="B44" i="8"/>
  <c r="C44" i="8" s="1"/>
  <c r="D44" i="8" s="1"/>
  <c r="G43" i="8"/>
  <c r="F43" i="8"/>
  <c r="B43" i="8"/>
  <c r="C43" i="8" s="1"/>
  <c r="D43" i="8" s="1"/>
  <c r="G42" i="8"/>
  <c r="F42" i="8"/>
  <c r="B42" i="8"/>
  <c r="C42" i="8" s="1"/>
  <c r="D42" i="8" s="1"/>
  <c r="G41" i="8"/>
  <c r="F41" i="8"/>
  <c r="B41" i="8"/>
  <c r="C41" i="8" s="1"/>
  <c r="D41" i="8" s="1"/>
  <c r="H40" i="8"/>
  <c r="E40" i="8"/>
  <c r="D40" i="8"/>
  <c r="B40" i="8"/>
  <c r="G39" i="8"/>
  <c r="F39" i="8"/>
  <c r="B39" i="8"/>
  <c r="C39" i="8" s="1"/>
  <c r="D39" i="8" s="1"/>
  <c r="H38" i="8"/>
  <c r="E38" i="8"/>
  <c r="B38" i="8"/>
  <c r="C38" i="8" s="1"/>
  <c r="D38" i="8" s="1"/>
  <c r="H37" i="8"/>
  <c r="E37" i="8"/>
  <c r="B37" i="8"/>
  <c r="C37" i="8" s="1"/>
  <c r="D37" i="8" s="1"/>
  <c r="H36" i="8"/>
  <c r="E36" i="8"/>
  <c r="B36" i="8"/>
  <c r="C36" i="8" s="1"/>
  <c r="D36" i="8" s="1"/>
  <c r="G35" i="8"/>
  <c r="F35" i="8"/>
  <c r="B35" i="8"/>
  <c r="C35" i="8" s="1"/>
  <c r="D35" i="8" s="1"/>
  <c r="G34" i="8"/>
  <c r="F34" i="8"/>
  <c r="B34" i="8"/>
  <c r="C34" i="8" s="1"/>
  <c r="D34" i="8" s="1"/>
  <c r="G33" i="8"/>
  <c r="F33" i="8"/>
  <c r="B33" i="8"/>
  <c r="C33" i="8" s="1"/>
  <c r="D33" i="8" s="1"/>
  <c r="G32" i="8"/>
  <c r="F32" i="8"/>
  <c r="B32" i="8"/>
  <c r="C32" i="8" s="1"/>
  <c r="D32" i="8" s="1"/>
  <c r="G31" i="8"/>
  <c r="F31" i="8"/>
  <c r="B31" i="8"/>
  <c r="C31" i="8" s="1"/>
  <c r="D31" i="8" s="1"/>
  <c r="G30" i="8"/>
  <c r="F30" i="8"/>
  <c r="B30" i="8"/>
  <c r="C30" i="8" s="1"/>
  <c r="D30" i="8" s="1"/>
  <c r="H29" i="8"/>
  <c r="E29" i="8"/>
  <c r="B29" i="8"/>
  <c r="C29" i="8" s="1"/>
  <c r="D29" i="8" s="1"/>
  <c r="G28" i="8"/>
  <c r="F28" i="8"/>
  <c r="B28" i="8"/>
  <c r="C28" i="8" s="1"/>
  <c r="D28" i="8" s="1"/>
  <c r="G27" i="8"/>
  <c r="F27" i="8"/>
  <c r="B27" i="8"/>
  <c r="C27" i="8" s="1"/>
  <c r="D27" i="8" s="1"/>
  <c r="G26" i="8"/>
  <c r="F26" i="8"/>
  <c r="B26" i="8"/>
  <c r="C26" i="8" s="1"/>
  <c r="D26" i="8" s="1"/>
  <c r="G25" i="8"/>
  <c r="F25" i="8"/>
  <c r="B25" i="8"/>
  <c r="C25" i="8" s="1"/>
  <c r="D25" i="8" s="1"/>
  <c r="G24" i="8"/>
  <c r="F24" i="8"/>
  <c r="B24" i="8"/>
  <c r="C24" i="8" s="1"/>
  <c r="D24" i="8" s="1"/>
  <c r="G23" i="8"/>
  <c r="F23" i="8"/>
  <c r="B23" i="8"/>
  <c r="C23" i="8" s="1"/>
  <c r="D23" i="8" s="1"/>
  <c r="G22" i="8"/>
  <c r="F22" i="8"/>
  <c r="B22" i="8"/>
  <c r="C22" i="8" s="1"/>
  <c r="D22" i="8" s="1"/>
  <c r="H21" i="8"/>
  <c r="E21" i="8"/>
  <c r="B21" i="8"/>
  <c r="C21" i="8" s="1"/>
  <c r="D21" i="8" s="1"/>
  <c r="G20" i="8"/>
  <c r="F20" i="8"/>
  <c r="B20" i="8"/>
  <c r="C20" i="8" s="1"/>
  <c r="D20" i="8" s="1"/>
  <c r="G19" i="8"/>
  <c r="F19" i="8"/>
  <c r="B19" i="8"/>
  <c r="C19" i="8" s="1"/>
  <c r="D19" i="8" s="1"/>
  <c r="G18" i="8"/>
  <c r="F18" i="8"/>
  <c r="B18" i="8"/>
  <c r="C18" i="8" s="1"/>
  <c r="D18" i="8" s="1"/>
  <c r="G17" i="8"/>
  <c r="F17" i="8"/>
  <c r="B17" i="8"/>
  <c r="C17" i="8" s="1"/>
  <c r="D17" i="8" s="1"/>
  <c r="G16" i="8"/>
  <c r="F16" i="8"/>
  <c r="B16" i="8"/>
  <c r="C16" i="8" s="1"/>
  <c r="D16" i="8" s="1"/>
  <c r="G15" i="8"/>
  <c r="F15" i="8"/>
  <c r="B15" i="8"/>
  <c r="C15" i="8" s="1"/>
  <c r="D15" i="8" s="1"/>
  <c r="H14" i="8"/>
  <c r="E14" i="8"/>
  <c r="B14" i="8"/>
  <c r="C14" i="8" s="1"/>
  <c r="D14" i="8" s="1"/>
  <c r="H13" i="8"/>
  <c r="E13" i="8"/>
  <c r="B13" i="8"/>
  <c r="C13" i="8" s="1"/>
  <c r="D13" i="8" s="1"/>
  <c r="H12" i="8"/>
  <c r="E12" i="8"/>
  <c r="B12" i="8"/>
  <c r="C12" i="8" s="1"/>
  <c r="D12" i="8" s="1"/>
  <c r="G11" i="8"/>
  <c r="F11" i="8"/>
  <c r="B11" i="8"/>
  <c r="C11" i="8" s="1"/>
  <c r="D11" i="8" s="1"/>
  <c r="G10" i="8"/>
  <c r="F10" i="8"/>
  <c r="B10" i="8"/>
  <c r="C10" i="8" s="1"/>
  <c r="D10" i="8" s="1"/>
  <c r="G9" i="8"/>
  <c r="F9" i="8"/>
  <c r="B9" i="8"/>
  <c r="C9" i="8" s="1"/>
  <c r="D9" i="8" s="1"/>
  <c r="G8" i="8"/>
  <c r="F8" i="8"/>
  <c r="B8" i="8"/>
  <c r="C8" i="8" s="1"/>
  <c r="D8" i="8" s="1"/>
  <c r="G7" i="8"/>
  <c r="F7" i="8"/>
  <c r="B7" i="8"/>
  <c r="C7" i="8" s="1"/>
  <c r="D7" i="8" s="1"/>
  <c r="J28" i="9"/>
  <c r="H28" i="9"/>
  <c r="D28" i="9"/>
  <c r="C28" i="9"/>
  <c r="E28" i="9" s="1"/>
  <c r="B28" i="9"/>
  <c r="E19" i="9"/>
  <c r="C19" i="9"/>
  <c r="D19" i="9" s="1"/>
  <c r="B19" i="9"/>
  <c r="I11" i="9"/>
  <c r="H11" i="9"/>
  <c r="G11" i="9"/>
  <c r="J11" i="9" s="1"/>
  <c r="E11" i="9"/>
  <c r="F11" i="9" s="1"/>
  <c r="K11" i="9" s="1"/>
  <c r="D11" i="9"/>
  <c r="C11" i="9"/>
  <c r="B11" i="9"/>
  <c r="H22" i="8" l="1"/>
  <c r="H26" i="8"/>
  <c r="H43" i="8"/>
  <c r="E47" i="8"/>
  <c r="J47" i="8" s="1"/>
  <c r="H51" i="8"/>
  <c r="H55" i="8"/>
  <c r="H59" i="8"/>
  <c r="H119" i="8"/>
  <c r="E48" i="8"/>
  <c r="J48" i="8" s="1"/>
  <c r="E64" i="8"/>
  <c r="J64" i="8" s="1"/>
  <c r="E72" i="8"/>
  <c r="J72" i="8" s="1"/>
  <c r="H16" i="8"/>
  <c r="H20" i="8"/>
  <c r="H32" i="8"/>
  <c r="H53" i="8"/>
  <c r="H57" i="8"/>
  <c r="H61" i="8"/>
  <c r="H65" i="8"/>
  <c r="H69" i="8"/>
  <c r="H73" i="8"/>
  <c r="H78" i="8"/>
  <c r="E54" i="8"/>
  <c r="E58" i="8"/>
  <c r="J58" i="8" s="1"/>
  <c r="H101" i="8"/>
  <c r="H105" i="8"/>
  <c r="H10" i="8"/>
  <c r="E114" i="8"/>
  <c r="J114" i="8" s="1"/>
  <c r="F28" i="9"/>
  <c r="L11" i="9" s="1"/>
  <c r="M11" i="9"/>
  <c r="E51" i="8"/>
  <c r="J51" i="8" s="1"/>
  <c r="E55" i="8"/>
  <c r="J55" i="8" s="1"/>
  <c r="E59" i="8"/>
  <c r="J59" i="8" s="1"/>
  <c r="E61" i="8"/>
  <c r="J61" i="8" s="1"/>
  <c r="E62" i="8"/>
  <c r="J62" i="8" s="1"/>
  <c r="H63" i="8"/>
  <c r="E69" i="8"/>
  <c r="J69" i="8" s="1"/>
  <c r="E73" i="8"/>
  <c r="J73" i="8" s="1"/>
  <c r="H114" i="8"/>
  <c r="H47" i="8"/>
  <c r="E63" i="8"/>
  <c r="J63" i="8" s="1"/>
  <c r="H18" i="8"/>
  <c r="E18" i="8"/>
  <c r="E19" i="8"/>
  <c r="H19" i="8"/>
  <c r="H23" i="8"/>
  <c r="E23" i="8"/>
  <c r="H34" i="8"/>
  <c r="E34" i="8"/>
  <c r="E35" i="8"/>
  <c r="H35" i="8"/>
  <c r="H7" i="8"/>
  <c r="E7" i="8"/>
  <c r="H24" i="8"/>
  <c r="E24" i="8"/>
  <c r="E25" i="8"/>
  <c r="H25" i="8"/>
  <c r="H27" i="8"/>
  <c r="E27" i="8"/>
  <c r="H39" i="8"/>
  <c r="E39" i="8"/>
  <c r="E49" i="8"/>
  <c r="H49" i="8"/>
  <c r="H8" i="8"/>
  <c r="E8" i="8"/>
  <c r="E9" i="8"/>
  <c r="H9" i="8"/>
  <c r="H11" i="8"/>
  <c r="E11" i="8"/>
  <c r="H28" i="8"/>
  <c r="E28" i="8"/>
  <c r="H41" i="8"/>
  <c r="E41" i="8"/>
  <c r="E42" i="8"/>
  <c r="H42" i="8"/>
  <c r="H44" i="8"/>
  <c r="E44" i="8"/>
  <c r="H50" i="8"/>
  <c r="E50" i="8"/>
  <c r="E52" i="8"/>
  <c r="H52" i="8"/>
  <c r="E56" i="8"/>
  <c r="H56" i="8"/>
  <c r="E60" i="8"/>
  <c r="H60" i="8"/>
  <c r="E68" i="8"/>
  <c r="H68" i="8"/>
  <c r="E15" i="8"/>
  <c r="H15" i="8"/>
  <c r="H17" i="8"/>
  <c r="E17" i="8"/>
  <c r="H30" i="8"/>
  <c r="E30" i="8"/>
  <c r="E31" i="8"/>
  <c r="H31" i="8"/>
  <c r="H33" i="8"/>
  <c r="E33" i="8"/>
  <c r="H45" i="8"/>
  <c r="E45" i="8"/>
  <c r="E46" i="8"/>
  <c r="H46" i="8"/>
  <c r="H66" i="8"/>
  <c r="E66" i="8"/>
  <c r="H82" i="8"/>
  <c r="E82" i="8"/>
  <c r="E83" i="8"/>
  <c r="H83" i="8"/>
  <c r="H90" i="8"/>
  <c r="E90" i="8"/>
  <c r="E102" i="8"/>
  <c r="H102" i="8"/>
  <c r="H109" i="8"/>
  <c r="E109" i="8"/>
  <c r="H110" i="8"/>
  <c r="E110" i="8"/>
  <c r="H121" i="8"/>
  <c r="E121" i="8"/>
  <c r="E122" i="8"/>
  <c r="H122" i="8"/>
  <c r="H127" i="8"/>
  <c r="E127" i="8"/>
  <c r="E128" i="8"/>
  <c r="H128" i="8"/>
  <c r="E10" i="8"/>
  <c r="E16" i="8"/>
  <c r="E20" i="8"/>
  <c r="E22" i="8"/>
  <c r="E26" i="8"/>
  <c r="E32" i="8"/>
  <c r="E43" i="8"/>
  <c r="H64" i="8"/>
  <c r="E65" i="8"/>
  <c r="H84" i="8"/>
  <c r="E84" i="8"/>
  <c r="H100" i="8"/>
  <c r="E100" i="8"/>
  <c r="H115" i="8"/>
  <c r="E115" i="8"/>
  <c r="E116" i="8"/>
  <c r="H116" i="8"/>
  <c r="H123" i="8"/>
  <c r="E123" i="8"/>
  <c r="J54" i="8"/>
  <c r="E71" i="8"/>
  <c r="H71" i="8"/>
  <c r="H74" i="8"/>
  <c r="E74" i="8"/>
  <c r="E75" i="8"/>
  <c r="H75" i="8"/>
  <c r="E79" i="8"/>
  <c r="H79" i="8"/>
  <c r="H86" i="8"/>
  <c r="E86" i="8"/>
  <c r="H87" i="8"/>
  <c r="E87" i="8"/>
  <c r="H106" i="8"/>
  <c r="E106" i="8"/>
  <c r="H113" i="8"/>
  <c r="E113" i="8"/>
  <c r="H117" i="8"/>
  <c r="E117" i="8"/>
  <c r="H124" i="8"/>
  <c r="E124" i="8"/>
  <c r="H48" i="8"/>
  <c r="H54" i="8"/>
  <c r="H58" i="8"/>
  <c r="H62" i="8"/>
  <c r="H72" i="8"/>
  <c r="E67" i="8"/>
  <c r="H67" i="8"/>
  <c r="H70" i="8"/>
  <c r="E70" i="8"/>
  <c r="H76" i="8"/>
  <c r="E76" i="8"/>
  <c r="H77" i="8"/>
  <c r="E77" i="8"/>
  <c r="H88" i="8"/>
  <c r="E88" i="8"/>
  <c r="E104" i="8"/>
  <c r="H104" i="8"/>
  <c r="H107" i="8"/>
  <c r="E107" i="8"/>
  <c r="E108" i="8"/>
  <c r="H108" i="8"/>
  <c r="H120" i="8"/>
  <c r="E120" i="8"/>
  <c r="H125" i="8"/>
  <c r="E125" i="8"/>
  <c r="E53" i="8"/>
  <c r="E57" i="8"/>
  <c r="E105" i="8"/>
  <c r="E119" i="8"/>
  <c r="E78" i="8"/>
  <c r="E101" i="8"/>
  <c r="K63" i="8" l="1"/>
  <c r="K55" i="8"/>
  <c r="K114" i="8"/>
  <c r="K54" i="8"/>
  <c r="K62" i="8"/>
  <c r="K51" i="8"/>
  <c r="K73" i="8"/>
  <c r="K61" i="8"/>
  <c r="K69" i="8"/>
  <c r="K59" i="8"/>
  <c r="K47" i="8"/>
  <c r="K58" i="8"/>
  <c r="K72" i="8"/>
  <c r="K64" i="8"/>
  <c r="K48" i="8"/>
  <c r="I48" i="8"/>
  <c r="I59" i="8"/>
  <c r="I51" i="8"/>
  <c r="I73" i="8"/>
  <c r="I61" i="8"/>
  <c r="I72" i="8"/>
  <c r="I58" i="8"/>
  <c r="I114" i="8"/>
  <c r="I55" i="8"/>
  <c r="I62" i="8"/>
  <c r="I54" i="8"/>
  <c r="I64" i="8"/>
  <c r="I63" i="8"/>
  <c r="I47" i="8"/>
  <c r="I69" i="8"/>
  <c r="J119" i="8"/>
  <c r="I119" i="8"/>
  <c r="I120" i="8"/>
  <c r="J120" i="8"/>
  <c r="I107" i="8"/>
  <c r="J107" i="8"/>
  <c r="I88" i="8"/>
  <c r="J88" i="8"/>
  <c r="J76" i="8"/>
  <c r="I76" i="8"/>
  <c r="I75" i="8"/>
  <c r="J75" i="8"/>
  <c r="I71" i="8"/>
  <c r="J71" i="8"/>
  <c r="I100" i="8"/>
  <c r="J100" i="8"/>
  <c r="J65" i="8"/>
  <c r="I65" i="8"/>
  <c r="J32" i="8"/>
  <c r="I32" i="8"/>
  <c r="J16" i="8"/>
  <c r="I16" i="8"/>
  <c r="I127" i="8"/>
  <c r="J127" i="8"/>
  <c r="I121" i="8"/>
  <c r="J121" i="8"/>
  <c r="J109" i="8"/>
  <c r="I109" i="8"/>
  <c r="I90" i="8"/>
  <c r="J90" i="8"/>
  <c r="I82" i="8"/>
  <c r="J82" i="8"/>
  <c r="I46" i="8"/>
  <c r="J46" i="8"/>
  <c r="I15" i="8"/>
  <c r="J15" i="8"/>
  <c r="I44" i="8"/>
  <c r="J44" i="8"/>
  <c r="I41" i="8"/>
  <c r="J41" i="8"/>
  <c r="I11" i="8"/>
  <c r="J11" i="8"/>
  <c r="I8" i="8"/>
  <c r="J8" i="8"/>
  <c r="J49" i="8"/>
  <c r="I49" i="8"/>
  <c r="I19" i="8"/>
  <c r="J19" i="8"/>
  <c r="I78" i="8"/>
  <c r="J78" i="8"/>
  <c r="I108" i="8"/>
  <c r="J108" i="8"/>
  <c r="I104" i="8"/>
  <c r="J104" i="8"/>
  <c r="J117" i="8"/>
  <c r="I117" i="8"/>
  <c r="I106" i="8"/>
  <c r="J106" i="8"/>
  <c r="J86" i="8"/>
  <c r="I86" i="8"/>
  <c r="J43" i="8"/>
  <c r="I43" i="8"/>
  <c r="J20" i="8"/>
  <c r="I20" i="8"/>
  <c r="I128" i="8"/>
  <c r="J128" i="8"/>
  <c r="I122" i="8"/>
  <c r="J122" i="8"/>
  <c r="I102" i="8"/>
  <c r="J102" i="8"/>
  <c r="I83" i="8"/>
  <c r="J83" i="8"/>
  <c r="I33" i="8"/>
  <c r="J33" i="8"/>
  <c r="I30" i="8"/>
  <c r="J30" i="8"/>
  <c r="J68" i="8"/>
  <c r="I68" i="8"/>
  <c r="I56" i="8"/>
  <c r="J56" i="8"/>
  <c r="I42" i="8"/>
  <c r="J42" i="8"/>
  <c r="I9" i="8"/>
  <c r="J9" i="8"/>
  <c r="I27" i="8"/>
  <c r="J27" i="8"/>
  <c r="I24" i="8"/>
  <c r="J24" i="8"/>
  <c r="I34" i="8"/>
  <c r="J34" i="8"/>
  <c r="I101" i="8"/>
  <c r="J101" i="8"/>
  <c r="J105" i="8"/>
  <c r="I105" i="8"/>
  <c r="J53" i="8"/>
  <c r="I53" i="8"/>
  <c r="I125" i="8"/>
  <c r="J125" i="8"/>
  <c r="I77" i="8"/>
  <c r="J77" i="8"/>
  <c r="I70" i="8"/>
  <c r="J70" i="8"/>
  <c r="I79" i="8"/>
  <c r="J79" i="8"/>
  <c r="J123" i="8"/>
  <c r="I123" i="8"/>
  <c r="I115" i="8"/>
  <c r="J115" i="8"/>
  <c r="J84" i="8"/>
  <c r="I84" i="8"/>
  <c r="J22" i="8"/>
  <c r="I22" i="8"/>
  <c r="I110" i="8"/>
  <c r="J110" i="8"/>
  <c r="I66" i="8"/>
  <c r="J66" i="8"/>
  <c r="I31" i="8"/>
  <c r="J31" i="8"/>
  <c r="I50" i="8"/>
  <c r="J50" i="8"/>
  <c r="I28" i="8"/>
  <c r="J28" i="8"/>
  <c r="I25" i="8"/>
  <c r="J25" i="8"/>
  <c r="I35" i="8"/>
  <c r="J35" i="8"/>
  <c r="J57" i="8"/>
  <c r="I57" i="8"/>
  <c r="I67" i="8"/>
  <c r="J67" i="8"/>
  <c r="I124" i="8"/>
  <c r="J124" i="8"/>
  <c r="J113" i="8"/>
  <c r="I113" i="8"/>
  <c r="I87" i="8"/>
  <c r="J87" i="8"/>
  <c r="I74" i="8"/>
  <c r="J74" i="8"/>
  <c r="I116" i="8"/>
  <c r="J116" i="8"/>
  <c r="J26" i="8"/>
  <c r="I26" i="8"/>
  <c r="J10" i="8"/>
  <c r="I10" i="8"/>
  <c r="I45" i="8"/>
  <c r="J45" i="8"/>
  <c r="I17" i="8"/>
  <c r="J17" i="8"/>
  <c r="I60" i="8"/>
  <c r="J60" i="8"/>
  <c r="I52" i="8"/>
  <c r="J52" i="8"/>
  <c r="I39" i="8"/>
  <c r="J39" i="8"/>
  <c r="I7" i="8"/>
  <c r="J7" i="8"/>
  <c r="I23" i="8"/>
  <c r="J23" i="8"/>
  <c r="I18" i="8"/>
  <c r="J18" i="8"/>
  <c r="L62" i="8" l="1"/>
  <c r="L63" i="8"/>
  <c r="L54" i="8"/>
  <c r="L51" i="8"/>
  <c r="L55" i="8"/>
  <c r="L61" i="8"/>
  <c r="K18" i="8"/>
  <c r="L18" i="8" s="1"/>
  <c r="K52" i="8"/>
  <c r="L52" i="8" s="1"/>
  <c r="K17" i="8"/>
  <c r="L17" i="8" s="1"/>
  <c r="K87" i="8"/>
  <c r="L87" i="8" s="1"/>
  <c r="K77" i="8"/>
  <c r="L77" i="8" s="1"/>
  <c r="K9" i="8"/>
  <c r="L9" i="8" s="1"/>
  <c r="K39" i="8"/>
  <c r="L39" i="8" s="1"/>
  <c r="K45" i="8"/>
  <c r="L45" i="8" s="1"/>
  <c r="K35" i="8"/>
  <c r="L35" i="8" s="1"/>
  <c r="K28" i="8"/>
  <c r="L28" i="8" s="1"/>
  <c r="K31" i="8"/>
  <c r="L31" i="8" s="1"/>
  <c r="K110" i="8"/>
  <c r="L110" i="8" s="1"/>
  <c r="K70" i="8"/>
  <c r="L70" i="8" s="1"/>
  <c r="K125" i="8"/>
  <c r="L125" i="8" s="1"/>
  <c r="K42" i="8"/>
  <c r="L42" i="8" s="1"/>
  <c r="K44" i="8"/>
  <c r="L44" i="8" s="1"/>
  <c r="K90" i="8"/>
  <c r="L90" i="8" s="1"/>
  <c r="K121" i="8"/>
  <c r="L121" i="8" s="1"/>
  <c r="K71" i="8"/>
  <c r="L71" i="8" s="1"/>
  <c r="K116" i="8"/>
  <c r="L116" i="8" s="1"/>
  <c r="K124" i="8"/>
  <c r="L124" i="8" s="1"/>
  <c r="K24" i="8"/>
  <c r="L24" i="8" s="1"/>
  <c r="K56" i="8"/>
  <c r="L56" i="8" s="1"/>
  <c r="K83" i="8"/>
  <c r="L83" i="8" s="1"/>
  <c r="K19" i="8"/>
  <c r="L19" i="8" s="1"/>
  <c r="K88" i="8"/>
  <c r="L88" i="8" s="1"/>
  <c r="K120" i="8"/>
  <c r="L120" i="8" s="1"/>
  <c r="K23" i="8"/>
  <c r="L23" i="8" s="1"/>
  <c r="K60" i="8"/>
  <c r="L60" i="8" s="1"/>
  <c r="K74" i="8"/>
  <c r="L74" i="8" s="1"/>
  <c r="K67" i="8"/>
  <c r="L67" i="8" s="1"/>
  <c r="K34" i="8"/>
  <c r="L34" i="8" s="1"/>
  <c r="K27" i="8"/>
  <c r="L27" i="8" s="1"/>
  <c r="K33" i="8"/>
  <c r="L33" i="8" s="1"/>
  <c r="K102" i="8"/>
  <c r="L102" i="8" s="1"/>
  <c r="K128" i="8"/>
  <c r="L128" i="8" s="1"/>
  <c r="K106" i="8"/>
  <c r="L106" i="8" s="1"/>
  <c r="K104" i="8"/>
  <c r="L104" i="8" s="1"/>
  <c r="K78" i="8"/>
  <c r="L78" i="8" s="1"/>
  <c r="K11" i="8"/>
  <c r="L11" i="8" s="1"/>
  <c r="K46" i="8"/>
  <c r="L46" i="8" s="1"/>
  <c r="K107" i="8"/>
  <c r="L107" i="8" s="1"/>
  <c r="K26" i="8"/>
  <c r="L26" i="8" s="1"/>
  <c r="K113" i="8"/>
  <c r="L113" i="8" s="1"/>
  <c r="K84" i="8"/>
  <c r="L84" i="8" s="1"/>
  <c r="K123" i="8"/>
  <c r="L123" i="8" s="1"/>
  <c r="K105" i="8"/>
  <c r="L105" i="8" s="1"/>
  <c r="K68" i="8"/>
  <c r="L68" i="8" s="1"/>
  <c r="K43" i="8"/>
  <c r="L43" i="8" s="1"/>
  <c r="K49" i="8"/>
  <c r="L49" i="8" s="1"/>
  <c r="K16" i="8"/>
  <c r="L16" i="8" s="1"/>
  <c r="K65" i="8"/>
  <c r="L65" i="8" s="1"/>
  <c r="K76" i="8"/>
  <c r="L76" i="8" s="1"/>
  <c r="K119" i="8"/>
  <c r="L119" i="8" s="1"/>
  <c r="L114" i="8"/>
  <c r="L73" i="8"/>
  <c r="K7" i="8"/>
  <c r="L7" i="8" s="1"/>
  <c r="K25" i="8"/>
  <c r="L25" i="8" s="1"/>
  <c r="K50" i="8"/>
  <c r="L50" i="8" s="1"/>
  <c r="K115" i="8"/>
  <c r="L115" i="8" s="1"/>
  <c r="K79" i="8"/>
  <c r="L79" i="8" s="1"/>
  <c r="K101" i="8"/>
  <c r="L101" i="8" s="1"/>
  <c r="K30" i="8"/>
  <c r="L30" i="8" s="1"/>
  <c r="K122" i="8"/>
  <c r="L122" i="8" s="1"/>
  <c r="K108" i="8"/>
  <c r="L108" i="8" s="1"/>
  <c r="K8" i="8"/>
  <c r="L8" i="8" s="1"/>
  <c r="K41" i="8"/>
  <c r="L41" i="8" s="1"/>
  <c r="K15" i="8"/>
  <c r="L15" i="8" s="1"/>
  <c r="K82" i="8"/>
  <c r="L82" i="8" s="1"/>
  <c r="K127" i="8"/>
  <c r="L127" i="8" s="1"/>
  <c r="K100" i="8"/>
  <c r="L100" i="8" s="1"/>
  <c r="K10" i="8"/>
  <c r="L10" i="8" s="1"/>
  <c r="K57" i="8"/>
  <c r="L57" i="8" s="1"/>
  <c r="K22" i="8"/>
  <c r="L22" i="8" s="1"/>
  <c r="K53" i="8"/>
  <c r="L53" i="8" s="1"/>
  <c r="K20" i="8"/>
  <c r="L20" i="8" s="1"/>
  <c r="K86" i="8"/>
  <c r="L86" i="8" s="1"/>
  <c r="K117" i="8"/>
  <c r="L117" i="8" s="1"/>
  <c r="K109" i="8"/>
  <c r="L109" i="8" s="1"/>
  <c r="K32" i="8"/>
  <c r="L32" i="8" s="1"/>
  <c r="K75" i="8"/>
  <c r="L75" i="8" s="1"/>
  <c r="K66" i="8"/>
  <c r="L66" i="8" s="1"/>
  <c r="L72" i="8"/>
  <c r="L64" i="8"/>
  <c r="L58" i="8"/>
  <c r="L47" i="8"/>
  <c r="L69" i="8"/>
  <c r="L59" i="8"/>
  <c r="L48" i="8"/>
  <c r="K103"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4" authorId="0" shapeId="0" xr:uid="{00000000-0006-0000-0100-000001000000}">
      <text>
        <r>
          <rPr>
            <b/>
            <sz val="8"/>
            <color indexed="81"/>
            <rFont val="Tahoma"/>
            <family val="2"/>
          </rPr>
          <t>Author:</t>
        </r>
        <r>
          <rPr>
            <sz val="8"/>
            <color indexed="81"/>
            <rFont val="Tahoma"/>
            <family val="2"/>
          </rPr>
          <t xml:space="preserve">
183 cm = 6 feet</t>
        </r>
      </text>
    </comment>
    <comment ref="C14" authorId="0" shapeId="0" xr:uid="{00000000-0006-0000-0100-000002000000}">
      <text>
        <r>
          <rPr>
            <b/>
            <sz val="8"/>
            <color indexed="81"/>
            <rFont val="Tahoma"/>
            <family val="2"/>
          </rPr>
          <t>Author:</t>
        </r>
        <r>
          <rPr>
            <sz val="8"/>
            <color indexed="81"/>
            <rFont val="Tahoma"/>
            <family val="2"/>
          </rPr>
          <t xml:space="preserve">
213 cm = 7 feet, mean depth to groundwater in Massachusetts Northeast Region - per JF 1/16/2002</t>
        </r>
      </text>
    </comment>
    <comment ref="D14" authorId="0" shapeId="0" xr:uid="{00000000-0006-0000-0100-000003000000}">
      <text>
        <r>
          <rPr>
            <b/>
            <sz val="8"/>
            <color indexed="81"/>
            <rFont val="Tahoma"/>
            <family val="2"/>
          </rPr>
          <t>Author:</t>
        </r>
        <r>
          <rPr>
            <sz val="8"/>
            <color indexed="81"/>
            <rFont val="Tahoma"/>
            <family val="2"/>
          </rPr>
          <t xml:space="preserve">
10 degrees C is approximately 50 degrees F, average shallow groundwater temp for Massachusetts, from U.S. Environmental Protection Agency (EPA). 1995. Review of Mathematical
Modeling for Evaluating Soil Vapor Extraction Systems. Office of Research and
Development, Washington, D.C. EPA/540/R-95-513.</t>
        </r>
      </text>
    </comment>
    <comment ref="B17" authorId="0" shapeId="0" xr:uid="{00000000-0006-0000-0100-000004000000}">
      <text>
        <r>
          <rPr>
            <sz val="8"/>
            <color indexed="81"/>
            <rFont val="Tahoma"/>
            <family val="2"/>
          </rPr>
          <t>Stratum A extends down from the soil surface, Stratum B is below Stratum A, and Stratum C is the deepest stratum. 
The thickness of Stratum A must be at least as thick as the depth below grade to the bottom of the enclosed space floor. The combined thickness of all strata must be equal to the depth to the top of contamination. 
If soil strata B and/or C are not to be considered, a value of zero must be entered for each stratum not included in the analysis.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3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K6" authorId="0" shapeId="0" xr:uid="{00000000-0006-0000-0300-000002000000}">
      <text>
        <r>
          <rPr>
            <b/>
            <sz val="8"/>
            <color indexed="81"/>
            <rFont val="Tahoma"/>
            <family val="2"/>
          </rPr>
          <t xml:space="preserve">afriedmann: "#NUM!" </t>
        </r>
        <r>
          <rPr>
            <sz val="8"/>
            <color indexed="81"/>
            <rFont val="Tahoma"/>
            <family val="2"/>
          </rPr>
          <t xml:space="preserve">
indicates that the values is too large to be expressed in Excel.  It does not affect the calculations.</t>
        </r>
      </text>
    </comment>
    <comment ref="A55" authorId="0" shapeId="0" xr:uid="{00000000-0006-0000-0300-000003000000}">
      <text>
        <r>
          <rPr>
            <sz val="8"/>
            <color indexed="81"/>
            <rFont val="Tahoma"/>
            <family val="2"/>
          </rPr>
          <t>Methylene Chloride</t>
        </r>
      </text>
    </comment>
    <comment ref="A69" authorId="0" shapeId="0" xr:uid="{00000000-0006-0000-0300-000004000000}">
      <text>
        <r>
          <rPr>
            <sz val="8"/>
            <color indexed="81"/>
            <rFont val="Tahoma"/>
            <family val="2"/>
          </rPr>
          <t>1,2-Dibromoethane</t>
        </r>
      </text>
    </comment>
    <comment ref="C78" authorId="0" shapeId="0" xr:uid="{00000000-0006-0000-0300-000005000000}">
      <text>
        <r>
          <rPr>
            <b/>
            <sz val="8"/>
            <color indexed="81"/>
            <rFont val="Tahoma"/>
            <family val="2"/>
          </rPr>
          <t xml:space="preserve">Paul.Locke:
</t>
        </r>
        <r>
          <rPr>
            <sz val="8"/>
            <color indexed="81"/>
            <rFont val="Tahoma"/>
            <family val="2"/>
          </rPr>
          <t>Lacking Enthalpy of Vaporization, the Henry's Law was adjusted by a factor of 2.</t>
        </r>
      </text>
    </comment>
    <comment ref="C85" authorId="0" shapeId="0" xr:uid="{00000000-0006-0000-0300-000006000000}">
      <text>
        <r>
          <rPr>
            <b/>
            <sz val="8"/>
            <color indexed="81"/>
            <rFont val="Tahoma"/>
            <family val="2"/>
          </rPr>
          <t xml:space="preserve">Paul.Locke:
</t>
        </r>
        <r>
          <rPr>
            <sz val="8"/>
            <color indexed="81"/>
            <rFont val="Tahoma"/>
            <family val="2"/>
          </rPr>
          <t>Lacking Enthalpy of Vaporization, the Henry's Law was adjusted by a factor of 2.</t>
        </r>
      </text>
    </comment>
    <comment ref="C100" authorId="0" shapeId="0" xr:uid="{00000000-0006-0000-0300-000007000000}">
      <text>
        <r>
          <rPr>
            <b/>
            <sz val="8"/>
            <color indexed="81"/>
            <rFont val="Tahoma"/>
            <family val="2"/>
          </rPr>
          <t xml:space="preserve">Paul.Locke:
</t>
        </r>
        <r>
          <rPr>
            <sz val="8"/>
            <color indexed="81"/>
            <rFont val="Tahoma"/>
            <family val="2"/>
          </rPr>
          <t>Lacking Enthalpy of Vaporization, the Henry's Law was adjusted by a factor of 2.</t>
        </r>
      </text>
    </comment>
    <comment ref="C101" authorId="0" shapeId="0" xr:uid="{00000000-0006-0000-0300-000008000000}">
      <text>
        <r>
          <rPr>
            <b/>
            <sz val="8"/>
            <color indexed="81"/>
            <rFont val="Tahoma"/>
            <family val="2"/>
          </rPr>
          <t>Author:</t>
        </r>
        <r>
          <rPr>
            <sz val="8"/>
            <color indexed="81"/>
            <rFont val="Tahoma"/>
            <family val="2"/>
          </rPr>
          <t xml:space="preserve">
Lacking Enthalpy of Vaporization, the Henry's Law was adjusted by a factor of 2.</t>
        </r>
      </text>
    </comment>
    <comment ref="C102" authorId="0" shapeId="0" xr:uid="{00000000-0006-0000-0300-000009000000}">
      <text>
        <r>
          <rPr>
            <b/>
            <sz val="8"/>
            <color indexed="81"/>
            <rFont val="Tahoma"/>
            <family val="2"/>
          </rPr>
          <t>Author:</t>
        </r>
        <r>
          <rPr>
            <sz val="8"/>
            <color indexed="81"/>
            <rFont val="Tahoma"/>
            <family val="2"/>
          </rPr>
          <t xml:space="preserve">
Lacking Enthalpy of Vaporization, the Henry's Law was adjusted by a factor of 2.</t>
        </r>
      </text>
    </comment>
    <comment ref="C103" authorId="0" shapeId="0" xr:uid="{00000000-0006-0000-0300-00000A000000}">
      <text>
        <r>
          <rPr>
            <b/>
            <sz val="8"/>
            <color indexed="81"/>
            <rFont val="Tahoma"/>
            <family val="2"/>
          </rPr>
          <t>Author:</t>
        </r>
        <r>
          <rPr>
            <sz val="8"/>
            <color indexed="81"/>
            <rFont val="Tahoma"/>
            <family val="2"/>
          </rPr>
          <t xml:space="preserve">
Lacking Enthalpy of Vaporization, the Henry's Law was adjusted by a factor of 2.</t>
        </r>
      </text>
    </comment>
    <comment ref="C104" authorId="0" shapeId="0" xr:uid="{00000000-0006-0000-0300-00000B000000}">
      <text>
        <r>
          <rPr>
            <b/>
            <sz val="8"/>
            <color indexed="81"/>
            <rFont val="Tahoma"/>
            <family val="2"/>
          </rPr>
          <t>Author:</t>
        </r>
        <r>
          <rPr>
            <sz val="8"/>
            <color indexed="81"/>
            <rFont val="Tahoma"/>
            <family val="2"/>
          </rPr>
          <t xml:space="preserve">
Lacking Enthalpy of Vaporization, the Henry's Law was adjusted by a factor of 2.</t>
        </r>
      </text>
    </comment>
    <comment ref="C105" authorId="0" shapeId="0" xr:uid="{00000000-0006-0000-0300-00000C000000}">
      <text>
        <r>
          <rPr>
            <b/>
            <sz val="8"/>
            <color indexed="81"/>
            <rFont val="Tahoma"/>
            <family val="2"/>
          </rPr>
          <t>Author:</t>
        </r>
        <r>
          <rPr>
            <sz val="8"/>
            <color indexed="81"/>
            <rFont val="Tahoma"/>
            <family val="2"/>
          </rPr>
          <t xml:space="preserve">
Lacking Enthalpy of Vaporization, the Henry's Law was adjusted by a factor of 2.</t>
        </r>
      </text>
    </comment>
    <comment ref="C110" authorId="0" shapeId="0" xr:uid="{00000000-0006-0000-0300-00000D000000}">
      <text>
        <r>
          <rPr>
            <b/>
            <sz val="8"/>
            <color indexed="81"/>
            <rFont val="Tahoma"/>
            <family val="2"/>
          </rPr>
          <t xml:space="preserve">Paul.Locke:
</t>
        </r>
        <r>
          <rPr>
            <sz val="8"/>
            <color indexed="81"/>
            <rFont val="Tahoma"/>
            <family val="2"/>
          </rPr>
          <t>Lacking Enthalpy of Vaporization, the Henry's Law was adjusted by a factor of 2.</t>
        </r>
      </text>
    </comment>
    <comment ref="A113" authorId="0" shapeId="0" xr:uid="{00000000-0006-0000-0300-00000E000000}">
      <text>
        <r>
          <rPr>
            <sz val="8"/>
            <color indexed="81"/>
            <rFont val="Tahoma"/>
            <family val="2"/>
          </rPr>
          <t>ETHENYLBENZENE</t>
        </r>
      </text>
    </comment>
    <comment ref="A128" authorId="0" shapeId="0" xr:uid="{00000000-0006-0000-0300-00000F000000}">
      <text>
        <r>
          <rPr>
            <sz val="8"/>
            <color indexed="81"/>
            <rFont val="Tahoma"/>
            <family val="2"/>
          </rPr>
          <t>DIMETHYLBENZENES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4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A55" authorId="0" shapeId="0" xr:uid="{00000000-0006-0000-0400-000002000000}">
      <text>
        <r>
          <rPr>
            <sz val="8"/>
            <color indexed="81"/>
            <rFont val="Tahoma"/>
            <family val="2"/>
          </rPr>
          <t>Methylene Chloride</t>
        </r>
      </text>
    </comment>
    <comment ref="A69" authorId="0" shapeId="0" xr:uid="{00000000-0006-0000-0400-000003000000}">
      <text>
        <r>
          <rPr>
            <sz val="8"/>
            <color indexed="81"/>
            <rFont val="Tahoma"/>
            <family val="2"/>
          </rPr>
          <t>1,2-Dibromoethane</t>
        </r>
      </text>
    </comment>
    <comment ref="A113" authorId="0" shapeId="0" xr:uid="{00000000-0006-0000-0400-000004000000}">
      <text>
        <r>
          <rPr>
            <sz val="8"/>
            <color indexed="81"/>
            <rFont val="Tahoma"/>
            <family val="2"/>
          </rPr>
          <t>ETHENYLBENZENE</t>
        </r>
      </text>
    </comment>
    <comment ref="A128" authorId="0" shapeId="0" xr:uid="{00000000-0006-0000-0400-000005000000}">
      <text>
        <r>
          <rPr>
            <sz val="8"/>
            <color indexed="81"/>
            <rFont val="Tahoma"/>
            <family val="2"/>
          </rPr>
          <t>DIMETHYLBENZENES</t>
        </r>
      </text>
    </comment>
  </commentList>
</comments>
</file>

<file path=xl/sharedStrings.xml><?xml version="1.0" encoding="utf-8"?>
<sst xmlns="http://schemas.openxmlformats.org/spreadsheetml/2006/main" count="766" uniqueCount="426">
  <si>
    <t>OR</t>
  </si>
  <si>
    <t>ENTER</t>
  </si>
  <si>
    <t>groundwater</t>
  </si>
  <si>
    <t>Depth</t>
  </si>
  <si>
    <t>Soil</t>
  </si>
  <si>
    <t>Average</t>
  </si>
  <si>
    <t>below grade</t>
  </si>
  <si>
    <t>Thickness</t>
  </si>
  <si>
    <t>stratum A</t>
  </si>
  <si>
    <t>User-defined</t>
  </si>
  <si>
    <t>soil/</t>
  </si>
  <si>
    <t>to bottom</t>
  </si>
  <si>
    <t>of soil</t>
  </si>
  <si>
    <t>SCS</t>
  </si>
  <si>
    <t>of enclosed</t>
  </si>
  <si>
    <t>stratum B,</t>
  </si>
  <si>
    <t>stratum C,</t>
  </si>
  <si>
    <t>stratum</t>
  </si>
  <si>
    <t>soil type</t>
  </si>
  <si>
    <t>soil vapor</t>
  </si>
  <si>
    <t>temperature,</t>
  </si>
  <si>
    <t>space floor,</t>
  </si>
  <si>
    <t>to water table,</t>
  </si>
  <si>
    <t>stratum A,</t>
  </si>
  <si>
    <t>(Enter value or 0)</t>
  </si>
  <si>
    <t>directly above</t>
  </si>
  <si>
    <t>(used to estimate</t>
  </si>
  <si>
    <t>permeability,</t>
  </si>
  <si>
    <r>
      <t>T</t>
    </r>
    <r>
      <rPr>
        <vertAlign val="subscript"/>
        <sz val="10"/>
        <color indexed="8"/>
        <rFont val="MS Sans Serif"/>
        <family val="2"/>
      </rPr>
      <t>S</t>
    </r>
  </si>
  <si>
    <r>
      <t>L</t>
    </r>
    <r>
      <rPr>
        <vertAlign val="subscript"/>
        <sz val="10"/>
        <color indexed="8"/>
        <rFont val="MS Sans Serif"/>
        <family val="2"/>
      </rPr>
      <t>F</t>
    </r>
  </si>
  <si>
    <r>
      <t>L</t>
    </r>
    <r>
      <rPr>
        <vertAlign val="subscript"/>
        <sz val="10"/>
        <color indexed="8"/>
        <rFont val="MS Sans Serif"/>
        <family val="2"/>
      </rPr>
      <t>WT</t>
    </r>
  </si>
  <si>
    <r>
      <t>h</t>
    </r>
    <r>
      <rPr>
        <vertAlign val="subscript"/>
        <sz val="10"/>
        <color indexed="8"/>
        <rFont val="MS Sans Serif"/>
        <family val="2"/>
      </rPr>
      <t>A</t>
    </r>
  </si>
  <si>
    <r>
      <t>h</t>
    </r>
    <r>
      <rPr>
        <vertAlign val="subscript"/>
        <sz val="10"/>
        <color indexed="8"/>
        <rFont val="MS Sans Serif"/>
        <family val="2"/>
      </rPr>
      <t>B</t>
    </r>
  </si>
  <si>
    <r>
      <t>h</t>
    </r>
    <r>
      <rPr>
        <vertAlign val="subscript"/>
        <sz val="10"/>
        <color indexed="8"/>
        <rFont val="MS Sans Serif"/>
        <family val="2"/>
      </rPr>
      <t>C</t>
    </r>
  </si>
  <si>
    <t>water table,</t>
  </si>
  <si>
    <r>
      <t>k</t>
    </r>
    <r>
      <rPr>
        <vertAlign val="subscript"/>
        <sz val="10"/>
        <rFont val="MS Sans Serif"/>
        <family val="2"/>
      </rPr>
      <t>v</t>
    </r>
  </si>
  <si>
    <r>
      <t>(</t>
    </r>
    <r>
      <rPr>
        <vertAlign val="superscript"/>
        <sz val="10"/>
        <color indexed="8"/>
        <rFont val="MS Sans Serif"/>
        <family val="2"/>
      </rPr>
      <t>o</t>
    </r>
    <r>
      <rPr>
        <sz val="10"/>
        <color indexed="8"/>
        <rFont val="MS Sans Serif"/>
        <family val="2"/>
      </rPr>
      <t>C)</t>
    </r>
  </si>
  <si>
    <t>(cm)</t>
  </si>
  <si>
    <t>water table</t>
  </si>
  <si>
    <t>permeability)</t>
  </si>
  <si>
    <r>
      <t>(cm</t>
    </r>
    <r>
      <rPr>
        <vertAlign val="superscript"/>
        <sz val="10"/>
        <color indexed="8"/>
        <rFont val="MS Sans Serif"/>
        <family val="2"/>
      </rPr>
      <t>2</t>
    </r>
    <r>
      <rPr>
        <sz val="10"/>
        <color indexed="8"/>
        <rFont val="MS Sans Serif"/>
        <family val="2"/>
      </rPr>
      <t>)</t>
    </r>
  </si>
  <si>
    <t>C</t>
  </si>
  <si>
    <t>SC</t>
  </si>
  <si>
    <t>L</t>
  </si>
  <si>
    <t>Stratum A</t>
  </si>
  <si>
    <t>Stratum B</t>
  </si>
  <si>
    <t>Stratum C</t>
  </si>
  <si>
    <t>soil dry</t>
  </si>
  <si>
    <t>soil total</t>
  </si>
  <si>
    <t>soil water-filled</t>
  </si>
  <si>
    <t>bulk density,</t>
  </si>
  <si>
    <t>porosity,</t>
  </si>
  <si>
    <r>
      <t>r</t>
    </r>
    <r>
      <rPr>
        <vertAlign val="subscript"/>
        <sz val="10"/>
        <color indexed="8"/>
        <rFont val="MS Sans Serif"/>
        <family val="2"/>
      </rPr>
      <t>b</t>
    </r>
    <r>
      <rPr>
        <vertAlign val="superscript"/>
        <sz val="10"/>
        <color indexed="8"/>
        <rFont val="MS Sans Serif"/>
        <family val="2"/>
      </rPr>
      <t>A</t>
    </r>
  </si>
  <si>
    <r>
      <t>n</t>
    </r>
    <r>
      <rPr>
        <vertAlign val="superscript"/>
        <sz val="10"/>
        <color indexed="8"/>
        <rFont val="MS Sans Serif"/>
        <family val="2"/>
      </rPr>
      <t>A</t>
    </r>
  </si>
  <si>
    <r>
      <t>q</t>
    </r>
    <r>
      <rPr>
        <vertAlign val="subscript"/>
        <sz val="10"/>
        <color indexed="8"/>
        <rFont val="MS Sans Serif"/>
        <family val="2"/>
      </rPr>
      <t>w</t>
    </r>
    <r>
      <rPr>
        <vertAlign val="superscript"/>
        <sz val="10"/>
        <color indexed="8"/>
        <rFont val="MS Sans Serif"/>
        <family val="2"/>
      </rPr>
      <t>A</t>
    </r>
  </si>
  <si>
    <r>
      <t>r</t>
    </r>
    <r>
      <rPr>
        <vertAlign val="subscript"/>
        <sz val="10"/>
        <color indexed="8"/>
        <rFont val="MS Sans Serif"/>
        <family val="2"/>
      </rPr>
      <t>b</t>
    </r>
    <r>
      <rPr>
        <vertAlign val="superscript"/>
        <sz val="10"/>
        <color indexed="8"/>
        <rFont val="MS Sans Serif"/>
        <family val="2"/>
      </rPr>
      <t>B</t>
    </r>
  </si>
  <si>
    <r>
      <t>n</t>
    </r>
    <r>
      <rPr>
        <vertAlign val="superscript"/>
        <sz val="10"/>
        <color indexed="8"/>
        <rFont val="MS Sans Serif"/>
        <family val="2"/>
      </rPr>
      <t>B</t>
    </r>
  </si>
  <si>
    <r>
      <t>q</t>
    </r>
    <r>
      <rPr>
        <vertAlign val="subscript"/>
        <sz val="10"/>
        <color indexed="8"/>
        <rFont val="MS Sans Serif"/>
        <family val="2"/>
      </rPr>
      <t>w</t>
    </r>
    <r>
      <rPr>
        <vertAlign val="superscript"/>
        <sz val="10"/>
        <color indexed="8"/>
        <rFont val="MS Sans Serif"/>
        <family val="2"/>
      </rPr>
      <t>B</t>
    </r>
  </si>
  <si>
    <r>
      <t>r</t>
    </r>
    <r>
      <rPr>
        <vertAlign val="subscript"/>
        <sz val="10"/>
        <color indexed="8"/>
        <rFont val="MS Sans Serif"/>
        <family val="2"/>
      </rPr>
      <t>b</t>
    </r>
    <r>
      <rPr>
        <vertAlign val="superscript"/>
        <sz val="10"/>
        <color indexed="8"/>
        <rFont val="MS Sans Serif"/>
        <family val="2"/>
      </rPr>
      <t>C</t>
    </r>
  </si>
  <si>
    <r>
      <t>n</t>
    </r>
    <r>
      <rPr>
        <vertAlign val="superscript"/>
        <sz val="10"/>
        <color indexed="8"/>
        <rFont val="MS Sans Serif"/>
        <family val="2"/>
      </rPr>
      <t>C</t>
    </r>
  </si>
  <si>
    <r>
      <t>q</t>
    </r>
    <r>
      <rPr>
        <vertAlign val="subscript"/>
        <sz val="10"/>
        <color indexed="8"/>
        <rFont val="MS Sans Serif"/>
        <family val="2"/>
      </rPr>
      <t>w</t>
    </r>
    <r>
      <rPr>
        <vertAlign val="superscript"/>
        <sz val="10"/>
        <color indexed="8"/>
        <rFont val="MS Sans Serif"/>
        <family val="2"/>
      </rPr>
      <t>C</t>
    </r>
  </si>
  <si>
    <r>
      <t>(g/cm</t>
    </r>
    <r>
      <rPr>
        <vertAlign val="superscript"/>
        <sz val="10"/>
        <color indexed="8"/>
        <rFont val="MS Sans Serif"/>
        <family val="2"/>
      </rPr>
      <t>3</t>
    </r>
    <r>
      <rPr>
        <sz val="10"/>
        <color indexed="8"/>
        <rFont val="MS Sans Serif"/>
        <family val="2"/>
      </rPr>
      <t>)</t>
    </r>
  </si>
  <si>
    <t>(unitless)</t>
  </si>
  <si>
    <r>
      <t>(cm</t>
    </r>
    <r>
      <rPr>
        <vertAlign val="superscript"/>
        <sz val="10"/>
        <color indexed="8"/>
        <rFont val="MS Sans Serif"/>
        <family val="2"/>
      </rPr>
      <t>3</t>
    </r>
    <r>
      <rPr>
        <sz val="10"/>
        <color indexed="8"/>
        <rFont val="MS Sans Serif"/>
        <family val="2"/>
      </rPr>
      <t>/cm</t>
    </r>
    <r>
      <rPr>
        <vertAlign val="superscript"/>
        <sz val="10"/>
        <color indexed="8"/>
        <rFont val="MS Sans Serif"/>
        <family val="2"/>
      </rPr>
      <t>3</t>
    </r>
    <r>
      <rPr>
        <sz val="10"/>
        <color indexed="8"/>
        <rFont val="MS Sans Serif"/>
        <family val="2"/>
      </rPr>
      <t>)</t>
    </r>
  </si>
  <si>
    <t>Enclosed</t>
  </si>
  <si>
    <t>space</t>
  </si>
  <si>
    <t>Soil-bldg.</t>
  </si>
  <si>
    <t>Floor-wall</t>
  </si>
  <si>
    <t>Indoor</t>
  </si>
  <si>
    <t>floor</t>
  </si>
  <si>
    <t>pressure</t>
  </si>
  <si>
    <t>seam crack</t>
  </si>
  <si>
    <t>air exchange</t>
  </si>
  <si>
    <t>thickness,</t>
  </si>
  <si>
    <t>differential,</t>
  </si>
  <si>
    <t>length,</t>
  </si>
  <si>
    <t>width,</t>
  </si>
  <si>
    <t>height,</t>
  </si>
  <si>
    <t>rate,</t>
  </si>
  <si>
    <r>
      <t>L</t>
    </r>
    <r>
      <rPr>
        <vertAlign val="subscript"/>
        <sz val="10"/>
        <color indexed="8"/>
        <rFont val="MS Sans Serif"/>
        <family val="2"/>
      </rPr>
      <t>crack</t>
    </r>
  </si>
  <si>
    <r>
      <t>D</t>
    </r>
    <r>
      <rPr>
        <sz val="10"/>
        <color indexed="8"/>
        <rFont val="MS Sans Serif"/>
        <family val="2"/>
      </rPr>
      <t>P</t>
    </r>
  </si>
  <si>
    <r>
      <t>L</t>
    </r>
    <r>
      <rPr>
        <vertAlign val="subscript"/>
        <sz val="10"/>
        <color indexed="8"/>
        <rFont val="MS Sans Serif"/>
        <family val="2"/>
      </rPr>
      <t>B</t>
    </r>
  </si>
  <si>
    <r>
      <t>W</t>
    </r>
    <r>
      <rPr>
        <vertAlign val="subscript"/>
        <sz val="10"/>
        <color indexed="8"/>
        <rFont val="MS Sans Serif"/>
        <family val="2"/>
      </rPr>
      <t>B</t>
    </r>
  </si>
  <si>
    <r>
      <t>H</t>
    </r>
    <r>
      <rPr>
        <vertAlign val="subscript"/>
        <sz val="10"/>
        <color indexed="8"/>
        <rFont val="MS Sans Serif"/>
        <family val="2"/>
      </rPr>
      <t>B</t>
    </r>
  </si>
  <si>
    <t>w</t>
  </si>
  <si>
    <t>ER</t>
  </si>
  <si>
    <r>
      <t>(g/cm-s</t>
    </r>
    <r>
      <rPr>
        <vertAlign val="superscript"/>
        <sz val="10"/>
        <color indexed="8"/>
        <rFont val="MS Sans Serif"/>
        <family val="2"/>
      </rPr>
      <t>2</t>
    </r>
    <r>
      <rPr>
        <sz val="10"/>
        <color indexed="8"/>
        <rFont val="MS Sans Serif"/>
        <family val="2"/>
      </rPr>
      <t>)</t>
    </r>
  </si>
  <si>
    <t>(1/h)</t>
  </si>
  <si>
    <t>TR</t>
  </si>
  <si>
    <t>Henry's</t>
  </si>
  <si>
    <t>Enthalpy of</t>
  </si>
  <si>
    <t>Pure</t>
  </si>
  <si>
    <t>law constant</t>
  </si>
  <si>
    <t>vaporization at</t>
  </si>
  <si>
    <t>Normal</t>
  </si>
  <si>
    <t>component</t>
  </si>
  <si>
    <t>Diffusivity</t>
  </si>
  <si>
    <t>reference</t>
  </si>
  <si>
    <t>the normal</t>
  </si>
  <si>
    <t>boiling</t>
  </si>
  <si>
    <t>Critical</t>
  </si>
  <si>
    <t>water</t>
  </si>
  <si>
    <t>in air,</t>
  </si>
  <si>
    <t>in water,</t>
  </si>
  <si>
    <t>boiling point,</t>
  </si>
  <si>
    <t>point,</t>
  </si>
  <si>
    <t>coefficient,</t>
  </si>
  <si>
    <t>solubility,</t>
  </si>
  <si>
    <t>H</t>
  </si>
  <si>
    <t>S</t>
  </si>
  <si>
    <t>(cal/mol)</t>
  </si>
  <si>
    <t>(mg/L)</t>
  </si>
  <si>
    <t>Total</t>
  </si>
  <si>
    <t>Air-filled</t>
  </si>
  <si>
    <t>Water-filled</t>
  </si>
  <si>
    <t>Floor-</t>
  </si>
  <si>
    <t>Source-</t>
  </si>
  <si>
    <t>soil</t>
  </si>
  <si>
    <t>effective</t>
  </si>
  <si>
    <t>Thickness of</t>
  </si>
  <si>
    <t>porosity in</t>
  </si>
  <si>
    <t>wall</t>
  </si>
  <si>
    <t>building</t>
  </si>
  <si>
    <t>air-filled</t>
  </si>
  <si>
    <t>total fluid</t>
  </si>
  <si>
    <t>intrinsic</t>
  </si>
  <si>
    <t>relative air</t>
  </si>
  <si>
    <t>effective vapor</t>
  </si>
  <si>
    <t>capillary</t>
  </si>
  <si>
    <t>seam</t>
  </si>
  <si>
    <t>separation,</t>
  </si>
  <si>
    <t>saturation,</t>
  </si>
  <si>
    <t>zone,</t>
  </si>
  <si>
    <t>perimeter,</t>
  </si>
  <si>
    <r>
      <t>L</t>
    </r>
    <r>
      <rPr>
        <vertAlign val="subscript"/>
        <sz val="10"/>
        <color indexed="8"/>
        <rFont val="MS Sans Serif"/>
        <family val="2"/>
      </rPr>
      <t>T</t>
    </r>
  </si>
  <si>
    <r>
      <t>q</t>
    </r>
    <r>
      <rPr>
        <vertAlign val="subscript"/>
        <sz val="10"/>
        <color indexed="8"/>
        <rFont val="MS Sans Serif"/>
        <family val="2"/>
      </rPr>
      <t>a</t>
    </r>
    <r>
      <rPr>
        <vertAlign val="superscript"/>
        <sz val="10"/>
        <color indexed="8"/>
        <rFont val="MS Sans Serif"/>
        <family val="2"/>
      </rPr>
      <t>A</t>
    </r>
  </si>
  <si>
    <r>
      <t>q</t>
    </r>
    <r>
      <rPr>
        <vertAlign val="subscript"/>
        <sz val="10"/>
        <color indexed="8"/>
        <rFont val="MS Sans Serif"/>
        <family val="2"/>
      </rPr>
      <t>a</t>
    </r>
    <r>
      <rPr>
        <vertAlign val="superscript"/>
        <sz val="10"/>
        <color indexed="8"/>
        <rFont val="MS Sans Serif"/>
        <family val="2"/>
      </rPr>
      <t>B</t>
    </r>
  </si>
  <si>
    <r>
      <t>q</t>
    </r>
    <r>
      <rPr>
        <vertAlign val="subscript"/>
        <sz val="10"/>
        <color indexed="8"/>
        <rFont val="MS Sans Serif"/>
        <family val="2"/>
      </rPr>
      <t>a</t>
    </r>
    <r>
      <rPr>
        <vertAlign val="superscript"/>
        <sz val="10"/>
        <color indexed="8"/>
        <rFont val="MS Sans Serif"/>
        <family val="2"/>
      </rPr>
      <t>C</t>
    </r>
  </si>
  <si>
    <r>
      <t>S</t>
    </r>
    <r>
      <rPr>
        <vertAlign val="subscript"/>
        <sz val="10"/>
        <rFont val="MS Sans Serif"/>
        <family val="2"/>
      </rPr>
      <t>te</t>
    </r>
  </si>
  <si>
    <r>
      <t>k</t>
    </r>
    <r>
      <rPr>
        <vertAlign val="subscript"/>
        <sz val="10"/>
        <rFont val="MS Sans Serif"/>
        <family val="2"/>
      </rPr>
      <t>i</t>
    </r>
  </si>
  <si>
    <r>
      <t>k</t>
    </r>
    <r>
      <rPr>
        <vertAlign val="subscript"/>
        <sz val="10"/>
        <rFont val="MS Sans Serif"/>
        <family val="2"/>
      </rPr>
      <t>rg</t>
    </r>
  </si>
  <si>
    <r>
      <t>k</t>
    </r>
    <r>
      <rPr>
        <vertAlign val="subscript"/>
        <sz val="10"/>
        <color indexed="8"/>
        <rFont val="MS Sans Serif"/>
        <family val="2"/>
      </rPr>
      <t>v</t>
    </r>
  </si>
  <si>
    <r>
      <t>L</t>
    </r>
    <r>
      <rPr>
        <vertAlign val="subscript"/>
        <sz val="10"/>
        <color indexed="8"/>
        <rFont val="MS Sans Serif"/>
        <family val="2"/>
      </rPr>
      <t>cz</t>
    </r>
  </si>
  <si>
    <r>
      <t>n</t>
    </r>
    <r>
      <rPr>
        <vertAlign val="subscript"/>
        <sz val="10"/>
        <color indexed="8"/>
        <rFont val="MS Sans Serif"/>
        <family val="2"/>
      </rPr>
      <t>cz</t>
    </r>
  </si>
  <si>
    <r>
      <t>q</t>
    </r>
    <r>
      <rPr>
        <vertAlign val="subscript"/>
        <sz val="10"/>
        <color indexed="8"/>
        <rFont val="MS Sans Serif"/>
        <family val="2"/>
      </rPr>
      <t>a,cz</t>
    </r>
  </si>
  <si>
    <r>
      <t>q</t>
    </r>
    <r>
      <rPr>
        <vertAlign val="subscript"/>
        <sz val="10"/>
        <color indexed="8"/>
        <rFont val="MS Sans Serif"/>
        <family val="2"/>
      </rPr>
      <t>w,cz</t>
    </r>
  </si>
  <si>
    <r>
      <t>X</t>
    </r>
    <r>
      <rPr>
        <vertAlign val="subscript"/>
        <sz val="10"/>
        <color indexed="8"/>
        <rFont val="MS Sans Serif"/>
        <family val="2"/>
      </rPr>
      <t>crack</t>
    </r>
  </si>
  <si>
    <r>
      <t>(cm</t>
    </r>
    <r>
      <rPr>
        <vertAlign val="superscript"/>
        <sz val="10"/>
        <rFont val="MS Sans Serif"/>
        <family val="2"/>
      </rPr>
      <t>3</t>
    </r>
    <r>
      <rPr>
        <sz val="10"/>
        <rFont val="MS Sans Serif"/>
        <family val="2"/>
      </rPr>
      <t>/cm</t>
    </r>
    <r>
      <rPr>
        <vertAlign val="superscript"/>
        <sz val="10"/>
        <rFont val="MS Sans Serif"/>
        <family val="2"/>
      </rPr>
      <t>3</t>
    </r>
    <r>
      <rPr>
        <sz val="10"/>
        <rFont val="MS Sans Serif"/>
        <family val="2"/>
      </rPr>
      <t>)</t>
    </r>
  </si>
  <si>
    <t>Area of</t>
  </si>
  <si>
    <t>enclosed</t>
  </si>
  <si>
    <t>Crack-</t>
  </si>
  <si>
    <t>Crack</t>
  </si>
  <si>
    <t>Henry's law</t>
  </si>
  <si>
    <t>Vapor</t>
  </si>
  <si>
    <t>A</t>
  </si>
  <si>
    <t>Bldg.</t>
  </si>
  <si>
    <t>to-total</t>
  </si>
  <si>
    <t>depth</t>
  </si>
  <si>
    <t>constant at</t>
  </si>
  <si>
    <t>viscosity at</t>
  </si>
  <si>
    <t>Diffusion</t>
  </si>
  <si>
    <t>ventilation</t>
  </si>
  <si>
    <t>below</t>
  </si>
  <si>
    <t>area</t>
  </si>
  <si>
    <t>ave. groundwater</t>
  </si>
  <si>
    <t>ave. soil</t>
  </si>
  <si>
    <t>diffusion</t>
  </si>
  <si>
    <t>path</t>
  </si>
  <si>
    <t>grade,</t>
  </si>
  <si>
    <t>ratio,</t>
  </si>
  <si>
    <r>
      <t>Q</t>
    </r>
    <r>
      <rPr>
        <vertAlign val="subscript"/>
        <sz val="10"/>
        <color indexed="8"/>
        <rFont val="MS Sans Serif"/>
        <family val="2"/>
      </rPr>
      <t>building</t>
    </r>
  </si>
  <si>
    <r>
      <t>A</t>
    </r>
    <r>
      <rPr>
        <vertAlign val="subscript"/>
        <sz val="10"/>
        <color indexed="8"/>
        <rFont val="MS Sans Serif"/>
        <family val="2"/>
      </rPr>
      <t>B</t>
    </r>
  </si>
  <si>
    <t>h</t>
  </si>
  <si>
    <r>
      <t>Z</t>
    </r>
    <r>
      <rPr>
        <vertAlign val="subscript"/>
        <sz val="10"/>
        <color indexed="8"/>
        <rFont val="MS Sans Serif"/>
        <family val="2"/>
      </rPr>
      <t>crack</t>
    </r>
  </si>
  <si>
    <r>
      <t>m</t>
    </r>
    <r>
      <rPr>
        <vertAlign val="subscript"/>
        <sz val="10"/>
        <color indexed="8"/>
        <rFont val="MS Sans Serif"/>
        <family val="2"/>
      </rPr>
      <t>TS</t>
    </r>
  </si>
  <si>
    <r>
      <t>L</t>
    </r>
    <r>
      <rPr>
        <vertAlign val="subscript"/>
        <sz val="10"/>
        <color indexed="8"/>
        <rFont val="MS Sans Serif"/>
        <family val="2"/>
      </rPr>
      <t>d</t>
    </r>
  </si>
  <si>
    <r>
      <t>(cm</t>
    </r>
    <r>
      <rPr>
        <vertAlign val="superscript"/>
        <sz val="10"/>
        <color indexed="8"/>
        <rFont val="MS Sans Serif"/>
        <family val="2"/>
      </rPr>
      <t>3</t>
    </r>
    <r>
      <rPr>
        <sz val="10"/>
        <color indexed="8"/>
        <rFont val="MS Sans Serif"/>
        <family val="2"/>
      </rPr>
      <t>/s)</t>
    </r>
  </si>
  <si>
    <t>(g/cm-s)</t>
  </si>
  <si>
    <t>Exponent of</t>
  </si>
  <si>
    <t>equivalent</t>
  </si>
  <si>
    <t>Convection</t>
  </si>
  <si>
    <t>vapor</t>
  </si>
  <si>
    <t>foundation</t>
  </si>
  <si>
    <t>indoor</t>
  </si>
  <si>
    <t>flow rate</t>
  </si>
  <si>
    <t>attenuation</t>
  </si>
  <si>
    <t>radius,</t>
  </si>
  <si>
    <t>into bldg.,</t>
  </si>
  <si>
    <t>crack,</t>
  </si>
  <si>
    <r>
      <t>L</t>
    </r>
    <r>
      <rPr>
        <vertAlign val="subscript"/>
        <sz val="10"/>
        <color indexed="8"/>
        <rFont val="MS Sans Serif"/>
        <family val="2"/>
      </rPr>
      <t>p</t>
    </r>
  </si>
  <si>
    <r>
      <t>r</t>
    </r>
    <r>
      <rPr>
        <vertAlign val="subscript"/>
        <sz val="10"/>
        <color indexed="8"/>
        <rFont val="MS Sans Serif"/>
        <family val="2"/>
      </rPr>
      <t>crack</t>
    </r>
  </si>
  <si>
    <r>
      <t>Q</t>
    </r>
    <r>
      <rPr>
        <vertAlign val="subscript"/>
        <sz val="10"/>
        <color indexed="8"/>
        <rFont val="MS Sans Serif"/>
        <family val="2"/>
      </rPr>
      <t>soil</t>
    </r>
  </si>
  <si>
    <r>
      <t>A</t>
    </r>
    <r>
      <rPr>
        <vertAlign val="subscript"/>
        <sz val="10"/>
        <color indexed="8"/>
        <rFont val="MS Sans Serif"/>
        <family val="2"/>
      </rPr>
      <t>crack</t>
    </r>
  </si>
  <si>
    <t>a</t>
  </si>
  <si>
    <t>SCS Soil Type</t>
  </si>
  <si>
    <t>N (unitless)</t>
  </si>
  <si>
    <t>M (unitless)</t>
  </si>
  <si>
    <t>Mean Grain Diameter (cm)</t>
  </si>
  <si>
    <t>CL</t>
  </si>
  <si>
    <t>LS</t>
  </si>
  <si>
    <t>SCL</t>
  </si>
  <si>
    <t>SI</t>
  </si>
  <si>
    <t>SIC</t>
  </si>
  <si>
    <t>SICL</t>
  </si>
  <si>
    <t>SIL</t>
  </si>
  <si>
    <t>SL</t>
  </si>
  <si>
    <t>H'</t>
  </si>
  <si>
    <t>Soil Properties Lookup Table</t>
  </si>
  <si>
    <t>MORE</t>
  </si>
  <si>
    <t>ê</t>
  </si>
  <si>
    <t>END</t>
  </si>
  <si>
    <t>OIL OR HAZARDOUS MATERIAL</t>
  </si>
  <si>
    <t>ACENAPHTHENE</t>
  </si>
  <si>
    <t>ACENAPHTHYLENE</t>
  </si>
  <si>
    <t>ACETONE</t>
  </si>
  <si>
    <t>ALDRIN</t>
  </si>
  <si>
    <t>ANTHRACENE</t>
  </si>
  <si>
    <t>ANTIMONY</t>
  </si>
  <si>
    <t>ARSENIC</t>
  </si>
  <si>
    <t>BARIUM</t>
  </si>
  <si>
    <t>BENZENE</t>
  </si>
  <si>
    <t>BENZO(a)ANTHRACENE</t>
  </si>
  <si>
    <t>BENZO(a)PYRENE</t>
  </si>
  <si>
    <t>BENZO(b)FLUORANTHENE</t>
  </si>
  <si>
    <t>BENZO(g,h,i)PERYLENE</t>
  </si>
  <si>
    <t>BENZO(k)FLUORANTHENE</t>
  </si>
  <si>
    <t>BERYLLIUM</t>
  </si>
  <si>
    <t>BIPHENYL, 1,1-</t>
  </si>
  <si>
    <t>BIS(2-CHLOROETHYL)ETHER</t>
  </si>
  <si>
    <t>BIS(2-CHLOROISOPROPYL)ETHER</t>
  </si>
  <si>
    <t>BIS(2-ETHYLHEXYL)PHTHALATE</t>
  </si>
  <si>
    <t>BROMODICHLOROMETHANE</t>
  </si>
  <si>
    <t>BROMOFORM</t>
  </si>
  <si>
    <t>BROMOMETHANE</t>
  </si>
  <si>
    <t>CADMIUM</t>
  </si>
  <si>
    <t>CARBON TETRACHLORIDE</t>
  </si>
  <si>
    <t>CHLORDANE</t>
  </si>
  <si>
    <t>CHLOROANILINE, p-</t>
  </si>
  <si>
    <t>CHLOROBENZENE</t>
  </si>
  <si>
    <t>CHLOROFORM</t>
  </si>
  <si>
    <t>CHLOROPHENOL, 2-</t>
  </si>
  <si>
    <t>CHROMIUM (TOTAL)</t>
  </si>
  <si>
    <t>CHROMIUM(III)</t>
  </si>
  <si>
    <t>CHROMIUM(VI)</t>
  </si>
  <si>
    <t>CHRYSENE</t>
  </si>
  <si>
    <t>CYANIDE</t>
  </si>
  <si>
    <t>DIBENZO(a,h)ANTHRACENE</t>
  </si>
  <si>
    <t>DIBROMOCHLOROMETHANE</t>
  </si>
  <si>
    <t>DICHLOROBENZENE, 1,2-  (o-DCB)</t>
  </si>
  <si>
    <t>DICHLOROBENZENE, 1,3-  (m-DCB)</t>
  </si>
  <si>
    <t>DICHLOROBENZENE, 1,4-  (p-DCB)</t>
  </si>
  <si>
    <t>DICHLOROBENZIDINE, 3,3'-</t>
  </si>
  <si>
    <t>DICHLORODIPHENYL DICHLOROETHANE, P,P'- (DDD)</t>
  </si>
  <si>
    <t>DICHLORODIPHENYLDICHLOROETHYLENE,P,P'- (DDE)</t>
  </si>
  <si>
    <t>DICHLORODIPHENYLTRICHLOROETHANE, P,P'- (DDT)</t>
  </si>
  <si>
    <t>DICHLOROETHANE, 1,1-</t>
  </si>
  <si>
    <t>DICHLOROETHANE, 1,2-</t>
  </si>
  <si>
    <t>DICHLOROETHYLENE, 1,1-</t>
  </si>
  <si>
    <t>DICHLOROETHYLENE, CIS-1,2-</t>
  </si>
  <si>
    <t>DICHLOROETHYLENE, TRANS-1,2-</t>
  </si>
  <si>
    <t>DICHLOROMETHANE</t>
  </si>
  <si>
    <t>DICHLOROPHENOL, 2,4-</t>
  </si>
  <si>
    <t>DICHLOROPROPANE, 1,2-</t>
  </si>
  <si>
    <t>DICHLOROPROPENE, 1,3-</t>
  </si>
  <si>
    <t>DIELDRIN</t>
  </si>
  <si>
    <t>DIETHYL PHTHALATE</t>
  </si>
  <si>
    <t>DIMETHYL PHTHALATE</t>
  </si>
  <si>
    <t>DIMETHYLPHENOL, 2,4-</t>
  </si>
  <si>
    <t>DINITROPHENOL, 2,4-</t>
  </si>
  <si>
    <t>DINITROTOLUENE, 2,4-</t>
  </si>
  <si>
    <t>DIOXANE, 1,4-</t>
  </si>
  <si>
    <t>ENDOSULFAN</t>
  </si>
  <si>
    <t>ENDRIN</t>
  </si>
  <si>
    <t>ETHYLBENZENE</t>
  </si>
  <si>
    <t>ETHYLENE DIBROMIDE</t>
  </si>
  <si>
    <t>FLUORANTHENE</t>
  </si>
  <si>
    <t>FLUORENE</t>
  </si>
  <si>
    <t>HEPTACHLOR</t>
  </si>
  <si>
    <t>HEPTACHLOR EPOXIDE</t>
  </si>
  <si>
    <t>HEXACHLOROBENZENE</t>
  </si>
  <si>
    <t>HEXACHLOROBUTADIENE</t>
  </si>
  <si>
    <t>HEXACHLOROCYCLOHEXANE, GAMMA (gamma-HCH)</t>
  </si>
  <si>
    <t>HEXACHLOROETHANE</t>
  </si>
  <si>
    <t>HMX</t>
  </si>
  <si>
    <t>INDENO(1,2,3-cd)PYRENE</t>
  </si>
  <si>
    <t>LEAD</t>
  </si>
  <si>
    <t>MERCURY</t>
  </si>
  <si>
    <t>METHOXYCHLOR</t>
  </si>
  <si>
    <t>METHYL ETHYL KETONE</t>
  </si>
  <si>
    <t>METHYL ISOBUTYL KETONE</t>
  </si>
  <si>
    <t>METHYL MERCURY</t>
  </si>
  <si>
    <t>METHYL TERT BUTYL ETHER</t>
  </si>
  <si>
    <t>METHYLNAPHTHALENE, 2-</t>
  </si>
  <si>
    <t>NAPHTHALENE</t>
  </si>
  <si>
    <t>NICKEL</t>
  </si>
  <si>
    <t>PENTACHLOROPHENOL</t>
  </si>
  <si>
    <t>PETROLEUM HYDROCARBONS</t>
  </si>
  <si>
    <t>PHENANTHRENE</t>
  </si>
  <si>
    <t>PHENOL</t>
  </si>
  <si>
    <t>POLYCHLORINATED BIPHENYLS (PCBs)</t>
  </si>
  <si>
    <t>PYRENE</t>
  </si>
  <si>
    <t>RDX</t>
  </si>
  <si>
    <t>SELENIUM</t>
  </si>
  <si>
    <t>SILVER</t>
  </si>
  <si>
    <t>STYRENE</t>
  </si>
  <si>
    <t>TCDD, 2,3,7,8-  (equivalents)</t>
  </si>
  <si>
    <t>TETRACHLOROETHANE, 1,1,1,2-</t>
  </si>
  <si>
    <t>TETRACHLOROETHANE, 1,1,2,2-</t>
  </si>
  <si>
    <t>TETRACHLOROETHYLENE</t>
  </si>
  <si>
    <t>THALLIUM</t>
  </si>
  <si>
    <t>TOLUENE</t>
  </si>
  <si>
    <t>TRICHLOROBENZENE, 1,2,4-</t>
  </si>
  <si>
    <t>TRICHLOROETHANE, 1,1,1-</t>
  </si>
  <si>
    <t>TRICHLOROETHANE, 1,1,2-</t>
  </si>
  <si>
    <t>TRICHLOROETHYLENE</t>
  </si>
  <si>
    <t>TRICHLOROPHENOL, 2,4,5-</t>
  </si>
  <si>
    <t>TRICHLOROPHENOL 2,4,6-</t>
  </si>
  <si>
    <t>VANADIUM</t>
  </si>
  <si>
    <t>VINYL CHLORIDE</t>
  </si>
  <si>
    <t>XYLENES (Mixed Isomers)</t>
  </si>
  <si>
    <t>ZINC</t>
  </si>
  <si>
    <t>Da</t>
  </si>
  <si>
    <t>Dw</t>
  </si>
  <si>
    <t>(cm2/s)</t>
  </si>
  <si>
    <t>(atm-m3/mol)</t>
  </si>
  <si>
    <t>(oC)</t>
  </si>
  <si>
    <t>at ref temp</t>
  </si>
  <si>
    <t>Capill. Zone</t>
  </si>
  <si>
    <t>Peclet #</t>
  </si>
  <si>
    <t>Infinite source</t>
  </si>
  <si>
    <r>
      <t>K</t>
    </r>
    <r>
      <rPr>
        <vertAlign val="subscript"/>
        <sz val="10"/>
        <rFont val="Arial"/>
        <family val="2"/>
      </rPr>
      <t>s</t>
    </r>
    <r>
      <rPr>
        <sz val="10"/>
        <rFont val="Arial"/>
        <family val="2"/>
      </rPr>
      <t xml:space="preserve"> (cm/h)</t>
    </r>
  </si>
  <si>
    <t>a (1/cm)</t>
  </si>
  <si>
    <r>
      <t>q</t>
    </r>
    <r>
      <rPr>
        <vertAlign val="subscript"/>
        <sz val="10"/>
        <rFont val="Arial"/>
        <family val="2"/>
      </rPr>
      <t>s</t>
    </r>
    <r>
      <rPr>
        <sz val="10"/>
        <rFont val="Arial"/>
        <family val="2"/>
      </rPr>
      <t xml:space="preserve"> (cm</t>
    </r>
    <r>
      <rPr>
        <vertAlign val="superscript"/>
        <sz val="10"/>
        <rFont val="Arial"/>
        <family val="2"/>
      </rPr>
      <t>3</t>
    </r>
    <r>
      <rPr>
        <sz val="10"/>
        <rFont val="Arial"/>
        <family val="2"/>
      </rPr>
      <t>/cm</t>
    </r>
    <r>
      <rPr>
        <vertAlign val="superscript"/>
        <sz val="10"/>
        <rFont val="Arial"/>
        <family val="2"/>
      </rPr>
      <t>3</t>
    </r>
    <r>
      <rPr>
        <sz val="10"/>
        <rFont val="Arial"/>
        <family val="2"/>
      </rPr>
      <t>)</t>
    </r>
  </si>
  <si>
    <r>
      <t>q</t>
    </r>
    <r>
      <rPr>
        <vertAlign val="subscript"/>
        <sz val="10"/>
        <rFont val="Arial"/>
        <family val="2"/>
      </rPr>
      <t>r</t>
    </r>
    <r>
      <rPr>
        <sz val="10"/>
        <rFont val="Arial"/>
        <family val="2"/>
      </rPr>
      <t xml:space="preserve"> (cm</t>
    </r>
    <r>
      <rPr>
        <vertAlign val="superscript"/>
        <sz val="10"/>
        <rFont val="Arial"/>
        <family val="2"/>
      </rPr>
      <t>3</t>
    </r>
    <r>
      <rPr>
        <sz val="10"/>
        <rFont val="Arial"/>
        <family val="2"/>
      </rPr>
      <t>/cm</t>
    </r>
    <r>
      <rPr>
        <vertAlign val="superscript"/>
        <sz val="10"/>
        <rFont val="Arial"/>
        <family val="2"/>
      </rPr>
      <t>3</t>
    </r>
    <r>
      <rPr>
        <sz val="10"/>
        <rFont val="Arial"/>
        <family val="2"/>
      </rPr>
      <t>)</t>
    </r>
  </si>
  <si>
    <t>Site-Specific Calculations Based on Data Entered</t>
  </si>
  <si>
    <t>(Should not be modified by the User)</t>
  </si>
  <si>
    <t>Capillary Zone</t>
  </si>
  <si>
    <t>Building</t>
  </si>
  <si>
    <t>Information</t>
  </si>
  <si>
    <t>Strata</t>
  </si>
  <si>
    <t>Site-Specific Data Entry</t>
  </si>
  <si>
    <t>Easily Measured Site Information</t>
  </si>
  <si>
    <t>Site Soil Information</t>
  </si>
  <si>
    <r>
      <t>Totals must add up to value of L</t>
    </r>
    <r>
      <rPr>
        <vertAlign val="subscript"/>
        <sz val="10"/>
        <color indexed="8"/>
        <rFont val="MS Sans Serif"/>
        <family val="2"/>
      </rPr>
      <t>WT</t>
    </r>
  </si>
  <si>
    <t>(A, B, or C)</t>
  </si>
  <si>
    <t>Clay</t>
  </si>
  <si>
    <t>Loam</t>
  </si>
  <si>
    <t>Sand</t>
  </si>
  <si>
    <t>Silt</t>
  </si>
  <si>
    <t>Sandy Loam</t>
  </si>
  <si>
    <t>Silty Loam</t>
  </si>
  <si>
    <t>Silty Clay</t>
  </si>
  <si>
    <t>Sandy Clay Loam</t>
  </si>
  <si>
    <t>Sandy Clay</t>
  </si>
  <si>
    <t>Loamy Sand</t>
  </si>
  <si>
    <t>Clay Loam</t>
  </si>
  <si>
    <t>Silty Clay Loam</t>
  </si>
  <si>
    <r>
      <t xml:space="preserve">Stratum A - </t>
    </r>
    <r>
      <rPr>
        <sz val="10"/>
        <color indexed="8"/>
        <rFont val="MS Sans Serif"/>
        <family val="2"/>
      </rPr>
      <t>Decends down from the soil surface to at least the depth entered for L</t>
    </r>
    <r>
      <rPr>
        <vertAlign val="subscript"/>
        <sz val="10"/>
        <color indexed="8"/>
        <rFont val="MS Sans Serif"/>
        <family val="2"/>
      </rPr>
      <t>F</t>
    </r>
    <r>
      <rPr>
        <sz val="10"/>
        <color indexed="8"/>
        <rFont val="MS Sans Serif"/>
        <family val="2"/>
      </rPr>
      <t>, and perhaps as deep as the water table (L</t>
    </r>
    <r>
      <rPr>
        <vertAlign val="subscript"/>
        <sz val="10"/>
        <color indexed="8"/>
        <rFont val="MS Sans Serif"/>
        <family val="2"/>
      </rPr>
      <t>WT</t>
    </r>
    <r>
      <rPr>
        <sz val="10"/>
        <color indexed="8"/>
        <rFont val="MS Sans Serif"/>
        <family val="2"/>
      </rPr>
      <t>)</t>
    </r>
  </si>
  <si>
    <r>
      <t xml:space="preserve">Stratum B - </t>
    </r>
    <r>
      <rPr>
        <sz val="10"/>
        <color indexed="8"/>
        <rFont val="MS Sans Serif"/>
        <family val="2"/>
      </rPr>
      <t>Located below Stratum A, extending to Stratum C or the water table.  Thickness may be zero if only one stratum is considered.</t>
    </r>
  </si>
  <si>
    <r>
      <t xml:space="preserve">Stratum C - </t>
    </r>
    <r>
      <rPr>
        <sz val="10"/>
        <color indexed="8"/>
        <rFont val="MS Sans Serif"/>
        <family val="2"/>
      </rPr>
      <t>Located below Stratum B, extending to the water table.  Thickness may be zero if only one or two strata are considered.</t>
    </r>
  </si>
  <si>
    <r>
      <t xml:space="preserve">Building Information - </t>
    </r>
    <r>
      <rPr>
        <sz val="12"/>
        <color indexed="8"/>
        <rFont val="Arial"/>
        <family val="2"/>
      </rPr>
      <t>Modify ONLY if Site-specific information is documented.</t>
    </r>
  </si>
  <si>
    <t>GW-2 Model Assumptions</t>
  </si>
  <si>
    <t>Calculation</t>
  </si>
  <si>
    <t>of the Infinite Source</t>
  </si>
  <si>
    <t>Indoor Attenuation Coefficient</t>
  </si>
  <si>
    <t>This workbook file is comprised of the following spreadsheets:</t>
  </si>
  <si>
    <t>Sheet Name</t>
  </si>
  <si>
    <t>Description</t>
  </si>
  <si>
    <t>Introduction</t>
  </si>
  <si>
    <t>This spreadsheet.</t>
  </si>
  <si>
    <t>This workbook is linked to two other related spreadsheets.  This means that the calculations herein rely upon data</t>
  </si>
  <si>
    <t>present in the other workbooks.  Without the following files in the same directory, the values you</t>
  </si>
  <si>
    <t>Database of toxicity values and physical constants used in calculations</t>
  </si>
  <si>
    <t>Questions and Comments may be addressed to:</t>
  </si>
  <si>
    <t>Massachusetts Department of Environmental Protection</t>
  </si>
  <si>
    <t>Office of Research and Standards</t>
  </si>
  <si>
    <t>DATAENTER</t>
  </si>
  <si>
    <t>SiteCalcs</t>
  </si>
  <si>
    <t>ChemCalcs</t>
  </si>
  <si>
    <t>ChemProps</t>
  </si>
  <si>
    <t>SoilProp</t>
  </si>
  <si>
    <t>PERCHLORATE</t>
  </si>
  <si>
    <t>"Site-specific" GW-2 model assumptions used to generate the standards</t>
  </si>
  <si>
    <t>A series of site-specific interim calculations.</t>
  </si>
  <si>
    <t>Chemical- and Site-calculations resulting in the attenuation factor ALPHA.</t>
  </si>
  <si>
    <t>Database of chemical properties used in the calculations.</t>
  </si>
  <si>
    <t>Database of soil properties used in the calculations.</t>
  </si>
  <si>
    <t>MCP Toxicity.xlsx</t>
  </si>
  <si>
    <t>Chemical Properties</t>
  </si>
  <si>
    <t>PERFLUOROOCTANOIC ACID (PFOA)</t>
  </si>
  <si>
    <t>PERFLUOROHEPTANOIC ACID (PFHpA)</t>
  </si>
  <si>
    <t>PERFLUOROHEXANESULFONIC ACID (PFHxS)</t>
  </si>
  <si>
    <t>PERFLUORONONANOIC ACID (PFNA)</t>
  </si>
  <si>
    <t>PERFLUOROOCTANESULFONIC ACID (PFOS)</t>
  </si>
  <si>
    <t>PER- AND POLYFLUORALKYL SUBSTANCES (PFAS)</t>
  </si>
  <si>
    <t>PERFLUORODECANOIC ACID (PFDA)</t>
  </si>
  <si>
    <t>DHv,b</t>
  </si>
  <si>
    <r>
      <t>T</t>
    </r>
    <r>
      <rPr>
        <vertAlign val="subscript"/>
        <sz val="9"/>
        <rFont val="Arial"/>
        <family val="2"/>
      </rPr>
      <t>B</t>
    </r>
  </si>
  <si>
    <r>
      <t>T</t>
    </r>
    <r>
      <rPr>
        <vertAlign val="subscript"/>
        <sz val="9"/>
        <rFont val="Arial"/>
        <family val="2"/>
      </rPr>
      <t>C</t>
    </r>
  </si>
  <si>
    <r>
      <t>(</t>
    </r>
    <r>
      <rPr>
        <vertAlign val="superscript"/>
        <sz val="9"/>
        <rFont val="Arial"/>
        <family val="2"/>
      </rPr>
      <t>o</t>
    </r>
    <r>
      <rPr>
        <sz val="9"/>
        <rFont val="Arial"/>
        <family val="2"/>
      </rPr>
      <t>K)</t>
    </r>
  </si>
  <si>
    <t>CAS Number</t>
  </si>
  <si>
    <r>
      <t>DH</t>
    </r>
    <r>
      <rPr>
        <vertAlign val="subscript"/>
        <sz val="9"/>
        <rFont val="Arial"/>
        <family val="2"/>
      </rPr>
      <t>v,TS</t>
    </r>
  </si>
  <si>
    <r>
      <t>H</t>
    </r>
    <r>
      <rPr>
        <vertAlign val="subscript"/>
        <sz val="9"/>
        <color indexed="8"/>
        <rFont val="Arial"/>
        <family val="2"/>
      </rPr>
      <t>TS</t>
    </r>
  </si>
  <si>
    <r>
      <t>H'</t>
    </r>
    <r>
      <rPr>
        <vertAlign val="subscript"/>
        <sz val="9"/>
        <color indexed="8"/>
        <rFont val="Arial"/>
        <family val="2"/>
      </rPr>
      <t>TS</t>
    </r>
  </si>
  <si>
    <r>
      <t>D</t>
    </r>
    <r>
      <rPr>
        <vertAlign val="superscript"/>
        <sz val="9"/>
        <color indexed="8"/>
        <rFont val="Arial"/>
        <family val="2"/>
      </rPr>
      <t>eff</t>
    </r>
    <r>
      <rPr>
        <vertAlign val="subscript"/>
        <sz val="9"/>
        <color indexed="8"/>
        <rFont val="Arial"/>
        <family val="2"/>
      </rPr>
      <t>A</t>
    </r>
  </si>
  <si>
    <r>
      <t>D</t>
    </r>
    <r>
      <rPr>
        <vertAlign val="superscript"/>
        <sz val="9"/>
        <color indexed="8"/>
        <rFont val="Arial"/>
        <family val="2"/>
      </rPr>
      <t>eff</t>
    </r>
    <r>
      <rPr>
        <vertAlign val="subscript"/>
        <sz val="9"/>
        <color indexed="8"/>
        <rFont val="Arial"/>
        <family val="2"/>
      </rPr>
      <t>B</t>
    </r>
  </si>
  <si>
    <r>
      <t>D</t>
    </r>
    <r>
      <rPr>
        <vertAlign val="superscript"/>
        <sz val="9"/>
        <color indexed="8"/>
        <rFont val="Arial"/>
        <family val="2"/>
      </rPr>
      <t>eff</t>
    </r>
    <r>
      <rPr>
        <vertAlign val="subscript"/>
        <sz val="9"/>
        <color indexed="8"/>
        <rFont val="Arial"/>
        <family val="2"/>
      </rPr>
      <t>C</t>
    </r>
  </si>
  <si>
    <r>
      <t>D</t>
    </r>
    <r>
      <rPr>
        <vertAlign val="superscript"/>
        <sz val="9"/>
        <color indexed="8"/>
        <rFont val="Arial"/>
        <family val="2"/>
      </rPr>
      <t>eff</t>
    </r>
    <r>
      <rPr>
        <vertAlign val="subscript"/>
        <sz val="9"/>
        <color indexed="8"/>
        <rFont val="Arial"/>
        <family val="2"/>
      </rPr>
      <t>cz</t>
    </r>
  </si>
  <si>
    <r>
      <t>D</t>
    </r>
    <r>
      <rPr>
        <vertAlign val="superscript"/>
        <sz val="9"/>
        <color indexed="8"/>
        <rFont val="Arial"/>
        <family val="2"/>
      </rPr>
      <t>eff</t>
    </r>
    <r>
      <rPr>
        <vertAlign val="subscript"/>
        <sz val="9"/>
        <color indexed="8"/>
        <rFont val="Arial"/>
        <family val="2"/>
      </rPr>
      <t>T</t>
    </r>
  </si>
  <si>
    <r>
      <t>D</t>
    </r>
    <r>
      <rPr>
        <vertAlign val="superscript"/>
        <sz val="9"/>
        <color indexed="8"/>
        <rFont val="Arial"/>
        <family val="2"/>
      </rPr>
      <t>crack</t>
    </r>
  </si>
  <si>
    <r>
      <t>exp(Pe</t>
    </r>
    <r>
      <rPr>
        <vertAlign val="superscript"/>
        <sz val="9"/>
        <color indexed="8"/>
        <rFont val="Arial"/>
        <family val="2"/>
      </rPr>
      <t>f</t>
    </r>
    <r>
      <rPr>
        <sz val="9"/>
        <color indexed="8"/>
        <rFont val="Arial"/>
        <family val="2"/>
      </rPr>
      <t>)</t>
    </r>
  </si>
  <si>
    <r>
      <t>(atm-m</t>
    </r>
    <r>
      <rPr>
        <vertAlign val="superscript"/>
        <sz val="9"/>
        <color indexed="8"/>
        <rFont val="Arial"/>
        <family val="2"/>
      </rPr>
      <t>3</t>
    </r>
    <r>
      <rPr>
        <sz val="9"/>
        <color indexed="8"/>
        <rFont val="Arial"/>
        <family val="2"/>
      </rPr>
      <t>/mol)</t>
    </r>
  </si>
  <si>
    <r>
      <t>(cm</t>
    </r>
    <r>
      <rPr>
        <vertAlign val="superscript"/>
        <sz val="9"/>
        <color indexed="8"/>
        <rFont val="Arial"/>
        <family val="2"/>
      </rPr>
      <t>2</t>
    </r>
    <r>
      <rPr>
        <sz val="9"/>
        <color indexed="8"/>
        <rFont val="Arial"/>
        <family val="2"/>
      </rPr>
      <t>/s)</t>
    </r>
  </si>
  <si>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</si>
  <si>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</si>
  <si>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</si>
  <si>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</si>
  <si>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</si>
  <si>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</si>
  <si>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Development of MCP Risk-Based Levels for Soil and Groundwater MCP GW2 alpha.xlsx</t>
  </si>
  <si>
    <t>see in this workbook may not be up-to-date.</t>
  </si>
  <si>
    <t>Azin Kavian</t>
  </si>
  <si>
    <t>100 Cambridge Street</t>
  </si>
  <si>
    <t>Boston, MA 02114  USA</t>
  </si>
  <si>
    <t>Email: azin.kavian@mass.gov</t>
  </si>
  <si>
    <t>NOTE:  This workbook contains many Notes attached to particular cells.  Notes can be seen by choosing "Show All Notes" from the  menu in the "Review" panel.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</si>
</sst>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0.000"/>
    <numFmt numFmtId="165" formatCode="0.0000"/>
    <numFmt numFmtId="166" formatCode="0.00000"/>
    <numFmt numFmtId="167" formatCode="0.E+00"/>
    <numFmt numFmtId="168" formatCode="0.0E+00"/>
  </numFmts>
  <fonts count="40" x14ac:knownFonts="1">
    <font>
      <sz val="10"/>
      <name val="Arial"/>
    </font>
    <font>
      <sz val="10"/>
      <color indexed="8"/>
      <name val="MS Sans Serif"/>
      <family val="2"/>
    </font>
    <font>
      <vertAlign val="superscript"/>
      <sz val="10"/>
      <color indexed="8"/>
      <name val="MS Sans Serif"/>
      <family val="2"/>
    </font>
    <font>
      <vertAlign val="subscript"/>
      <sz val="10"/>
      <color indexed="8"/>
      <name val="MS Sans Serif"/>
      <family val="2"/>
    </font>
    <font>
      <sz val="10"/>
      <color indexed="8"/>
      <name val="Symbol"/>
      <family val="1"/>
      <charset val="2"/>
    </font>
    <font>
      <b/>
      <sz val="10"/>
      <color indexed="10"/>
      <name val="MS Sans Serif"/>
      <family val="2"/>
    </font>
    <font>
      <sz val="10"/>
      <name val="MS Sans Serif"/>
      <family val="2"/>
    </font>
    <font>
      <vertAlign val="subscript"/>
      <sz val="10"/>
      <name val="MS Sans Serif"/>
      <family val="2"/>
    </font>
    <font>
      <vertAlign val="superscript"/>
      <sz val="10"/>
      <name val="MS Sans Serif"/>
      <family val="2"/>
    </font>
    <font>
      <b/>
      <sz val="10"/>
      <color indexed="8"/>
      <name val="MS Sans Serif"/>
      <family val="2"/>
    </font>
    <font>
      <sz val="10"/>
      <color indexed="17"/>
      <name val="MS Sans Serif"/>
      <family val="2"/>
    </font>
    <font>
      <b/>
      <sz val="10"/>
      <name val="MS Sans Serif"/>
      <family val="2"/>
    </font>
    <font>
      <sz val="10"/>
      <name val="Wingdings"/>
      <charset val="2"/>
    </font>
    <font>
      <b/>
      <sz val="12"/>
      <name val="Arial"/>
      <family val="2"/>
    </font>
    <font>
      <b/>
      <sz val="10"/>
      <color indexed="10"/>
      <name val="Arial"/>
      <family val="2"/>
    </font>
    <font>
      <sz val="9"/>
      <name val="Arial"/>
      <family val="2"/>
    </font>
    <font>
      <sz val="8"/>
      <color indexed="81"/>
      <name val="Tahoma"/>
      <family val="2"/>
    </font>
    <font>
      <b/>
      <sz val="8"/>
      <color indexed="81"/>
      <name val="Tahoma"/>
      <family val="2"/>
    </font>
    <font>
      <sz val="10"/>
      <name val="Arial"/>
      <family val="2"/>
    </font>
    <font>
      <vertAlign val="subscript"/>
      <sz val="10"/>
      <name val="Arial"/>
      <family val="2"/>
    </font>
    <font>
      <vertAlign val="superscript"/>
      <sz val="10"/>
      <name val="Arial"/>
      <family val="2"/>
    </font>
    <font>
      <sz val="14"/>
      <name val="Arial"/>
      <family val="2"/>
    </font>
    <font>
      <sz val="12"/>
      <color indexed="8"/>
      <name val="Arial"/>
      <family val="2"/>
    </font>
    <font>
      <b/>
      <sz val="12"/>
      <color indexed="8"/>
      <name val="Arial"/>
      <family val="2"/>
    </font>
    <font>
      <b/>
      <sz val="14"/>
      <name val="Arial"/>
      <family val="2"/>
    </font>
    <font>
      <b/>
      <sz val="10"/>
      <color indexed="48"/>
      <name val="Arial"/>
      <family val="2"/>
    </font>
    <font>
      <b/>
      <sz val="10"/>
      <name val="Arial"/>
      <family val="2"/>
    </font>
    <font>
      <b/>
      <i/>
      <sz val="12"/>
      <name val="Arial"/>
      <family val="2"/>
    </font>
    <font>
      <u/>
      <sz val="10"/>
      <color indexed="12"/>
      <name val="Arial"/>
      <family val="2"/>
    </font>
    <font>
      <b/>
      <sz val="9"/>
      <name val="Arial"/>
      <family val="2"/>
    </font>
    <font>
      <b/>
      <u/>
      <sz val="10"/>
      <color indexed="12"/>
      <name val="Arial"/>
      <family val="2"/>
    </font>
    <font>
      <sz val="9"/>
      <color indexed="8"/>
      <name val="Arial"/>
      <family val="2"/>
    </font>
    <font>
      <vertAlign val="subscript"/>
      <sz val="9"/>
      <name val="Arial"/>
      <family val="2"/>
    </font>
    <font>
      <vertAlign val="superscript"/>
      <sz val="9"/>
      <name val="Arial"/>
      <family val="2"/>
    </font>
    <font>
      <b/>
      <sz val="9"/>
      <color indexed="8"/>
      <name val="Arial"/>
      <family val="2"/>
    </font>
    <font>
      <vertAlign val="subscript"/>
      <sz val="9"/>
      <color indexed="8"/>
      <name val="Arial"/>
      <family val="2"/>
    </font>
    <font>
      <vertAlign val="superscript"/>
      <sz val="9"/>
      <color indexed="8"/>
      <name val="Arial"/>
      <family val="2"/>
    </font>
    <font>
      <b/>
      <sz val="9"/>
      <color rgb="FFC00000"/>
      <name val="Arial"/>
      <family val="2"/>
    </font>
    <font>
      <u/>
      <sz val="10"/>
      <name val="Arial"/>
      <family val="2"/>
    </font>
    <font>
      <b/>
      <i/>
      <sz val="8"/>
      <name val="Arial"/>
      <family val="2"/>
    </font>
  </fonts>
  <fills count="9">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8"/>
        <bgColor indexed="64"/>
      </patternFill>
    </fill>
    <fill>
      <patternFill patternType="solid">
        <fgColor indexed="8"/>
        <bgColor indexed="8"/>
      </patternFill>
    </fill>
    <fill>
      <patternFill patternType="solid">
        <fgColor indexed="43"/>
        <bgColor indexed="8"/>
      </patternFill>
    </fill>
    <fill>
      <patternFill patternType="solid">
        <fgColor indexed="42"/>
        <bgColor indexed="64"/>
      </patternFill>
    </fill>
    <fill>
      <patternFill patternType="solid">
        <fgColor theme="0"/>
        <bgColor indexed="64"/>
      </patternFill>
    </fill>
  </fills>
  <borders count="83">
    <border>
      <left/>
      <right/>
      <top/>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theme="0" tint="-0.34998626667073579"/>
      </left>
      <right/>
      <top style="thick">
        <color theme="0" tint="-0.34998626667073579"/>
      </top>
      <bottom/>
      <diagonal/>
    </border>
    <border>
      <left/>
      <right/>
      <top style="thick">
        <color theme="0" tint="-0.34998626667073579"/>
      </top>
      <bottom/>
      <diagonal/>
    </border>
    <border>
      <left/>
      <right style="thick">
        <color theme="0" tint="-0.34998626667073579"/>
      </right>
      <top style="thick">
        <color theme="0" tint="-0.34998626667073579"/>
      </top>
      <bottom/>
      <diagonal/>
    </border>
    <border>
      <left style="thick">
        <color theme="0" tint="-0.34998626667073579"/>
      </left>
      <right/>
      <top/>
      <bottom/>
      <diagonal/>
    </border>
    <border>
      <left/>
      <right style="thick">
        <color theme="0" tint="-0.34998626667073579"/>
      </right>
      <top/>
      <bottom style="double">
        <color indexed="64"/>
      </bottom>
      <diagonal/>
    </border>
    <border>
      <left/>
      <right style="thick">
        <color theme="0" tint="-0.34998626667073579"/>
      </right>
      <top/>
      <bottom/>
      <diagonal/>
    </border>
    <border>
      <left style="thick">
        <color theme="0" tint="-0.34998626667073579"/>
      </left>
      <right/>
      <top/>
      <bottom style="thick">
        <color theme="0" tint="-0.34998626667073579"/>
      </bottom>
      <diagonal/>
    </border>
    <border>
      <left/>
      <right/>
      <top/>
      <bottom style="thick">
        <color theme="0" tint="-0.34998626667073579"/>
      </bottom>
      <diagonal/>
    </border>
    <border>
      <left/>
      <right style="thick">
        <color theme="0" tint="-0.34998626667073579"/>
      </right>
      <top/>
      <bottom style="thick">
        <color theme="0" tint="-0.34998626667073579"/>
      </bottom>
      <diagonal/>
    </border>
    <border>
      <left style="medium">
        <color theme="0" tint="-0.34998626667073579"/>
      </left>
      <right/>
      <top style="thick">
        <color theme="0" tint="-0.34998626667073579"/>
      </top>
      <bottom/>
      <diagonal/>
    </border>
    <border>
      <left style="medium">
        <color theme="0" tint="-0.34998626667073579"/>
      </left>
      <right/>
      <top/>
      <bottom style="double">
        <color indexed="64"/>
      </bottom>
      <diagonal/>
    </border>
    <border>
      <left style="medium">
        <color theme="0" tint="-0.34998626667073579"/>
      </left>
      <right/>
      <top/>
      <bottom/>
      <diagonal/>
    </border>
    <border>
      <left style="medium">
        <color theme="0" tint="-0.34998626667073579"/>
      </left>
      <right/>
      <top/>
      <bottom style="thick">
        <color theme="0" tint="-0.34998626667073579"/>
      </bottom>
      <diagonal/>
    </border>
    <border>
      <left/>
      <right/>
      <top style="thick">
        <color theme="1" tint="0.499984740745262"/>
      </top>
      <bottom/>
      <diagonal/>
    </border>
    <border>
      <left/>
      <right style="thick">
        <color theme="1" tint="0.499984740745262"/>
      </right>
      <top style="thick">
        <color theme="1" tint="0.499984740745262"/>
      </top>
      <bottom/>
      <diagonal/>
    </border>
    <border>
      <left/>
      <right style="thick">
        <color theme="1" tint="0.499984740745262"/>
      </right>
      <top/>
      <bottom/>
      <diagonal/>
    </border>
    <border>
      <left style="thick">
        <color theme="1" tint="0.499984740745262"/>
      </left>
      <right/>
      <top style="medium">
        <color indexed="64"/>
      </top>
      <bottom/>
      <diagonal/>
    </border>
    <border>
      <left style="thick">
        <color theme="1" tint="0.499984740745262"/>
      </left>
      <right/>
      <top/>
      <bottom/>
      <diagonal/>
    </border>
    <border>
      <left style="thick">
        <color theme="1" tint="0.499984740745262"/>
      </left>
      <right/>
      <top/>
      <bottom style="medium">
        <color indexed="64"/>
      </bottom>
      <diagonal/>
    </border>
    <border>
      <left style="thick">
        <color theme="1" tint="0.499984740745262"/>
      </left>
      <right style="medium">
        <color theme="0" tint="-0.34998626667073579"/>
      </right>
      <top style="thick">
        <color theme="1" tint="0.499984740745262"/>
      </top>
      <bottom/>
      <diagonal/>
    </border>
    <border>
      <left style="thick">
        <color theme="1" tint="0.499984740745262"/>
      </left>
      <right style="medium">
        <color theme="0" tint="-0.34998626667073579"/>
      </right>
      <top/>
      <bottom/>
      <diagonal/>
    </border>
    <border>
      <left style="thick">
        <color theme="1" tint="0.499984740745262"/>
      </left>
      <right style="medium">
        <color theme="0" tint="-0.34998626667073579"/>
      </right>
      <top/>
      <bottom style="medium">
        <color theme="0" tint="-0.34998626667073579"/>
      </bottom>
      <diagonal/>
    </border>
    <border>
      <left/>
      <right style="thick">
        <color theme="1" tint="0.499984740745262"/>
      </right>
      <top/>
      <bottom style="medium">
        <color theme="0" tint="-0.34998626667073579"/>
      </bottom>
      <diagonal/>
    </border>
    <border>
      <left style="thick">
        <color theme="1" tint="0.499984740745262"/>
      </left>
      <right style="medium">
        <color theme="0" tint="-0.34998626667073579"/>
      </right>
      <top style="medium">
        <color theme="0" tint="-0.34998626667073579"/>
      </top>
      <bottom style="hair">
        <color theme="0" tint="-0.14996795556505021"/>
      </bottom>
      <diagonal/>
    </border>
    <border>
      <left/>
      <right style="thick">
        <color theme="1" tint="0.499984740745262"/>
      </right>
      <top style="medium">
        <color theme="0" tint="-0.34998626667073579"/>
      </top>
      <bottom style="hair">
        <color theme="0" tint="-0.14996795556505021"/>
      </bottom>
      <diagonal/>
    </border>
    <border>
      <left style="thick">
        <color theme="1" tint="0.499984740745262"/>
      </left>
      <right style="medium">
        <color theme="0" tint="-0.34998626667073579"/>
      </right>
      <top style="hair">
        <color theme="0" tint="-0.14996795556505021"/>
      </top>
      <bottom style="hair">
        <color theme="0" tint="-0.14996795556505021"/>
      </bottom>
      <diagonal/>
    </border>
    <border>
      <left/>
      <right/>
      <top style="hair">
        <color theme="0" tint="-0.14996795556505021"/>
      </top>
      <bottom style="hair">
        <color theme="0" tint="-0.14996795556505021"/>
      </bottom>
      <diagonal/>
    </border>
    <border>
      <left/>
      <right style="thick">
        <color theme="1" tint="0.499984740745262"/>
      </right>
      <top style="hair">
        <color theme="0" tint="-0.14996795556505021"/>
      </top>
      <bottom style="hair">
        <color theme="0" tint="-0.14996795556505021"/>
      </bottom>
      <diagonal/>
    </border>
    <border>
      <left style="thick">
        <color theme="1" tint="0.499984740745262"/>
      </left>
      <right style="medium">
        <color theme="0" tint="-0.34998626667073579"/>
      </right>
      <top style="hair">
        <color theme="0" tint="-0.14996795556505021"/>
      </top>
      <bottom style="thick">
        <color theme="1" tint="0.499984740745262"/>
      </bottom>
      <diagonal/>
    </border>
    <border>
      <left/>
      <right/>
      <top style="hair">
        <color theme="0" tint="-0.14996795556505021"/>
      </top>
      <bottom style="thick">
        <color theme="1" tint="0.499984740745262"/>
      </bottom>
      <diagonal/>
    </border>
    <border>
      <left/>
      <right style="thick">
        <color theme="1" tint="0.499984740745262"/>
      </right>
      <top style="hair">
        <color theme="0" tint="-0.14996795556505021"/>
      </top>
      <bottom style="thick">
        <color theme="1" tint="0.499984740745262"/>
      </bottom>
      <diagonal/>
    </border>
    <border>
      <left style="medium">
        <color theme="0" tint="-0.34998626667073579"/>
      </left>
      <right style="thin">
        <color theme="0" tint="-0.34998626667073579"/>
      </right>
      <top style="thick">
        <color theme="1" tint="0.499984740745262"/>
      </top>
      <bottom/>
      <diagonal/>
    </border>
    <border>
      <left style="medium">
        <color theme="0" tint="-0.34998626667073579"/>
      </left>
      <right style="thin">
        <color theme="0" tint="-0.34998626667073579"/>
      </right>
      <top/>
      <bottom/>
      <diagonal/>
    </border>
    <border>
      <left style="medium">
        <color theme="0" tint="-0.34998626667073579"/>
      </left>
      <right style="thin">
        <color theme="0" tint="-0.34998626667073579"/>
      </right>
      <top/>
      <bottom style="medium">
        <color theme="0" tint="-0.34998626667073579"/>
      </bottom>
      <diagonal/>
    </border>
    <border>
      <left style="medium">
        <color theme="0" tint="-0.34998626667073579"/>
      </left>
      <right style="thin">
        <color theme="0" tint="-0.34998626667073579"/>
      </right>
      <top style="medium">
        <color theme="0" tint="-0.34998626667073579"/>
      </top>
      <bottom style="hair">
        <color theme="0" tint="-0.14996795556505021"/>
      </bottom>
      <diagonal/>
    </border>
    <border>
      <left style="medium">
        <color theme="0" tint="-0.34998626667073579"/>
      </left>
      <right style="thin">
        <color theme="0" tint="-0.34998626667073579"/>
      </right>
      <top style="hair">
        <color theme="0" tint="-0.14996795556505021"/>
      </top>
      <bottom style="hair">
        <color theme="0" tint="-0.14996795556505021"/>
      </bottom>
      <diagonal/>
    </border>
    <border>
      <left style="medium">
        <color theme="0" tint="-0.34998626667073579"/>
      </left>
      <right style="thin">
        <color theme="0" tint="-0.34998626667073579"/>
      </right>
      <top style="hair">
        <color theme="0" tint="-0.14996795556505021"/>
      </top>
      <bottom style="thick">
        <color theme="1" tint="0.499984740745262"/>
      </bottom>
      <diagonal/>
    </border>
    <border>
      <left style="thin">
        <color theme="0" tint="-0.34998626667073579"/>
      </left>
      <right style="thin">
        <color theme="0" tint="-0.34998626667073579"/>
      </right>
      <top style="thick">
        <color theme="1" tint="0.499984740745262"/>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medium">
        <color theme="0" tint="-0.34998626667073579"/>
      </bottom>
      <diagonal/>
    </border>
    <border>
      <left style="thin">
        <color theme="0" tint="-0.34998626667073579"/>
      </left>
      <right style="thin">
        <color theme="0" tint="-0.34998626667073579"/>
      </right>
      <top style="medium">
        <color theme="0" tint="-0.34998626667073579"/>
      </top>
      <bottom style="hair">
        <color theme="0" tint="-0.14996795556505021"/>
      </bottom>
      <diagonal/>
    </border>
    <border>
      <left style="thin">
        <color theme="0" tint="-0.34998626667073579"/>
      </left>
      <right style="thin">
        <color theme="0" tint="-0.34998626667073579"/>
      </right>
      <top style="hair">
        <color theme="0" tint="-0.14996795556505021"/>
      </top>
      <bottom style="hair">
        <color theme="0" tint="-0.14996795556505021"/>
      </bottom>
      <diagonal/>
    </border>
    <border>
      <left style="thin">
        <color theme="0" tint="-0.34998626667073579"/>
      </left>
      <right style="thin">
        <color theme="0" tint="-0.34998626667073579"/>
      </right>
      <top style="hair">
        <color theme="0" tint="-0.14996795556505021"/>
      </top>
      <bottom style="thick">
        <color theme="1" tint="0.499984740745262"/>
      </bottom>
      <diagonal/>
    </border>
    <border>
      <left style="thick">
        <color theme="1" tint="0.499984740745262"/>
      </left>
      <right/>
      <top style="thick">
        <color theme="1" tint="0.499984740745262"/>
      </top>
      <bottom/>
      <diagonal/>
    </border>
    <border>
      <left style="thick">
        <color theme="1" tint="0.499984740745262"/>
      </left>
      <right style="medium">
        <color theme="0" tint="-0.34998626667073579"/>
      </right>
      <top/>
      <bottom style="hair">
        <color theme="0" tint="-0.14996795556505021"/>
      </bottom>
      <diagonal/>
    </border>
    <border>
      <left/>
      <right/>
      <top/>
      <bottom style="hair">
        <color theme="0" tint="-0.14996795556505021"/>
      </bottom>
      <diagonal/>
    </border>
    <border>
      <left/>
      <right style="thick">
        <color theme="1" tint="0.499984740745262"/>
      </right>
      <top/>
      <bottom style="hair">
        <color theme="0" tint="-0.14996795556505021"/>
      </bottom>
      <diagonal/>
    </border>
    <border>
      <left style="thin">
        <color indexed="64"/>
      </left>
      <right/>
      <top style="thin">
        <color indexed="64"/>
      </top>
      <bottom/>
      <diagonal/>
    </border>
    <border>
      <left style="thin">
        <color indexed="64"/>
      </left>
      <right/>
      <top/>
      <bottom style="thin">
        <color indexed="64"/>
      </bottom>
      <diagonal/>
    </border>
    <border>
      <left style="thick">
        <color theme="1" tint="0.499984740745262"/>
      </left>
      <right/>
      <top/>
      <bottom style="double">
        <color indexed="64"/>
      </bottom>
      <diagonal/>
    </border>
    <border>
      <left style="thick">
        <color theme="1" tint="0.499984740745262"/>
      </left>
      <right style="thin">
        <color indexed="64"/>
      </right>
      <top style="thin">
        <color indexed="64"/>
      </top>
      <bottom style="thin">
        <color indexed="64"/>
      </bottom>
      <diagonal/>
    </border>
    <border>
      <left style="thick">
        <color theme="1" tint="0.499984740745262"/>
      </left>
      <right style="thin">
        <color indexed="64"/>
      </right>
      <top style="thin">
        <color indexed="64"/>
      </top>
      <bottom style="medium">
        <color indexed="64"/>
      </bottom>
      <diagonal/>
    </border>
    <border>
      <left/>
      <right style="thick">
        <color theme="1" tint="0.499984740745262"/>
      </right>
      <top/>
      <bottom style="double">
        <color indexed="64"/>
      </bottom>
      <diagonal/>
    </border>
    <border>
      <left style="thin">
        <color indexed="64"/>
      </left>
      <right style="thick">
        <color theme="1" tint="0.499984740745262"/>
      </right>
      <top style="thin">
        <color indexed="64"/>
      </top>
      <bottom style="thin">
        <color indexed="64"/>
      </bottom>
      <diagonal/>
    </border>
    <border>
      <left style="thick">
        <color theme="1" tint="0.499984740745262"/>
      </left>
      <right style="thin">
        <color indexed="64"/>
      </right>
      <top style="thin">
        <color indexed="64"/>
      </top>
      <bottom style="thick">
        <color theme="1" tint="0.499984740745262"/>
      </bottom>
      <diagonal/>
    </border>
    <border>
      <left style="thin">
        <color indexed="64"/>
      </left>
      <right style="thin">
        <color indexed="64"/>
      </right>
      <top style="thin">
        <color indexed="64"/>
      </top>
      <bottom style="thick">
        <color theme="1" tint="0.499984740745262"/>
      </bottom>
      <diagonal/>
    </border>
    <border>
      <left style="thin">
        <color indexed="64"/>
      </left>
      <right style="thick">
        <color theme="1" tint="0.499984740745262"/>
      </right>
      <top style="thin">
        <color indexed="64"/>
      </top>
      <bottom style="thick">
        <color theme="1" tint="0.499984740745262"/>
      </bottom>
      <diagonal/>
    </border>
    <border>
      <left style="thick">
        <color theme="1" tint="0.34998626667073579"/>
      </left>
      <right/>
      <top style="thick">
        <color theme="1" tint="0.34998626667073579"/>
      </top>
      <bottom/>
      <diagonal/>
    </border>
    <border>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thick">
        <color theme="1" tint="0.34998626667073579"/>
      </bottom>
      <diagonal/>
    </border>
    <border>
      <left/>
      <right/>
      <top/>
      <bottom style="thick">
        <color theme="1" tint="0.34998626667073579"/>
      </bottom>
      <diagonal/>
    </border>
    <border>
      <left/>
      <right style="thick">
        <color theme="1" tint="0.34998626667073579"/>
      </right>
      <top/>
      <bottom style="thick">
        <color theme="1" tint="0.34998626667073579"/>
      </bottom>
      <diagonal/>
    </border>
  </borders>
  <cellStyleXfs count="2">
    <xf numFmtId="0" fontId="0" fillId="0" borderId="0"/>
    <xf numFmtId="0" fontId="28" fillId="0" borderId="0" applyNumberFormat="0" applyFill="0" applyBorder="0" applyAlignment="0" applyProtection="0">
      <alignment vertical="top"/>
      <protection locked="0"/>
    </xf>
  </cellStyleXfs>
  <cellXfs count="299">
    <xf numFmtId="0" fontId="0" fillId="0" borderId="0" xfId="0"/>
    <xf numFmtId="0" fontId="6" fillId="0" borderId="0" xfId="0" applyFont="1"/>
    <xf numFmtId="164" fontId="6" fillId="0" borderId="0" xfId="0" applyNumberFormat="1" applyFont="1" applyAlignment="1">
      <alignment horizontal="center"/>
    </xf>
    <xf numFmtId="0" fontId="6" fillId="0" borderId="0" xfId="0" applyFont="1" applyAlignment="1">
      <alignment horizontal="center"/>
    </xf>
    <xf numFmtId="164" fontId="6" fillId="0" borderId="0" xfId="0" applyNumberFormat="1" applyFont="1"/>
    <xf numFmtId="1" fontId="6" fillId="0" borderId="0" xfId="0" applyNumberFormat="1" applyFont="1"/>
    <xf numFmtId="11" fontId="6" fillId="0" borderId="0" xfId="0" applyNumberFormat="1" applyFont="1"/>
    <xf numFmtId="2" fontId="6" fillId="0" borderId="0" xfId="0" applyNumberFormat="1" applyFont="1" applyAlignment="1">
      <alignment horizontal="center"/>
    </xf>
    <xf numFmtId="2" fontId="6" fillId="0" borderId="0" xfId="0" applyNumberFormat="1" applyFont="1"/>
    <xf numFmtId="0" fontId="0" fillId="2" borderId="0" xfId="0" applyFill="1"/>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xf>
    <xf numFmtId="11" fontId="1" fillId="2" borderId="2" xfId="0" applyNumberFormat="1" applyFont="1" applyFill="1" applyBorder="1" applyAlignment="1">
      <alignment horizontal="center"/>
    </xf>
    <xf numFmtId="11" fontId="1" fillId="2" borderId="3" xfId="0" applyNumberFormat="1" applyFont="1" applyFill="1" applyBorder="1" applyAlignment="1">
      <alignment horizontal="center"/>
    </xf>
    <xf numFmtId="11" fontId="1" fillId="0" borderId="0" xfId="0" applyNumberFormat="1" applyFont="1" applyAlignment="1">
      <alignment horizontal="right"/>
    </xf>
    <xf numFmtId="11" fontId="0" fillId="0" borderId="0" xfId="0" applyNumberFormat="1"/>
    <xf numFmtId="167" fontId="0" fillId="0" borderId="0" xfId="0" applyNumberFormat="1"/>
    <xf numFmtId="0" fontId="18" fillId="2" borderId="1" xfId="0" applyFont="1" applyFill="1" applyBorder="1"/>
    <xf numFmtId="0" fontId="26" fillId="2" borderId="1" xfId="0" applyFont="1" applyFill="1" applyBorder="1"/>
    <xf numFmtId="0" fontId="18" fillId="2" borderId="0" xfId="0" applyFont="1" applyFill="1"/>
    <xf numFmtId="49" fontId="18" fillId="2" borderId="1" xfId="0" applyNumberFormat="1" applyFont="1" applyFill="1" applyBorder="1"/>
    <xf numFmtId="0" fontId="15" fillId="2" borderId="1" xfId="0" applyFont="1" applyFill="1" applyBorder="1"/>
    <xf numFmtId="0" fontId="0" fillId="4" borderId="0" xfId="0" applyFill="1"/>
    <xf numFmtId="0" fontId="6" fillId="4" borderId="0" xfId="0" applyFont="1" applyFill="1"/>
    <xf numFmtId="0" fontId="1" fillId="4" borderId="0" xfId="0" applyFont="1" applyFill="1" applyAlignment="1">
      <alignment horizontal="right" vertical="top" wrapText="1"/>
    </xf>
    <xf numFmtId="11" fontId="6" fillId="4" borderId="0" xfId="0" applyNumberFormat="1" applyFont="1" applyFill="1" applyAlignment="1">
      <alignment horizontal="right"/>
    </xf>
    <xf numFmtId="0" fontId="1" fillId="5" borderId="0" xfId="0" applyFont="1" applyFill="1" applyAlignment="1">
      <alignment horizontal="right" vertical="top" wrapText="1"/>
    </xf>
    <xf numFmtId="0" fontId="6" fillId="4" borderId="0" xfId="0" applyFont="1" applyFill="1" applyAlignment="1">
      <alignment horizontal="centerContinuous"/>
    </xf>
    <xf numFmtId="0" fontId="11" fillId="0" borderId="4" xfId="0" applyFont="1" applyBorder="1" applyAlignment="1">
      <alignment horizontal="center"/>
    </xf>
    <xf numFmtId="0" fontId="1" fillId="2" borderId="0" xfId="0" applyFont="1" applyFill="1" applyAlignment="1">
      <alignment horizontal="center"/>
    </xf>
    <xf numFmtId="0" fontId="6" fillId="2" borderId="0" xfId="0" applyFont="1" applyFill="1" applyAlignment="1">
      <alignment horizontal="center"/>
    </xf>
    <xf numFmtId="0" fontId="1" fillId="2" borderId="5" xfId="0" applyFont="1" applyFill="1" applyBorder="1" applyAlignment="1">
      <alignment horizontal="center"/>
    </xf>
    <xf numFmtId="0" fontId="1" fillId="2" borderId="0" xfId="0" applyFont="1" applyFill="1" applyAlignment="1">
      <alignment horizontal="center" vertical="top" wrapText="1"/>
    </xf>
    <xf numFmtId="0" fontId="5" fillId="2" borderId="6"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6" fillId="2" borderId="1" xfId="0" applyFont="1" applyFill="1" applyBorder="1" applyAlignment="1">
      <alignment horizontal="centerContinuous"/>
    </xf>
    <xf numFmtId="0" fontId="1" fillId="2" borderId="3" xfId="0" applyFont="1" applyFill="1" applyBorder="1" applyAlignment="1">
      <alignment horizontal="centerContinuous"/>
    </xf>
    <xf numFmtId="0" fontId="6" fillId="2" borderId="10" xfId="0" applyFont="1" applyFill="1" applyBorder="1"/>
    <xf numFmtId="0" fontId="1" fillId="2" borderId="2" xfId="0" applyFont="1" applyFill="1" applyBorder="1" applyAlignment="1">
      <alignment horizontal="center"/>
    </xf>
    <xf numFmtId="0" fontId="6" fillId="2" borderId="2" xfId="0" applyFont="1" applyFill="1" applyBorder="1" applyAlignment="1">
      <alignment horizontal="center"/>
    </xf>
    <xf numFmtId="0" fontId="1" fillId="2" borderId="12" xfId="0" applyFont="1" applyFill="1" applyBorder="1" applyAlignment="1">
      <alignment horizontal="center"/>
    </xf>
    <xf numFmtId="0" fontId="6" fillId="2" borderId="2" xfId="0" applyFont="1" applyFill="1" applyBorder="1"/>
    <xf numFmtId="0" fontId="1" fillId="2" borderId="0" xfId="0" applyFont="1" applyFill="1" applyAlignment="1">
      <alignment horizontal="right" vertical="top" wrapText="1"/>
    </xf>
    <xf numFmtId="0" fontId="1" fillId="6" borderId="0" xfId="0" applyFont="1" applyFill="1" applyAlignment="1">
      <alignment horizontal="right" vertical="top" wrapText="1"/>
    </xf>
    <xf numFmtId="0" fontId="6" fillId="2" borderId="7" xfId="0" applyFont="1" applyFill="1" applyBorder="1"/>
    <xf numFmtId="11" fontId="1" fillId="2" borderId="10" xfId="0" applyNumberFormat="1" applyFont="1" applyFill="1" applyBorder="1" applyAlignment="1">
      <alignment horizontal="center"/>
    </xf>
    <xf numFmtId="0" fontId="6" fillId="2" borderId="0" xfId="0" applyFont="1" applyFill="1"/>
    <xf numFmtId="0" fontId="10" fillId="2" borderId="0" xfId="0" applyFont="1" applyFill="1" applyAlignment="1">
      <alignment horizontal="center"/>
    </xf>
    <xf numFmtId="0" fontId="4" fillId="2" borderId="0" xfId="0" applyFont="1" applyFill="1" applyAlignment="1">
      <alignment horizontal="center"/>
    </xf>
    <xf numFmtId="0" fontId="0" fillId="2" borderId="11" xfId="0" applyFill="1" applyBorder="1" applyAlignment="1">
      <alignment horizontal="center"/>
    </xf>
    <xf numFmtId="11" fontId="1" fillId="2" borderId="12" xfId="0" applyNumberFormat="1" applyFont="1" applyFill="1" applyBorder="1" applyAlignment="1">
      <alignment horizontal="center"/>
    </xf>
    <xf numFmtId="0" fontId="6" fillId="2" borderId="1" xfId="0" applyFont="1" applyFill="1" applyBorder="1"/>
    <xf numFmtId="1" fontId="1" fillId="2" borderId="0" xfId="0" applyNumberFormat="1" applyFont="1" applyFill="1" applyAlignment="1">
      <alignment horizontal="center"/>
    </xf>
    <xf numFmtId="0" fontId="6" fillId="2" borderId="5" xfId="0" applyFont="1" applyFill="1" applyBorder="1" applyAlignment="1">
      <alignment horizontal="center"/>
    </xf>
    <xf numFmtId="0" fontId="11" fillId="3" borderId="13" xfId="0" applyFont="1" applyFill="1" applyBorder="1" applyAlignment="1">
      <alignment horizontal="center"/>
    </xf>
    <xf numFmtId="0" fontId="12" fillId="3" borderId="14" xfId="0" applyFont="1" applyFill="1" applyBorder="1" applyAlignment="1">
      <alignment horizontal="center"/>
    </xf>
    <xf numFmtId="0" fontId="1" fillId="3" borderId="4" xfId="0" applyFont="1" applyFill="1" applyBorder="1" applyAlignment="1" applyProtection="1">
      <alignment horizontal="center" vertical="top" wrapText="1"/>
      <protection locked="0"/>
    </xf>
    <xf numFmtId="0" fontId="1" fillId="3" borderId="15" xfId="0" applyFont="1" applyFill="1" applyBorder="1" applyAlignment="1" applyProtection="1">
      <alignment horizontal="center" vertical="top" wrapText="1"/>
      <protection locked="0"/>
    </xf>
    <xf numFmtId="0" fontId="1" fillId="3" borderId="16" xfId="0" applyFont="1" applyFill="1" applyBorder="1" applyAlignment="1" applyProtection="1">
      <alignment horizontal="center" vertical="top" wrapText="1"/>
      <protection locked="0"/>
    </xf>
    <xf numFmtId="0" fontId="1" fillId="3" borderId="17" xfId="0" applyFont="1" applyFill="1" applyBorder="1" applyAlignment="1" applyProtection="1">
      <alignment horizontal="center" vertical="top" wrapText="1"/>
      <protection locked="0"/>
    </xf>
    <xf numFmtId="11" fontId="6" fillId="3" borderId="17" xfId="0" applyNumberFormat="1" applyFont="1" applyFill="1" applyBorder="1" applyAlignment="1" applyProtection="1">
      <alignment horizontal="center"/>
      <protection locked="0"/>
    </xf>
    <xf numFmtId="0" fontId="1" fillId="3" borderId="4" xfId="0" applyFont="1" applyFill="1" applyBorder="1" applyAlignment="1" applyProtection="1">
      <alignment horizontal="center"/>
      <protection locked="0"/>
    </xf>
    <xf numFmtId="0" fontId="21" fillId="2" borderId="0" xfId="0" applyFont="1" applyFill="1"/>
    <xf numFmtId="11" fontId="1" fillId="2" borderId="0" xfId="0" applyNumberFormat="1" applyFont="1" applyFill="1" applyAlignment="1">
      <alignment horizontal="center"/>
    </xf>
    <xf numFmtId="164" fontId="1" fillId="2" borderId="0" xfId="0" applyNumberFormat="1" applyFont="1" applyFill="1" applyAlignment="1">
      <alignment horizontal="center"/>
    </xf>
    <xf numFmtId="2" fontId="1" fillId="2" borderId="0" xfId="0" applyNumberFormat="1" applyFont="1" applyFill="1" applyAlignment="1">
      <alignment horizontal="center"/>
    </xf>
    <xf numFmtId="11" fontId="4" fillId="2" borderId="0" xfId="0" applyNumberFormat="1" applyFont="1" applyFill="1" applyAlignment="1">
      <alignment horizontal="center"/>
    </xf>
    <xf numFmtId="0" fontId="1" fillId="2" borderId="1" xfId="0" applyFont="1" applyFill="1" applyBorder="1" applyAlignment="1">
      <alignment horizontal="center"/>
    </xf>
    <xf numFmtId="11"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64" fontId="4" fillId="2" borderId="0" xfId="0" applyNumberFormat="1" applyFont="1" applyFill="1" applyAlignment="1">
      <alignment horizontal="center"/>
    </xf>
    <xf numFmtId="1" fontId="1" fillId="2" borderId="1" xfId="0" applyNumberFormat="1" applyFont="1" applyFill="1" applyBorder="1" applyAlignment="1">
      <alignment horizontal="center"/>
    </xf>
    <xf numFmtId="164" fontId="1" fillId="2" borderId="1" xfId="0" applyNumberFormat="1" applyFont="1" applyFill="1" applyBorder="1" applyAlignment="1">
      <alignment horizontal="center"/>
    </xf>
    <xf numFmtId="164" fontId="6" fillId="2" borderId="0" xfId="0" applyNumberFormat="1" applyFont="1" applyFill="1" applyAlignment="1">
      <alignment horizontal="center"/>
    </xf>
    <xf numFmtId="164" fontId="6" fillId="2" borderId="1" xfId="0" applyNumberFormat="1" applyFont="1" applyFill="1" applyBorder="1" applyAlignment="1">
      <alignment horizontal="center"/>
    </xf>
    <xf numFmtId="0" fontId="11" fillId="3" borderId="4" xfId="0" applyFont="1" applyFill="1" applyBorder="1" applyAlignment="1">
      <alignment horizontal="center"/>
    </xf>
    <xf numFmtId="0" fontId="1" fillId="3" borderId="0" xfId="0" applyFont="1" applyFill="1" applyAlignment="1">
      <alignment horizontal="center" vertical="top" wrapText="1"/>
    </xf>
    <xf numFmtId="3" fontId="1" fillId="3" borderId="0" xfId="0" applyNumberFormat="1" applyFont="1" applyFill="1" applyAlignment="1">
      <alignment horizontal="center" vertical="top" wrapText="1"/>
    </xf>
    <xf numFmtId="11" fontId="1" fillId="3" borderId="0" xfId="0" applyNumberFormat="1" applyFont="1" applyFill="1" applyAlignment="1">
      <alignment horizontal="center" vertical="top" wrapText="1"/>
    </xf>
    <xf numFmtId="11" fontId="1" fillId="3" borderId="0" xfId="0" applyNumberFormat="1" applyFont="1" applyFill="1" applyAlignment="1">
      <alignment horizontal="center"/>
    </xf>
    <xf numFmtId="2" fontId="1" fillId="3" borderId="0" xfId="0" applyNumberFormat="1" applyFont="1" applyFill="1" applyAlignment="1">
      <alignment horizontal="center"/>
    </xf>
    <xf numFmtId="2" fontId="6" fillId="3" borderId="0" xfId="0" applyNumberFormat="1" applyFont="1" applyFill="1" applyAlignment="1">
      <alignment horizontal="center"/>
    </xf>
    <xf numFmtId="0" fontId="6" fillId="3" borderId="0" xfId="0" applyFont="1" applyFill="1" applyAlignment="1">
      <alignment horizontal="center"/>
    </xf>
    <xf numFmtId="164" fontId="1" fillId="3" borderId="0" xfId="0" applyNumberFormat="1" applyFont="1" applyFill="1" applyAlignment="1">
      <alignment horizontal="center"/>
    </xf>
    <xf numFmtId="164" fontId="6" fillId="3" borderId="0" xfId="0" applyNumberFormat="1" applyFont="1" applyFill="1" applyAlignment="1">
      <alignment horizontal="center"/>
    </xf>
    <xf numFmtId="11" fontId="6" fillId="3" borderId="0" xfId="0" applyNumberFormat="1" applyFont="1" applyFill="1" applyAlignment="1">
      <alignment horizontal="center"/>
    </xf>
    <xf numFmtId="0" fontId="18" fillId="2" borderId="5" xfId="0" applyFont="1" applyFill="1" applyBorder="1" applyAlignment="1">
      <alignment horizontal="right"/>
    </xf>
    <xf numFmtId="164" fontId="18" fillId="2" borderId="5" xfId="0" applyNumberFormat="1" applyFont="1" applyFill="1" applyBorder="1" applyAlignment="1">
      <alignment horizontal="center"/>
    </xf>
    <xf numFmtId="2" fontId="18" fillId="2" borderId="5" xfId="0" applyNumberFormat="1" applyFont="1" applyFill="1" applyBorder="1" applyAlignment="1">
      <alignment horizontal="center"/>
    </xf>
    <xf numFmtId="0" fontId="18" fillId="2" borderId="5" xfId="0" applyFont="1" applyFill="1" applyBorder="1" applyAlignment="1">
      <alignment horizontal="center"/>
    </xf>
    <xf numFmtId="2" fontId="18" fillId="2" borderId="0" xfId="0" applyNumberFormat="1" applyFont="1" applyFill="1"/>
    <xf numFmtId="166" fontId="18" fillId="2" borderId="0" xfId="0" applyNumberFormat="1" applyFont="1" applyFill="1"/>
    <xf numFmtId="164" fontId="18" fillId="2" borderId="0" xfId="0" applyNumberFormat="1" applyFont="1" applyFill="1"/>
    <xf numFmtId="165" fontId="18" fillId="2" borderId="0" xfId="0" applyNumberFormat="1" applyFont="1" applyFill="1"/>
    <xf numFmtId="2" fontId="18" fillId="2" borderId="0" xfId="0" applyNumberFormat="1" applyFont="1" applyFill="1" applyAlignment="1">
      <alignment horizontal="right"/>
    </xf>
    <xf numFmtId="166" fontId="18" fillId="2" borderId="0" xfId="0" applyNumberFormat="1" applyFont="1" applyFill="1" applyAlignment="1">
      <alignment horizontal="right"/>
    </xf>
    <xf numFmtId="164" fontId="18" fillId="2" borderId="0" xfId="0" applyNumberFormat="1" applyFont="1" applyFill="1" applyAlignment="1">
      <alignment horizontal="right"/>
    </xf>
    <xf numFmtId="2" fontId="18" fillId="3" borderId="0" xfId="0" applyNumberFormat="1" applyFont="1" applyFill="1"/>
    <xf numFmtId="166" fontId="18" fillId="3" borderId="0" xfId="0" applyNumberFormat="1" applyFont="1" applyFill="1"/>
    <xf numFmtId="164" fontId="18" fillId="3" borderId="0" xfId="0" applyNumberFormat="1" applyFont="1" applyFill="1"/>
    <xf numFmtId="165" fontId="18" fillId="3" borderId="0" xfId="0" applyNumberFormat="1" applyFont="1" applyFill="1"/>
    <xf numFmtId="0" fontId="18" fillId="7" borderId="7" xfId="0" applyFont="1" applyFill="1" applyBorder="1"/>
    <xf numFmtId="0" fontId="18" fillId="7" borderId="0" xfId="0" applyFont="1" applyFill="1"/>
    <xf numFmtId="0" fontId="18" fillId="7" borderId="1" xfId="0" applyFont="1" applyFill="1" applyBorder="1"/>
    <xf numFmtId="0" fontId="18" fillId="7" borderId="6" xfId="0" applyFont="1" applyFill="1" applyBorder="1"/>
    <xf numFmtId="0" fontId="18" fillId="7" borderId="8" xfId="0" applyFont="1" applyFill="1" applyBorder="1"/>
    <xf numFmtId="0" fontId="18" fillId="7" borderId="10" xfId="0" applyFont="1" applyFill="1" applyBorder="1"/>
    <xf numFmtId="0" fontId="18" fillId="7" borderId="2" xfId="0" applyFont="1" applyFill="1" applyBorder="1"/>
    <xf numFmtId="0" fontId="18" fillId="7" borderId="9" xfId="0" applyFont="1" applyFill="1" applyBorder="1"/>
    <xf numFmtId="0" fontId="18" fillId="7" borderId="3" xfId="0" applyFont="1" applyFill="1" applyBorder="1"/>
    <xf numFmtId="0" fontId="6" fillId="2" borderId="18" xfId="0" applyFont="1" applyFill="1" applyBorder="1"/>
    <xf numFmtId="0" fontId="18" fillId="2" borderId="19" xfId="0" applyFont="1" applyFill="1" applyBorder="1" applyAlignment="1">
      <alignment horizontal="centerContinuous"/>
    </xf>
    <xf numFmtId="164" fontId="18" fillId="2" borderId="19" xfId="0" applyNumberFormat="1" applyFont="1" applyFill="1" applyBorder="1" applyAlignment="1">
      <alignment horizontal="centerContinuous"/>
    </xf>
    <xf numFmtId="2" fontId="18" fillId="2" borderId="19" xfId="0" applyNumberFormat="1" applyFont="1" applyFill="1" applyBorder="1" applyAlignment="1">
      <alignment horizontal="centerContinuous"/>
    </xf>
    <xf numFmtId="164" fontId="18" fillId="2" borderId="20" xfId="0" applyNumberFormat="1" applyFont="1" applyFill="1" applyBorder="1" applyAlignment="1">
      <alignment horizontal="centerContinuous"/>
    </xf>
    <xf numFmtId="0" fontId="6" fillId="2" borderId="21" xfId="0" applyFont="1" applyFill="1" applyBorder="1"/>
    <xf numFmtId="164" fontId="18" fillId="2" borderId="22" xfId="0" applyNumberFormat="1" applyFont="1" applyFill="1" applyBorder="1" applyAlignment="1">
      <alignment horizontal="center"/>
    </xf>
    <xf numFmtId="165" fontId="18" fillId="2" borderId="23" xfId="0" applyNumberFormat="1" applyFont="1" applyFill="1" applyBorder="1"/>
    <xf numFmtId="164" fontId="18" fillId="2" borderId="23" xfId="0" applyNumberFormat="1" applyFont="1" applyFill="1" applyBorder="1"/>
    <xf numFmtId="0" fontId="6" fillId="3" borderId="21" xfId="0" applyFont="1" applyFill="1" applyBorder="1"/>
    <xf numFmtId="164" fontId="18" fillId="3" borderId="23" xfId="0" applyNumberFormat="1" applyFont="1" applyFill="1" applyBorder="1"/>
    <xf numFmtId="0" fontId="6" fillId="2" borderId="24" xfId="0" applyFont="1" applyFill="1" applyBorder="1"/>
    <xf numFmtId="2" fontId="18" fillId="2" borderId="25" xfId="0" applyNumberFormat="1" applyFont="1" applyFill="1" applyBorder="1"/>
    <xf numFmtId="166" fontId="18" fillId="2" borderId="25" xfId="0" applyNumberFormat="1" applyFont="1" applyFill="1" applyBorder="1"/>
    <xf numFmtId="164" fontId="18" fillId="2" borderId="25" xfId="0" applyNumberFormat="1" applyFont="1" applyFill="1" applyBorder="1"/>
    <xf numFmtId="165" fontId="18" fillId="2" borderId="25" xfId="0" applyNumberFormat="1" applyFont="1" applyFill="1" applyBorder="1"/>
    <xf numFmtId="164" fontId="18" fillId="2" borderId="26" xfId="0" applyNumberFormat="1" applyFont="1" applyFill="1" applyBorder="1"/>
    <xf numFmtId="0" fontId="18" fillId="2" borderId="28" xfId="0" applyFont="1" applyFill="1" applyBorder="1" applyAlignment="1">
      <alignment horizontal="center"/>
    </xf>
    <xf numFmtId="49" fontId="18" fillId="2" borderId="29" xfId="0" quotePrefix="1" applyNumberFormat="1" applyFont="1" applyFill="1" applyBorder="1"/>
    <xf numFmtId="49" fontId="18" fillId="3" borderId="29" xfId="0" quotePrefix="1" applyNumberFormat="1" applyFont="1" applyFill="1" applyBorder="1"/>
    <xf numFmtId="49" fontId="18" fillId="2" borderId="29" xfId="0" quotePrefix="1" applyNumberFormat="1" applyFont="1" applyFill="1" applyBorder="1" applyAlignment="1">
      <alignment horizontal="left"/>
    </xf>
    <xf numFmtId="0" fontId="18" fillId="2" borderId="29" xfId="0" applyFont="1" applyFill="1" applyBorder="1"/>
    <xf numFmtId="0" fontId="18" fillId="2" borderId="30" xfId="0" applyFont="1" applyFill="1" applyBorder="1"/>
    <xf numFmtId="168" fontId="31" fillId="8" borderId="44" xfId="0" applyNumberFormat="1" applyFont="1" applyFill="1" applyBorder="1" applyAlignment="1">
      <alignment horizontal="center" vertical="center" wrapText="1"/>
    </xf>
    <xf numFmtId="3" fontId="31" fillId="8" borderId="44" xfId="0" applyNumberFormat="1" applyFont="1" applyFill="1" applyBorder="1" applyAlignment="1">
      <alignment horizontal="center" vertical="center" wrapText="1"/>
    </xf>
    <xf numFmtId="168" fontId="31" fillId="8" borderId="47" xfId="0" applyNumberFormat="1" applyFont="1" applyFill="1" applyBorder="1" applyAlignment="1">
      <alignment horizontal="center" vertical="center" wrapText="1"/>
    </xf>
    <xf numFmtId="3" fontId="31" fillId="8" borderId="47" xfId="0" applyNumberFormat="1" applyFont="1" applyFill="1" applyBorder="1" applyAlignment="1">
      <alignment horizontal="center" vertical="center" wrapText="1"/>
    </xf>
    <xf numFmtId="168" fontId="31" fillId="8" borderId="58" xfId="0" applyNumberFormat="1" applyFont="1" applyFill="1" applyBorder="1" applyAlignment="1">
      <alignment horizontal="center" vertical="center" wrapText="1"/>
    </xf>
    <xf numFmtId="0" fontId="31" fillId="8" borderId="58" xfId="0" applyFont="1" applyFill="1" applyBorder="1" applyAlignment="1">
      <alignment horizontal="center" vertical="center" wrapText="1"/>
    </xf>
    <xf numFmtId="3" fontId="31" fillId="8" borderId="58" xfId="0" applyNumberFormat="1" applyFont="1" applyFill="1" applyBorder="1" applyAlignment="1">
      <alignment horizontal="center" vertical="center" wrapText="1"/>
    </xf>
    <xf numFmtId="2" fontId="31" fillId="8" borderId="58" xfId="0" applyNumberFormat="1" applyFont="1" applyFill="1" applyBorder="1" applyAlignment="1">
      <alignment horizontal="center" vertical="center" wrapText="1"/>
    </xf>
    <xf numFmtId="168" fontId="31" fillId="8" borderId="59" xfId="0" applyNumberFormat="1" applyFont="1" applyFill="1" applyBorder="1" applyAlignment="1">
      <alignment horizontal="center" vertical="center" wrapText="1"/>
    </xf>
    <xf numFmtId="0" fontId="31" fillId="8" borderId="59" xfId="0" applyFont="1" applyFill="1" applyBorder="1" applyAlignment="1">
      <alignment horizontal="center" vertical="center" wrapText="1"/>
    </xf>
    <xf numFmtId="3" fontId="31" fillId="8" borderId="59" xfId="0" applyNumberFormat="1" applyFont="1" applyFill="1" applyBorder="1" applyAlignment="1">
      <alignment horizontal="center" vertical="center" wrapText="1"/>
    </xf>
    <xf numFmtId="2" fontId="31" fillId="8" borderId="59" xfId="0" applyNumberFormat="1" applyFont="1" applyFill="1" applyBorder="1" applyAlignment="1">
      <alignment horizontal="center" vertical="center" wrapText="1"/>
    </xf>
    <xf numFmtId="168" fontId="31" fillId="8" borderId="60" xfId="0" applyNumberFormat="1" applyFont="1" applyFill="1" applyBorder="1" applyAlignment="1">
      <alignment horizontal="center" vertical="center" wrapText="1"/>
    </xf>
    <xf numFmtId="0" fontId="31" fillId="8" borderId="60" xfId="0" applyFont="1" applyFill="1" applyBorder="1" applyAlignment="1">
      <alignment horizontal="center" vertical="center" wrapText="1"/>
    </xf>
    <xf numFmtId="3" fontId="31" fillId="8" borderId="60" xfId="0" applyNumberFormat="1" applyFont="1" applyFill="1" applyBorder="1" applyAlignment="1">
      <alignment horizontal="center" vertical="center" wrapText="1"/>
    </xf>
    <xf numFmtId="2" fontId="31" fillId="8" borderId="60" xfId="0" applyNumberFormat="1" applyFont="1" applyFill="1" applyBorder="1" applyAlignment="1">
      <alignment horizontal="center" vertical="center" wrapText="1"/>
    </xf>
    <xf numFmtId="0" fontId="15" fillId="8" borderId="55" xfId="0" applyFont="1" applyFill="1" applyBorder="1" applyAlignment="1">
      <alignment vertical="center" wrapText="1"/>
    </xf>
    <xf numFmtId="0" fontId="15" fillId="8" borderId="55" xfId="0" applyFont="1" applyFill="1" applyBorder="1" applyAlignment="1">
      <alignment horizontal="center" vertical="center" wrapText="1"/>
    </xf>
    <xf numFmtId="3" fontId="15" fillId="8" borderId="55" xfId="0" applyNumberFormat="1" applyFont="1" applyFill="1" applyBorder="1" applyAlignment="1">
      <alignment horizontal="center" vertical="center" wrapText="1"/>
    </xf>
    <xf numFmtId="2" fontId="15" fillId="8" borderId="55" xfId="0" applyNumberFormat="1" applyFont="1" applyFill="1" applyBorder="1" applyAlignment="1">
      <alignment horizontal="center" vertical="center" wrapText="1"/>
    </xf>
    <xf numFmtId="11" fontId="15" fillId="8" borderId="32" xfId="0" applyNumberFormat="1" applyFont="1" applyFill="1" applyBorder="1" applyAlignment="1">
      <alignment horizontal="center" vertical="center" wrapText="1"/>
    </xf>
    <xf numFmtId="0" fontId="15" fillId="8" borderId="0" xfId="0" applyFont="1" applyFill="1" applyAlignment="1">
      <alignment vertical="center" wrapText="1"/>
    </xf>
    <xf numFmtId="0" fontId="15" fillId="2" borderId="0" xfId="0" applyFont="1" applyFill="1" applyAlignment="1">
      <alignment vertical="center" wrapText="1"/>
    </xf>
    <xf numFmtId="11" fontId="15" fillId="8" borderId="56" xfId="0" applyNumberFormat="1" applyFont="1" applyFill="1" applyBorder="1" applyAlignment="1">
      <alignment horizontal="center" vertical="center" wrapText="1"/>
    </xf>
    <xf numFmtId="0" fontId="15" fillId="8" borderId="56" xfId="0" applyFont="1" applyFill="1" applyBorder="1" applyAlignment="1">
      <alignment horizontal="center" vertical="center" wrapText="1"/>
    </xf>
    <xf numFmtId="3" fontId="15" fillId="8" borderId="56" xfId="0" applyNumberFormat="1" applyFont="1" applyFill="1" applyBorder="1" applyAlignment="1">
      <alignment horizontal="center" vertical="center" wrapText="1"/>
    </xf>
    <xf numFmtId="2" fontId="15" fillId="8" borderId="56" xfId="0" applyNumberFormat="1" applyFont="1" applyFill="1" applyBorder="1" applyAlignment="1">
      <alignment horizontal="center" vertical="center" wrapText="1"/>
    </xf>
    <xf numFmtId="11" fontId="15" fillId="8" borderId="33" xfId="0" applyNumberFormat="1" applyFont="1" applyFill="1" applyBorder="1" applyAlignment="1">
      <alignment horizontal="center" vertical="center" wrapText="1"/>
    </xf>
    <xf numFmtId="0" fontId="15" fillId="8" borderId="38" xfId="0" applyFont="1" applyFill="1" applyBorder="1" applyAlignment="1">
      <alignment vertical="center" wrapText="1"/>
    </xf>
    <xf numFmtId="11" fontId="15" fillId="8" borderId="57" xfId="0" applyNumberFormat="1" applyFont="1" applyFill="1" applyBorder="1" applyAlignment="1">
      <alignment horizontal="center" vertical="center" wrapText="1"/>
    </xf>
    <xf numFmtId="11" fontId="15" fillId="8" borderId="57" xfId="0" applyNumberFormat="1" applyFont="1" applyFill="1" applyBorder="1" applyAlignment="1">
      <alignment vertical="center" wrapText="1"/>
    </xf>
    <xf numFmtId="3" fontId="15" fillId="8" borderId="57" xfId="0" applyNumberFormat="1" applyFont="1" applyFill="1" applyBorder="1" applyAlignment="1">
      <alignment horizontal="center" vertical="center" wrapText="1"/>
    </xf>
    <xf numFmtId="2" fontId="15" fillId="8" borderId="57" xfId="0" applyNumberFormat="1" applyFont="1" applyFill="1" applyBorder="1" applyAlignment="1">
      <alignment horizontal="center" vertical="center" wrapText="1"/>
    </xf>
    <xf numFmtId="11" fontId="15" fillId="8" borderId="40" xfId="0" applyNumberFormat="1" applyFont="1" applyFill="1" applyBorder="1" applyAlignment="1">
      <alignment horizontal="center" vertical="center" wrapText="1"/>
    </xf>
    <xf numFmtId="0" fontId="15" fillId="8" borderId="41" xfId="0" applyFont="1" applyFill="1" applyBorder="1" applyAlignment="1">
      <alignment horizontal="left" vertical="center" wrapText="1"/>
    </xf>
    <xf numFmtId="168" fontId="15" fillId="8" borderId="42" xfId="0" applyNumberFormat="1" applyFont="1" applyFill="1" applyBorder="1" applyAlignment="1">
      <alignment horizontal="center" vertical="center" wrapText="1"/>
    </xf>
    <xf numFmtId="0" fontId="15" fillId="0" borderId="0" xfId="0" applyFont="1" applyAlignment="1">
      <alignment vertical="center" wrapText="1"/>
    </xf>
    <xf numFmtId="0" fontId="15" fillId="8" borderId="43" xfId="0" applyFont="1" applyFill="1" applyBorder="1" applyAlignment="1">
      <alignment horizontal="left" vertical="center" wrapText="1"/>
    </xf>
    <xf numFmtId="168" fontId="15" fillId="8" borderId="45" xfId="0" applyNumberFormat="1" applyFont="1" applyFill="1" applyBorder="1" applyAlignment="1">
      <alignment horizontal="center" vertical="center" wrapText="1"/>
    </xf>
    <xf numFmtId="168" fontId="15" fillId="8" borderId="59" xfId="0" applyNumberFormat="1" applyFont="1" applyFill="1" applyBorder="1" applyAlignment="1">
      <alignment horizontal="center" vertical="center" wrapText="1"/>
    </xf>
    <xf numFmtId="0" fontId="15" fillId="8" borderId="46" xfId="0" applyFont="1" applyFill="1" applyBorder="1" applyAlignment="1">
      <alignment horizontal="left" vertical="center" wrapText="1"/>
    </xf>
    <xf numFmtId="168" fontId="15" fillId="8" borderId="48" xfId="0" applyNumberFormat="1" applyFont="1" applyFill="1" applyBorder="1" applyAlignment="1">
      <alignment horizontal="center" vertical="center" wrapText="1"/>
    </xf>
    <xf numFmtId="0" fontId="15" fillId="8" borderId="0" xfId="0" applyFont="1" applyFill="1" applyAlignment="1">
      <alignment horizontal="center" vertical="center" wrapText="1"/>
    </xf>
    <xf numFmtId="0" fontId="15" fillId="0" borderId="0" xfId="0" applyFont="1" applyAlignment="1">
      <alignment horizontal="center" vertical="center" wrapText="1"/>
    </xf>
    <xf numFmtId="168" fontId="31" fillId="8" borderId="0" xfId="0" applyNumberFormat="1" applyFont="1" applyFill="1" applyAlignment="1">
      <alignment horizontal="center" vertical="center" wrapText="1"/>
    </xf>
    <xf numFmtId="3" fontId="31" fillId="8" borderId="31" xfId="0" applyNumberFormat="1" applyFont="1" applyFill="1" applyBorder="1" applyAlignment="1">
      <alignment horizontal="center" vertical="center" wrapText="1"/>
    </xf>
    <xf numFmtId="168" fontId="31" fillId="8" borderId="31" xfId="0" applyNumberFormat="1" applyFont="1" applyFill="1" applyBorder="1" applyAlignment="1">
      <alignment horizontal="center" vertical="center" wrapText="1"/>
    </xf>
    <xf numFmtId="168" fontId="15" fillId="8" borderId="31" xfId="0" applyNumberFormat="1" applyFont="1" applyFill="1" applyBorder="1" applyAlignment="1">
      <alignment horizontal="center" vertical="center" wrapText="1"/>
    </xf>
    <xf numFmtId="0" fontId="15" fillId="0" borderId="31" xfId="0" applyFont="1" applyBorder="1" applyAlignment="1">
      <alignment vertical="center" wrapText="1"/>
    </xf>
    <xf numFmtId="3" fontId="31" fillId="8" borderId="0" xfId="0" applyNumberFormat="1" applyFont="1" applyFill="1" applyAlignment="1">
      <alignment horizontal="center" vertical="center" wrapText="1"/>
    </xf>
    <xf numFmtId="11" fontId="31" fillId="8" borderId="0" xfId="0" applyNumberFormat="1" applyFont="1" applyFill="1" applyAlignment="1">
      <alignment horizontal="center" vertical="center" wrapText="1"/>
    </xf>
    <xf numFmtId="3" fontId="15" fillId="8" borderId="0" xfId="0" applyNumberFormat="1" applyFont="1" applyFill="1" applyAlignment="1">
      <alignment horizontal="center" vertical="center" wrapText="1"/>
    </xf>
    <xf numFmtId="0" fontId="15" fillId="8" borderId="35" xfId="0" applyFont="1" applyFill="1" applyBorder="1" applyAlignment="1">
      <alignment vertical="center" wrapText="1"/>
    </xf>
    <xf numFmtId="168" fontId="15" fillId="8" borderId="0" xfId="0" applyNumberFormat="1" applyFont="1" applyFill="1" applyAlignment="1">
      <alignment vertical="center" wrapText="1"/>
    </xf>
    <xf numFmtId="0" fontId="15" fillId="4" borderId="35" xfId="0" applyFont="1" applyFill="1" applyBorder="1" applyAlignment="1">
      <alignment vertical="center" wrapText="1"/>
    </xf>
    <xf numFmtId="0" fontId="15" fillId="4" borderId="0" xfId="0" applyFont="1" applyFill="1" applyAlignment="1">
      <alignment vertical="center" wrapText="1"/>
    </xf>
    <xf numFmtId="168" fontId="15" fillId="4" borderId="0" xfId="0" applyNumberFormat="1" applyFont="1" applyFill="1" applyAlignment="1">
      <alignment vertical="center" wrapText="1"/>
    </xf>
    <xf numFmtId="0" fontId="15" fillId="0" borderId="35" xfId="0" applyFont="1" applyBorder="1" applyAlignment="1">
      <alignment vertical="center" wrapText="1"/>
    </xf>
    <xf numFmtId="168" fontId="15" fillId="0" borderId="0" xfId="0" applyNumberFormat="1" applyFont="1" applyAlignment="1">
      <alignment vertical="center" wrapText="1"/>
    </xf>
    <xf numFmtId="168" fontId="31" fillId="8" borderId="32" xfId="0" applyNumberFormat="1" applyFont="1" applyFill="1" applyBorder="1" applyAlignment="1">
      <alignment horizontal="center" vertical="center" wrapText="1"/>
    </xf>
    <xf numFmtId="168" fontId="31" fillId="8" borderId="33" xfId="0" applyNumberFormat="1" applyFont="1" applyFill="1" applyBorder="1" applyAlignment="1">
      <alignment horizontal="center" vertical="center" wrapText="1"/>
    </xf>
    <xf numFmtId="0" fontId="29" fillId="8" borderId="37" xfId="0" applyFont="1" applyFill="1" applyBorder="1" applyAlignment="1">
      <alignment horizontal="center" vertical="center" wrapText="1"/>
    </xf>
    <xf numFmtId="0" fontId="29" fillId="8" borderId="38" xfId="0" applyFont="1" applyFill="1" applyBorder="1" applyAlignment="1">
      <alignment horizontal="center" vertical="center" wrapText="1"/>
    </xf>
    <xf numFmtId="0" fontId="34" fillId="8" borderId="38" xfId="0" applyFont="1" applyFill="1" applyBorder="1" applyAlignment="1">
      <alignment horizontal="center" vertical="center" wrapText="1"/>
    </xf>
    <xf numFmtId="0" fontId="15" fillId="8" borderId="38" xfId="0" applyFont="1" applyFill="1" applyBorder="1" applyAlignment="1">
      <alignment horizontal="left" vertical="center" wrapText="1"/>
    </xf>
    <xf numFmtId="0" fontId="15" fillId="8" borderId="62" xfId="0" applyFont="1" applyFill="1" applyBorder="1" applyAlignment="1">
      <alignment horizontal="left" vertical="center" wrapText="1"/>
    </xf>
    <xf numFmtId="3" fontId="31" fillId="8" borderId="63" xfId="0" applyNumberFormat="1" applyFont="1" applyFill="1" applyBorder="1" applyAlignment="1">
      <alignment horizontal="center" vertical="center" wrapText="1"/>
    </xf>
    <xf numFmtId="168" fontId="31" fillId="8" borderId="63" xfId="0" applyNumberFormat="1" applyFont="1" applyFill="1" applyBorder="1" applyAlignment="1">
      <alignment horizontal="center" vertical="center" wrapText="1"/>
    </xf>
    <xf numFmtId="168" fontId="15" fillId="8" borderId="63" xfId="0" applyNumberFormat="1" applyFont="1" applyFill="1" applyBorder="1" applyAlignment="1">
      <alignment horizontal="center" vertical="center" wrapText="1"/>
    </xf>
    <xf numFmtId="168" fontId="31" fillId="8" borderId="64" xfId="0" applyNumberFormat="1" applyFont="1" applyFill="1" applyBorder="1" applyAlignment="1">
      <alignment horizontal="center" vertical="center" wrapText="1"/>
    </xf>
    <xf numFmtId="168" fontId="15" fillId="8" borderId="44" xfId="0" applyNumberFormat="1" applyFont="1" applyFill="1" applyBorder="1" applyAlignment="1">
      <alignment horizontal="center" vertical="center" wrapText="1"/>
    </xf>
    <xf numFmtId="168" fontId="31" fillId="8" borderId="45" xfId="0" applyNumberFormat="1" applyFont="1" applyFill="1" applyBorder="1" applyAlignment="1">
      <alignment horizontal="center" vertical="center" wrapText="1"/>
    </xf>
    <xf numFmtId="168" fontId="15" fillId="8" borderId="47" xfId="0" applyNumberFormat="1" applyFont="1" applyFill="1" applyBorder="1" applyAlignment="1">
      <alignment horizontal="center" vertical="center" wrapText="1"/>
    </xf>
    <xf numFmtId="168" fontId="31" fillId="8" borderId="48" xfId="0" applyNumberFormat="1" applyFont="1" applyFill="1" applyBorder="1" applyAlignment="1">
      <alignment horizontal="center" vertical="center" wrapText="1"/>
    </xf>
    <xf numFmtId="0" fontId="11" fillId="3" borderId="65" xfId="0" applyFont="1" applyFill="1" applyBorder="1" applyAlignment="1">
      <alignment horizontal="center"/>
    </xf>
    <xf numFmtId="0" fontId="12" fillId="3" borderId="66" xfId="0" applyFont="1" applyFill="1" applyBorder="1" applyAlignment="1">
      <alignment horizontal="center"/>
    </xf>
    <xf numFmtId="0" fontId="24" fillId="2" borderId="61" xfId="0" applyFont="1" applyFill="1" applyBorder="1"/>
    <xf numFmtId="0" fontId="6" fillId="2" borderId="31" xfId="0" applyFont="1" applyFill="1" applyBorder="1"/>
    <xf numFmtId="0" fontId="21" fillId="2" borderId="31" xfId="0" applyFont="1" applyFill="1" applyBorder="1"/>
    <xf numFmtId="0" fontId="6" fillId="2" borderId="32" xfId="0" applyFont="1" applyFill="1" applyBorder="1"/>
    <xf numFmtId="0" fontId="6" fillId="2" borderId="35" xfId="0" applyFont="1" applyFill="1" applyBorder="1"/>
    <xf numFmtId="0" fontId="6" fillId="2" borderId="33" xfId="0" applyFont="1" applyFill="1" applyBorder="1"/>
    <xf numFmtId="0" fontId="13" fillId="2" borderId="35" xfId="0" applyFont="1" applyFill="1" applyBorder="1"/>
    <xf numFmtId="0" fontId="18" fillId="2" borderId="35" xfId="0" applyFont="1" applyFill="1" applyBorder="1"/>
    <xf numFmtId="0" fontId="5" fillId="2" borderId="35" xfId="0" applyFont="1" applyFill="1" applyBorder="1" applyAlignment="1">
      <alignment horizontal="center"/>
    </xf>
    <xf numFmtId="0" fontId="5" fillId="2" borderId="0" xfId="0" applyFont="1" applyFill="1" applyAlignment="1">
      <alignment horizontal="center"/>
    </xf>
    <xf numFmtId="0" fontId="1" fillId="2" borderId="35" xfId="0" applyFont="1" applyFill="1" applyBorder="1" applyAlignment="1">
      <alignment horizontal="center"/>
    </xf>
    <xf numFmtId="0" fontId="1" fillId="2" borderId="67" xfId="0" applyFont="1" applyFill="1" applyBorder="1" applyAlignment="1">
      <alignment horizontal="center"/>
    </xf>
    <xf numFmtId="0" fontId="1" fillId="3" borderId="68" xfId="0" applyFont="1" applyFill="1" applyBorder="1" applyAlignment="1" applyProtection="1">
      <alignment horizontal="center" vertical="top" wrapText="1"/>
      <protection locked="0"/>
    </xf>
    <xf numFmtId="0" fontId="1" fillId="2" borderId="35" xfId="0" applyFont="1" applyFill="1" applyBorder="1" applyAlignment="1">
      <alignment horizontal="center" vertical="top" wrapText="1"/>
    </xf>
    <xf numFmtId="0" fontId="23" fillId="2" borderId="35" xfId="0" applyFont="1" applyFill="1" applyBorder="1" applyAlignment="1">
      <alignment vertical="top"/>
    </xf>
    <xf numFmtId="0" fontId="5" fillId="2" borderId="34" xfId="0" applyFont="1" applyFill="1" applyBorder="1" applyAlignment="1">
      <alignment horizontal="center"/>
    </xf>
    <xf numFmtId="0" fontId="1" fillId="2" borderId="36" xfId="0" applyFont="1" applyFill="1" applyBorder="1" applyAlignment="1">
      <alignment horizontal="centerContinuous"/>
    </xf>
    <xf numFmtId="0" fontId="6" fillId="2" borderId="35" xfId="0" applyFont="1" applyFill="1" applyBorder="1" applyAlignment="1">
      <alignment horizontal="center"/>
    </xf>
    <xf numFmtId="0" fontId="1" fillId="3" borderId="69" xfId="0" applyFont="1" applyFill="1" applyBorder="1" applyAlignment="1" applyProtection="1">
      <alignment horizontal="center" vertical="top" wrapText="1"/>
      <protection locked="0"/>
    </xf>
    <xf numFmtId="0" fontId="1" fillId="2" borderId="35" xfId="0" applyFont="1" applyFill="1" applyBorder="1" applyAlignment="1">
      <alignment horizontal="right" vertical="top" wrapText="1"/>
    </xf>
    <xf numFmtId="0" fontId="1" fillId="2" borderId="33" xfId="0" applyFont="1" applyFill="1" applyBorder="1" applyAlignment="1">
      <alignment horizontal="right" vertical="top" wrapText="1"/>
    </xf>
    <xf numFmtId="0" fontId="1" fillId="6" borderId="33" xfId="0" applyFont="1" applyFill="1" applyBorder="1" applyAlignment="1">
      <alignment horizontal="right" vertical="top" wrapText="1"/>
    </xf>
    <xf numFmtId="0" fontId="5" fillId="2" borderId="33" xfId="0" applyFont="1" applyFill="1" applyBorder="1" applyAlignment="1">
      <alignment horizontal="center"/>
    </xf>
    <xf numFmtId="0" fontId="1" fillId="2" borderId="33" xfId="0" applyFont="1" applyFill="1" applyBorder="1" applyAlignment="1">
      <alignment horizontal="center"/>
    </xf>
    <xf numFmtId="0" fontId="4" fillId="2" borderId="33" xfId="0" applyFont="1" applyFill="1" applyBorder="1" applyAlignment="1">
      <alignment horizontal="center"/>
    </xf>
    <xf numFmtId="0" fontId="1" fillId="2" borderId="70" xfId="0" applyFont="1" applyFill="1" applyBorder="1" applyAlignment="1">
      <alignment horizontal="center"/>
    </xf>
    <xf numFmtId="0" fontId="1" fillId="3" borderId="71" xfId="0" applyFont="1" applyFill="1" applyBorder="1" applyAlignment="1" applyProtection="1">
      <alignment horizontal="center"/>
      <protection locked="0"/>
    </xf>
    <xf numFmtId="0" fontId="23" fillId="2" borderId="35" xfId="0" applyFont="1" applyFill="1" applyBorder="1" applyAlignment="1">
      <alignment horizontal="left" vertical="top"/>
    </xf>
    <xf numFmtId="1" fontId="1" fillId="2" borderId="35" xfId="0" applyNumberFormat="1" applyFont="1" applyFill="1" applyBorder="1" applyAlignment="1">
      <alignment horizontal="center"/>
    </xf>
    <xf numFmtId="1" fontId="1" fillId="2" borderId="67" xfId="0" applyNumberFormat="1" applyFont="1" applyFill="1" applyBorder="1" applyAlignment="1">
      <alignment horizontal="center"/>
    </xf>
    <xf numFmtId="0" fontId="18" fillId="2" borderId="78" xfId="0" applyFont="1" applyFill="1" applyBorder="1"/>
    <xf numFmtId="0" fontId="0" fillId="2" borderId="79" xfId="0" applyFill="1" applyBorder="1"/>
    <xf numFmtId="0" fontId="27" fillId="2" borderId="0" xfId="0" applyFont="1" applyFill="1"/>
    <xf numFmtId="0" fontId="25" fillId="2" borderId="78" xfId="0" applyFont="1" applyFill="1" applyBorder="1"/>
    <xf numFmtId="0" fontId="14" fillId="2" borderId="78" xfId="0" applyFont="1" applyFill="1" applyBorder="1"/>
    <xf numFmtId="0" fontId="18" fillId="2" borderId="0" xfId="0" quotePrefix="1" applyFont="1" applyFill="1"/>
    <xf numFmtId="0" fontId="26" fillId="2" borderId="0" xfId="0" applyFont="1" applyFill="1"/>
    <xf numFmtId="0" fontId="15" fillId="2" borderId="0" xfId="0" applyFont="1" applyFill="1"/>
    <xf numFmtId="49" fontId="18" fillId="2" borderId="0" xfId="0" applyNumberFormat="1" applyFont="1" applyFill="1" applyAlignment="1">
      <alignment horizontal="left"/>
    </xf>
    <xf numFmtId="49" fontId="18" fillId="2" borderId="0" xfId="0" applyNumberFormat="1" applyFont="1" applyFill="1"/>
    <xf numFmtId="49" fontId="18" fillId="2" borderId="0" xfId="0" quotePrefix="1" applyNumberFormat="1" applyFont="1" applyFill="1"/>
    <xf numFmtId="0" fontId="30" fillId="2" borderId="0" xfId="1" applyFont="1" applyFill="1" applyBorder="1" applyAlignment="1" applyProtection="1"/>
    <xf numFmtId="0" fontId="18" fillId="2" borderId="80" xfId="0" applyFont="1" applyFill="1" applyBorder="1"/>
    <xf numFmtId="0" fontId="18" fillId="2" borderId="81" xfId="0" applyFont="1" applyFill="1" applyBorder="1"/>
    <xf numFmtId="0" fontId="0" fillId="2" borderId="82" xfId="0" applyFill="1" applyBorder="1"/>
    <xf numFmtId="0" fontId="26" fillId="2" borderId="27" xfId="0" applyFont="1" applyFill="1" applyBorder="1" applyAlignment="1">
      <alignment horizontal="centerContinuous"/>
    </xf>
    <xf numFmtId="168" fontId="15" fillId="0" borderId="31" xfId="0" applyNumberFormat="1" applyFont="1" applyBorder="1" applyAlignment="1">
      <alignment horizontal="center" vertical="center" wrapText="1"/>
    </xf>
    <xf numFmtId="168" fontId="31" fillId="0" borderId="0" xfId="0" applyNumberFormat="1" applyFont="1" applyAlignment="1">
      <alignment horizontal="center" vertical="center" wrapText="1"/>
    </xf>
    <xf numFmtId="168" fontId="31" fillId="0" borderId="63" xfId="0" applyNumberFormat="1" applyFont="1" applyBorder="1" applyAlignment="1">
      <alignment horizontal="center" vertical="center" wrapText="1"/>
    </xf>
    <xf numFmtId="168" fontId="31" fillId="0" borderId="44" xfId="0" applyNumberFormat="1" applyFont="1" applyBorder="1" applyAlignment="1">
      <alignment horizontal="center" vertical="center" wrapText="1"/>
    </xf>
    <xf numFmtId="168" fontId="31" fillId="0" borderId="47" xfId="0" applyNumberFormat="1" applyFont="1" applyBorder="1" applyAlignment="1">
      <alignment horizontal="center" vertical="center" wrapText="1"/>
    </xf>
    <xf numFmtId="0" fontId="1" fillId="3" borderId="72" xfId="0" applyFont="1" applyFill="1" applyBorder="1" applyAlignment="1" applyProtection="1">
      <alignment horizontal="center" vertical="top" wrapText="1"/>
      <protection locked="0"/>
    </xf>
    <xf numFmtId="0" fontId="1" fillId="3" borderId="73" xfId="0" applyFont="1" applyFill="1" applyBorder="1" applyAlignment="1" applyProtection="1">
      <alignment horizontal="center" vertical="top" wrapText="1"/>
      <protection locked="0"/>
    </xf>
    <xf numFmtId="0" fontId="6" fillId="3" borderId="73" xfId="0" applyFont="1" applyFill="1" applyBorder="1" applyAlignment="1" applyProtection="1">
      <alignment horizontal="center"/>
      <protection locked="0"/>
    </xf>
    <xf numFmtId="0" fontId="1" fillId="3" borderId="74" xfId="0" applyFont="1" applyFill="1" applyBorder="1" applyAlignment="1" applyProtection="1">
      <alignment horizontal="center" vertical="top" wrapText="1"/>
      <protection locked="0"/>
    </xf>
    <xf numFmtId="0" fontId="15" fillId="8" borderId="39" xfId="0" applyFont="1" applyFill="1" applyBorder="1" applyAlignment="1">
      <alignment horizontal="left" vertical="center" wrapText="1"/>
    </xf>
    <xf numFmtId="0" fontId="15" fillId="0" borderId="43" xfId="0" applyFont="1" applyBorder="1" applyAlignment="1">
      <alignment horizontal="left" vertical="center" wrapText="1"/>
    </xf>
    <xf numFmtId="0" fontId="15" fillId="8" borderId="43" xfId="0" quotePrefix="1" applyFont="1" applyFill="1" applyBorder="1" applyAlignment="1">
      <alignment horizontal="left" vertical="center" wrapText="1"/>
    </xf>
    <xf numFmtId="0" fontId="18" fillId="4" borderId="0" xfId="0" applyFont="1" applyFill="1" applyAlignment="1">
      <alignment vertical="center"/>
    </xf>
    <xf numFmtId="49" fontId="18" fillId="2" borderId="0" xfId="0" applyNumberFormat="1" applyFont="1" applyFill="1" applyAlignment="1">
      <alignment vertical="center"/>
    </xf>
    <xf numFmtId="0" fontId="26" fillId="2" borderId="0" xfId="0" applyFont="1" applyFill="1" applyAlignment="1">
      <alignment vertical="center" wrapText="1"/>
    </xf>
    <xf numFmtId="0" fontId="15" fillId="2" borderId="0" xfId="0" applyFont="1" applyFill="1" applyAlignment="1">
      <alignment vertical="center"/>
    </xf>
    <xf numFmtId="0" fontId="18" fillId="0" borderId="0" xfId="0" applyFont="1" applyAlignment="1">
      <alignment vertical="center"/>
    </xf>
    <xf numFmtId="0" fontId="18" fillId="4" borderId="0" xfId="0" applyFont="1" applyFill="1"/>
    <xf numFmtId="0" fontId="18" fillId="0" borderId="0" xfId="0" applyFont="1"/>
    <xf numFmtId="0" fontId="18" fillId="2" borderId="0" xfId="0" applyFont="1" applyFill="1" applyAlignment="1">
      <alignment vertical="center"/>
    </xf>
    <xf numFmtId="0" fontId="18" fillId="2" borderId="75" xfId="0" applyFont="1" applyFill="1" applyBorder="1"/>
    <xf numFmtId="0" fontId="18" fillId="2" borderId="76" xfId="0" applyFont="1" applyFill="1" applyBorder="1"/>
    <xf numFmtId="0" fontId="0" fillId="2" borderId="77" xfId="0" applyFill="1" applyBorder="1"/>
    <xf numFmtId="0" fontId="38" fillId="2" borderId="0" xfId="0" applyFont="1" applyFill="1"/>
    <xf numFmtId="0" fontId="28" fillId="2" borderId="0" xfId="1" applyFill="1" applyBorder="1" applyAlignment="1" applyProtection="1"/>
    <xf numFmtId="0" fontId="29" fillId="8" borderId="49" xfId="0" applyFont="1" applyFill="1" applyBorder="1" applyAlignment="1">
      <alignment horizontal="center" vertical="center" wrapText="1"/>
    </xf>
    <xf numFmtId="0" fontId="15" fillId="8" borderId="50" xfId="0" applyFont="1" applyFill="1" applyBorder="1" applyAlignment="1">
      <alignment horizontal="center" vertical="center" wrapText="1"/>
    </xf>
    <xf numFmtId="0" fontId="29" fillId="8" borderId="50" xfId="0" applyFont="1" applyFill="1" applyBorder="1" applyAlignment="1">
      <alignment horizontal="center" vertical="center" wrapText="1"/>
    </xf>
    <xf numFmtId="0" fontId="15" fillId="8" borderId="51" xfId="0" applyFont="1" applyFill="1" applyBorder="1" applyAlignment="1">
      <alignment horizontal="center" vertical="center" wrapText="1"/>
    </xf>
    <xf numFmtId="0" fontId="15" fillId="8" borderId="52" xfId="0" applyFont="1" applyFill="1" applyBorder="1" applyAlignment="1">
      <alignment horizontal="center" vertical="center" wrapText="1"/>
    </xf>
    <xf numFmtId="0" fontId="15" fillId="8" borderId="53" xfId="0" applyFont="1" applyFill="1" applyBorder="1" applyAlignment="1">
      <alignment horizontal="center" vertical="center" wrapText="1"/>
    </xf>
    <xf numFmtId="0" fontId="15" fillId="8" borderId="54" xfId="0" applyFont="1" applyFill="1" applyBorder="1" applyAlignment="1">
      <alignment horizontal="center" vertical="center" wrapText="1"/>
    </xf>
    <xf numFmtId="0" fontId="39" fillId="7" borderId="2" xfId="0" applyFont="1" applyFill="1" applyBorder="1" applyAlignment="1">
      <alignment horizontal="center"/>
    </xf>
    <xf numFmtId="0" fontId="13" fillId="7" borderId="0" xfId="0" applyFont="1" applyFill="1"/>
    <xf numFmtId="0" fontId="37" fillId="2" borderId="0" xfId="0" applyFont="1" applyFill="1" applyAlignment="1">
      <alignment horizontal="left" vertical="center" wrapText="1"/>
    </xf>
    <xf numFmtId="0" fontId="13" fillId="2" borderId="78" xfId="0" applyFont="1" applyFill="1" applyBorder="1" applyAlignment="1">
      <alignment horizontal="center"/>
    </xf>
    <xf numFmtId="0" fontId="13" fillId="2" borderId="0" xfId="0" applyFont="1" applyFill="1" applyAlignment="1">
      <alignment horizontal="center"/>
    </xf>
    <xf numFmtId="0" fontId="13" fillId="2" borderId="79" xfId="0" applyFont="1" applyFill="1" applyBorder="1" applyAlignment="1">
      <alignment horizontal="center"/>
    </xf>
    <xf numFmtId="0" fontId="9" fillId="6" borderId="35" xfId="0" applyFont="1" applyFill="1" applyBorder="1" applyAlignment="1">
      <alignment horizontal="left" vertical="top" wrapText="1"/>
    </xf>
    <xf numFmtId="0" fontId="0" fillId="2" borderId="35" xfId="0" applyFill="1" applyBorder="1"/>
    <xf numFmtId="0" fontId="24" fillId="8" borderId="37" xfId="0" applyFont="1" applyFill="1" applyBorder="1" applyAlignment="1">
      <alignment horizontal="center" vertical="center" wrapText="1"/>
    </xf>
    <xf numFmtId="0" fontId="24" fillId="8" borderId="38" xfId="0" applyFont="1" applyFill="1" applyBorder="1" applyAlignment="1">
      <alignment horizontal="center" vertical="center" wrapText="1"/>
    </xf>
  </cellXfs>
  <cellStyles count="2">
    <cellStyle name="Hyperlink" xfId="1" builtinId="8"/>
    <cellStyle name="Normal" xfId="0" builtinId="0"/>
  </cellStyles>
  <dxfs count="0"/>
  <tableStyles count="1" defaultTableStyle="TableStyleMedium9" defaultPivotStyle="PivotStyleLight16">
    <tableStyle name="Invisible" pivot="0" table="0" count="0" xr9:uid="{361A60EA-BC91-4096-9160-5395AFB79DFC}"/>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200" b="1" i="0" u="none" strike="noStrike" baseline="0">
                <a:solidFill>
                  <a:srgbClr val="000000"/>
                </a:solidFill>
                <a:latin typeface="Arial"/>
                <a:ea typeface="Arial"/>
                <a:cs typeface="Arial"/>
              </a:defRPr>
            </a:pPr>
            <a:r>
              <a:rPr lang="en-US"/>
              <a:t>Chemical-Specific Attenuation Factors
January 2006</a:t>
            </a:r>
          </a:p>
        </c:rich>
      </c:tx>
      <c:layout>
        <c:manualLayout>
          <c:xMode val="edge"/>
          <c:yMode val="edge"/>
          <c:x val="0.33518312985572835"/>
          <c:y val="1.9575856443720098E-2"/>
        </c:manualLayout>
      </c:layout>
      <c:overlay val="0"/>
      <c:spPr>
        <a:noFill/>
        <a:ln w="25400">
          <a:noFill/>
        </a:ln>
      </c:spPr>
    </c:title>
    <c:autoTitleDeleted val="0"/>
    <c:plotArea>
      <c:layout>
        <c:manualLayout>
          <c:layoutTarget val="inner"/>
          <c:xMode val="edge"/>
          <c:yMode val="edge"/>
          <c:x val="9.3229744728080266E-2"/>
          <c:y val="0.15660685154975529"/>
          <c:w val="0.89567147613762665"/>
          <c:h val="0.73735725938010765"/>
        </c:manualLayout>
      </c:layout>
      <c:lineChart>
        <c:grouping val="standard"/>
        <c:varyColors val="0"/>
        <c:ser>
          <c:idx val="0"/>
          <c:order val="0"/>
          <c:tx>
            <c:v>Attenuation Factors</c:v>
          </c:tx>
          <c:spPr>
            <a:ln w="12700">
              <a:solidFill>
                <a:srgbClr val="000080"/>
              </a:solidFill>
              <a:prstDash val="solid"/>
            </a:ln>
          </c:spPr>
          <c:marker>
            <c:symbol val="diamond"/>
            <c:size val="5"/>
            <c:spPr>
              <a:solidFill>
                <a:srgbClr val="000080"/>
              </a:solidFill>
              <a:ln>
                <a:solidFill>
                  <a:srgbClr val="000080"/>
                </a:solidFill>
                <a:prstDash val="solid"/>
              </a:ln>
            </c:spPr>
          </c:marker>
          <c:val>
            <c:numRef>
              <c:f>Sheet1!$A$9:$A$77</c:f>
              <c:numCache>
                <c:formatCode>0.E+00</c:formatCode>
                <c:ptCount val="69"/>
                <c:pt idx="0">
                  <c:v>2.7041417748806148E-4</c:v>
                </c:pt>
                <c:pt idx="1">
                  <c:v>3.0199798390995885E-4</c:v>
                </c:pt>
                <c:pt idx="2">
                  <c:v>3.4834900580917434E-4</c:v>
                </c:pt>
                <c:pt idx="3">
                  <c:v>3.893095341318103E-4</c:v>
                </c:pt>
                <c:pt idx="4">
                  <c:v>4.0836978571639993E-4</c:v>
                </c:pt>
                <c:pt idx="5">
                  <c:v>4.4526166906372865E-4</c:v>
                </c:pt>
                <c:pt idx="6">
                  <c:v>4.8319042708361721E-4</c:v>
                </c:pt>
                <c:pt idx="7">
                  <c:v>4.8410201298417551E-4</c:v>
                </c:pt>
                <c:pt idx="8">
                  <c:v>6.4113322799240339E-4</c:v>
                </c:pt>
                <c:pt idx="9">
                  <c:v>6.5171643020994058E-4</c:v>
                </c:pt>
                <c:pt idx="10">
                  <c:v>6.572676701544094E-4</c:v>
                </c:pt>
                <c:pt idx="11">
                  <c:v>6.5795036032259113E-4</c:v>
                </c:pt>
                <c:pt idx="12">
                  <c:v>6.8098748881355211E-4</c:v>
                </c:pt>
                <c:pt idx="13">
                  <c:v>6.843132125844291E-4</c:v>
                </c:pt>
                <c:pt idx="14">
                  <c:v>6.8806047086305904E-4</c:v>
                </c:pt>
                <c:pt idx="15">
                  <c:v>6.8867601907967647E-4</c:v>
                </c:pt>
                <c:pt idx="16">
                  <c:v>7.0533655450864818E-4</c:v>
                </c:pt>
                <c:pt idx="17">
                  <c:v>7.1425245683922277E-4</c:v>
                </c:pt>
                <c:pt idx="18">
                  <c:v>7.1806911884498659E-4</c:v>
                </c:pt>
                <c:pt idx="19">
                  <c:v>7.1890840177268379E-4</c:v>
                </c:pt>
                <c:pt idx="20">
                  <c:v>7.1948634682127458E-4</c:v>
                </c:pt>
                <c:pt idx="21">
                  <c:v>7.1948645265503301E-4</c:v>
                </c:pt>
                <c:pt idx="22">
                  <c:v>7.1984390513977982E-4</c:v>
                </c:pt>
                <c:pt idx="23">
                  <c:v>7.2289993527140854E-4</c:v>
                </c:pt>
                <c:pt idx="24">
                  <c:v>7.2396666841491081E-4</c:v>
                </c:pt>
                <c:pt idx="25">
                  <c:v>7.2545166327125411E-4</c:v>
                </c:pt>
                <c:pt idx="26">
                  <c:v>7.2751533711798997E-4</c:v>
                </c:pt>
                <c:pt idx="27">
                  <c:v>7.3027782982093873E-4</c:v>
                </c:pt>
                <c:pt idx="28">
                  <c:v>7.3252063881439034E-4</c:v>
                </c:pt>
                <c:pt idx="29">
                  <c:v>7.3470569486148421E-4</c:v>
                </c:pt>
                <c:pt idx="30">
                  <c:v>7.364018194556788E-4</c:v>
                </c:pt>
                <c:pt idx="31">
                  <c:v>7.3899218013847093E-4</c:v>
                </c:pt>
                <c:pt idx="32">
                  <c:v>7.391864450155656E-4</c:v>
                </c:pt>
                <c:pt idx="33">
                  <c:v>7.4590266686771968E-4</c:v>
                </c:pt>
                <c:pt idx="34">
                  <c:v>7.4907231930144307E-4</c:v>
                </c:pt>
                <c:pt idx="35">
                  <c:v>7.4918428389551166E-4</c:v>
                </c:pt>
                <c:pt idx="36">
                  <c:v>7.5127732564177847E-4</c:v>
                </c:pt>
                <c:pt idx="37">
                  <c:v>7.5251749035745198E-4</c:v>
                </c:pt>
                <c:pt idx="38">
                  <c:v>7.5280071293611518E-4</c:v>
                </c:pt>
                <c:pt idx="39">
                  <c:v>7.544820817719963E-4</c:v>
                </c:pt>
                <c:pt idx="40">
                  <c:v>7.5569362365722329E-4</c:v>
                </c:pt>
                <c:pt idx="41">
                  <c:v>7.722525460942735E-4</c:v>
                </c:pt>
                <c:pt idx="42">
                  <c:v>7.7517363525469671E-4</c:v>
                </c:pt>
                <c:pt idx="43">
                  <c:v>7.7828795148821971E-4</c:v>
                </c:pt>
                <c:pt idx="44">
                  <c:v>7.7836678356713919E-4</c:v>
                </c:pt>
                <c:pt idx="45">
                  <c:v>7.8146559607602053E-4</c:v>
                </c:pt>
                <c:pt idx="46">
                  <c:v>7.8662013615010077E-4</c:v>
                </c:pt>
                <c:pt idx="47">
                  <c:v>8.1716668783632222E-4</c:v>
                </c:pt>
                <c:pt idx="48">
                  <c:v>8.2345971616553336E-4</c:v>
                </c:pt>
                <c:pt idx="49">
                  <c:v>8.2617136059935582E-4</c:v>
                </c:pt>
                <c:pt idx="50">
                  <c:v>8.2717434385009268E-4</c:v>
                </c:pt>
                <c:pt idx="51">
                  <c:v>8.2811740671381764E-4</c:v>
                </c:pt>
                <c:pt idx="52">
                  <c:v>8.5162524851955081E-4</c:v>
                </c:pt>
                <c:pt idx="53">
                  <c:v>8.53010829948678E-4</c:v>
                </c:pt>
                <c:pt idx="54">
                  <c:v>8.8113701901095616E-4</c:v>
                </c:pt>
                <c:pt idx="55">
                  <c:v>8.9948924586526929E-4</c:v>
                </c:pt>
                <c:pt idx="56">
                  <c:v>9.2306695336742879E-4</c:v>
                </c:pt>
                <c:pt idx="57">
                  <c:v>9.5230000867730757E-4</c:v>
                </c:pt>
                <c:pt idx="58">
                  <c:v>1.0088869145488107E-3</c:v>
                </c:pt>
                <c:pt idx="59">
                  <c:v>1.0347124733532268E-3</c:v>
                </c:pt>
                <c:pt idx="60">
                  <c:v>1.0662738651148838E-3</c:v>
                </c:pt>
                <c:pt idx="61">
                  <c:v>1.0807479013699626E-3</c:v>
                </c:pt>
                <c:pt idx="62">
                  <c:v>1.0862474916712328E-3</c:v>
                </c:pt>
                <c:pt idx="63">
                  <c:v>1.1077365110771615E-3</c:v>
                </c:pt>
                <c:pt idx="64">
                  <c:v>1.1143245501855014E-3</c:v>
                </c:pt>
                <c:pt idx="65">
                  <c:v>1.124251620126436E-3</c:v>
                </c:pt>
                <c:pt idx="66">
                  <c:v>1.1437737162894202E-3</c:v>
                </c:pt>
                <c:pt idx="67">
                  <c:v>1.1517228073116704E-3</c:v>
                </c:pt>
                <c:pt idx="68">
                  <c:v>1.2913649189970715E-3</c:v>
                </c:pt>
              </c:numCache>
            </c:numRef>
          </c:val>
          <c:smooth val="0"/>
          <c:extLst>
            <c:ext xmlns:c16="http://schemas.microsoft.com/office/drawing/2014/chart" uri="{C3380CC4-5D6E-409C-BE32-E72D297353CC}">
              <c16:uniqueId val="{00000000-78CA-4583-A0CE-3764F27DA4BD}"/>
            </c:ext>
          </c:extLst>
        </c:ser>
        <c:ser>
          <c:idx val="1"/>
          <c:order val="1"/>
          <c:tx>
            <c:v>Old Alpha</c:v>
          </c:tx>
          <c:spPr>
            <a:ln w="12700">
              <a:solidFill>
                <a:srgbClr val="FF00FF"/>
              </a:solidFill>
              <a:prstDash val="solid"/>
            </a:ln>
          </c:spPr>
          <c:marker>
            <c:symbol val="square"/>
            <c:size val="5"/>
            <c:spPr>
              <a:solidFill>
                <a:srgbClr val="FF00FF"/>
              </a:solidFill>
              <a:ln>
                <a:solidFill>
                  <a:srgbClr val="FF00FF"/>
                </a:solidFill>
                <a:prstDash val="solid"/>
              </a:ln>
            </c:spPr>
          </c:marker>
          <c:val>
            <c:numRef>
              <c:f>Sheet1!$B$9:$B$77</c:f>
              <c:numCache>
                <c:formatCode>0.00E+00</c:formatCode>
                <c:ptCount val="69"/>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pt idx="17">
                  <c:v>5.0000000000000001E-4</c:v>
                </c:pt>
                <c:pt idx="18">
                  <c:v>5.0000000000000001E-4</c:v>
                </c:pt>
                <c:pt idx="19">
                  <c:v>5.0000000000000001E-4</c:v>
                </c:pt>
                <c:pt idx="20">
                  <c:v>5.0000000000000001E-4</c:v>
                </c:pt>
                <c:pt idx="21">
                  <c:v>5.0000000000000001E-4</c:v>
                </c:pt>
                <c:pt idx="22">
                  <c:v>5.0000000000000001E-4</c:v>
                </c:pt>
                <c:pt idx="23">
                  <c:v>5.0000000000000001E-4</c:v>
                </c:pt>
                <c:pt idx="24">
                  <c:v>5.0000000000000001E-4</c:v>
                </c:pt>
                <c:pt idx="25">
                  <c:v>5.0000000000000001E-4</c:v>
                </c:pt>
                <c:pt idx="26">
                  <c:v>5.0000000000000001E-4</c:v>
                </c:pt>
                <c:pt idx="27">
                  <c:v>5.0000000000000001E-4</c:v>
                </c:pt>
                <c:pt idx="28">
                  <c:v>5.0000000000000001E-4</c:v>
                </c:pt>
                <c:pt idx="29">
                  <c:v>5.0000000000000001E-4</c:v>
                </c:pt>
                <c:pt idx="30">
                  <c:v>5.0000000000000001E-4</c:v>
                </c:pt>
                <c:pt idx="31">
                  <c:v>5.0000000000000001E-4</c:v>
                </c:pt>
                <c:pt idx="32">
                  <c:v>5.0000000000000001E-4</c:v>
                </c:pt>
                <c:pt idx="33">
                  <c:v>5.0000000000000001E-4</c:v>
                </c:pt>
                <c:pt idx="34">
                  <c:v>5.0000000000000001E-4</c:v>
                </c:pt>
                <c:pt idx="35">
                  <c:v>5.0000000000000001E-4</c:v>
                </c:pt>
                <c:pt idx="36">
                  <c:v>5.0000000000000001E-4</c:v>
                </c:pt>
                <c:pt idx="37">
                  <c:v>5.0000000000000001E-4</c:v>
                </c:pt>
                <c:pt idx="38">
                  <c:v>5.0000000000000001E-4</c:v>
                </c:pt>
                <c:pt idx="39">
                  <c:v>5.0000000000000001E-4</c:v>
                </c:pt>
                <c:pt idx="40">
                  <c:v>5.0000000000000001E-4</c:v>
                </c:pt>
                <c:pt idx="41">
                  <c:v>5.0000000000000001E-4</c:v>
                </c:pt>
                <c:pt idx="42">
                  <c:v>5.0000000000000001E-4</c:v>
                </c:pt>
                <c:pt idx="43">
                  <c:v>5.0000000000000001E-4</c:v>
                </c:pt>
                <c:pt idx="44">
                  <c:v>5.0000000000000001E-4</c:v>
                </c:pt>
                <c:pt idx="45">
                  <c:v>5.0000000000000001E-4</c:v>
                </c:pt>
                <c:pt idx="46">
                  <c:v>5.0000000000000001E-4</c:v>
                </c:pt>
                <c:pt idx="47">
                  <c:v>5.0000000000000001E-4</c:v>
                </c:pt>
                <c:pt idx="48">
                  <c:v>5.0000000000000001E-4</c:v>
                </c:pt>
                <c:pt idx="49">
                  <c:v>5.0000000000000001E-4</c:v>
                </c:pt>
                <c:pt idx="50">
                  <c:v>5.0000000000000001E-4</c:v>
                </c:pt>
                <c:pt idx="51">
                  <c:v>5.0000000000000001E-4</c:v>
                </c:pt>
                <c:pt idx="52">
                  <c:v>5.0000000000000001E-4</c:v>
                </c:pt>
                <c:pt idx="53">
                  <c:v>5.0000000000000001E-4</c:v>
                </c:pt>
                <c:pt idx="54">
                  <c:v>5.0000000000000001E-4</c:v>
                </c:pt>
                <c:pt idx="55">
                  <c:v>5.0000000000000001E-4</c:v>
                </c:pt>
                <c:pt idx="56">
                  <c:v>5.0000000000000001E-4</c:v>
                </c:pt>
                <c:pt idx="57">
                  <c:v>5.0000000000000001E-4</c:v>
                </c:pt>
                <c:pt idx="58">
                  <c:v>5.0000000000000001E-4</c:v>
                </c:pt>
                <c:pt idx="59">
                  <c:v>5.0000000000000001E-4</c:v>
                </c:pt>
                <c:pt idx="60">
                  <c:v>5.0000000000000001E-4</c:v>
                </c:pt>
                <c:pt idx="61">
                  <c:v>5.0000000000000001E-4</c:v>
                </c:pt>
                <c:pt idx="62">
                  <c:v>5.0000000000000001E-4</c:v>
                </c:pt>
                <c:pt idx="63">
                  <c:v>5.0000000000000001E-4</c:v>
                </c:pt>
                <c:pt idx="64">
                  <c:v>5.0000000000000001E-4</c:v>
                </c:pt>
                <c:pt idx="65">
                  <c:v>5.0000000000000001E-4</c:v>
                </c:pt>
                <c:pt idx="66">
                  <c:v>5.0000000000000001E-4</c:v>
                </c:pt>
                <c:pt idx="67">
                  <c:v>5.0000000000000001E-4</c:v>
                </c:pt>
                <c:pt idx="68">
                  <c:v>5.0000000000000001E-4</c:v>
                </c:pt>
              </c:numCache>
            </c:numRef>
          </c:val>
          <c:smooth val="0"/>
          <c:extLst>
            <c:ext xmlns:c16="http://schemas.microsoft.com/office/drawing/2014/chart" uri="{C3380CC4-5D6E-409C-BE32-E72D297353CC}">
              <c16:uniqueId val="{00000001-78CA-4583-A0CE-3764F27DA4BD}"/>
            </c:ext>
          </c:extLst>
        </c:ser>
        <c:dLbls>
          <c:showLegendKey val="0"/>
          <c:showVal val="0"/>
          <c:showCatName val="0"/>
          <c:showSerName val="0"/>
          <c:showPercent val="0"/>
          <c:showBubbleSize val="0"/>
        </c:dLbls>
        <c:marker val="1"/>
        <c:smooth val="0"/>
        <c:axId val="119071488"/>
        <c:axId val="119073408"/>
      </c:lineChart>
      <c:catAx>
        <c:axId val="119071488"/>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en-US"/>
                  <a:t>Chemicals Ordered by Increasing Attenuation Factors</a:t>
                </a:r>
              </a:p>
            </c:rich>
          </c:tx>
          <c:layout>
            <c:manualLayout>
              <c:xMode val="edge"/>
              <c:yMode val="edge"/>
              <c:x val="0.35072142064372919"/>
              <c:y val="0.9445350734094616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073408"/>
        <c:crossesAt val="1.0000000000000518E-5"/>
        <c:auto val="1"/>
        <c:lblAlgn val="ctr"/>
        <c:lblOffset val="100"/>
        <c:tickLblSkip val="2"/>
        <c:tickMarkSkip val="1"/>
        <c:noMultiLvlLbl val="0"/>
      </c:catAx>
      <c:valAx>
        <c:axId val="119073408"/>
        <c:scaling>
          <c:logBase val="10"/>
          <c:orientation val="minMax"/>
          <c:max val="1.0000000000000005E-2"/>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US"/>
                  <a:t>Value of Alpha</a:t>
                </a:r>
              </a:p>
            </c:rich>
          </c:tx>
          <c:layout>
            <c:manualLayout>
              <c:xMode val="edge"/>
              <c:yMode val="edge"/>
              <c:x val="1.2208657047724751E-2"/>
              <c:y val="0.44535073409462717"/>
            </c:manualLayout>
          </c:layout>
          <c:overlay val="0"/>
          <c:spPr>
            <a:noFill/>
            <a:ln w="25400">
              <a:noFill/>
            </a:ln>
          </c:spPr>
        </c:title>
        <c:numFmt formatCode="0.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07148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600-000000000000}">
  <sheetPr/>
  <sheetViews>
    <sheetView zoomScale="70" workbookViewId="0"/>
  </sheetViews>
  <sheetProtection content="1" objects="1"/>
  <pageMargins left="0.75" right="0.75" top="1" bottom="1" header="0.5" footer="0.5"/>
  <pageSetup orientation="landscape" r:id="rId1"/>
  <headerFooter>
    <oddFooter>&amp;L&amp;8MassDEP&amp;C&amp;8 2024</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563429" cy="5823857"/>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0.671</cdr:x>
      <cdr:y>0.64625</cdr:y>
    </cdr:from>
    <cdr:to>
      <cdr:x>0.95075</cdr:x>
      <cdr:y>0.71325</cdr:y>
    </cdr:to>
    <cdr:sp macro="" textlink="">
      <cdr:nvSpPr>
        <cdr:cNvPr id="5122" name="Text Box 2"/>
        <cdr:cNvSpPr txBox="1">
          <a:spLocks xmlns:a="http://schemas.openxmlformats.org/drawingml/2006/main" noChangeArrowheads="1"/>
        </cdr:cNvSpPr>
      </cdr:nvSpPr>
      <cdr:spPr bwMode="auto">
        <a:xfrm xmlns:a="http://schemas.openxmlformats.org/drawingml/2006/main">
          <a:off x="5758539" y="3773341"/>
          <a:ext cx="2400821" cy="39120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1000" b="0" i="0" u="none" strike="noStrike" baseline="0">
              <a:solidFill>
                <a:srgbClr val="000000"/>
              </a:solidFill>
              <a:latin typeface="Arial"/>
              <a:cs typeface="Arial"/>
            </a:rPr>
            <a:t>Old (1993) Attenuation Factor = 5 x 10</a:t>
          </a:r>
          <a:r>
            <a:rPr lang="en-US" sz="1000" b="0" i="0" u="none" strike="noStrike" baseline="30000">
              <a:solidFill>
                <a:srgbClr val="000000"/>
              </a:solidFill>
              <a:latin typeface="Arial"/>
              <a:cs typeface="Arial"/>
            </a:rPr>
            <a:t>-4</a:t>
          </a:r>
        </a:p>
        <a:p xmlns:a="http://schemas.openxmlformats.org/drawingml/2006/main">
          <a:pPr algn="l" rtl="0">
            <a:defRPr sz="1000"/>
          </a:pPr>
          <a:r>
            <a:rPr lang="en-US" sz="1000" b="0" i="0" u="none" strike="noStrike" baseline="0">
              <a:solidFill>
                <a:srgbClr val="000000"/>
              </a:solidFill>
              <a:latin typeface="Arial"/>
              <a:cs typeface="Arial"/>
            </a:rPr>
            <a:t>for all chemicals.</a:t>
          </a:r>
        </a:p>
      </cdr:txBody>
    </cdr:sp>
  </cdr:relSizeAnchor>
</c:userShape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Toxicity.xlsx" TargetMode="External"/><Relationship Id="rId1" Type="http://schemas.openxmlformats.org/officeDocument/2006/relationships/externalLinkPath" Target="MCP%20Toxic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Toxicity"/>
      <sheetName val="Target Risk"/>
      <sheetName val="PQLs"/>
      <sheetName val="BW"/>
      <sheetName val="Skin Surface Area"/>
      <sheetName val="References"/>
    </sheetNames>
    <definedNames>
      <definedName name="TOX" refersTo="='Toxicity'!$A$1:$CC$125"/>
    </definedNames>
    <sheetDataSet>
      <sheetData sheetId="0">
        <row r="2">
          <cell r="B2" t="str">
            <v>Development of MCP Risk-Based Levels for Soil and Groundwater</v>
          </cell>
        </row>
        <row r="4">
          <cell r="D4" t="str">
            <v>This workbook file is comprised of the following spreadsheets:</v>
          </cell>
        </row>
        <row r="6">
          <cell r="D6" t="str">
            <v>Sheet Name</v>
          </cell>
          <cell r="E6" t="str">
            <v>Description</v>
          </cell>
        </row>
        <row r="8">
          <cell r="D8" t="str">
            <v>Introduction</v>
          </cell>
          <cell r="E8" t="str">
            <v>This spreadsheet.</v>
          </cell>
        </row>
        <row r="10">
          <cell r="D10" t="str">
            <v>Toxicity</v>
          </cell>
          <cell r="E10" t="str">
            <v>Database of toxicity values and physical constants used in calculations</v>
          </cell>
        </row>
        <row r="12">
          <cell r="D12" t="str">
            <v>References</v>
          </cell>
          <cell r="E12" t="str">
            <v>List of references</v>
          </cell>
        </row>
        <row r="14">
          <cell r="D14" t="str">
            <v>Target Risk</v>
          </cell>
          <cell r="E14" t="str">
            <v>The Target Risk Levels used in all calculations.</v>
          </cell>
        </row>
        <row r="16">
          <cell r="D16" t="str">
            <v>PQLs</v>
          </cell>
          <cell r="E16" t="str">
            <v>A listing of Practical Quantitation Limits (PQLs) for various methods (incomplete)</v>
          </cell>
        </row>
        <row r="18">
          <cell r="D18" t="str">
            <v>BW</v>
          </cell>
          <cell r="E18" t="str">
            <v>Calculations of average body weights for various age groups.</v>
          </cell>
        </row>
        <row r="20">
          <cell r="D20" t="str">
            <v>Skin Surface Area</v>
          </cell>
          <cell r="E20" t="str">
            <v>Calculations of average skin surface areas for various age groups.</v>
          </cell>
        </row>
        <row r="22">
          <cell r="D22" t="str">
            <v>This workbook is one of a set that, taken together, calculates the MCP Numerical Standards.  The complete set of workbooks should be located in the same directory, as there are many internal references to the other workbooks.</v>
          </cell>
        </row>
        <row r="24">
          <cell r="D24" t="str">
            <v>Workbook Name</v>
          </cell>
          <cell r="E24" t="str">
            <v>Description</v>
          </cell>
        </row>
        <row r="26">
          <cell r="D26" t="str">
            <v>MCP Toxicity.xlsx</v>
          </cell>
          <cell r="E26" t="str">
            <v>This workbook</v>
          </cell>
        </row>
        <row r="28">
          <cell r="D28" t="str">
            <v>MCP GW2 alpha.xlsx</v>
          </cell>
          <cell r="E28" t="str">
            <v>Calculates the attenuation factor for the GW-2 standards.  This workbook is</v>
          </cell>
        </row>
        <row r="29">
          <cell r="E29" t="str">
            <v>based on the USEPA's Johnson &amp; Ettinger Vapor Infiltration spreadsheets.</v>
          </cell>
        </row>
        <row r="31">
          <cell r="D31" t="str">
            <v>MCP GW.xlsx</v>
          </cell>
          <cell r="E31" t="str">
            <v>Develops the MCP Groundwater Standards:  GW-1, GW-2 and GW-3.</v>
          </cell>
        </row>
        <row r="33">
          <cell r="D33" t="str">
            <v>MCP Soil.xlsx</v>
          </cell>
          <cell r="E33" t="str">
            <v>Develops the MCP Direct Contact Soil Standards (Method 2 Soil Standards)</v>
          </cell>
        </row>
        <row r="35">
          <cell r="D35" t="str">
            <v>MCP Leach.xlsx</v>
          </cell>
          <cell r="E35" t="str">
            <v>Develops the soil leaching-based component of the MCP Method 1 Soil Standards.</v>
          </cell>
        </row>
        <row r="37">
          <cell r="D37" t="str">
            <v>MCP Standards.xlsx</v>
          </cell>
          <cell r="E37" t="str">
            <v>Lists all the MCP Soil and Groundwater Standards, Method 3 Ceiling Limits (M3CL) and RCs.</v>
          </cell>
        </row>
        <row r="40">
          <cell r="D40" t="str">
            <v>NOTE:  This workbook contains many Notes attached to particular cells.  Notes can be seen by choosing "Show All Notes" from the  menu in the "Review" panel.</v>
          </cell>
        </row>
        <row r="42">
          <cell r="D42" t="str">
            <v>Questions and Comments may be addressed to:</v>
          </cell>
        </row>
        <row r="44">
          <cell r="D44" t="str">
            <v>Azin Kavian</v>
          </cell>
        </row>
        <row r="45">
          <cell r="D45" t="str">
            <v>Massachusetts Department of Environmental Protection</v>
          </cell>
        </row>
        <row r="46">
          <cell r="D46" t="str">
            <v>Office of Research and Standards</v>
          </cell>
        </row>
        <row r="47">
          <cell r="D47" t="str">
            <v>100 Cambridge Street
Boston, MA 02114  USA</v>
          </cell>
        </row>
        <row r="48">
          <cell r="D48" t="str">
            <v>Boston, MA 02114  USA</v>
          </cell>
        </row>
        <row r="49">
          <cell r="D49" t="str">
            <v>Email: azin.kavian@mass.gov</v>
          </cell>
        </row>
        <row r="51">
          <cell r="E51" t="str">
            <v>Method-1 Spreadsheets Version March 2024</v>
          </cell>
        </row>
      </sheetData>
      <sheetData sheetId="1">
        <row r="1">
          <cell r="BN1" t="str">
            <v>Empty 2008</v>
          </cell>
          <cell r="BW1" t="str">
            <v>Ceiling Values</v>
          </cell>
        </row>
        <row r="2">
          <cell r="A2" t="str">
            <v>OIL OR HAZARDOUS MATERIAL (OHM)</v>
          </cell>
          <cell r="B2" t="str">
            <v>CAS</v>
          </cell>
          <cell r="C2" t="str">
            <v>Last 
Checked?</v>
          </cell>
          <cell r="D2" t="str">
            <v>CHRONIC ORAL
REFERENCE
DOSE (OR
SUBSTITUTE)
mg/kg/day</v>
          </cell>
          <cell r="E2" t="str">
            <v>REF</v>
          </cell>
          <cell r="F2" t="str">
            <v>SUBCHRONIC ORAL
REFERENCE
DOSE (OR
SUBSTITUTE)
mg/kg/day</v>
          </cell>
          <cell r="G2" t="str">
            <v>REF</v>
          </cell>
          <cell r="H2" t="str">
            <v>Chronic
Inhalation
Reference
Concentration 
(or substitute)
mg/m3</v>
          </cell>
          <cell r="I2" t="str">
            <v>REF</v>
          </cell>
          <cell r="J2" t="str">
            <v>Subchronic
Inhalation
Reference
Concentration 
(or substitute)
mg/m3</v>
          </cell>
          <cell r="K2" t="str">
            <v>REF</v>
          </cell>
          <cell r="L2" t="str">
            <v>Oral
Cancer
Slope
Factor
1/(mg/kg/day)</v>
          </cell>
          <cell r="M2" t="str">
            <v>CLASS</v>
          </cell>
          <cell r="N2" t="str">
            <v>REF</v>
          </cell>
          <cell r="O2" t="str">
            <v>Inhalation
Unit
Risk
1/(µg/m3)</v>
          </cell>
          <cell r="P2" t="str">
            <v>REF</v>
          </cell>
          <cell r="Q2" t="str">
            <v>Chronic
Ingestion</v>
          </cell>
          <cell r="R2" t="str">
            <v>REF</v>
          </cell>
          <cell r="S2" t="str">
            <v>Chronic
Dermal</v>
          </cell>
          <cell r="T2" t="str">
            <v>REF</v>
          </cell>
          <cell r="U2" t="str">
            <v>Subchronic
Ingestion</v>
          </cell>
          <cell r="V2" t="str">
            <v>SOIL RAFs
REF</v>
          </cell>
          <cell r="W2" t="str">
            <v>Subchronic
Dermal</v>
          </cell>
          <cell r="X2" t="str">
            <v>REF</v>
          </cell>
          <cell r="Y2" t="str">
            <v>Cancer
Ingestion</v>
          </cell>
          <cell r="Z2" t="str">
            <v>REF</v>
          </cell>
          <cell r="AA2" t="str">
            <v>Cancer
Dermal</v>
          </cell>
          <cell r="AB2" t="str">
            <v>REF</v>
          </cell>
          <cell r="AC2" t="str">
            <v>Subchronic
Ingestion</v>
          </cell>
          <cell r="AD2" t="str">
            <v>REF</v>
          </cell>
          <cell r="AE2" t="str">
            <v>WATER
RAFs
Chronic
Ingestion</v>
          </cell>
          <cell r="AF2" t="str">
            <v>REF</v>
          </cell>
          <cell r="AG2" t="str">
            <v>Cancer
Ingestion</v>
          </cell>
          <cell r="AH2" t="str">
            <v>REF</v>
          </cell>
          <cell r="AI2" t="str">
            <v>SOIL Urban
Background
mg/kg</v>
          </cell>
          <cell r="AJ2" t="str">
            <v>Mutagenic Mode of Action for ADAFs</v>
          </cell>
          <cell r="AK2" t="str">
            <v>DWDermal
Oral
Absorption
Efficiency
OAEnoncancer</v>
          </cell>
          <cell r="AL2" t="str">
            <v>DWDermal
Oral
Absorption
Efficiency
OAEcancer</v>
          </cell>
          <cell r="AM2" t="str">
            <v>SOIL Natural
Background
mg/kg</v>
          </cell>
          <cell r="AN2" t="str">
            <v>GW
Background
µg/L</v>
          </cell>
          <cell r="AO2" t="str">
            <v>Indoor
Air
Background
µg/m3</v>
          </cell>
          <cell r="AP2" t="str">
            <v>HIDE
Interim
Calc
µg/m3</v>
          </cell>
          <cell r="AQ2" t="str">
            <v>HIDE
Interim
Calc
ppbv</v>
          </cell>
          <cell r="AR2" t="str">
            <v>Odor
Threshold
in water
µg/L</v>
          </cell>
          <cell r="AS2" t="str">
            <v>REF</v>
          </cell>
          <cell r="AT2" t="str">
            <v>Odor
Threshold
in air
µg/m3</v>
          </cell>
          <cell r="AU2" t="str">
            <v>Odor
Threshold
in air
ppm</v>
          </cell>
          <cell r="AV2" t="str">
            <v>REF</v>
          </cell>
          <cell r="AW2" t="str">
            <v>Odor
Index</v>
          </cell>
          <cell r="AX2" t="str">
            <v>Soil
PQL
mg/kg</v>
          </cell>
          <cell r="AY2" t="str">
            <v>Water
PQL
µg/L</v>
          </cell>
          <cell r="AZ2" t="str">
            <v>SOLUBILITY
µg/L</v>
          </cell>
          <cell r="BA2" t="str">
            <v>REF</v>
          </cell>
          <cell r="BB2" t="str">
            <v>HENRY'S
LAW
CONSTANT
atm-m3/mol</v>
          </cell>
          <cell r="BC2" t="str">
            <v>REF</v>
          </cell>
          <cell r="BD2" t="str">
            <v>HENRY'S
LAW
CONSTANT
conc/conc</v>
          </cell>
          <cell r="BE2" t="str">
            <v>Molecular
Weight
g/mole</v>
          </cell>
          <cell r="BF2" t="str">
            <v>REF</v>
          </cell>
          <cell r="BG2" t="str">
            <v>Vapor
Pressure
Torr
20-30 C</v>
          </cell>
          <cell r="BH2" t="str">
            <v>log
Kow</v>
          </cell>
          <cell r="BI2" t="str">
            <v>REF</v>
          </cell>
          <cell r="BJ2" t="str">
            <v>Koc
ml/g</v>
          </cell>
          <cell r="BK2" t="str">
            <v>REF</v>
          </cell>
          <cell r="BL2" t="str">
            <v>Melting
Point
C</v>
          </cell>
          <cell r="BM2" t="str">
            <v>REF</v>
          </cell>
          <cell r="BN2" t="str">
            <v>Soil
Saturation
Level
(Csat)
mg/kg</v>
          </cell>
          <cell r="BO2" t="str">
            <v>Permeability
Coefficient
Kp
cm/hr</v>
          </cell>
          <cell r="BP2" t="str">
            <v>Plant
Uptake
Factor
Kg-soil/Kg-plant</v>
          </cell>
          <cell r="BQ2" t="str">
            <v>REF</v>
          </cell>
          <cell r="BR2" t="str">
            <v>old csat calc</v>
          </cell>
          <cell r="BS2" t="str">
            <v>S-1
Based on
Volatility
mg/kg</v>
          </cell>
          <cell r="BT2" t="str">
            <v>S-1
Ceiling
Basis</v>
          </cell>
          <cell r="BU2" t="str">
            <v>old csat calc</v>
          </cell>
          <cell r="BV2" t="str">
            <v>S-2
Based on
Volatility
mg/kg</v>
          </cell>
          <cell r="BW2" t="str">
            <v>S-2
Ceiling
Basis</v>
          </cell>
          <cell r="BX2" t="str">
            <v>old csat calc</v>
          </cell>
          <cell r="BY2" t="str">
            <v>S-3
Based on
Volatility
mg/kg</v>
          </cell>
          <cell r="BZ2" t="str">
            <v>S-3
Ceiling
Basis</v>
          </cell>
          <cell r="CA2" t="str">
            <v>Groundwater
GW-1, -2 and -3
µg/L</v>
          </cell>
          <cell r="CB2" t="str">
            <v>Ceiling
Basis</v>
          </cell>
          <cell r="CC2" t="str">
            <v>Inorganic Compound</v>
          </cell>
        </row>
        <row r="3">
          <cell r="A3" t="str">
            <v>ACENAPHTHENE</v>
          </cell>
          <cell r="B3" t="str">
            <v>83-32-9</v>
          </cell>
          <cell r="C3">
            <v>42922</v>
          </cell>
          <cell r="D3">
            <v>0.06</v>
          </cell>
          <cell r="E3">
            <v>1</v>
          </cell>
          <cell r="F3">
            <v>0.2</v>
          </cell>
          <cell r="G3">
            <v>6</v>
          </cell>
          <cell r="H3">
            <v>0.05</v>
          </cell>
          <cell r="I3" t="str">
            <v>5d</v>
          </cell>
          <cell r="J3">
            <v>0.5</v>
          </cell>
          <cell r="K3" t="str">
            <v>5d</v>
          </cell>
          <cell r="Q3">
            <v>0.3</v>
          </cell>
          <cell r="R3" t="str">
            <v>9d</v>
          </cell>
          <cell r="S3">
            <v>0.1</v>
          </cell>
          <cell r="T3" t="str">
            <v>9d</v>
          </cell>
          <cell r="U3">
            <v>0.3</v>
          </cell>
          <cell r="V3" t="str">
            <v>9d</v>
          </cell>
          <cell r="W3">
            <v>0.1</v>
          </cell>
          <cell r="X3" t="str">
            <v>9d</v>
          </cell>
          <cell r="Y3" t="str">
            <v>NC</v>
          </cell>
          <cell r="AA3" t="str">
            <v>NC</v>
          </cell>
          <cell r="AC3">
            <v>1</v>
          </cell>
          <cell r="AD3">
            <v>9</v>
          </cell>
          <cell r="AE3">
            <v>1</v>
          </cell>
          <cell r="AF3">
            <v>9</v>
          </cell>
          <cell r="AI3">
            <v>2</v>
          </cell>
          <cell r="AK3">
            <v>0.92</v>
          </cell>
          <cell r="AL3">
            <v>0.92</v>
          </cell>
          <cell r="AM3">
            <v>0.5</v>
          </cell>
          <cell r="AN3">
            <v>0</v>
          </cell>
          <cell r="AO3">
            <v>0</v>
          </cell>
          <cell r="AR3">
            <v>20</v>
          </cell>
          <cell r="AS3">
            <v>13</v>
          </cell>
          <cell r="AU3">
            <v>0</v>
          </cell>
          <cell r="AW3">
            <v>0</v>
          </cell>
          <cell r="AX3">
            <v>0.66</v>
          </cell>
          <cell r="AY3">
            <v>10</v>
          </cell>
          <cell r="AZ3">
            <v>3900</v>
          </cell>
          <cell r="BA3">
            <v>22</v>
          </cell>
          <cell r="BB3">
            <v>1.84E-4</v>
          </cell>
          <cell r="BC3">
            <v>22</v>
          </cell>
          <cell r="BD3">
            <v>7.5298739564576859E-3</v>
          </cell>
          <cell r="BE3">
            <v>154</v>
          </cell>
          <cell r="BF3">
            <v>13</v>
          </cell>
          <cell r="BH3">
            <v>3.92</v>
          </cell>
          <cell r="BI3">
            <v>17</v>
          </cell>
          <cell r="BJ3">
            <v>4900</v>
          </cell>
          <cell r="BK3" t="str">
            <v>17a</v>
          </cell>
          <cell r="BL3">
            <v>93.4</v>
          </cell>
          <cell r="BM3">
            <v>17</v>
          </cell>
          <cell r="BO3">
            <v>8.4100775406923345E-2</v>
          </cell>
          <cell r="BS3">
            <v>1000</v>
          </cell>
          <cell r="BT3" t="str">
            <v>Ceiling (High)</v>
          </cell>
          <cell r="BV3">
            <v>3000</v>
          </cell>
          <cell r="BW3" t="str">
            <v>Ceiling (High)</v>
          </cell>
          <cell r="BY3">
            <v>5000</v>
          </cell>
          <cell r="BZ3" t="str">
            <v>Ceiling (High)</v>
          </cell>
          <cell r="CA3">
            <v>50000</v>
          </cell>
          <cell r="CB3" t="str">
            <v>0.005%</v>
          </cell>
        </row>
        <row r="4">
          <cell r="A4" t="str">
            <v>ACENAPHTHYLENE</v>
          </cell>
          <cell r="B4" t="str">
            <v>208-96-8</v>
          </cell>
          <cell r="C4">
            <v>42922</v>
          </cell>
          <cell r="D4">
            <v>0.03</v>
          </cell>
          <cell r="E4" t="str">
            <v>5d</v>
          </cell>
          <cell r="F4">
            <v>0.3</v>
          </cell>
          <cell r="G4" t="str">
            <v>5d</v>
          </cell>
          <cell r="H4">
            <v>0.05</v>
          </cell>
          <cell r="I4" t="str">
            <v>5d</v>
          </cell>
          <cell r="J4">
            <v>0.5</v>
          </cell>
          <cell r="K4" t="str">
            <v>5d</v>
          </cell>
          <cell r="M4" t="str">
            <v>D</v>
          </cell>
          <cell r="N4">
            <v>1</v>
          </cell>
          <cell r="Q4">
            <v>0.3</v>
          </cell>
          <cell r="R4" t="str">
            <v>9d</v>
          </cell>
          <cell r="S4">
            <v>0.1</v>
          </cell>
          <cell r="T4" t="str">
            <v>9d</v>
          </cell>
          <cell r="U4">
            <v>0.3</v>
          </cell>
          <cell r="V4" t="str">
            <v>9e</v>
          </cell>
          <cell r="W4">
            <v>0.1</v>
          </cell>
          <cell r="X4" t="str">
            <v>9d</v>
          </cell>
          <cell r="Y4" t="str">
            <v>NC</v>
          </cell>
          <cell r="AA4" t="str">
            <v>NC</v>
          </cell>
          <cell r="AC4">
            <v>1</v>
          </cell>
          <cell r="AD4">
            <v>9</v>
          </cell>
          <cell r="AE4">
            <v>1</v>
          </cell>
          <cell r="AF4">
            <v>9</v>
          </cell>
          <cell r="AI4">
            <v>1</v>
          </cell>
          <cell r="AK4">
            <v>0.92</v>
          </cell>
          <cell r="AL4">
            <v>0.92</v>
          </cell>
          <cell r="AM4">
            <v>0.5</v>
          </cell>
          <cell r="AO4">
            <v>0</v>
          </cell>
          <cell r="AU4">
            <v>0</v>
          </cell>
          <cell r="AW4">
            <v>0</v>
          </cell>
          <cell r="AX4">
            <v>0.66</v>
          </cell>
          <cell r="AY4">
            <v>0.5</v>
          </cell>
          <cell r="AZ4">
            <v>16100</v>
          </cell>
          <cell r="BA4">
            <v>22</v>
          </cell>
          <cell r="BB4">
            <v>1.1400000000000001E-4</v>
          </cell>
          <cell r="BC4">
            <v>22</v>
          </cell>
          <cell r="BD4">
            <v>4.6652479947618276E-3</v>
          </cell>
          <cell r="BE4">
            <v>154</v>
          </cell>
          <cell r="BF4">
            <v>13</v>
          </cell>
          <cell r="BG4">
            <v>2.9000000000000001E-2</v>
          </cell>
          <cell r="BH4">
            <v>3.94</v>
          </cell>
          <cell r="BI4">
            <v>13</v>
          </cell>
          <cell r="BJ4">
            <v>2500</v>
          </cell>
          <cell r="BK4">
            <v>13</v>
          </cell>
          <cell r="BO4">
            <v>8.669618757582169E-2</v>
          </cell>
          <cell r="BS4">
            <v>1000</v>
          </cell>
          <cell r="BT4" t="str">
            <v>Ceiling (High)</v>
          </cell>
          <cell r="BV4">
            <v>3000</v>
          </cell>
          <cell r="BW4" t="str">
            <v>Ceiling (High)</v>
          </cell>
          <cell r="BY4">
            <v>5000</v>
          </cell>
          <cell r="BZ4" t="str">
            <v>Ceiling (High)</v>
          </cell>
          <cell r="CA4">
            <v>50000</v>
          </cell>
          <cell r="CB4" t="str">
            <v>0.005%</v>
          </cell>
        </row>
        <row r="5">
          <cell r="A5" t="str">
            <v>ACETONE</v>
          </cell>
          <cell r="B5" t="str">
            <v>67-64-1</v>
          </cell>
          <cell r="C5">
            <v>42922</v>
          </cell>
          <cell r="D5">
            <v>0.9</v>
          </cell>
          <cell r="E5">
            <v>1</v>
          </cell>
          <cell r="F5">
            <v>2.7</v>
          </cell>
          <cell r="G5" t="str">
            <v>1i</v>
          </cell>
          <cell r="H5">
            <v>0.8</v>
          </cell>
          <cell r="I5">
            <v>3</v>
          </cell>
          <cell r="J5">
            <v>0.8</v>
          </cell>
          <cell r="K5" t="str">
            <v>7c</v>
          </cell>
          <cell r="M5" t="str">
            <v>D</v>
          </cell>
          <cell r="N5">
            <v>1</v>
          </cell>
          <cell r="Q5">
            <v>1</v>
          </cell>
          <cell r="R5" t="str">
            <v>9e</v>
          </cell>
          <cell r="S5">
            <v>0.03</v>
          </cell>
          <cell r="T5" t="str">
            <v>9e</v>
          </cell>
          <cell r="U5">
            <v>1</v>
          </cell>
          <cell r="V5" t="str">
            <v>9e</v>
          </cell>
          <cell r="W5">
            <v>0.03</v>
          </cell>
          <cell r="X5" t="str">
            <v>9e</v>
          </cell>
          <cell r="Y5" t="str">
            <v>NC</v>
          </cell>
          <cell r="AA5" t="str">
            <v>NC</v>
          </cell>
          <cell r="AC5">
            <v>1</v>
          </cell>
          <cell r="AD5">
            <v>9</v>
          </cell>
          <cell r="AE5">
            <v>1</v>
          </cell>
          <cell r="AF5">
            <v>9</v>
          </cell>
          <cell r="AK5">
            <v>1</v>
          </cell>
          <cell r="AL5" t="str">
            <v>NC</v>
          </cell>
          <cell r="AO5">
            <v>91</v>
          </cell>
          <cell r="AQ5">
            <v>11.4</v>
          </cell>
          <cell r="AR5">
            <v>20000</v>
          </cell>
          <cell r="AS5">
            <v>13</v>
          </cell>
          <cell r="AT5">
            <v>30862</v>
          </cell>
          <cell r="AU5">
            <v>13.010611494252872</v>
          </cell>
          <cell r="AV5">
            <v>13</v>
          </cell>
          <cell r="AW5">
            <v>20.752291321531356</v>
          </cell>
          <cell r="AX5">
            <v>0.1</v>
          </cell>
          <cell r="AY5">
            <v>100</v>
          </cell>
          <cell r="AZ5">
            <v>1000000000</v>
          </cell>
          <cell r="BA5">
            <v>22</v>
          </cell>
          <cell r="BB5">
            <v>3.9700000000000003E-5</v>
          </cell>
          <cell r="BC5">
            <v>22</v>
          </cell>
          <cell r="BD5">
            <v>1.6246521525617942E-3</v>
          </cell>
          <cell r="BE5">
            <v>58</v>
          </cell>
          <cell r="BF5">
            <v>13</v>
          </cell>
          <cell r="BG5">
            <v>270</v>
          </cell>
          <cell r="BH5">
            <v>-0.24</v>
          </cell>
          <cell r="BI5">
            <v>17</v>
          </cell>
          <cell r="BJ5">
            <v>0.57499999999999996</v>
          </cell>
          <cell r="BK5" t="str">
            <v>17b</v>
          </cell>
          <cell r="BL5">
            <v>-94.8</v>
          </cell>
          <cell r="BM5">
            <v>17</v>
          </cell>
          <cell r="BO5">
            <v>5.2095474732855506E-4</v>
          </cell>
          <cell r="BS5">
            <v>500</v>
          </cell>
          <cell r="BT5" t="str">
            <v>Ceiling (Medium)</v>
          </cell>
          <cell r="BV5">
            <v>1000</v>
          </cell>
          <cell r="BW5" t="str">
            <v>Ceiling (Medium)</v>
          </cell>
          <cell r="BY5">
            <v>3000</v>
          </cell>
          <cell r="BZ5" t="str">
            <v>Ceiling (Medium)</v>
          </cell>
          <cell r="CA5">
            <v>50000</v>
          </cell>
          <cell r="CB5" t="str">
            <v>0.005%</v>
          </cell>
        </row>
        <row r="6">
          <cell r="A6" t="str">
            <v>ALDRIN</v>
          </cell>
          <cell r="B6" t="str">
            <v>309-00-2</v>
          </cell>
          <cell r="C6">
            <v>42922</v>
          </cell>
          <cell r="D6">
            <v>3.0000000000000001E-5</v>
          </cell>
          <cell r="E6">
            <v>1</v>
          </cell>
          <cell r="F6">
            <v>4.0000000000000003E-5</v>
          </cell>
          <cell r="G6">
            <v>6</v>
          </cell>
          <cell r="H6">
            <v>1.1E-4</v>
          </cell>
          <cell r="I6" t="str">
            <v>7b</v>
          </cell>
          <cell r="J6">
            <v>2.0000000000000001E-4</v>
          </cell>
          <cell r="K6" t="str">
            <v>7b</v>
          </cell>
          <cell r="L6">
            <v>17</v>
          </cell>
          <cell r="M6" t="str">
            <v>B2</v>
          </cell>
          <cell r="N6">
            <v>1</v>
          </cell>
          <cell r="O6">
            <v>4.8999999999999998E-3</v>
          </cell>
          <cell r="P6">
            <v>1</v>
          </cell>
          <cell r="Q6">
            <v>1</v>
          </cell>
          <cell r="R6" t="str">
            <v>9e</v>
          </cell>
          <cell r="S6">
            <v>0.1</v>
          </cell>
          <cell r="T6" t="str">
            <v>9e</v>
          </cell>
          <cell r="U6">
            <v>1</v>
          </cell>
          <cell r="V6" t="str">
            <v>9e</v>
          </cell>
          <cell r="W6">
            <v>0.1</v>
          </cell>
          <cell r="X6" t="str">
            <v>9e</v>
          </cell>
          <cell r="Y6">
            <v>1</v>
          </cell>
          <cell r="Z6" t="str">
            <v>9e</v>
          </cell>
          <cell r="AA6">
            <v>0.1</v>
          </cell>
          <cell r="AB6" t="str">
            <v>9e</v>
          </cell>
          <cell r="AC6">
            <v>1</v>
          </cell>
          <cell r="AD6">
            <v>9</v>
          </cell>
          <cell r="AE6">
            <v>1</v>
          </cell>
          <cell r="AF6">
            <v>9</v>
          </cell>
          <cell r="AG6">
            <v>1</v>
          </cell>
          <cell r="AH6">
            <v>9</v>
          </cell>
          <cell r="AK6">
            <v>0.8</v>
          </cell>
          <cell r="AL6">
            <v>0.8</v>
          </cell>
          <cell r="AO6">
            <v>0</v>
          </cell>
          <cell r="AR6">
            <v>17</v>
          </cell>
          <cell r="AS6">
            <v>13</v>
          </cell>
          <cell r="AT6">
            <v>263</v>
          </cell>
          <cell r="AU6">
            <v>1.7618321039690899E-2</v>
          </cell>
          <cell r="AV6">
            <v>28</v>
          </cell>
          <cell r="AW6">
            <v>1.3054592403092865E-3</v>
          </cell>
          <cell r="AX6">
            <v>2.6800000000000001E-3</v>
          </cell>
          <cell r="AY6">
            <v>0.5</v>
          </cell>
          <cell r="AZ6">
            <v>17</v>
          </cell>
          <cell r="BA6">
            <v>22</v>
          </cell>
          <cell r="BB6">
            <v>4.3999999999999999E-5</v>
          </cell>
          <cell r="BC6">
            <v>22</v>
          </cell>
          <cell r="BD6">
            <v>1.8006220330659681E-3</v>
          </cell>
          <cell r="BE6">
            <v>365</v>
          </cell>
          <cell r="BF6">
            <v>13</v>
          </cell>
          <cell r="BG6">
            <v>2.3E-5</v>
          </cell>
          <cell r="BH6">
            <v>6.5</v>
          </cell>
          <cell r="BI6">
            <v>16</v>
          </cell>
          <cell r="BJ6">
            <v>48700</v>
          </cell>
          <cell r="BK6" t="str">
            <v>17a</v>
          </cell>
          <cell r="BL6">
            <v>104</v>
          </cell>
          <cell r="BM6">
            <v>17</v>
          </cell>
          <cell r="BO6">
            <v>0.27925438412373388</v>
          </cell>
          <cell r="BS6">
            <v>1000</v>
          </cell>
          <cell r="BT6" t="str">
            <v>Ceiling (High)</v>
          </cell>
          <cell r="BV6">
            <v>3000</v>
          </cell>
          <cell r="BW6" t="str">
            <v>Ceiling (High)</v>
          </cell>
          <cell r="BY6">
            <v>5000</v>
          </cell>
          <cell r="BZ6" t="str">
            <v>Ceiling (High)</v>
          </cell>
          <cell r="CA6">
            <v>50000</v>
          </cell>
          <cell r="CB6" t="str">
            <v>0.005%</v>
          </cell>
        </row>
        <row r="7">
          <cell r="A7" t="str">
            <v>ANTHRACENE</v>
          </cell>
          <cell r="B7" t="str">
            <v>120-12-7</v>
          </cell>
          <cell r="C7">
            <v>42922</v>
          </cell>
          <cell r="D7">
            <v>0.3</v>
          </cell>
          <cell r="E7">
            <v>1</v>
          </cell>
          <cell r="F7">
            <v>1</v>
          </cell>
          <cell r="G7">
            <v>6</v>
          </cell>
          <cell r="H7">
            <v>0.05</v>
          </cell>
          <cell r="I7" t="str">
            <v>5d</v>
          </cell>
          <cell r="J7">
            <v>0.5</v>
          </cell>
          <cell r="K7" t="str">
            <v>5d</v>
          </cell>
          <cell r="M7" t="str">
            <v>D</v>
          </cell>
          <cell r="N7">
            <v>1</v>
          </cell>
          <cell r="Q7">
            <v>0.3</v>
          </cell>
          <cell r="R7" t="str">
            <v>9d</v>
          </cell>
          <cell r="S7">
            <v>0.1</v>
          </cell>
          <cell r="T7" t="str">
            <v>9d</v>
          </cell>
          <cell r="U7">
            <v>0.3</v>
          </cell>
          <cell r="V7" t="str">
            <v>9d</v>
          </cell>
          <cell r="W7">
            <v>0.1</v>
          </cell>
          <cell r="X7" t="str">
            <v>9d</v>
          </cell>
          <cell r="Y7" t="str">
            <v>NC</v>
          </cell>
          <cell r="AA7" t="str">
            <v>NC</v>
          </cell>
          <cell r="AC7">
            <v>1</v>
          </cell>
          <cell r="AD7">
            <v>9</v>
          </cell>
          <cell r="AE7">
            <v>1</v>
          </cell>
          <cell r="AF7">
            <v>9</v>
          </cell>
          <cell r="AI7">
            <v>4</v>
          </cell>
          <cell r="AK7">
            <v>0.92</v>
          </cell>
          <cell r="AL7" t="str">
            <v>NC</v>
          </cell>
          <cell r="AM7">
            <v>1</v>
          </cell>
          <cell r="AO7">
            <v>0</v>
          </cell>
          <cell r="AU7">
            <v>0</v>
          </cell>
          <cell r="AW7">
            <v>0</v>
          </cell>
          <cell r="AX7">
            <v>0.66</v>
          </cell>
          <cell r="AY7">
            <v>0.5</v>
          </cell>
          <cell r="AZ7">
            <v>43.4</v>
          </cell>
          <cell r="BA7">
            <v>22</v>
          </cell>
          <cell r="BB7">
            <v>5.5600000000000003E-5</v>
          </cell>
          <cell r="BC7">
            <v>22</v>
          </cell>
          <cell r="BD7">
            <v>2.2753314781469966E-3</v>
          </cell>
          <cell r="BE7">
            <v>178</v>
          </cell>
          <cell r="BF7">
            <v>13</v>
          </cell>
          <cell r="BG7">
            <v>1.7E-5</v>
          </cell>
          <cell r="BH7">
            <v>4.45</v>
          </cell>
          <cell r="BI7">
            <v>17</v>
          </cell>
          <cell r="BJ7">
            <v>23500</v>
          </cell>
          <cell r="BK7" t="str">
            <v>17a</v>
          </cell>
          <cell r="BL7">
            <v>215</v>
          </cell>
          <cell r="BM7">
            <v>17</v>
          </cell>
          <cell r="BO7">
            <v>0.13810201014445478</v>
          </cell>
          <cell r="BS7">
            <v>1000</v>
          </cell>
          <cell r="BT7" t="str">
            <v>Ceiling (High)</v>
          </cell>
          <cell r="BV7">
            <v>3000</v>
          </cell>
          <cell r="BW7" t="str">
            <v>Ceiling (High)</v>
          </cell>
          <cell r="BY7">
            <v>5000</v>
          </cell>
          <cell r="BZ7" t="str">
            <v>Ceiling (High)</v>
          </cell>
          <cell r="CA7">
            <v>50000</v>
          </cell>
          <cell r="CB7" t="str">
            <v>0.005%</v>
          </cell>
        </row>
        <row r="8">
          <cell r="A8" t="str">
            <v>ANTIMONY</v>
          </cell>
          <cell r="B8" t="str">
            <v>7440-36-0</v>
          </cell>
          <cell r="C8">
            <v>42922</v>
          </cell>
          <cell r="D8">
            <v>4.0000000000000002E-4</v>
          </cell>
          <cell r="E8">
            <v>1</v>
          </cell>
          <cell r="F8">
            <v>4.0000000000000002E-4</v>
          </cell>
          <cell r="G8">
            <v>6</v>
          </cell>
          <cell r="H8">
            <v>2.0000000000000001E-4</v>
          </cell>
          <cell r="I8">
            <v>1</v>
          </cell>
          <cell r="J8">
            <v>2.0000000000000001E-4</v>
          </cell>
          <cell r="K8">
            <v>6</v>
          </cell>
          <cell r="Q8">
            <v>1</v>
          </cell>
          <cell r="R8" t="str">
            <v>9e</v>
          </cell>
          <cell r="S8">
            <v>0.1</v>
          </cell>
          <cell r="T8" t="str">
            <v>9e</v>
          </cell>
          <cell r="U8">
            <v>1</v>
          </cell>
          <cell r="V8" t="str">
            <v>9e</v>
          </cell>
          <cell r="W8">
            <v>0.1</v>
          </cell>
          <cell r="X8" t="str">
            <v>9e</v>
          </cell>
          <cell r="Y8" t="str">
            <v>NC</v>
          </cell>
          <cell r="AA8" t="str">
            <v>NC</v>
          </cell>
          <cell r="AC8">
            <v>1</v>
          </cell>
          <cell r="AD8">
            <v>9</v>
          </cell>
          <cell r="AE8">
            <v>1</v>
          </cell>
          <cell r="AF8">
            <v>9</v>
          </cell>
          <cell r="AI8">
            <v>7</v>
          </cell>
          <cell r="AK8">
            <v>0.1</v>
          </cell>
          <cell r="AL8" t="str">
            <v>NC</v>
          </cell>
          <cell r="AM8">
            <v>1</v>
          </cell>
          <cell r="AO8">
            <v>0</v>
          </cell>
          <cell r="AU8">
            <v>0</v>
          </cell>
          <cell r="AW8">
            <v>0</v>
          </cell>
          <cell r="AX8">
            <v>6.4</v>
          </cell>
          <cell r="AY8">
            <v>32</v>
          </cell>
          <cell r="AZ8">
            <v>0</v>
          </cell>
          <cell r="BD8">
            <v>0</v>
          </cell>
          <cell r="BE8">
            <v>122</v>
          </cell>
          <cell r="BF8">
            <v>13</v>
          </cell>
          <cell r="BH8">
            <v>0.73</v>
          </cell>
          <cell r="BJ8">
            <v>0</v>
          </cell>
          <cell r="BO8">
            <v>1E-3</v>
          </cell>
          <cell r="BS8">
            <v>1000</v>
          </cell>
          <cell r="BT8" t="str">
            <v>Ceiling (High)</v>
          </cell>
          <cell r="BV8">
            <v>3000</v>
          </cell>
          <cell r="BW8" t="str">
            <v>Ceiling (High)</v>
          </cell>
          <cell r="BY8">
            <v>5000</v>
          </cell>
          <cell r="BZ8" t="str">
            <v>Ceiling (High)</v>
          </cell>
          <cell r="CA8">
            <v>50000</v>
          </cell>
          <cell r="CB8" t="str">
            <v>0.005%</v>
          </cell>
          <cell r="CC8" t="str">
            <v>Y</v>
          </cell>
        </row>
        <row r="9">
          <cell r="A9" t="str">
            <v>ARSENIC</v>
          </cell>
          <cell r="B9" t="str">
            <v>7440-38-2</v>
          </cell>
          <cell r="C9">
            <v>42923</v>
          </cell>
          <cell r="D9">
            <v>2.9999999999999997E-4</v>
          </cell>
          <cell r="E9">
            <v>1</v>
          </cell>
          <cell r="F9">
            <v>2.9999999999999997E-4</v>
          </cell>
          <cell r="G9">
            <v>2</v>
          </cell>
          <cell r="H9">
            <v>2.0000000000000002E-5</v>
          </cell>
          <cell r="I9" t="str">
            <v>3a</v>
          </cell>
          <cell r="J9">
            <v>2.0000000000000002E-5</v>
          </cell>
          <cell r="K9" t="str">
            <v>7c</v>
          </cell>
          <cell r="L9">
            <v>1.5</v>
          </cell>
          <cell r="M9" t="str">
            <v>A</v>
          </cell>
          <cell r="N9">
            <v>1</v>
          </cell>
          <cell r="O9">
            <v>3.0000000000000001E-3</v>
          </cell>
          <cell r="P9" t="str">
            <v>3a</v>
          </cell>
          <cell r="Q9">
            <v>0.5</v>
          </cell>
          <cell r="R9" t="str">
            <v>9e</v>
          </cell>
          <cell r="S9">
            <v>0.03</v>
          </cell>
          <cell r="T9" t="str">
            <v>9f</v>
          </cell>
          <cell r="U9">
            <v>0.5</v>
          </cell>
          <cell r="V9" t="str">
            <v>9e</v>
          </cell>
          <cell r="W9">
            <v>0.03</v>
          </cell>
          <cell r="X9" t="str">
            <v>9f</v>
          </cell>
          <cell r="Y9">
            <v>0.5</v>
          </cell>
          <cell r="Z9" t="str">
            <v>9e</v>
          </cell>
          <cell r="AA9">
            <v>0.03</v>
          </cell>
          <cell r="AB9" t="str">
            <v>9e</v>
          </cell>
          <cell r="AC9">
            <v>1</v>
          </cell>
          <cell r="AD9">
            <v>9</v>
          </cell>
          <cell r="AE9">
            <v>1</v>
          </cell>
          <cell r="AF9">
            <v>9</v>
          </cell>
          <cell r="AG9">
            <v>1</v>
          </cell>
          <cell r="AH9">
            <v>9</v>
          </cell>
          <cell r="AI9">
            <v>20</v>
          </cell>
          <cell r="AK9">
            <v>0.98</v>
          </cell>
          <cell r="AL9">
            <v>0.98</v>
          </cell>
          <cell r="AM9">
            <v>20</v>
          </cell>
          <cell r="AN9">
            <v>5.5</v>
          </cell>
          <cell r="AO9">
            <v>0</v>
          </cell>
          <cell r="AU9">
            <v>0</v>
          </cell>
          <cell r="AW9">
            <v>0</v>
          </cell>
          <cell r="AX9">
            <v>10.6</v>
          </cell>
          <cell r="AY9">
            <v>50</v>
          </cell>
          <cell r="AZ9">
            <v>0</v>
          </cell>
          <cell r="BD9">
            <v>0</v>
          </cell>
          <cell r="BE9">
            <v>75</v>
          </cell>
          <cell r="BF9">
            <v>13</v>
          </cell>
          <cell r="BH9">
            <v>0.68</v>
          </cell>
          <cell r="BJ9">
            <v>0</v>
          </cell>
          <cell r="BO9">
            <v>1E-3</v>
          </cell>
          <cell r="BP9">
            <v>0.05</v>
          </cell>
          <cell r="BS9">
            <v>1000</v>
          </cell>
          <cell r="BT9" t="str">
            <v>Ceiling (High)</v>
          </cell>
          <cell r="BV9">
            <v>3000</v>
          </cell>
          <cell r="BW9" t="str">
            <v>Ceiling (High)</v>
          </cell>
          <cell r="BY9">
            <v>5000</v>
          </cell>
          <cell r="BZ9" t="str">
            <v>Ceiling (High)</v>
          </cell>
          <cell r="CA9">
            <v>50000</v>
          </cell>
          <cell r="CB9" t="str">
            <v>0.005%</v>
          </cell>
          <cell r="CC9" t="str">
            <v>Y</v>
          </cell>
        </row>
        <row r="10">
          <cell r="A10" t="str">
            <v>BARIUM</v>
          </cell>
          <cell r="B10" t="str">
            <v>7440-39-3</v>
          </cell>
          <cell r="C10">
            <v>42923</v>
          </cell>
          <cell r="D10">
            <v>0.2</v>
          </cell>
          <cell r="E10">
            <v>1</v>
          </cell>
          <cell r="F10">
            <v>0.2</v>
          </cell>
          <cell r="G10" t="str">
            <v>1d</v>
          </cell>
          <cell r="H10">
            <v>5.0000000000000001E-4</v>
          </cell>
          <cell r="I10" t="str">
            <v>2e</v>
          </cell>
          <cell r="J10">
            <v>5.0000000000000001E-3</v>
          </cell>
          <cell r="K10" t="str">
            <v>2b</v>
          </cell>
          <cell r="Q10">
            <v>1</v>
          </cell>
          <cell r="R10" t="str">
            <v>9e</v>
          </cell>
          <cell r="S10">
            <v>0.1</v>
          </cell>
          <cell r="T10" t="str">
            <v>9e</v>
          </cell>
          <cell r="U10">
            <v>1</v>
          </cell>
          <cell r="V10" t="str">
            <v>9e</v>
          </cell>
          <cell r="W10">
            <v>0.1</v>
          </cell>
          <cell r="X10" t="str">
            <v>9e</v>
          </cell>
          <cell r="Y10" t="str">
            <v>NC</v>
          </cell>
          <cell r="AA10" t="str">
            <v>NC</v>
          </cell>
          <cell r="AC10">
            <v>1</v>
          </cell>
          <cell r="AD10">
            <v>9</v>
          </cell>
          <cell r="AE10">
            <v>1</v>
          </cell>
          <cell r="AF10">
            <v>9</v>
          </cell>
          <cell r="AI10">
            <v>50</v>
          </cell>
          <cell r="AK10">
            <v>0.91</v>
          </cell>
          <cell r="AL10" t="str">
            <v>NC</v>
          </cell>
          <cell r="AM10">
            <v>50</v>
          </cell>
          <cell r="AO10">
            <v>0</v>
          </cell>
          <cell r="AU10">
            <v>0</v>
          </cell>
          <cell r="AW10">
            <v>0</v>
          </cell>
          <cell r="AX10">
            <v>0</v>
          </cell>
          <cell r="AY10">
            <v>2</v>
          </cell>
          <cell r="AZ10">
            <v>0</v>
          </cell>
          <cell r="BD10">
            <v>0</v>
          </cell>
          <cell r="BE10">
            <v>137</v>
          </cell>
          <cell r="BF10">
            <v>11</v>
          </cell>
          <cell r="BH10">
            <v>0.23</v>
          </cell>
          <cell r="BO10">
            <v>1E-3</v>
          </cell>
          <cell r="BS10">
            <v>1000</v>
          </cell>
          <cell r="BT10" t="str">
            <v>Ceiling (High)</v>
          </cell>
          <cell r="BV10">
            <v>3000</v>
          </cell>
          <cell r="BW10" t="str">
            <v>Ceiling (High)</v>
          </cell>
          <cell r="BY10">
            <v>5000</v>
          </cell>
          <cell r="BZ10" t="str">
            <v>Ceiling (High)</v>
          </cell>
          <cell r="CA10">
            <v>50000</v>
          </cell>
          <cell r="CB10" t="str">
            <v>0.005%</v>
          </cell>
          <cell r="CC10" t="str">
            <v>Y</v>
          </cell>
        </row>
        <row r="11">
          <cell r="A11" t="str">
            <v>BENZENE</v>
          </cell>
          <cell r="B11" t="str">
            <v>71-43-2</v>
          </cell>
          <cell r="C11">
            <v>42922</v>
          </cell>
          <cell r="D11">
            <v>4.0000000000000001E-3</v>
          </cell>
          <cell r="E11">
            <v>1</v>
          </cell>
          <cell r="F11">
            <v>0.01</v>
          </cell>
          <cell r="G11" t="str">
            <v>1i</v>
          </cell>
          <cell r="H11">
            <v>3.0000000000000001E-3</v>
          </cell>
          <cell r="I11" t="str">
            <v>3a</v>
          </cell>
          <cell r="J11">
            <v>3.0000000000000001E-3</v>
          </cell>
          <cell r="K11" t="str">
            <v>7c</v>
          </cell>
          <cell r="L11">
            <v>5.5E-2</v>
          </cell>
          <cell r="M11" t="str">
            <v>A</v>
          </cell>
          <cell r="N11">
            <v>1</v>
          </cell>
          <cell r="O11">
            <v>7.7999999999999999E-6</v>
          </cell>
          <cell r="P11">
            <v>1</v>
          </cell>
          <cell r="Q11">
            <v>1</v>
          </cell>
          <cell r="R11" t="str">
            <v>9e</v>
          </cell>
          <cell r="S11">
            <v>0.03</v>
          </cell>
          <cell r="T11" t="str">
            <v>9e</v>
          </cell>
          <cell r="U11">
            <v>1</v>
          </cell>
          <cell r="V11" t="str">
            <v>9e</v>
          </cell>
          <cell r="W11">
            <v>0.03</v>
          </cell>
          <cell r="X11" t="str">
            <v>9e</v>
          </cell>
          <cell r="Y11">
            <v>1</v>
          </cell>
          <cell r="Z11" t="str">
            <v>9e</v>
          </cell>
          <cell r="AA11">
            <v>0.03</v>
          </cell>
          <cell r="AB11" t="str">
            <v>9e</v>
          </cell>
          <cell r="AC11">
            <v>1</v>
          </cell>
          <cell r="AD11">
            <v>9</v>
          </cell>
          <cell r="AE11">
            <v>1</v>
          </cell>
          <cell r="AF11">
            <v>9</v>
          </cell>
          <cell r="AG11">
            <v>1</v>
          </cell>
          <cell r="AH11">
            <v>9</v>
          </cell>
          <cell r="AK11">
            <v>1</v>
          </cell>
          <cell r="AL11">
            <v>1</v>
          </cell>
          <cell r="AO11">
            <v>11</v>
          </cell>
          <cell r="AP11">
            <v>20</v>
          </cell>
          <cell r="AQ11">
            <v>6.5830000000000002</v>
          </cell>
          <cell r="AR11">
            <v>2000</v>
          </cell>
          <cell r="AS11">
            <v>13</v>
          </cell>
          <cell r="AT11">
            <v>4890</v>
          </cell>
          <cell r="AU11">
            <v>1.5329072978303746</v>
          </cell>
          <cell r="AV11">
            <v>13</v>
          </cell>
          <cell r="AW11">
            <v>61.973741096059626</v>
          </cell>
          <cell r="AX11">
            <v>0.1</v>
          </cell>
          <cell r="AY11">
            <v>0.5</v>
          </cell>
          <cell r="AZ11">
            <v>1790000</v>
          </cell>
          <cell r="BA11">
            <v>22</v>
          </cell>
          <cell r="BB11">
            <v>5.5500000000000002E-3</v>
          </cell>
          <cell r="BC11">
            <v>22</v>
          </cell>
          <cell r="BD11">
            <v>0.22712391553445738</v>
          </cell>
          <cell r="BE11">
            <v>78</v>
          </cell>
          <cell r="BF11">
            <v>13</v>
          </cell>
          <cell r="BG11">
            <v>95</v>
          </cell>
          <cell r="BH11">
            <v>2.13</v>
          </cell>
          <cell r="BI11">
            <v>16</v>
          </cell>
          <cell r="BJ11">
            <v>61.7</v>
          </cell>
          <cell r="BK11" t="str">
            <v>17a</v>
          </cell>
          <cell r="BL11">
            <v>5.5</v>
          </cell>
          <cell r="BM11">
            <v>17</v>
          </cell>
          <cell r="BO11">
            <v>1.4757065332758943E-2</v>
          </cell>
          <cell r="BS11">
            <v>500</v>
          </cell>
          <cell r="BT11" t="str">
            <v>Ceiling (Medium)</v>
          </cell>
          <cell r="BV11">
            <v>1000</v>
          </cell>
          <cell r="BW11" t="str">
            <v>Ceiling (Medium)</v>
          </cell>
          <cell r="BY11">
            <v>3000</v>
          </cell>
          <cell r="BZ11" t="str">
            <v>Ceiling (Medium)</v>
          </cell>
          <cell r="CA11">
            <v>50000</v>
          </cell>
          <cell r="CB11" t="str">
            <v>0.005%</v>
          </cell>
        </row>
        <row r="12">
          <cell r="A12" t="str">
            <v>BENZO(a)ANTHRACENE</v>
          </cell>
          <cell r="B12" t="str">
            <v>56-55-3</v>
          </cell>
          <cell r="C12">
            <v>42922</v>
          </cell>
          <cell r="D12">
            <v>0.03</v>
          </cell>
          <cell r="E12" t="str">
            <v>5d</v>
          </cell>
          <cell r="F12">
            <v>0.3</v>
          </cell>
          <cell r="G12" t="str">
            <v>5d</v>
          </cell>
          <cell r="H12">
            <v>0.05</v>
          </cell>
          <cell r="I12" t="str">
            <v>5d</v>
          </cell>
          <cell r="J12">
            <v>0.5</v>
          </cell>
          <cell r="K12" t="str">
            <v>5d</v>
          </cell>
          <cell r="L12">
            <v>0.1</v>
          </cell>
          <cell r="M12" t="str">
            <v>B2</v>
          </cell>
          <cell r="N12" t="str">
            <v>1e</v>
          </cell>
          <cell r="O12">
            <v>6.0000000000000002E-5</v>
          </cell>
          <cell r="P12" t="str">
            <v>1e</v>
          </cell>
          <cell r="Q12">
            <v>0.3</v>
          </cell>
          <cell r="R12" t="str">
            <v>9d</v>
          </cell>
          <cell r="S12">
            <v>0.02</v>
          </cell>
          <cell r="T12" t="str">
            <v>9d</v>
          </cell>
          <cell r="U12">
            <v>0.3</v>
          </cell>
          <cell r="V12" t="str">
            <v>9d</v>
          </cell>
          <cell r="W12">
            <v>0.02</v>
          </cell>
          <cell r="X12" t="str">
            <v>9d</v>
          </cell>
          <cell r="Y12">
            <v>0.3</v>
          </cell>
          <cell r="Z12" t="str">
            <v>9d</v>
          </cell>
          <cell r="AA12">
            <v>0.02</v>
          </cell>
          <cell r="AB12" t="str">
            <v>9d</v>
          </cell>
          <cell r="AC12">
            <v>1</v>
          </cell>
          <cell r="AD12">
            <v>9</v>
          </cell>
          <cell r="AE12">
            <v>1</v>
          </cell>
          <cell r="AF12">
            <v>9</v>
          </cell>
          <cell r="AG12">
            <v>1</v>
          </cell>
          <cell r="AH12">
            <v>9</v>
          </cell>
          <cell r="AI12">
            <v>9</v>
          </cell>
          <cell r="AJ12" t="str">
            <v>M</v>
          </cell>
          <cell r="AK12">
            <v>0.92</v>
          </cell>
          <cell r="AL12">
            <v>0.92</v>
          </cell>
          <cell r="AM12">
            <v>2</v>
          </cell>
          <cell r="AO12">
            <v>0</v>
          </cell>
          <cell r="AU12">
            <v>0</v>
          </cell>
          <cell r="AW12">
            <v>0</v>
          </cell>
          <cell r="AX12">
            <v>0.66</v>
          </cell>
          <cell r="AY12">
            <v>1</v>
          </cell>
          <cell r="AZ12">
            <v>9.4</v>
          </cell>
          <cell r="BA12">
            <v>22</v>
          </cell>
          <cell r="BB12">
            <v>1.2E-5</v>
          </cell>
          <cell r="BC12">
            <v>22</v>
          </cell>
          <cell r="BD12">
            <v>4.9107873629071865E-4</v>
          </cell>
          <cell r="BE12">
            <v>228</v>
          </cell>
          <cell r="BF12">
            <v>13</v>
          </cell>
          <cell r="BG12">
            <v>5.0000000000000001E-9</v>
          </cell>
          <cell r="BH12">
            <v>5.76</v>
          </cell>
          <cell r="BI12">
            <v>16</v>
          </cell>
          <cell r="BJ12">
            <v>358000</v>
          </cell>
          <cell r="BK12" t="str">
            <v>17a</v>
          </cell>
          <cell r="BL12">
            <v>84</v>
          </cell>
          <cell r="BM12">
            <v>17</v>
          </cell>
          <cell r="BO12">
            <v>0.53064001919477521</v>
          </cell>
          <cell r="BS12">
            <v>1000</v>
          </cell>
          <cell r="BT12" t="str">
            <v>Ceiling (High)</v>
          </cell>
          <cell r="BV12">
            <v>3000</v>
          </cell>
          <cell r="BW12" t="str">
            <v>Ceiling (High)</v>
          </cell>
          <cell r="BY12">
            <v>5000</v>
          </cell>
          <cell r="BZ12" t="str">
            <v>Ceiling (High)</v>
          </cell>
          <cell r="CA12">
            <v>50000</v>
          </cell>
          <cell r="CB12" t="str">
            <v>0.005%</v>
          </cell>
        </row>
        <row r="13">
          <cell r="A13" t="str">
            <v>BENZO(a)PYRENE</v>
          </cell>
          <cell r="B13" t="str">
            <v>50-32-8</v>
          </cell>
          <cell r="C13">
            <v>42914</v>
          </cell>
          <cell r="D13">
            <v>2.9999999999999997E-4</v>
          </cell>
          <cell r="E13">
            <v>1</v>
          </cell>
          <cell r="F13">
            <v>2.9999999999999997E-4</v>
          </cell>
          <cell r="H13">
            <v>1.9999999999999999E-6</v>
          </cell>
          <cell r="I13">
            <v>1</v>
          </cell>
          <cell r="J13">
            <v>1.9999999999999999E-6</v>
          </cell>
          <cell r="L13">
            <v>1</v>
          </cell>
          <cell r="M13" t="str">
            <v>B2</v>
          </cell>
          <cell r="N13">
            <v>1</v>
          </cell>
          <cell r="O13">
            <v>5.9999999999999995E-4</v>
          </cell>
          <cell r="P13">
            <v>1</v>
          </cell>
          <cell r="Q13">
            <v>0.3</v>
          </cell>
          <cell r="R13" t="str">
            <v>9d</v>
          </cell>
          <cell r="S13">
            <v>0.02</v>
          </cell>
          <cell r="T13" t="str">
            <v>9d</v>
          </cell>
          <cell r="U13">
            <v>0.3</v>
          </cell>
          <cell r="V13" t="str">
            <v>9d</v>
          </cell>
          <cell r="W13">
            <v>0.02</v>
          </cell>
          <cell r="X13" t="str">
            <v>9d</v>
          </cell>
          <cell r="Y13">
            <v>0.3</v>
          </cell>
          <cell r="Z13" t="str">
            <v>9d</v>
          </cell>
          <cell r="AA13">
            <v>0.02</v>
          </cell>
          <cell r="AB13" t="str">
            <v>9d</v>
          </cell>
          <cell r="AC13">
            <v>1</v>
          </cell>
          <cell r="AD13">
            <v>9</v>
          </cell>
          <cell r="AE13">
            <v>1</v>
          </cell>
          <cell r="AF13">
            <v>9</v>
          </cell>
          <cell r="AG13">
            <v>1</v>
          </cell>
          <cell r="AH13">
            <v>9</v>
          </cell>
          <cell r="AI13">
            <v>7</v>
          </cell>
          <cell r="AJ13" t="str">
            <v>M</v>
          </cell>
          <cell r="AK13">
            <v>0.92</v>
          </cell>
          <cell r="AL13">
            <v>0.92</v>
          </cell>
          <cell r="AM13">
            <v>2</v>
          </cell>
          <cell r="AO13">
            <v>0</v>
          </cell>
          <cell r="AU13">
            <v>0</v>
          </cell>
          <cell r="AW13">
            <v>0</v>
          </cell>
          <cell r="AX13">
            <v>0.66</v>
          </cell>
          <cell r="AY13">
            <v>0.5</v>
          </cell>
          <cell r="AZ13">
            <v>1.62</v>
          </cell>
          <cell r="BA13">
            <v>22</v>
          </cell>
          <cell r="BB13">
            <v>4.5699999999999998E-7</v>
          </cell>
          <cell r="BC13">
            <v>22</v>
          </cell>
          <cell r="BD13">
            <v>1.8701915207071535E-5</v>
          </cell>
          <cell r="BE13">
            <v>252</v>
          </cell>
          <cell r="BF13">
            <v>13</v>
          </cell>
          <cell r="BG13">
            <v>5.0000000000000001E-9</v>
          </cell>
          <cell r="BH13">
            <v>6.13</v>
          </cell>
          <cell r="BI13">
            <v>16</v>
          </cell>
          <cell r="BJ13">
            <v>969000</v>
          </cell>
          <cell r="BK13" t="str">
            <v>17a</v>
          </cell>
          <cell r="BL13">
            <v>176.5</v>
          </cell>
          <cell r="BM13">
            <v>17</v>
          </cell>
          <cell r="BO13">
            <v>0.68328203136919874</v>
          </cell>
          <cell r="BS13">
            <v>1000</v>
          </cell>
          <cell r="BT13" t="str">
            <v>Ceiling (High)</v>
          </cell>
          <cell r="BV13">
            <v>3000</v>
          </cell>
          <cell r="BW13" t="str">
            <v>Ceiling (High)</v>
          </cell>
          <cell r="BY13">
            <v>5000</v>
          </cell>
          <cell r="BZ13" t="str">
            <v>Ceiling (High)</v>
          </cell>
          <cell r="CA13">
            <v>50000</v>
          </cell>
          <cell r="CB13" t="str">
            <v>0.005%</v>
          </cell>
        </row>
        <row r="14">
          <cell r="A14" t="str">
            <v>BENZO(b)FLUORANTHENE</v>
          </cell>
          <cell r="B14" t="str">
            <v>205-99-2</v>
          </cell>
          <cell r="C14">
            <v>42922</v>
          </cell>
          <cell r="D14">
            <v>0.03</v>
          </cell>
          <cell r="E14" t="str">
            <v>5d</v>
          </cell>
          <cell r="F14">
            <v>0.3</v>
          </cell>
          <cell r="G14" t="str">
            <v>5d</v>
          </cell>
          <cell r="H14">
            <v>0.05</v>
          </cell>
          <cell r="I14" t="str">
            <v>5d</v>
          </cell>
          <cell r="J14">
            <v>0.5</v>
          </cell>
          <cell r="K14" t="str">
            <v>5d</v>
          </cell>
          <cell r="L14">
            <v>0.1</v>
          </cell>
          <cell r="M14" t="str">
            <v>B2</v>
          </cell>
          <cell r="N14" t="str">
            <v>1e</v>
          </cell>
          <cell r="O14">
            <v>6.0000000000000002E-5</v>
          </cell>
          <cell r="P14" t="str">
            <v>1e</v>
          </cell>
          <cell r="Q14">
            <v>0.3</v>
          </cell>
          <cell r="R14" t="str">
            <v>9d</v>
          </cell>
          <cell r="S14">
            <v>0.02</v>
          </cell>
          <cell r="T14" t="str">
            <v>9d</v>
          </cell>
          <cell r="U14">
            <v>0.3</v>
          </cell>
          <cell r="V14" t="str">
            <v>9d</v>
          </cell>
          <cell r="W14">
            <v>0.02</v>
          </cell>
          <cell r="X14" t="str">
            <v>9d</v>
          </cell>
          <cell r="Y14">
            <v>0.3</v>
          </cell>
          <cell r="Z14" t="str">
            <v>9d</v>
          </cell>
          <cell r="AA14">
            <v>0.02</v>
          </cell>
          <cell r="AB14" t="str">
            <v>9d</v>
          </cell>
          <cell r="AC14">
            <v>1</v>
          </cell>
          <cell r="AD14">
            <v>9</v>
          </cell>
          <cell r="AE14">
            <v>1</v>
          </cell>
          <cell r="AF14">
            <v>9</v>
          </cell>
          <cell r="AG14">
            <v>1</v>
          </cell>
          <cell r="AH14">
            <v>9</v>
          </cell>
          <cell r="AI14">
            <v>8</v>
          </cell>
          <cell r="AJ14" t="str">
            <v>M</v>
          </cell>
          <cell r="AK14">
            <v>0.92</v>
          </cell>
          <cell r="AL14">
            <v>0.92</v>
          </cell>
          <cell r="AM14">
            <v>2</v>
          </cell>
          <cell r="AO14">
            <v>0</v>
          </cell>
          <cell r="AU14">
            <v>0</v>
          </cell>
          <cell r="AW14">
            <v>0</v>
          </cell>
          <cell r="AX14">
            <v>0.66</v>
          </cell>
          <cell r="AY14">
            <v>1</v>
          </cell>
          <cell r="AZ14">
            <v>1.5</v>
          </cell>
          <cell r="BA14">
            <v>22</v>
          </cell>
          <cell r="BB14">
            <v>6.5700000000000002E-7</v>
          </cell>
          <cell r="BC14">
            <v>22</v>
          </cell>
          <cell r="BD14">
            <v>2.6886560811916847E-5</v>
          </cell>
          <cell r="BE14">
            <v>252</v>
          </cell>
          <cell r="BF14">
            <v>13</v>
          </cell>
          <cell r="BH14">
            <v>5.78</v>
          </cell>
          <cell r="BI14">
            <v>16</v>
          </cell>
          <cell r="BJ14">
            <v>1230000</v>
          </cell>
          <cell r="BK14" t="str">
            <v>17b</v>
          </cell>
          <cell r="BL14">
            <v>168</v>
          </cell>
          <cell r="BM14">
            <v>17</v>
          </cell>
          <cell r="BO14">
            <v>0.40142091820432163</v>
          </cell>
          <cell r="BS14">
            <v>1000</v>
          </cell>
          <cell r="BT14" t="str">
            <v>Ceiling (High)</v>
          </cell>
          <cell r="BV14">
            <v>3000</v>
          </cell>
          <cell r="BW14" t="str">
            <v>Ceiling (High)</v>
          </cell>
          <cell r="BY14">
            <v>5000</v>
          </cell>
          <cell r="BZ14" t="str">
            <v>Ceiling (High)</v>
          </cell>
          <cell r="CA14">
            <v>50000</v>
          </cell>
          <cell r="CB14" t="str">
            <v>0.005%</v>
          </cell>
        </row>
        <row r="15">
          <cell r="A15" t="str">
            <v>BENZO(g,h,i)PERYLENE</v>
          </cell>
          <cell r="B15" t="str">
            <v>191-24-2</v>
          </cell>
          <cell r="C15">
            <v>42922</v>
          </cell>
          <cell r="D15">
            <v>0.03</v>
          </cell>
          <cell r="E15" t="str">
            <v>5d</v>
          </cell>
          <cell r="F15">
            <v>0.3</v>
          </cell>
          <cell r="G15" t="str">
            <v>5d</v>
          </cell>
          <cell r="H15">
            <v>0.05</v>
          </cell>
          <cell r="I15" t="str">
            <v>5d</v>
          </cell>
          <cell r="J15">
            <v>0.5</v>
          </cell>
          <cell r="K15" t="str">
            <v>5d</v>
          </cell>
          <cell r="Q15">
            <v>0.3</v>
          </cell>
          <cell r="R15" t="str">
            <v>9d</v>
          </cell>
          <cell r="S15">
            <v>0.1</v>
          </cell>
          <cell r="T15" t="str">
            <v>9d</v>
          </cell>
          <cell r="U15">
            <v>0.3</v>
          </cell>
          <cell r="V15" t="str">
            <v>9d</v>
          </cell>
          <cell r="W15">
            <v>0.1</v>
          </cell>
          <cell r="X15" t="str">
            <v>9d</v>
          </cell>
          <cell r="Y15" t="str">
            <v>NC</v>
          </cell>
          <cell r="AA15" t="str">
            <v>NC</v>
          </cell>
          <cell r="AC15">
            <v>1</v>
          </cell>
          <cell r="AD15">
            <v>9</v>
          </cell>
          <cell r="AE15">
            <v>1</v>
          </cell>
          <cell r="AF15">
            <v>9</v>
          </cell>
          <cell r="AI15">
            <v>3</v>
          </cell>
          <cell r="AK15">
            <v>0.92</v>
          </cell>
          <cell r="AL15" t="str">
            <v>NC</v>
          </cell>
          <cell r="AM15">
            <v>1</v>
          </cell>
          <cell r="AO15">
            <v>0</v>
          </cell>
          <cell r="AU15">
            <v>0</v>
          </cell>
          <cell r="AW15">
            <v>0</v>
          </cell>
          <cell r="AX15">
            <v>0.66</v>
          </cell>
          <cell r="AY15">
            <v>0.5</v>
          </cell>
          <cell r="AZ15">
            <v>0.26</v>
          </cell>
          <cell r="BA15">
            <v>22</v>
          </cell>
          <cell r="BB15">
            <v>3.3099999999999999E-7</v>
          </cell>
          <cell r="BC15">
            <v>22</v>
          </cell>
          <cell r="BD15">
            <v>1.3545588476018988E-5</v>
          </cell>
          <cell r="BE15">
            <v>276</v>
          </cell>
          <cell r="BF15">
            <v>13</v>
          </cell>
          <cell r="BG15">
            <v>1E-10</v>
          </cell>
          <cell r="BH15">
            <v>6.63</v>
          </cell>
          <cell r="BI15">
            <v>13</v>
          </cell>
          <cell r="BJ15">
            <v>1600000</v>
          </cell>
          <cell r="BK15">
            <v>13</v>
          </cell>
          <cell r="BO15">
            <v>1.0720128717525927</v>
          </cell>
          <cell r="BS15">
            <v>1000</v>
          </cell>
          <cell r="BT15" t="str">
            <v>Ceiling (High)</v>
          </cell>
          <cell r="BV15">
            <v>3000</v>
          </cell>
          <cell r="BW15" t="str">
            <v>Ceiling (High)</v>
          </cell>
          <cell r="BY15">
            <v>5000</v>
          </cell>
          <cell r="BZ15" t="str">
            <v>Ceiling (High)</v>
          </cell>
          <cell r="CA15">
            <v>50000</v>
          </cell>
          <cell r="CB15" t="str">
            <v>0.005%</v>
          </cell>
        </row>
        <row r="16">
          <cell r="A16" t="str">
            <v>BENZO(k)FLUORANTHENE</v>
          </cell>
          <cell r="B16" t="str">
            <v>207-08-9</v>
          </cell>
          <cell r="C16">
            <v>42922</v>
          </cell>
          <cell r="D16">
            <v>0.03</v>
          </cell>
          <cell r="E16" t="str">
            <v>5d</v>
          </cell>
          <cell r="F16">
            <v>0.3</v>
          </cell>
          <cell r="G16" t="str">
            <v>5d</v>
          </cell>
          <cell r="H16">
            <v>0.05</v>
          </cell>
          <cell r="I16" t="str">
            <v>5d</v>
          </cell>
          <cell r="J16">
            <v>0.5</v>
          </cell>
          <cell r="K16" t="str">
            <v>5d</v>
          </cell>
          <cell r="L16">
            <v>0.01</v>
          </cell>
          <cell r="M16" t="str">
            <v>B2</v>
          </cell>
          <cell r="N16" t="str">
            <v>1e</v>
          </cell>
          <cell r="O16">
            <v>6.0000000000000002E-6</v>
          </cell>
          <cell r="P16" t="str">
            <v>1e</v>
          </cell>
          <cell r="Q16">
            <v>0.3</v>
          </cell>
          <cell r="R16" t="str">
            <v>9d</v>
          </cell>
          <cell r="S16">
            <v>0.02</v>
          </cell>
          <cell r="T16" t="str">
            <v>9d</v>
          </cell>
          <cell r="U16">
            <v>0.3</v>
          </cell>
          <cell r="V16" t="str">
            <v>9e</v>
          </cell>
          <cell r="W16">
            <v>0.02</v>
          </cell>
          <cell r="X16" t="str">
            <v>9d</v>
          </cell>
          <cell r="Y16">
            <v>0.3</v>
          </cell>
          <cell r="Z16" t="str">
            <v>9d</v>
          </cell>
          <cell r="AA16">
            <v>0.02</v>
          </cell>
          <cell r="AB16" t="str">
            <v>9d</v>
          </cell>
          <cell r="AC16">
            <v>1</v>
          </cell>
          <cell r="AD16">
            <v>9</v>
          </cell>
          <cell r="AE16">
            <v>1</v>
          </cell>
          <cell r="AF16">
            <v>9</v>
          </cell>
          <cell r="AG16">
            <v>1</v>
          </cell>
          <cell r="AH16">
            <v>9</v>
          </cell>
          <cell r="AI16">
            <v>4</v>
          </cell>
          <cell r="AJ16" t="str">
            <v>M</v>
          </cell>
          <cell r="AK16">
            <v>0.92</v>
          </cell>
          <cell r="AL16">
            <v>0.92</v>
          </cell>
          <cell r="AM16">
            <v>1</v>
          </cell>
          <cell r="AO16">
            <v>0</v>
          </cell>
          <cell r="AU16">
            <v>0</v>
          </cell>
          <cell r="AW16">
            <v>0</v>
          </cell>
          <cell r="AX16">
            <v>0.66</v>
          </cell>
          <cell r="AY16">
            <v>1</v>
          </cell>
          <cell r="AZ16">
            <v>0.8</v>
          </cell>
          <cell r="BA16">
            <v>22</v>
          </cell>
          <cell r="BB16">
            <v>5.8400000000000004E-7</v>
          </cell>
          <cell r="BC16">
            <v>22</v>
          </cell>
          <cell r="BD16">
            <v>2.3899165166148309E-5</v>
          </cell>
          <cell r="BE16">
            <v>252</v>
          </cell>
          <cell r="BF16">
            <v>13</v>
          </cell>
          <cell r="BG16">
            <v>9.59E-11</v>
          </cell>
          <cell r="BH16">
            <v>6.11</v>
          </cell>
          <cell r="BI16">
            <v>13</v>
          </cell>
          <cell r="BJ16">
            <v>1230000</v>
          </cell>
          <cell r="BK16" t="str">
            <v>17b</v>
          </cell>
          <cell r="BL16">
            <v>217</v>
          </cell>
          <cell r="BM16">
            <v>17</v>
          </cell>
          <cell r="BO16">
            <v>0.66282670860827375</v>
          </cell>
          <cell r="BS16">
            <v>1000</v>
          </cell>
          <cell r="BT16" t="str">
            <v>Ceiling (High)</v>
          </cell>
          <cell r="BV16">
            <v>3000</v>
          </cell>
          <cell r="BW16" t="str">
            <v>Ceiling (High)</v>
          </cell>
          <cell r="BY16">
            <v>5000</v>
          </cell>
          <cell r="BZ16" t="str">
            <v>Ceiling (High)</v>
          </cell>
          <cell r="CA16">
            <v>50000</v>
          </cell>
          <cell r="CB16" t="str">
            <v>0.005%</v>
          </cell>
        </row>
        <row r="17">
          <cell r="A17" t="str">
            <v>BERYLLIUM</v>
          </cell>
          <cell r="B17" t="str">
            <v>7440-41-7</v>
          </cell>
          <cell r="C17">
            <v>42923</v>
          </cell>
          <cell r="D17">
            <v>2E-3</v>
          </cell>
          <cell r="E17">
            <v>1</v>
          </cell>
          <cell r="F17">
            <v>5.0000000000000001E-3</v>
          </cell>
          <cell r="G17">
            <v>2</v>
          </cell>
          <cell r="H17">
            <v>2.0000000000000002E-5</v>
          </cell>
          <cell r="I17">
            <v>1</v>
          </cell>
          <cell r="J17">
            <v>2.0000000000000002E-5</v>
          </cell>
          <cell r="K17" t="str">
            <v>1j</v>
          </cell>
          <cell r="O17">
            <v>2.3999999999999998E-3</v>
          </cell>
          <cell r="P17">
            <v>1</v>
          </cell>
          <cell r="Q17">
            <v>1</v>
          </cell>
          <cell r="R17" t="str">
            <v>9e</v>
          </cell>
          <cell r="S17">
            <v>0.1</v>
          </cell>
          <cell r="T17" t="str">
            <v>9e</v>
          </cell>
          <cell r="U17">
            <v>1</v>
          </cell>
          <cell r="V17" t="str">
            <v>9e</v>
          </cell>
          <cell r="W17">
            <v>0.1</v>
          </cell>
          <cell r="X17" t="str">
            <v>9e</v>
          </cell>
          <cell r="Y17" t="str">
            <v>NC</v>
          </cell>
          <cell r="AC17">
            <v>1</v>
          </cell>
          <cell r="AD17">
            <v>9</v>
          </cell>
          <cell r="AE17">
            <v>1</v>
          </cell>
          <cell r="AF17">
            <v>9</v>
          </cell>
          <cell r="AG17">
            <v>1</v>
          </cell>
          <cell r="AH17">
            <v>9</v>
          </cell>
          <cell r="AI17">
            <v>0.9</v>
          </cell>
          <cell r="AK17">
            <v>0.01</v>
          </cell>
          <cell r="AL17">
            <v>0.01</v>
          </cell>
          <cell r="AM17">
            <v>0.4</v>
          </cell>
          <cell r="AO17">
            <v>0</v>
          </cell>
          <cell r="AU17">
            <v>0</v>
          </cell>
          <cell r="AW17">
            <v>0</v>
          </cell>
          <cell r="AX17">
            <v>0.06</v>
          </cell>
          <cell r="AY17">
            <v>0.3</v>
          </cell>
          <cell r="AZ17">
            <v>0</v>
          </cell>
          <cell r="BD17">
            <v>0</v>
          </cell>
          <cell r="BE17">
            <v>9</v>
          </cell>
          <cell r="BF17">
            <v>13</v>
          </cell>
          <cell r="BH17">
            <v>-0.56999999999999995</v>
          </cell>
          <cell r="BJ17">
            <v>0</v>
          </cell>
          <cell r="BO17">
            <v>1E-3</v>
          </cell>
          <cell r="BS17">
            <v>1000</v>
          </cell>
          <cell r="BT17" t="str">
            <v>Ceiling (High)</v>
          </cell>
          <cell r="BV17">
            <v>3000</v>
          </cell>
          <cell r="BW17" t="str">
            <v>Ceiling (High)</v>
          </cell>
          <cell r="BY17">
            <v>5000</v>
          </cell>
          <cell r="BZ17" t="str">
            <v>Ceiling (High)</v>
          </cell>
          <cell r="CA17">
            <v>50000</v>
          </cell>
          <cell r="CB17" t="str">
            <v>0.005%</v>
          </cell>
          <cell r="CC17" t="str">
            <v>Y</v>
          </cell>
        </row>
        <row r="18">
          <cell r="A18" t="str">
            <v>BIPHENYL, 1,1-</v>
          </cell>
          <cell r="B18" t="str">
            <v xml:space="preserve">92-52-4 </v>
          </cell>
          <cell r="C18">
            <v>42922</v>
          </cell>
          <cell r="D18">
            <v>0.05</v>
          </cell>
          <cell r="E18">
            <v>1</v>
          </cell>
          <cell r="F18">
            <v>0.1</v>
          </cell>
          <cell r="G18">
            <v>6</v>
          </cell>
          <cell r="H18">
            <v>2E-3</v>
          </cell>
          <cell r="I18">
            <v>3</v>
          </cell>
          <cell r="J18">
            <v>2E-3</v>
          </cell>
          <cell r="K18" t="str">
            <v>7c</v>
          </cell>
          <cell r="L18">
            <v>8.0000000000000002E-3</v>
          </cell>
          <cell r="M18" t="str">
            <v>D</v>
          </cell>
          <cell r="N18">
            <v>1</v>
          </cell>
          <cell r="Q18">
            <v>1</v>
          </cell>
          <cell r="R18" t="str">
            <v>9e</v>
          </cell>
          <cell r="S18">
            <v>0.1</v>
          </cell>
          <cell r="T18" t="str">
            <v>9e</v>
          </cell>
          <cell r="U18">
            <v>1</v>
          </cell>
          <cell r="V18" t="str">
            <v>9e</v>
          </cell>
          <cell r="W18">
            <v>0.1</v>
          </cell>
          <cell r="X18" t="str">
            <v>9e</v>
          </cell>
          <cell r="Y18">
            <v>1</v>
          </cell>
          <cell r="Z18" t="str">
            <v>9e</v>
          </cell>
          <cell r="AA18">
            <v>0.1</v>
          </cell>
          <cell r="AB18" t="str">
            <v>9e</v>
          </cell>
          <cell r="AC18">
            <v>1</v>
          </cell>
          <cell r="AD18">
            <v>9</v>
          </cell>
          <cell r="AE18">
            <v>1</v>
          </cell>
          <cell r="AF18">
            <v>9</v>
          </cell>
          <cell r="AG18">
            <v>1</v>
          </cell>
          <cell r="AH18">
            <v>9</v>
          </cell>
          <cell r="AK18">
            <v>1</v>
          </cell>
          <cell r="AL18">
            <v>0.9</v>
          </cell>
          <cell r="AO18">
            <v>0</v>
          </cell>
          <cell r="AT18">
            <v>60</v>
          </cell>
          <cell r="AU18">
            <v>9.5264735264735251E-3</v>
          </cell>
          <cell r="AV18">
            <v>27</v>
          </cell>
          <cell r="AW18">
            <v>0</v>
          </cell>
          <cell r="AX18">
            <v>0.05</v>
          </cell>
          <cell r="AY18">
            <v>0.1</v>
          </cell>
          <cell r="AZ18">
            <v>6940</v>
          </cell>
          <cell r="BA18">
            <v>22</v>
          </cell>
          <cell r="BB18">
            <v>3.0800000000000001E-4</v>
          </cell>
          <cell r="BC18">
            <v>22</v>
          </cell>
          <cell r="BD18">
            <v>1.2604354231461778E-2</v>
          </cell>
          <cell r="BE18">
            <v>154</v>
          </cell>
          <cell r="BF18">
            <v>11</v>
          </cell>
          <cell r="BH18">
            <v>3.98</v>
          </cell>
          <cell r="BI18">
            <v>20</v>
          </cell>
          <cell r="BJ18">
            <v>2820</v>
          </cell>
          <cell r="BK18">
            <v>21</v>
          </cell>
          <cell r="BO18">
            <v>9.2129772766855619E-2</v>
          </cell>
          <cell r="BS18">
            <v>1000</v>
          </cell>
          <cell r="BT18" t="str">
            <v>Ceiling (High)</v>
          </cell>
          <cell r="BV18">
            <v>3000</v>
          </cell>
          <cell r="BW18" t="str">
            <v>Ceiling (High)</v>
          </cell>
          <cell r="BY18">
            <v>5000</v>
          </cell>
          <cell r="BZ18" t="str">
            <v>Ceiling (High)</v>
          </cell>
          <cell r="CA18">
            <v>50000</v>
          </cell>
          <cell r="CB18" t="str">
            <v>0.005%</v>
          </cell>
        </row>
        <row r="19">
          <cell r="A19" t="str">
            <v>BIS(2-CHLOROETHYL)ETHER</v>
          </cell>
          <cell r="B19" t="str">
            <v>111-44-4</v>
          </cell>
          <cell r="C19">
            <v>42922</v>
          </cell>
          <cell r="L19">
            <v>1.1000000000000001</v>
          </cell>
          <cell r="M19" t="str">
            <v>B2</v>
          </cell>
          <cell r="N19">
            <v>1</v>
          </cell>
          <cell r="O19">
            <v>3.3E-4</v>
          </cell>
          <cell r="P19">
            <v>1</v>
          </cell>
          <cell r="Q19">
            <v>1</v>
          </cell>
          <cell r="R19" t="str">
            <v>9e</v>
          </cell>
          <cell r="S19">
            <v>0.03</v>
          </cell>
          <cell r="T19" t="str">
            <v>9e</v>
          </cell>
          <cell r="U19">
            <v>1</v>
          </cell>
          <cell r="V19" t="str">
            <v>9e</v>
          </cell>
          <cell r="W19">
            <v>0.03</v>
          </cell>
          <cell r="X19" t="str">
            <v>9e</v>
          </cell>
          <cell r="Y19">
            <v>1</v>
          </cell>
          <cell r="Z19" t="str">
            <v>9e</v>
          </cell>
          <cell r="AA19">
            <v>0.03</v>
          </cell>
          <cell r="AB19" t="str">
            <v>9e</v>
          </cell>
          <cell r="AG19">
            <v>1</v>
          </cell>
          <cell r="AH19">
            <v>9</v>
          </cell>
          <cell r="AK19">
            <v>0.98</v>
          </cell>
          <cell r="AL19">
            <v>0.98</v>
          </cell>
          <cell r="AO19">
            <v>0</v>
          </cell>
          <cell r="AT19">
            <v>287</v>
          </cell>
          <cell r="AU19">
            <v>4.9073552088936698E-2</v>
          </cell>
          <cell r="AV19">
            <v>13</v>
          </cell>
          <cell r="AW19">
            <v>14.468078420597246</v>
          </cell>
          <cell r="AX19">
            <v>0.66</v>
          </cell>
          <cell r="AY19">
            <v>28.5</v>
          </cell>
          <cell r="AZ19">
            <v>17200000</v>
          </cell>
          <cell r="BA19">
            <v>22</v>
          </cell>
          <cell r="BB19">
            <v>1.7E-5</v>
          </cell>
          <cell r="BC19">
            <v>22</v>
          </cell>
          <cell r="BD19">
            <v>6.9569487641185136E-4</v>
          </cell>
          <cell r="BE19">
            <v>143</v>
          </cell>
          <cell r="BF19">
            <v>13</v>
          </cell>
          <cell r="BG19">
            <v>0.71</v>
          </cell>
          <cell r="BH19">
            <v>1.29</v>
          </cell>
          <cell r="BI19">
            <v>16</v>
          </cell>
          <cell r="BJ19">
            <v>75.900000000000006</v>
          </cell>
          <cell r="BK19" t="str">
            <v>17a</v>
          </cell>
          <cell r="BL19">
            <v>-51.9</v>
          </cell>
          <cell r="BM19">
            <v>17</v>
          </cell>
          <cell r="BO19">
            <v>1.7807378917032942E-3</v>
          </cell>
          <cell r="BS19">
            <v>500</v>
          </cell>
          <cell r="BT19" t="str">
            <v>Ceiling (Medium)</v>
          </cell>
          <cell r="BV19">
            <v>1000</v>
          </cell>
          <cell r="BW19" t="str">
            <v>Ceiling (Medium)</v>
          </cell>
          <cell r="BY19">
            <v>3000</v>
          </cell>
          <cell r="BZ19" t="str">
            <v>Ceiling (Medium)</v>
          </cell>
          <cell r="CA19">
            <v>50000</v>
          </cell>
          <cell r="CB19" t="str">
            <v>0.005%</v>
          </cell>
        </row>
        <row r="20">
          <cell r="A20" t="str">
            <v>BIS(2-CHLOROISOPROPYL)ETHER</v>
          </cell>
          <cell r="B20" t="str">
            <v>108-60-1</v>
          </cell>
          <cell r="C20">
            <v>42922</v>
          </cell>
          <cell r="D20">
            <v>0.04</v>
          </cell>
          <cell r="E20">
            <v>1</v>
          </cell>
          <cell r="F20">
            <v>0.04</v>
          </cell>
          <cell r="G20" t="str">
            <v>1d</v>
          </cell>
          <cell r="H20">
            <v>0.14000000000000001</v>
          </cell>
          <cell r="I20" t="str">
            <v>7b</v>
          </cell>
          <cell r="J20">
            <v>0.14000000000000001</v>
          </cell>
          <cell r="K20" t="str">
            <v>7c</v>
          </cell>
          <cell r="L20">
            <v>7.0000000000000007E-2</v>
          </cell>
          <cell r="M20" t="str">
            <v>C</v>
          </cell>
          <cell r="N20" t="str">
            <v>2d</v>
          </cell>
          <cell r="O20">
            <v>1.0000000000000001E-5</v>
          </cell>
          <cell r="P20">
            <v>2</v>
          </cell>
          <cell r="Q20">
            <v>1</v>
          </cell>
          <cell r="R20" t="str">
            <v>9e</v>
          </cell>
          <cell r="S20">
            <v>0.03</v>
          </cell>
          <cell r="T20" t="str">
            <v>9e</v>
          </cell>
          <cell r="U20">
            <v>1</v>
          </cell>
          <cell r="V20">
            <v>9</v>
          </cell>
          <cell r="W20">
            <v>0.03</v>
          </cell>
          <cell r="X20" t="str">
            <v>9e</v>
          </cell>
          <cell r="Y20">
            <v>1</v>
          </cell>
          <cell r="Z20" t="str">
            <v>9e</v>
          </cell>
          <cell r="AA20">
            <v>0.03</v>
          </cell>
          <cell r="AB20" t="str">
            <v>9e</v>
          </cell>
          <cell r="AC20">
            <v>1</v>
          </cell>
          <cell r="AD20">
            <v>9</v>
          </cell>
          <cell r="AE20">
            <v>1</v>
          </cell>
          <cell r="AF20">
            <v>9</v>
          </cell>
          <cell r="AG20">
            <v>1</v>
          </cell>
          <cell r="AH20">
            <v>9</v>
          </cell>
          <cell r="AK20">
            <v>0.98</v>
          </cell>
          <cell r="AL20">
            <v>0.98</v>
          </cell>
          <cell r="AO20">
            <v>0</v>
          </cell>
          <cell r="AR20">
            <v>320</v>
          </cell>
          <cell r="AS20">
            <v>24</v>
          </cell>
          <cell r="AT20">
            <v>2240</v>
          </cell>
          <cell r="AU20">
            <v>0.32029749587644324</v>
          </cell>
          <cell r="AV20">
            <v>24</v>
          </cell>
          <cell r="AW20">
            <v>2.6537828454578141</v>
          </cell>
          <cell r="AX20">
            <v>0.66</v>
          </cell>
          <cell r="AY20">
            <v>28.5</v>
          </cell>
          <cell r="AZ20">
            <v>39930</v>
          </cell>
          <cell r="BA20">
            <v>23</v>
          </cell>
          <cell r="BB20">
            <v>3.3199999999999999E-4</v>
          </cell>
          <cell r="BC20">
            <v>23</v>
          </cell>
          <cell r="BD20">
            <v>1.3599999999999999E-2</v>
          </cell>
          <cell r="BE20">
            <v>171</v>
          </cell>
          <cell r="BF20">
            <v>11</v>
          </cell>
          <cell r="BG20">
            <v>0.85</v>
          </cell>
          <cell r="BH20">
            <v>2.1</v>
          </cell>
          <cell r="BI20">
            <v>11</v>
          </cell>
          <cell r="BJ20">
            <v>61</v>
          </cell>
          <cell r="BK20">
            <v>11</v>
          </cell>
          <cell r="BO20">
            <v>4.250108331760467E-3</v>
          </cell>
          <cell r="BS20">
            <v>500</v>
          </cell>
          <cell r="BT20" t="str">
            <v>Ceiling (Medium)</v>
          </cell>
          <cell r="BV20">
            <v>1000</v>
          </cell>
          <cell r="BW20" t="str">
            <v>Ceiling (Medium)</v>
          </cell>
          <cell r="BY20">
            <v>3000</v>
          </cell>
          <cell r="BZ20" t="str">
            <v>Ceiling (Medium)</v>
          </cell>
          <cell r="CA20">
            <v>50000</v>
          </cell>
          <cell r="CB20" t="str">
            <v>0.005%</v>
          </cell>
        </row>
        <row r="21">
          <cell r="A21" t="str">
            <v>BIS(2-ETHYLHEXYL)PHTHALATE</v>
          </cell>
          <cell r="B21" t="str">
            <v>117-81-7</v>
          </cell>
          <cell r="C21">
            <v>42923</v>
          </cell>
          <cell r="D21">
            <v>0.02</v>
          </cell>
          <cell r="E21">
            <v>1</v>
          </cell>
          <cell r="F21">
            <v>0.02</v>
          </cell>
          <cell r="G21" t="str">
            <v>2d</v>
          </cell>
          <cell r="H21">
            <v>7.0000000000000001E-3</v>
          </cell>
          <cell r="I21">
            <v>3</v>
          </cell>
          <cell r="J21">
            <v>7.0000000000000001E-3</v>
          </cell>
          <cell r="K21" t="str">
            <v>7c</v>
          </cell>
          <cell r="L21">
            <v>1.4E-2</v>
          </cell>
          <cell r="M21" t="str">
            <v>B2</v>
          </cell>
          <cell r="N21">
            <v>1</v>
          </cell>
          <cell r="O21">
            <v>1.3E-6</v>
          </cell>
          <cell r="P21">
            <v>3</v>
          </cell>
          <cell r="Q21">
            <v>1</v>
          </cell>
          <cell r="R21" t="str">
            <v>9e</v>
          </cell>
          <cell r="S21">
            <v>0.1</v>
          </cell>
          <cell r="T21" t="str">
            <v>9e</v>
          </cell>
          <cell r="U21">
            <v>1</v>
          </cell>
          <cell r="V21" t="str">
            <v>9e</v>
          </cell>
          <cell r="W21">
            <v>0.1</v>
          </cell>
          <cell r="X21" t="str">
            <v>9e</v>
          </cell>
          <cell r="Y21">
            <v>1</v>
          </cell>
          <cell r="Z21" t="str">
            <v>9e</v>
          </cell>
          <cell r="AA21">
            <v>0.1</v>
          </cell>
          <cell r="AB21" t="str">
            <v>9e</v>
          </cell>
          <cell r="AC21">
            <v>1</v>
          </cell>
          <cell r="AD21">
            <v>9</v>
          </cell>
          <cell r="AE21">
            <v>1</v>
          </cell>
          <cell r="AF21">
            <v>9</v>
          </cell>
          <cell r="AG21">
            <v>1</v>
          </cell>
          <cell r="AH21">
            <v>9</v>
          </cell>
          <cell r="AK21">
            <v>1</v>
          </cell>
          <cell r="AL21">
            <v>1</v>
          </cell>
          <cell r="AO21">
            <v>0</v>
          </cell>
          <cell r="AU21">
            <v>0</v>
          </cell>
          <cell r="AW21">
            <v>0</v>
          </cell>
          <cell r="AX21">
            <v>0.66</v>
          </cell>
          <cell r="AY21">
            <v>4</v>
          </cell>
          <cell r="AZ21">
            <v>270</v>
          </cell>
          <cell r="BA21">
            <v>22</v>
          </cell>
          <cell r="BB21">
            <v>2.7000000000000001E-7</v>
          </cell>
          <cell r="BC21">
            <v>22</v>
          </cell>
          <cell r="BD21">
            <v>1.104927156654117E-5</v>
          </cell>
          <cell r="BE21">
            <v>391</v>
          </cell>
          <cell r="BF21">
            <v>13</v>
          </cell>
          <cell r="BH21">
            <v>7.6</v>
          </cell>
          <cell r="BI21">
            <v>16</v>
          </cell>
          <cell r="BJ21">
            <v>111000</v>
          </cell>
          <cell r="BK21" t="str">
            <v>17a</v>
          </cell>
          <cell r="BL21">
            <v>-55</v>
          </cell>
          <cell r="BM21">
            <v>17</v>
          </cell>
          <cell r="BO21">
            <v>1.0626738654024654</v>
          </cell>
          <cell r="BS21">
            <v>1000</v>
          </cell>
          <cell r="BT21" t="str">
            <v>Ceiling (High)</v>
          </cell>
          <cell r="BV21">
            <v>3000</v>
          </cell>
          <cell r="BW21" t="str">
            <v>Ceiling (High)</v>
          </cell>
          <cell r="BY21">
            <v>5000</v>
          </cell>
          <cell r="BZ21" t="str">
            <v>Ceiling (High)</v>
          </cell>
          <cell r="CA21">
            <v>50000</v>
          </cell>
          <cell r="CB21" t="str">
            <v>0.005%</v>
          </cell>
        </row>
        <row r="22">
          <cell r="A22" t="str">
            <v>BROMODICHLOROMETHANE</v>
          </cell>
          <cell r="B22" t="str">
            <v>75-27-4</v>
          </cell>
          <cell r="C22">
            <v>42922</v>
          </cell>
          <cell r="D22">
            <v>3.0000000000000001E-3</v>
          </cell>
          <cell r="E22" t="str">
            <v>6b</v>
          </cell>
          <cell r="F22">
            <v>8.0000000000000002E-3</v>
          </cell>
          <cell r="G22">
            <v>6</v>
          </cell>
          <cell r="H22">
            <v>0.01</v>
          </cell>
          <cell r="I22" t="str">
            <v>7b</v>
          </cell>
          <cell r="J22">
            <v>0.02</v>
          </cell>
          <cell r="K22">
            <v>6</v>
          </cell>
          <cell r="L22">
            <v>6.2E-2</v>
          </cell>
          <cell r="M22" t="str">
            <v>B2</v>
          </cell>
          <cell r="N22">
            <v>1</v>
          </cell>
          <cell r="O22">
            <v>1.7714285714285713E-5</v>
          </cell>
          <cell r="P22" t="str">
            <v>7a</v>
          </cell>
          <cell r="Q22">
            <v>1</v>
          </cell>
          <cell r="R22" t="str">
            <v>9e</v>
          </cell>
          <cell r="S22">
            <v>0.03</v>
          </cell>
          <cell r="T22" t="str">
            <v>9e</v>
          </cell>
          <cell r="U22">
            <v>1</v>
          </cell>
          <cell r="V22" t="str">
            <v>9e</v>
          </cell>
          <cell r="W22">
            <v>0.03</v>
          </cell>
          <cell r="X22" t="str">
            <v>9e</v>
          </cell>
          <cell r="Y22">
            <v>1</v>
          </cell>
          <cell r="Z22" t="str">
            <v>9e</v>
          </cell>
          <cell r="AA22">
            <v>0.03</v>
          </cell>
          <cell r="AB22" t="str">
            <v>9e</v>
          </cell>
          <cell r="AC22">
            <v>1</v>
          </cell>
          <cell r="AD22">
            <v>9</v>
          </cell>
          <cell r="AE22">
            <v>1</v>
          </cell>
          <cell r="AF22">
            <v>9</v>
          </cell>
          <cell r="AG22">
            <v>1</v>
          </cell>
          <cell r="AH22">
            <v>9</v>
          </cell>
          <cell r="AK22">
            <v>0.98</v>
          </cell>
          <cell r="AL22">
            <v>0.98</v>
          </cell>
          <cell r="AO22">
            <v>0</v>
          </cell>
          <cell r="AU22">
            <v>0</v>
          </cell>
          <cell r="AW22">
            <v>0</v>
          </cell>
          <cell r="AX22">
            <v>0.1</v>
          </cell>
          <cell r="AY22">
            <v>2.5</v>
          </cell>
          <cell r="AZ22">
            <v>3030000</v>
          </cell>
          <cell r="BA22">
            <v>23</v>
          </cell>
          <cell r="BB22">
            <v>2.1199999999999999E-3</v>
          </cell>
          <cell r="BC22">
            <v>22</v>
          </cell>
          <cell r="BD22">
            <v>8.6757243411360291E-2</v>
          </cell>
          <cell r="BE22">
            <v>164</v>
          </cell>
          <cell r="BF22">
            <v>13</v>
          </cell>
          <cell r="BG22">
            <v>50</v>
          </cell>
          <cell r="BH22">
            <v>2</v>
          </cell>
          <cell r="BI22">
            <v>16</v>
          </cell>
          <cell r="BJ22">
            <v>55</v>
          </cell>
          <cell r="BK22" t="str">
            <v>17b</v>
          </cell>
          <cell r="BL22">
            <v>-57</v>
          </cell>
          <cell r="BM22">
            <v>17</v>
          </cell>
          <cell r="BO22">
            <v>3.9957655661880549E-3</v>
          </cell>
          <cell r="BS22">
            <v>100</v>
          </cell>
          <cell r="BT22" t="str">
            <v>Ceiling (Low)</v>
          </cell>
          <cell r="BV22">
            <v>500</v>
          </cell>
          <cell r="BW22" t="str">
            <v>Ceiling (Low)</v>
          </cell>
          <cell r="BY22">
            <v>500</v>
          </cell>
          <cell r="BZ22" t="str">
            <v>High Volatility</v>
          </cell>
          <cell r="CA22">
            <v>50000</v>
          </cell>
          <cell r="CB22" t="str">
            <v>0.005%</v>
          </cell>
        </row>
        <row r="23">
          <cell r="A23" t="str">
            <v>BROMOFORM</v>
          </cell>
          <cell r="B23" t="str">
            <v>75-25-2</v>
          </cell>
          <cell r="C23">
            <v>42922</v>
          </cell>
          <cell r="D23">
            <v>0.02</v>
          </cell>
          <cell r="E23">
            <v>1</v>
          </cell>
          <cell r="F23">
            <v>0.03</v>
          </cell>
          <cell r="G23">
            <v>6</v>
          </cell>
          <cell r="H23">
            <v>7.0000000000000007E-2</v>
          </cell>
          <cell r="I23" t="str">
            <v>7b</v>
          </cell>
          <cell r="J23">
            <v>0.09</v>
          </cell>
          <cell r="K23" t="str">
            <v>7b</v>
          </cell>
          <cell r="L23">
            <v>7.9000000000000008E-3</v>
          </cell>
          <cell r="M23" t="str">
            <v>B2</v>
          </cell>
          <cell r="N23">
            <v>1</v>
          </cell>
          <cell r="O23">
            <v>1.1000000000000001E-6</v>
          </cell>
          <cell r="P23">
            <v>1</v>
          </cell>
          <cell r="Q23">
            <v>1</v>
          </cell>
          <cell r="R23" t="str">
            <v>9e</v>
          </cell>
          <cell r="S23">
            <v>0.03</v>
          </cell>
          <cell r="T23" t="str">
            <v>9e</v>
          </cell>
          <cell r="U23">
            <v>1</v>
          </cell>
          <cell r="V23" t="str">
            <v>9e</v>
          </cell>
          <cell r="W23">
            <v>0.03</v>
          </cell>
          <cell r="X23" t="str">
            <v>9e</v>
          </cell>
          <cell r="Y23">
            <v>1</v>
          </cell>
          <cell r="Z23" t="str">
            <v>9e</v>
          </cell>
          <cell r="AA23">
            <v>0.03</v>
          </cell>
          <cell r="AB23" t="str">
            <v>9e</v>
          </cell>
          <cell r="AC23">
            <v>1</v>
          </cell>
          <cell r="AD23">
            <v>9</v>
          </cell>
          <cell r="AE23">
            <v>1</v>
          </cell>
          <cell r="AF23">
            <v>9</v>
          </cell>
          <cell r="AG23">
            <v>1</v>
          </cell>
          <cell r="AH23">
            <v>9</v>
          </cell>
          <cell r="AK23">
            <v>0.9</v>
          </cell>
          <cell r="AL23">
            <v>0.9</v>
          </cell>
          <cell r="AO23">
            <v>0</v>
          </cell>
          <cell r="AR23">
            <v>510</v>
          </cell>
          <cell r="AS23">
            <v>13</v>
          </cell>
          <cell r="AT23">
            <v>13450</v>
          </cell>
          <cell r="AU23">
            <v>1.2998804094456267</v>
          </cell>
          <cell r="AV23">
            <v>13</v>
          </cell>
          <cell r="AW23">
            <v>4.3080886205434004</v>
          </cell>
          <cell r="AX23">
            <v>0.1</v>
          </cell>
          <cell r="AY23">
            <v>3.5</v>
          </cell>
          <cell r="AZ23">
            <v>3100000</v>
          </cell>
          <cell r="BA23">
            <v>22</v>
          </cell>
          <cell r="BB23">
            <v>5.3499999999999999E-4</v>
          </cell>
          <cell r="BC23">
            <v>22</v>
          </cell>
          <cell r="BD23">
            <v>2.1893926992961204E-2</v>
          </cell>
          <cell r="BE23">
            <v>253</v>
          </cell>
          <cell r="BF23">
            <v>13</v>
          </cell>
          <cell r="BG23">
            <v>5.6</v>
          </cell>
          <cell r="BH23">
            <v>2.4</v>
          </cell>
          <cell r="BI23">
            <v>16</v>
          </cell>
          <cell r="BJ23">
            <v>126</v>
          </cell>
          <cell r="BK23" t="str">
            <v>17a</v>
          </cell>
          <cell r="BL23">
            <v>8</v>
          </cell>
          <cell r="BM23">
            <v>17</v>
          </cell>
          <cell r="BO23">
            <v>2.3291636302139665E-3</v>
          </cell>
          <cell r="BS23">
            <v>500</v>
          </cell>
          <cell r="BT23" t="str">
            <v>Ceiling (Medium)</v>
          </cell>
          <cell r="BV23">
            <v>1000</v>
          </cell>
          <cell r="BW23" t="str">
            <v>Ceiling (Medium)</v>
          </cell>
          <cell r="BY23">
            <v>3000</v>
          </cell>
          <cell r="BZ23" t="str">
            <v>Ceiling (Medium)</v>
          </cell>
          <cell r="CA23">
            <v>50000</v>
          </cell>
          <cell r="CB23" t="str">
            <v>0.005%</v>
          </cell>
        </row>
        <row r="24">
          <cell r="A24" t="str">
            <v>BROMOMETHANE</v>
          </cell>
          <cell r="B24" t="str">
            <v>74-83-9</v>
          </cell>
          <cell r="C24">
            <v>42922</v>
          </cell>
          <cell r="D24">
            <v>1.4E-3</v>
          </cell>
          <cell r="E24">
            <v>1</v>
          </cell>
          <cell r="F24">
            <v>5.0000000000000001E-3</v>
          </cell>
          <cell r="G24">
            <v>6</v>
          </cell>
          <cell r="H24">
            <v>5.0000000000000001E-3</v>
          </cell>
          <cell r="I24">
            <v>1</v>
          </cell>
          <cell r="J24">
            <v>0.1</v>
          </cell>
          <cell r="K24">
            <v>6</v>
          </cell>
          <cell r="M24" t="str">
            <v>D</v>
          </cell>
          <cell r="N24">
            <v>1</v>
          </cell>
          <cell r="Q24">
            <v>1</v>
          </cell>
          <cell r="R24" t="str">
            <v>9e</v>
          </cell>
          <cell r="S24">
            <v>0.03</v>
          </cell>
          <cell r="T24" t="str">
            <v>9e</v>
          </cell>
          <cell r="U24">
            <v>1</v>
          </cell>
          <cell r="V24" t="str">
            <v>9e</v>
          </cell>
          <cell r="W24">
            <v>0.03</v>
          </cell>
          <cell r="X24" t="str">
            <v>9e</v>
          </cell>
          <cell r="Y24" t="str">
            <v>NC</v>
          </cell>
          <cell r="AA24" t="str">
            <v>NC</v>
          </cell>
          <cell r="AC24">
            <v>1</v>
          </cell>
          <cell r="AD24">
            <v>9</v>
          </cell>
          <cell r="AE24">
            <v>1</v>
          </cell>
          <cell r="AF24">
            <v>9</v>
          </cell>
          <cell r="AK24">
            <v>0.97</v>
          </cell>
          <cell r="AL24" t="str">
            <v>NC</v>
          </cell>
          <cell r="AO24">
            <v>0.6</v>
          </cell>
          <cell r="AT24">
            <v>80000</v>
          </cell>
          <cell r="AU24">
            <v>20.59055330634278</v>
          </cell>
          <cell r="AV24">
            <v>13</v>
          </cell>
          <cell r="AW24">
            <v>68.963664010067106</v>
          </cell>
          <cell r="AX24">
            <v>0.5</v>
          </cell>
          <cell r="AY24">
            <v>0.55000000000000004</v>
          </cell>
          <cell r="AZ24">
            <v>15200000</v>
          </cell>
          <cell r="BA24">
            <v>22</v>
          </cell>
          <cell r="BB24">
            <v>7.3400000000000002E-3</v>
          </cell>
          <cell r="BC24">
            <v>22</v>
          </cell>
          <cell r="BD24">
            <v>0.30037649369782288</v>
          </cell>
          <cell r="BE24">
            <v>95</v>
          </cell>
          <cell r="BF24">
            <v>13</v>
          </cell>
          <cell r="BG24">
            <v>1420</v>
          </cell>
          <cell r="BH24">
            <v>1.19</v>
          </cell>
          <cell r="BJ24">
            <v>5.8884365535558905</v>
          </cell>
          <cell r="BK24">
            <v>13</v>
          </cell>
          <cell r="BS24">
            <v>500</v>
          </cell>
          <cell r="BT24" t="str">
            <v>Ceiling (Medium)</v>
          </cell>
          <cell r="BV24">
            <v>1000</v>
          </cell>
          <cell r="BW24" t="str">
            <v>Ceiling (Medium)</v>
          </cell>
          <cell r="BY24">
            <v>3000</v>
          </cell>
          <cell r="BZ24" t="str">
            <v>Ceiling (Medium)</v>
          </cell>
          <cell r="CA24">
            <v>50000</v>
          </cell>
          <cell r="CB24" t="str">
            <v>0.005%</v>
          </cell>
        </row>
        <row r="25">
          <cell r="A25" t="str">
            <v>CADMIUM</v>
          </cell>
          <cell r="B25" t="str">
            <v>7440-43-9</v>
          </cell>
          <cell r="C25">
            <v>42922</v>
          </cell>
          <cell r="D25">
            <v>5.0000000000000001E-4</v>
          </cell>
          <cell r="E25" t="str">
            <v>1c</v>
          </cell>
          <cell r="F25">
            <v>5.0000000000000001E-4</v>
          </cell>
          <cell r="G25" t="str">
            <v>1d</v>
          </cell>
          <cell r="H25">
            <v>1.0000000000000001E-5</v>
          </cell>
          <cell r="I25" t="str">
            <v>3a</v>
          </cell>
          <cell r="J25">
            <v>1.0000000000000001E-5</v>
          </cell>
          <cell r="K25" t="str">
            <v>7c</v>
          </cell>
          <cell r="M25" t="str">
            <v>B1</v>
          </cell>
          <cell r="N25">
            <v>1</v>
          </cell>
          <cell r="O25">
            <v>4.1999999999999997E-3</v>
          </cell>
          <cell r="P25" t="str">
            <v>3a</v>
          </cell>
          <cell r="Q25">
            <v>0.5</v>
          </cell>
          <cell r="R25" t="str">
            <v>9g</v>
          </cell>
          <cell r="S25">
            <v>0.01</v>
          </cell>
          <cell r="T25" t="str">
            <v>9e</v>
          </cell>
          <cell r="U25">
            <v>0.5</v>
          </cell>
          <cell r="V25" t="str">
            <v>9g</v>
          </cell>
          <cell r="W25">
            <v>0.01</v>
          </cell>
          <cell r="X25" t="str">
            <v>9e</v>
          </cell>
          <cell r="Y25" t="str">
            <v>NC</v>
          </cell>
          <cell r="AA25" t="str">
            <v>NC</v>
          </cell>
          <cell r="AC25">
            <v>1</v>
          </cell>
          <cell r="AD25">
            <v>9</v>
          </cell>
          <cell r="AE25">
            <v>1</v>
          </cell>
          <cell r="AF25">
            <v>9</v>
          </cell>
          <cell r="AI25">
            <v>3</v>
          </cell>
          <cell r="AK25">
            <v>7.0000000000000007E-2</v>
          </cell>
          <cell r="AL25" t="str">
            <v>NC</v>
          </cell>
          <cell r="AM25">
            <v>2</v>
          </cell>
          <cell r="AN25">
            <v>4.2</v>
          </cell>
          <cell r="AO25">
            <v>0</v>
          </cell>
          <cell r="AU25">
            <v>0</v>
          </cell>
          <cell r="AW25">
            <v>0</v>
          </cell>
          <cell r="AX25">
            <v>0.8</v>
          </cell>
          <cell r="AY25">
            <v>4</v>
          </cell>
          <cell r="AZ25">
            <v>0</v>
          </cell>
          <cell r="BD25">
            <v>0</v>
          </cell>
          <cell r="BE25">
            <v>112</v>
          </cell>
          <cell r="BF25">
            <v>13</v>
          </cell>
          <cell r="BH25">
            <v>-7.0000000000000007E-2</v>
          </cell>
          <cell r="BJ25">
            <v>0</v>
          </cell>
          <cell r="BO25">
            <v>1E-3</v>
          </cell>
          <cell r="BP25">
            <v>1.9</v>
          </cell>
          <cell r="BS25">
            <v>1000</v>
          </cell>
          <cell r="BT25" t="str">
            <v>Ceiling (High)</v>
          </cell>
          <cell r="BV25">
            <v>3000</v>
          </cell>
          <cell r="BW25" t="str">
            <v>Ceiling (High)</v>
          </cell>
          <cell r="BY25">
            <v>5000</v>
          </cell>
          <cell r="BZ25" t="str">
            <v>Ceiling (High)</v>
          </cell>
          <cell r="CA25">
            <v>50000</v>
          </cell>
          <cell r="CB25" t="str">
            <v>0.005%</v>
          </cell>
          <cell r="CC25" t="str">
            <v>Y</v>
          </cell>
        </row>
        <row r="26">
          <cell r="A26" t="str">
            <v>CARBON TETRACHLORIDE</v>
          </cell>
          <cell r="B26" t="str">
            <v>56-23-5</v>
          </cell>
          <cell r="C26">
            <v>42922</v>
          </cell>
          <cell r="D26">
            <v>4.0000000000000001E-3</v>
          </cell>
          <cell r="E26">
            <v>1</v>
          </cell>
          <cell r="F26">
            <v>0.01</v>
          </cell>
          <cell r="G26" t="str">
            <v>1i</v>
          </cell>
          <cell r="H26">
            <v>0.1</v>
          </cell>
          <cell r="I26">
            <v>1</v>
          </cell>
          <cell r="J26">
            <v>0.1</v>
          </cell>
          <cell r="K26" t="str">
            <v>7c</v>
          </cell>
          <cell r="L26">
            <v>7.0000000000000007E-2</v>
          </cell>
          <cell r="M26" t="str">
            <v>B2</v>
          </cell>
          <cell r="N26">
            <v>1</v>
          </cell>
          <cell r="O26">
            <v>6.0000000000000002E-6</v>
          </cell>
          <cell r="P26">
            <v>1</v>
          </cell>
          <cell r="Q26">
            <v>1</v>
          </cell>
          <cell r="R26" t="str">
            <v>9e</v>
          </cell>
          <cell r="S26">
            <v>0.03</v>
          </cell>
          <cell r="T26" t="str">
            <v>9e</v>
          </cell>
          <cell r="U26">
            <v>1</v>
          </cell>
          <cell r="V26" t="str">
            <v>9e</v>
          </cell>
          <cell r="W26">
            <v>0.03</v>
          </cell>
          <cell r="X26" t="str">
            <v>9e</v>
          </cell>
          <cell r="Y26">
            <v>1</v>
          </cell>
          <cell r="Z26" t="str">
            <v>9e</v>
          </cell>
          <cell r="AA26">
            <v>0.03</v>
          </cell>
          <cell r="AB26" t="str">
            <v>9e</v>
          </cell>
          <cell r="AC26">
            <v>1</v>
          </cell>
          <cell r="AD26">
            <v>9</v>
          </cell>
          <cell r="AE26">
            <v>1</v>
          </cell>
          <cell r="AF26">
            <v>9</v>
          </cell>
          <cell r="AG26">
            <v>1</v>
          </cell>
          <cell r="AH26">
            <v>9</v>
          </cell>
          <cell r="AK26">
            <v>1</v>
          </cell>
          <cell r="AL26">
            <v>1</v>
          </cell>
          <cell r="AO26">
            <v>0.86</v>
          </cell>
          <cell r="AP26">
            <v>20</v>
          </cell>
          <cell r="AQ26">
            <v>0.13400000000000001</v>
          </cell>
          <cell r="AR26">
            <v>520</v>
          </cell>
          <cell r="AS26">
            <v>13</v>
          </cell>
          <cell r="AT26">
            <v>63000</v>
          </cell>
          <cell r="AU26">
            <v>10.002797202797201</v>
          </cell>
          <cell r="AV26">
            <v>13</v>
          </cell>
          <cell r="AW26">
            <v>11.296840044742732</v>
          </cell>
          <cell r="AX26">
            <v>0.1</v>
          </cell>
          <cell r="AY26">
            <v>1.5</v>
          </cell>
          <cell r="AZ26">
            <v>793000</v>
          </cell>
          <cell r="BA26">
            <v>22</v>
          </cell>
          <cell r="BB26">
            <v>2.76E-2</v>
          </cell>
          <cell r="BC26">
            <v>22</v>
          </cell>
          <cell r="BD26">
            <v>1.1294810934686528</v>
          </cell>
          <cell r="BE26">
            <v>154</v>
          </cell>
          <cell r="BF26">
            <v>13</v>
          </cell>
          <cell r="BG26">
            <v>113</v>
          </cell>
          <cell r="BH26">
            <v>2.83</v>
          </cell>
          <cell r="BI26">
            <v>16</v>
          </cell>
          <cell r="BJ26">
            <v>152</v>
          </cell>
          <cell r="BK26" t="str">
            <v>17a</v>
          </cell>
          <cell r="BL26">
            <v>-23</v>
          </cell>
          <cell r="BM26">
            <v>17</v>
          </cell>
          <cell r="BO26">
            <v>1.6047227144931665E-2</v>
          </cell>
          <cell r="BS26">
            <v>500</v>
          </cell>
          <cell r="BT26" t="str">
            <v>Ceiling (Medium)</v>
          </cell>
          <cell r="BV26">
            <v>1000</v>
          </cell>
          <cell r="BW26" t="str">
            <v>Ceiling (Medium)</v>
          </cell>
          <cell r="BY26">
            <v>3000</v>
          </cell>
          <cell r="BZ26" t="str">
            <v>Ceiling (Medium)</v>
          </cell>
          <cell r="CA26">
            <v>50000</v>
          </cell>
          <cell r="CB26" t="str">
            <v>0.005%</v>
          </cell>
        </row>
        <row r="27">
          <cell r="A27" t="str">
            <v>CHLORDANE</v>
          </cell>
          <cell r="B27" t="str">
            <v>12789-03-6</v>
          </cell>
          <cell r="C27">
            <v>42922</v>
          </cell>
          <cell r="D27">
            <v>5.0000000000000001E-4</v>
          </cell>
          <cell r="E27">
            <v>1</v>
          </cell>
          <cell r="F27">
            <v>5.0000000000000001E-4</v>
          </cell>
          <cell r="G27" t="str">
            <v>1d</v>
          </cell>
          <cell r="H27">
            <v>6.9999999999999999E-4</v>
          </cell>
          <cell r="I27">
            <v>1</v>
          </cell>
          <cell r="J27">
            <v>7.0000000000000001E-3</v>
          </cell>
          <cell r="K27" t="str">
            <v>1k</v>
          </cell>
          <cell r="L27">
            <v>0.35</v>
          </cell>
          <cell r="M27" t="str">
            <v>B2</v>
          </cell>
          <cell r="N27">
            <v>1</v>
          </cell>
          <cell r="O27">
            <v>1E-4</v>
          </cell>
          <cell r="P27">
            <v>1</v>
          </cell>
          <cell r="Q27">
            <v>1</v>
          </cell>
          <cell r="R27" t="str">
            <v>9e</v>
          </cell>
          <cell r="S27">
            <v>0.04</v>
          </cell>
          <cell r="T27" t="str">
            <v>9e</v>
          </cell>
          <cell r="U27">
            <v>1</v>
          </cell>
          <cell r="V27" t="str">
            <v>9e</v>
          </cell>
          <cell r="W27">
            <v>0.04</v>
          </cell>
          <cell r="X27" t="str">
            <v>9e</v>
          </cell>
          <cell r="Y27">
            <v>1</v>
          </cell>
          <cell r="Z27" t="str">
            <v>9e</v>
          </cell>
          <cell r="AA27">
            <v>0.04</v>
          </cell>
          <cell r="AB27" t="str">
            <v>9e</v>
          </cell>
          <cell r="AC27">
            <v>1</v>
          </cell>
          <cell r="AD27">
            <v>9</v>
          </cell>
          <cell r="AE27">
            <v>1</v>
          </cell>
          <cell r="AF27">
            <v>9</v>
          </cell>
          <cell r="AG27">
            <v>1</v>
          </cell>
          <cell r="AH27">
            <v>9</v>
          </cell>
          <cell r="AK27">
            <v>0.8</v>
          </cell>
          <cell r="AL27">
            <v>0.8</v>
          </cell>
          <cell r="AO27">
            <v>0</v>
          </cell>
          <cell r="AR27">
            <v>205</v>
          </cell>
          <cell r="AS27">
            <v>24</v>
          </cell>
          <cell r="AT27">
            <v>8.4</v>
          </cell>
          <cell r="AU27">
            <v>5.0095309568480291E-4</v>
          </cell>
          <cell r="AW27">
            <v>1.9961948705656766E-2</v>
          </cell>
          <cell r="AX27">
            <v>0.7</v>
          </cell>
          <cell r="AY27">
            <v>1.5</v>
          </cell>
          <cell r="AZ27">
            <v>13</v>
          </cell>
          <cell r="BA27">
            <v>22</v>
          </cell>
          <cell r="BB27">
            <v>7.0300000000000001E-5</v>
          </cell>
          <cell r="BC27">
            <v>22</v>
          </cell>
          <cell r="BD27">
            <v>2.8769029301031267E-3</v>
          </cell>
          <cell r="BE27">
            <v>410</v>
          </cell>
          <cell r="BF27">
            <v>13</v>
          </cell>
          <cell r="BG27">
            <v>1.0000000000000001E-5</v>
          </cell>
          <cell r="BH27">
            <v>6.26</v>
          </cell>
          <cell r="BI27">
            <v>16</v>
          </cell>
          <cell r="BJ27">
            <v>51300</v>
          </cell>
          <cell r="BK27" t="str">
            <v>17a</v>
          </cell>
          <cell r="BL27">
            <v>106</v>
          </cell>
          <cell r="BM27">
            <v>17</v>
          </cell>
          <cell r="BO27">
            <v>0.10854254493068262</v>
          </cell>
          <cell r="BP27">
            <v>11.104166666666666</v>
          </cell>
          <cell r="BS27">
            <v>1000</v>
          </cell>
          <cell r="BT27" t="str">
            <v>Ceiling (High)</v>
          </cell>
          <cell r="BV27">
            <v>3000</v>
          </cell>
          <cell r="BW27" t="str">
            <v>Ceiling (High)</v>
          </cell>
          <cell r="BY27">
            <v>5000</v>
          </cell>
          <cell r="BZ27" t="str">
            <v>Ceiling (High)</v>
          </cell>
          <cell r="CA27">
            <v>50000</v>
          </cell>
          <cell r="CB27" t="str">
            <v>0.005%</v>
          </cell>
        </row>
        <row r="28">
          <cell r="A28" t="str">
            <v>CHLOROANILINE, p-</v>
          </cell>
          <cell r="B28" t="str">
            <v>106-47-8</v>
          </cell>
          <cell r="C28">
            <v>42922</v>
          </cell>
          <cell r="D28">
            <v>5.0000000000000001E-4</v>
          </cell>
          <cell r="E28" t="str">
            <v>6a</v>
          </cell>
          <cell r="F28">
            <v>5.0000000000000001E-4</v>
          </cell>
          <cell r="G28">
            <v>6</v>
          </cell>
          <cell r="H28">
            <v>2E-3</v>
          </cell>
          <cell r="I28" t="str">
            <v>7b</v>
          </cell>
          <cell r="J28">
            <v>2E-3</v>
          </cell>
          <cell r="K28" t="str">
            <v>7c</v>
          </cell>
          <cell r="L28">
            <v>0.2</v>
          </cell>
          <cell r="N28">
            <v>6</v>
          </cell>
          <cell r="Q28">
            <v>1</v>
          </cell>
          <cell r="R28" t="str">
            <v>9e</v>
          </cell>
          <cell r="S28">
            <v>0.1</v>
          </cell>
          <cell r="T28" t="str">
            <v>9e</v>
          </cell>
          <cell r="U28">
            <v>1</v>
          </cell>
          <cell r="V28" t="str">
            <v>9e</v>
          </cell>
          <cell r="W28">
            <v>0.1</v>
          </cell>
          <cell r="X28" t="str">
            <v>9e</v>
          </cell>
          <cell r="Y28">
            <v>1</v>
          </cell>
          <cell r="Z28" t="str">
            <v>9e</v>
          </cell>
          <cell r="AA28">
            <v>0.1</v>
          </cell>
          <cell r="AB28" t="str">
            <v>9e</v>
          </cell>
          <cell r="AC28">
            <v>1</v>
          </cell>
          <cell r="AD28">
            <v>9</v>
          </cell>
          <cell r="AE28">
            <v>1</v>
          </cell>
          <cell r="AF28">
            <v>9</v>
          </cell>
          <cell r="AG28">
            <v>1</v>
          </cell>
          <cell r="AH28">
            <v>9</v>
          </cell>
          <cell r="AK28">
            <v>1</v>
          </cell>
          <cell r="AL28">
            <v>1</v>
          </cell>
          <cell r="AO28">
            <v>0</v>
          </cell>
          <cell r="AU28">
            <v>0</v>
          </cell>
          <cell r="AW28">
            <v>0</v>
          </cell>
          <cell r="AX28">
            <v>1.3</v>
          </cell>
          <cell r="AY28">
            <v>20</v>
          </cell>
          <cell r="AZ28">
            <v>3900000</v>
          </cell>
          <cell r="BA28">
            <v>22</v>
          </cell>
          <cell r="BB28">
            <v>1.1599999999999999E-6</v>
          </cell>
          <cell r="BC28">
            <v>22</v>
          </cell>
          <cell r="BD28">
            <v>4.7470944508102797E-5</v>
          </cell>
          <cell r="BE28">
            <v>128</v>
          </cell>
          <cell r="BF28">
            <v>12</v>
          </cell>
          <cell r="BG28">
            <v>1.4999999999999999E-2</v>
          </cell>
          <cell r="BH28">
            <v>1.83</v>
          </cell>
          <cell r="BI28">
            <v>17</v>
          </cell>
          <cell r="BJ28">
            <v>66.099999999999994</v>
          </cell>
          <cell r="BK28" t="str">
            <v>17b</v>
          </cell>
          <cell r="BL28">
            <v>72.5</v>
          </cell>
          <cell r="BM28">
            <v>17</v>
          </cell>
          <cell r="BO28">
            <v>4.909078761526034E-3</v>
          </cell>
          <cell r="BS28">
            <v>1000</v>
          </cell>
          <cell r="BT28" t="str">
            <v>Ceiling (High)</v>
          </cell>
          <cell r="BV28">
            <v>3000</v>
          </cell>
          <cell r="BW28" t="str">
            <v>Ceiling (High)</v>
          </cell>
          <cell r="BY28">
            <v>5000</v>
          </cell>
          <cell r="BZ28" t="str">
            <v>Ceiling (High)</v>
          </cell>
          <cell r="CA28">
            <v>50000</v>
          </cell>
          <cell r="CB28" t="str">
            <v>0.005%</v>
          </cell>
        </row>
        <row r="29">
          <cell r="A29" t="str">
            <v>CHLOROBENZENE</v>
          </cell>
          <cell r="B29" t="str">
            <v>108-90-7</v>
          </cell>
          <cell r="C29">
            <v>42922</v>
          </cell>
          <cell r="D29">
            <v>0.02</v>
          </cell>
          <cell r="E29">
            <v>1</v>
          </cell>
          <cell r="F29">
            <v>7.0000000000000007E-2</v>
          </cell>
          <cell r="G29">
            <v>6</v>
          </cell>
          <cell r="H29">
            <v>0.05</v>
          </cell>
          <cell r="I29">
            <v>6</v>
          </cell>
          <cell r="J29">
            <v>0.5</v>
          </cell>
          <cell r="K29">
            <v>6</v>
          </cell>
          <cell r="M29" t="str">
            <v>D</v>
          </cell>
          <cell r="N29">
            <v>1</v>
          </cell>
          <cell r="Q29">
            <v>1</v>
          </cell>
          <cell r="R29" t="str">
            <v>9e</v>
          </cell>
          <cell r="S29">
            <v>0.03</v>
          </cell>
          <cell r="T29" t="str">
            <v>9e</v>
          </cell>
          <cell r="U29">
            <v>1</v>
          </cell>
          <cell r="V29" t="str">
            <v>9e</v>
          </cell>
          <cell r="W29">
            <v>0.03</v>
          </cell>
          <cell r="X29" t="str">
            <v>9e</v>
          </cell>
          <cell r="Y29" t="str">
            <v>NC</v>
          </cell>
          <cell r="AA29" t="str">
            <v>NC</v>
          </cell>
          <cell r="AC29">
            <v>1</v>
          </cell>
          <cell r="AD29">
            <v>9</v>
          </cell>
          <cell r="AE29">
            <v>1</v>
          </cell>
          <cell r="AF29">
            <v>9</v>
          </cell>
          <cell r="AK29">
            <v>1</v>
          </cell>
          <cell r="AL29" t="str">
            <v>NC</v>
          </cell>
          <cell r="AO29">
            <v>10</v>
          </cell>
          <cell r="AP29">
            <v>10</v>
          </cell>
          <cell r="AR29">
            <v>50</v>
          </cell>
          <cell r="AS29">
            <v>13</v>
          </cell>
          <cell r="AT29">
            <v>1000</v>
          </cell>
          <cell r="AU29">
            <v>0.21638302700249598</v>
          </cell>
          <cell r="AV29">
            <v>13</v>
          </cell>
          <cell r="AW29">
            <v>54.532927852349012</v>
          </cell>
          <cell r="AX29">
            <v>0.1</v>
          </cell>
          <cell r="AY29">
            <v>0.5</v>
          </cell>
          <cell r="AZ29">
            <v>498000</v>
          </cell>
          <cell r="BA29">
            <v>22</v>
          </cell>
          <cell r="BB29">
            <v>3.1099999999999999E-3</v>
          </cell>
          <cell r="BC29">
            <v>22</v>
          </cell>
          <cell r="BD29">
            <v>0.12727123915534458</v>
          </cell>
          <cell r="BE29">
            <v>113</v>
          </cell>
          <cell r="BF29">
            <v>13</v>
          </cell>
          <cell r="BG29">
            <v>11.8</v>
          </cell>
          <cell r="BH29">
            <v>2.84</v>
          </cell>
          <cell r="BI29">
            <v>16</v>
          </cell>
          <cell r="BJ29">
            <v>224</v>
          </cell>
          <cell r="BK29" t="str">
            <v>17a</v>
          </cell>
          <cell r="BL29">
            <v>-45.2</v>
          </cell>
          <cell r="BM29">
            <v>17</v>
          </cell>
          <cell r="BO29">
            <v>2.7643943712203363E-2</v>
          </cell>
          <cell r="BS29">
            <v>500</v>
          </cell>
          <cell r="BT29" t="str">
            <v>Ceiling (Medium)</v>
          </cell>
          <cell r="BV29">
            <v>1000</v>
          </cell>
          <cell r="BW29" t="str">
            <v>Ceiling (Medium)</v>
          </cell>
          <cell r="BY29">
            <v>3000</v>
          </cell>
          <cell r="BZ29" t="str">
            <v>Ceiling (Medium)</v>
          </cell>
          <cell r="CA29">
            <v>50000</v>
          </cell>
          <cell r="CB29" t="str">
            <v>0.005%</v>
          </cell>
        </row>
        <row r="30">
          <cell r="A30" t="str">
            <v>CHLOROFORM</v>
          </cell>
          <cell r="B30" t="str">
            <v>67-66-3</v>
          </cell>
          <cell r="C30">
            <v>42923</v>
          </cell>
          <cell r="D30">
            <v>0.01</v>
          </cell>
          <cell r="E30">
            <v>1</v>
          </cell>
          <cell r="F30">
            <v>0.01</v>
          </cell>
          <cell r="G30">
            <v>2</v>
          </cell>
          <cell r="H30">
            <v>0.66</v>
          </cell>
          <cell r="I30">
            <v>3</v>
          </cell>
          <cell r="J30">
            <v>0.66</v>
          </cell>
          <cell r="K30" t="str">
            <v>7c</v>
          </cell>
          <cell r="M30" t="str">
            <v>B2</v>
          </cell>
          <cell r="N30">
            <v>1</v>
          </cell>
          <cell r="O30">
            <v>2.3E-5</v>
          </cell>
          <cell r="P30">
            <v>1</v>
          </cell>
          <cell r="Q30">
            <v>1</v>
          </cell>
          <cell r="R30" t="str">
            <v>9e</v>
          </cell>
          <cell r="S30">
            <v>0.03</v>
          </cell>
          <cell r="T30" t="str">
            <v>9e</v>
          </cell>
          <cell r="U30">
            <v>1</v>
          </cell>
          <cell r="V30" t="str">
            <v>9e</v>
          </cell>
          <cell r="W30">
            <v>0.03</v>
          </cell>
          <cell r="X30" t="str">
            <v>9e</v>
          </cell>
          <cell r="Y30" t="str">
            <v>NC</v>
          </cell>
          <cell r="AA30" t="str">
            <v>NC</v>
          </cell>
          <cell r="AC30">
            <v>1</v>
          </cell>
          <cell r="AD30">
            <v>9</v>
          </cell>
          <cell r="AE30">
            <v>1</v>
          </cell>
          <cell r="AF30">
            <v>9</v>
          </cell>
          <cell r="AK30">
            <v>1</v>
          </cell>
          <cell r="AL30">
            <v>1</v>
          </cell>
          <cell r="AO30">
            <v>3</v>
          </cell>
          <cell r="AP30">
            <v>15</v>
          </cell>
          <cell r="AQ30">
            <v>0.69099999999999995</v>
          </cell>
          <cell r="AR30">
            <v>2400</v>
          </cell>
          <cell r="AS30">
            <v>13</v>
          </cell>
          <cell r="AT30">
            <v>421600</v>
          </cell>
          <cell r="AU30">
            <v>86.627399267399255</v>
          </cell>
          <cell r="AV30">
            <v>13</v>
          </cell>
          <cell r="AW30">
            <v>1.8469906906256768</v>
          </cell>
          <cell r="AX30">
            <v>0.1</v>
          </cell>
          <cell r="AY30">
            <v>1</v>
          </cell>
          <cell r="AZ30">
            <v>7950000</v>
          </cell>
          <cell r="BA30">
            <v>22</v>
          </cell>
          <cell r="BB30">
            <v>3.6700000000000001E-3</v>
          </cell>
          <cell r="BC30">
            <v>22</v>
          </cell>
          <cell r="BD30">
            <v>0.15018824684891144</v>
          </cell>
          <cell r="BE30">
            <v>119</v>
          </cell>
          <cell r="BF30">
            <v>13</v>
          </cell>
          <cell r="BG30">
            <v>160</v>
          </cell>
          <cell r="BH30">
            <v>1.97</v>
          </cell>
          <cell r="BI30">
            <v>16</v>
          </cell>
          <cell r="BJ30">
            <v>52.5</v>
          </cell>
          <cell r="BK30" t="str">
            <v>17a</v>
          </cell>
          <cell r="BL30">
            <v>-63.6</v>
          </cell>
          <cell r="BM30">
            <v>17</v>
          </cell>
          <cell r="BO30">
            <v>6.8202453790326776E-3</v>
          </cell>
          <cell r="BS30">
            <v>500</v>
          </cell>
          <cell r="BT30" t="str">
            <v>Ceiling (Medium)</v>
          </cell>
          <cell r="BV30">
            <v>1000</v>
          </cell>
          <cell r="BW30" t="str">
            <v>Ceiling (Medium)</v>
          </cell>
          <cell r="BY30">
            <v>3000</v>
          </cell>
          <cell r="BZ30" t="str">
            <v>Ceiling (Medium)</v>
          </cell>
          <cell r="CA30">
            <v>50000</v>
          </cell>
          <cell r="CB30" t="str">
            <v>0.005%</v>
          </cell>
        </row>
        <row r="31">
          <cell r="A31" t="str">
            <v>CHLOROPHENOL, 2-</v>
          </cell>
          <cell r="B31" t="str">
            <v>95-57-8</v>
          </cell>
          <cell r="C31">
            <v>42922</v>
          </cell>
          <cell r="D31">
            <v>5.0000000000000001E-3</v>
          </cell>
          <cell r="E31">
            <v>1</v>
          </cell>
          <cell r="F31">
            <v>8.0000000000000002E-3</v>
          </cell>
          <cell r="G31">
            <v>6</v>
          </cell>
          <cell r="H31">
            <v>1.7999999999999999E-2</v>
          </cell>
          <cell r="I31" t="str">
            <v>7b</v>
          </cell>
          <cell r="J31">
            <v>0.03</v>
          </cell>
          <cell r="K31">
            <v>6</v>
          </cell>
          <cell r="Q31">
            <v>1</v>
          </cell>
          <cell r="R31" t="str">
            <v>9e</v>
          </cell>
          <cell r="S31">
            <v>0.3</v>
          </cell>
          <cell r="T31" t="str">
            <v>9b</v>
          </cell>
          <cell r="U31">
            <v>1</v>
          </cell>
          <cell r="V31" t="str">
            <v>9e</v>
          </cell>
          <cell r="W31">
            <v>0.3</v>
          </cell>
          <cell r="X31" t="str">
            <v>9e</v>
          </cell>
          <cell r="Y31" t="str">
            <v>NC</v>
          </cell>
          <cell r="AA31" t="str">
            <v>NC</v>
          </cell>
          <cell r="AC31">
            <v>1</v>
          </cell>
          <cell r="AD31">
            <v>9</v>
          </cell>
          <cell r="AE31">
            <v>1</v>
          </cell>
          <cell r="AF31">
            <v>9</v>
          </cell>
          <cell r="AK31">
            <v>1</v>
          </cell>
          <cell r="AL31" t="str">
            <v>NC</v>
          </cell>
          <cell r="AO31">
            <v>0</v>
          </cell>
          <cell r="AR31">
            <v>0.18</v>
          </cell>
          <cell r="AS31">
            <v>24</v>
          </cell>
          <cell r="AT31">
            <v>19</v>
          </cell>
          <cell r="AU31">
            <v>3.6013516199562708E-3</v>
          </cell>
          <cell r="AW31">
            <v>0</v>
          </cell>
          <cell r="AX31">
            <v>0.66</v>
          </cell>
          <cell r="AY31">
            <v>10</v>
          </cell>
          <cell r="AZ31">
            <v>11300000</v>
          </cell>
          <cell r="BA31">
            <v>22</v>
          </cell>
          <cell r="BB31">
            <v>1.1199999999999999E-5</v>
          </cell>
          <cell r="BC31">
            <v>22</v>
          </cell>
          <cell r="BD31">
            <v>4.5834015387133734E-4</v>
          </cell>
          <cell r="BE31">
            <v>129</v>
          </cell>
          <cell r="BF31">
            <v>12</v>
          </cell>
          <cell r="BH31">
            <v>2.15</v>
          </cell>
          <cell r="BI31">
            <v>16</v>
          </cell>
          <cell r="BJ31">
            <v>286</v>
          </cell>
          <cell r="BK31" t="str">
            <v>17b</v>
          </cell>
          <cell r="BL31">
            <v>-9.8000000000000007</v>
          </cell>
          <cell r="BM31">
            <v>17</v>
          </cell>
          <cell r="BO31">
            <v>7.8813388509341598E-3</v>
          </cell>
          <cell r="BS31">
            <v>1000</v>
          </cell>
          <cell r="BT31" t="str">
            <v>Ceiling (High)</v>
          </cell>
          <cell r="BV31">
            <v>3000</v>
          </cell>
          <cell r="BW31" t="str">
            <v>Ceiling (High)</v>
          </cell>
          <cell r="BY31">
            <v>5000</v>
          </cell>
          <cell r="BZ31" t="str">
            <v>Ceiling (High)</v>
          </cell>
          <cell r="CA31">
            <v>50000</v>
          </cell>
          <cell r="CB31" t="str">
            <v>0.005%</v>
          </cell>
        </row>
        <row r="32">
          <cell r="A32" t="str">
            <v>CHROMIUM (TOTAL)</v>
          </cell>
          <cell r="B32" t="str">
            <v>7440-47-3</v>
          </cell>
          <cell r="C32">
            <v>42923</v>
          </cell>
          <cell r="D32">
            <v>3.0000000000000001E-3</v>
          </cell>
          <cell r="E32">
            <v>1</v>
          </cell>
          <cell r="F32">
            <v>0.02</v>
          </cell>
          <cell r="G32">
            <v>2</v>
          </cell>
          <cell r="H32">
            <v>1E-4</v>
          </cell>
          <cell r="I32">
            <v>1</v>
          </cell>
          <cell r="J32">
            <v>3.0000000000000003E-4</v>
          </cell>
          <cell r="K32" t="str">
            <v>1k</v>
          </cell>
          <cell r="O32">
            <v>1.2E-2</v>
          </cell>
          <cell r="P32">
            <v>1</v>
          </cell>
          <cell r="Q32">
            <v>1</v>
          </cell>
          <cell r="R32" t="str">
            <v>9e</v>
          </cell>
          <cell r="S32">
            <v>0.1</v>
          </cell>
          <cell r="T32" t="str">
            <v>9e</v>
          </cell>
          <cell r="U32">
            <v>1</v>
          </cell>
          <cell r="V32" t="str">
            <v>9e</v>
          </cell>
          <cell r="W32">
            <v>0.1</v>
          </cell>
          <cell r="X32" t="str">
            <v>9e</v>
          </cell>
          <cell r="Y32" t="str">
            <v>NC</v>
          </cell>
          <cell r="AA32" t="str">
            <v>NC</v>
          </cell>
          <cell r="AC32">
            <v>1</v>
          </cell>
          <cell r="AD32">
            <v>9</v>
          </cell>
          <cell r="AE32">
            <v>1</v>
          </cell>
          <cell r="AF32">
            <v>9</v>
          </cell>
          <cell r="AI32">
            <v>40</v>
          </cell>
          <cell r="AK32">
            <v>0.11</v>
          </cell>
          <cell r="AL32" t="str">
            <v>NC</v>
          </cell>
          <cell r="AM32">
            <v>30</v>
          </cell>
          <cell r="AN32">
            <v>4.9000000000000004</v>
          </cell>
          <cell r="AO32">
            <v>0</v>
          </cell>
          <cell r="AW32">
            <v>0</v>
          </cell>
          <cell r="AX32">
            <v>0</v>
          </cell>
          <cell r="AY32">
            <v>0.5</v>
          </cell>
          <cell r="AZ32">
            <v>0</v>
          </cell>
          <cell r="BD32">
            <v>0</v>
          </cell>
          <cell r="BE32">
            <v>52</v>
          </cell>
          <cell r="BH32">
            <v>0.23</v>
          </cell>
          <cell r="BJ32">
            <v>0</v>
          </cell>
          <cell r="BO32">
            <v>2E-3</v>
          </cell>
          <cell r="BS32">
            <v>1000</v>
          </cell>
          <cell r="BT32" t="str">
            <v>Ceiling (High)</v>
          </cell>
          <cell r="BV32">
            <v>3000</v>
          </cell>
          <cell r="BW32" t="str">
            <v>Ceiling (High)</v>
          </cell>
          <cell r="BY32">
            <v>5000</v>
          </cell>
          <cell r="BZ32" t="str">
            <v>Ceiling (High)</v>
          </cell>
          <cell r="CA32">
            <v>50000</v>
          </cell>
          <cell r="CB32" t="str">
            <v>0.005%</v>
          </cell>
          <cell r="CC32" t="str">
            <v>Y</v>
          </cell>
        </row>
        <row r="33">
          <cell r="A33" t="str">
            <v>CHROMIUM(III)</v>
          </cell>
          <cell r="B33" t="str">
            <v>16065-83-1</v>
          </cell>
          <cell r="C33">
            <v>42922</v>
          </cell>
          <cell r="D33">
            <v>1.5</v>
          </cell>
          <cell r="E33">
            <v>1</v>
          </cell>
          <cell r="F33">
            <v>1.5</v>
          </cell>
          <cell r="G33" t="str">
            <v>1d</v>
          </cell>
          <cell r="H33">
            <v>1E-4</v>
          </cell>
          <cell r="I33" t="str">
            <v>1h</v>
          </cell>
          <cell r="J33">
            <v>3.0000000000000003E-4</v>
          </cell>
          <cell r="K33" t="str">
            <v>1k</v>
          </cell>
          <cell r="Q33">
            <v>1</v>
          </cell>
          <cell r="R33" t="str">
            <v>9e</v>
          </cell>
          <cell r="S33">
            <v>0.1</v>
          </cell>
          <cell r="T33" t="str">
            <v>9e</v>
          </cell>
          <cell r="U33">
            <v>1</v>
          </cell>
          <cell r="V33" t="str">
            <v>9e</v>
          </cell>
          <cell r="W33">
            <v>0.1</v>
          </cell>
          <cell r="X33" t="str">
            <v>9e</v>
          </cell>
          <cell r="Y33" t="str">
            <v>NC</v>
          </cell>
          <cell r="AA33" t="str">
            <v>NC</v>
          </cell>
          <cell r="AC33">
            <v>1</v>
          </cell>
          <cell r="AD33">
            <v>9</v>
          </cell>
          <cell r="AE33">
            <v>1</v>
          </cell>
          <cell r="AF33">
            <v>9</v>
          </cell>
          <cell r="AI33">
            <v>40</v>
          </cell>
          <cell r="AK33">
            <v>0.25</v>
          </cell>
          <cell r="AL33" t="str">
            <v>NC</v>
          </cell>
          <cell r="AM33">
            <v>30</v>
          </cell>
          <cell r="AN33">
            <v>4.9000000000000004</v>
          </cell>
          <cell r="AO33">
            <v>0</v>
          </cell>
          <cell r="AU33">
            <v>0</v>
          </cell>
          <cell r="AW33">
            <v>0</v>
          </cell>
          <cell r="AX33">
            <v>1.4</v>
          </cell>
          <cell r="AY33">
            <v>7</v>
          </cell>
          <cell r="AZ33">
            <v>0</v>
          </cell>
          <cell r="BD33">
            <v>0</v>
          </cell>
          <cell r="BE33">
            <v>52</v>
          </cell>
          <cell r="BF33">
            <v>13</v>
          </cell>
          <cell r="BJ33">
            <v>0</v>
          </cell>
          <cell r="BO33">
            <v>1E-3</v>
          </cell>
          <cell r="BP33">
            <v>9.5000000000000001E-2</v>
          </cell>
          <cell r="BS33">
            <v>1000</v>
          </cell>
          <cell r="BT33" t="str">
            <v>Ceiling (High)</v>
          </cell>
          <cell r="BV33">
            <v>3000</v>
          </cell>
          <cell r="BW33" t="str">
            <v>Ceiling (High)</v>
          </cell>
          <cell r="BY33">
            <v>5000</v>
          </cell>
          <cell r="BZ33" t="str">
            <v>Ceiling (High)</v>
          </cell>
          <cell r="CA33">
            <v>50000</v>
          </cell>
          <cell r="CB33" t="str">
            <v>0.005%</v>
          </cell>
          <cell r="CC33" t="str">
            <v>Y</v>
          </cell>
        </row>
        <row r="34">
          <cell r="A34" t="str">
            <v>CHROMIUM(VI)</v>
          </cell>
          <cell r="B34" t="str">
            <v>18540-29-9</v>
          </cell>
          <cell r="C34">
            <v>42923</v>
          </cell>
          <cell r="D34">
            <v>3.0000000000000001E-3</v>
          </cell>
          <cell r="E34">
            <v>1</v>
          </cell>
          <cell r="F34">
            <v>0.02</v>
          </cell>
          <cell r="G34">
            <v>2</v>
          </cell>
          <cell r="H34">
            <v>1E-4</v>
          </cell>
          <cell r="I34">
            <v>1</v>
          </cell>
          <cell r="J34">
            <v>3.0000000000000003E-4</v>
          </cell>
          <cell r="K34" t="str">
            <v>1k</v>
          </cell>
          <cell r="O34">
            <v>1.2E-2</v>
          </cell>
          <cell r="P34">
            <v>1</v>
          </cell>
          <cell r="Q34">
            <v>1</v>
          </cell>
          <cell r="R34" t="str">
            <v>9e</v>
          </cell>
          <cell r="S34">
            <v>0.1</v>
          </cell>
          <cell r="T34" t="str">
            <v>9e</v>
          </cell>
          <cell r="U34">
            <v>1</v>
          </cell>
          <cell r="V34" t="str">
            <v>9d</v>
          </cell>
          <cell r="W34">
            <v>0.1</v>
          </cell>
          <cell r="X34" t="str">
            <v>9e</v>
          </cell>
          <cell r="Y34" t="str">
            <v>NC</v>
          </cell>
          <cell r="AA34" t="str">
            <v>NC</v>
          </cell>
          <cell r="AC34">
            <v>1</v>
          </cell>
          <cell r="AD34">
            <v>9</v>
          </cell>
          <cell r="AE34">
            <v>1</v>
          </cell>
          <cell r="AF34">
            <v>9</v>
          </cell>
          <cell r="AG34">
            <v>1</v>
          </cell>
          <cell r="AH34">
            <v>9</v>
          </cell>
          <cell r="AI34">
            <v>40</v>
          </cell>
          <cell r="AK34">
            <v>0.11</v>
          </cell>
          <cell r="AL34">
            <v>0.11</v>
          </cell>
          <cell r="AM34">
            <v>30</v>
          </cell>
          <cell r="AN34">
            <v>4.9000000000000004</v>
          </cell>
          <cell r="AO34">
            <v>0</v>
          </cell>
          <cell r="AU34">
            <v>0</v>
          </cell>
          <cell r="AW34">
            <v>0</v>
          </cell>
          <cell r="AX34">
            <v>0</v>
          </cell>
          <cell r="AY34">
            <v>0.5</v>
          </cell>
          <cell r="AZ34">
            <v>0</v>
          </cell>
          <cell r="BD34">
            <v>0</v>
          </cell>
          <cell r="BE34">
            <v>52</v>
          </cell>
          <cell r="BF34">
            <v>13</v>
          </cell>
          <cell r="BJ34">
            <v>0</v>
          </cell>
          <cell r="BO34">
            <v>2E-3</v>
          </cell>
          <cell r="BP34">
            <v>9.5000000000000001E-2</v>
          </cell>
          <cell r="BS34">
            <v>1000</v>
          </cell>
          <cell r="BT34" t="str">
            <v>Ceiling (High)</v>
          </cell>
          <cell r="BV34">
            <v>3000</v>
          </cell>
          <cell r="BW34" t="str">
            <v>Ceiling (High)</v>
          </cell>
          <cell r="BY34">
            <v>5000</v>
          </cell>
          <cell r="BZ34" t="str">
            <v>Ceiling (High)</v>
          </cell>
          <cell r="CA34">
            <v>50000</v>
          </cell>
          <cell r="CB34" t="str">
            <v>0.005%</v>
          </cell>
          <cell r="CC34" t="str">
            <v>Y</v>
          </cell>
        </row>
        <row r="35">
          <cell r="A35" t="str">
            <v>CHRYSENE</v>
          </cell>
          <cell r="B35" t="str">
            <v>218-01-9</v>
          </cell>
          <cell r="C35">
            <v>42922</v>
          </cell>
          <cell r="D35">
            <v>0.03</v>
          </cell>
          <cell r="E35" t="str">
            <v>5d</v>
          </cell>
          <cell r="F35">
            <v>0.3</v>
          </cell>
          <cell r="G35" t="str">
            <v>5d</v>
          </cell>
          <cell r="H35">
            <v>0.05</v>
          </cell>
          <cell r="I35" t="str">
            <v>5d</v>
          </cell>
          <cell r="J35">
            <v>0.5</v>
          </cell>
          <cell r="K35" t="str">
            <v>5d</v>
          </cell>
          <cell r="L35">
            <v>0.01</v>
          </cell>
          <cell r="M35" t="str">
            <v>B2</v>
          </cell>
          <cell r="N35" t="str">
            <v>1e</v>
          </cell>
          <cell r="O35">
            <v>5.9999999999999997E-7</v>
          </cell>
          <cell r="P35" t="str">
            <v>1e</v>
          </cell>
          <cell r="Q35">
            <v>0.3</v>
          </cell>
          <cell r="R35" t="str">
            <v>9d</v>
          </cell>
          <cell r="S35">
            <v>0.02</v>
          </cell>
          <cell r="T35" t="str">
            <v>9d</v>
          </cell>
          <cell r="U35">
            <v>0.3</v>
          </cell>
          <cell r="V35" t="str">
            <v>9e</v>
          </cell>
          <cell r="W35">
            <v>0.02</v>
          </cell>
          <cell r="X35" t="str">
            <v>9d</v>
          </cell>
          <cell r="Y35">
            <v>0.3</v>
          </cell>
          <cell r="Z35" t="str">
            <v>9d</v>
          </cell>
          <cell r="AA35">
            <v>0.02</v>
          </cell>
          <cell r="AB35" t="str">
            <v>9d</v>
          </cell>
          <cell r="AC35">
            <v>1</v>
          </cell>
          <cell r="AD35">
            <v>9</v>
          </cell>
          <cell r="AE35">
            <v>1</v>
          </cell>
          <cell r="AF35">
            <v>9</v>
          </cell>
          <cell r="AG35">
            <v>1</v>
          </cell>
          <cell r="AH35">
            <v>9</v>
          </cell>
          <cell r="AI35">
            <v>7</v>
          </cell>
          <cell r="AJ35" t="str">
            <v>M</v>
          </cell>
          <cell r="AK35">
            <v>0.92</v>
          </cell>
          <cell r="AL35">
            <v>0.92</v>
          </cell>
          <cell r="AM35">
            <v>2</v>
          </cell>
          <cell r="AO35">
            <v>0</v>
          </cell>
          <cell r="AU35">
            <v>0</v>
          </cell>
          <cell r="AW35">
            <v>0</v>
          </cell>
          <cell r="AX35">
            <v>0.66</v>
          </cell>
          <cell r="AY35">
            <v>1.5</v>
          </cell>
          <cell r="AZ35">
            <v>2</v>
          </cell>
          <cell r="BA35">
            <v>22</v>
          </cell>
          <cell r="BB35">
            <v>5.2299999999999999E-6</v>
          </cell>
          <cell r="BC35">
            <v>22</v>
          </cell>
          <cell r="BD35">
            <v>2.1402848256670486E-4</v>
          </cell>
          <cell r="BE35">
            <v>228</v>
          </cell>
          <cell r="BF35">
            <v>13</v>
          </cell>
          <cell r="BG35">
            <v>6.3000000000000002E-9</v>
          </cell>
          <cell r="BH35">
            <v>5.81</v>
          </cell>
          <cell r="BI35">
            <v>16</v>
          </cell>
          <cell r="BJ35">
            <v>398000</v>
          </cell>
          <cell r="BK35" t="str">
            <v>17b</v>
          </cell>
          <cell r="BL35">
            <v>258.2</v>
          </cell>
          <cell r="BM35">
            <v>17</v>
          </cell>
          <cell r="BO35">
            <v>0.57253230939417599</v>
          </cell>
          <cell r="BS35">
            <v>1000</v>
          </cell>
          <cell r="BT35" t="str">
            <v>Ceiling (High)</v>
          </cell>
          <cell r="BV35">
            <v>3000</v>
          </cell>
          <cell r="BW35" t="str">
            <v>Ceiling (High)</v>
          </cell>
          <cell r="BY35">
            <v>5000</v>
          </cell>
          <cell r="BZ35" t="str">
            <v>Ceiling (High)</v>
          </cell>
          <cell r="CA35">
            <v>50000</v>
          </cell>
          <cell r="CB35" t="str">
            <v>0.005%</v>
          </cell>
        </row>
        <row r="36">
          <cell r="A36" t="str">
            <v>CYANIDE</v>
          </cell>
          <cell r="B36" t="str">
            <v>57-12-5</v>
          </cell>
          <cell r="C36">
            <v>42922</v>
          </cell>
          <cell r="D36">
            <v>5.9999999999999995E-4</v>
          </cell>
          <cell r="E36">
            <v>1</v>
          </cell>
          <cell r="F36">
            <v>6.0000000000000001E-3</v>
          </cell>
          <cell r="G36" t="str">
            <v>1i</v>
          </cell>
          <cell r="H36">
            <v>8.0000000000000004E-4</v>
          </cell>
          <cell r="I36">
            <v>1</v>
          </cell>
          <cell r="J36">
            <v>3.0000000000000001E-3</v>
          </cell>
          <cell r="K36" t="str">
            <v>1k</v>
          </cell>
          <cell r="M36" t="str">
            <v>D</v>
          </cell>
          <cell r="N36">
            <v>1</v>
          </cell>
          <cell r="Q36">
            <v>1</v>
          </cell>
          <cell r="R36" t="str">
            <v>9e</v>
          </cell>
          <cell r="S36">
            <v>0.1</v>
          </cell>
          <cell r="T36" t="str">
            <v>9e</v>
          </cell>
          <cell r="U36">
            <v>1</v>
          </cell>
          <cell r="V36" t="str">
            <v>9e</v>
          </cell>
          <cell r="W36">
            <v>0.1</v>
          </cell>
          <cell r="X36" t="str">
            <v>9e</v>
          </cell>
          <cell r="Y36" t="str">
            <v>NC</v>
          </cell>
          <cell r="AA36" t="str">
            <v>NC</v>
          </cell>
          <cell r="AC36">
            <v>1</v>
          </cell>
          <cell r="AD36">
            <v>9</v>
          </cell>
          <cell r="AE36">
            <v>1</v>
          </cell>
          <cell r="AF36">
            <v>9</v>
          </cell>
          <cell r="AK36">
            <v>1</v>
          </cell>
          <cell r="AL36" t="str">
            <v>NC</v>
          </cell>
          <cell r="AO36">
            <v>0</v>
          </cell>
          <cell r="AR36">
            <v>170</v>
          </cell>
          <cell r="AS36">
            <v>13</v>
          </cell>
          <cell r="AT36">
            <v>652</v>
          </cell>
          <cell r="AU36">
            <v>0.5904531813865147</v>
          </cell>
          <cell r="AV36">
            <v>13</v>
          </cell>
          <cell r="AW36">
            <v>1050.0409169514555</v>
          </cell>
          <cell r="AX36">
            <v>1</v>
          </cell>
          <cell r="AY36">
            <v>0.1</v>
          </cell>
          <cell r="AZ36">
            <v>95400000</v>
          </cell>
          <cell r="BA36">
            <v>22</v>
          </cell>
          <cell r="BB36">
            <v>2.4199999999999999E-2</v>
          </cell>
          <cell r="BC36">
            <v>22</v>
          </cell>
          <cell r="BD36">
            <v>0.99034211818628248</v>
          </cell>
          <cell r="BE36">
            <v>27</v>
          </cell>
          <cell r="BF36">
            <v>13</v>
          </cell>
          <cell r="BG36">
            <v>620</v>
          </cell>
          <cell r="BH36">
            <v>-0.69</v>
          </cell>
          <cell r="BJ36">
            <v>0</v>
          </cell>
          <cell r="BO36">
            <v>1E-3</v>
          </cell>
          <cell r="BS36">
            <v>100</v>
          </cell>
          <cell r="BT36" t="str">
            <v>Ceiling (Low)</v>
          </cell>
          <cell r="BV36">
            <v>500</v>
          </cell>
          <cell r="BW36" t="str">
            <v>Ceiling (Low)</v>
          </cell>
          <cell r="BY36">
            <v>1000</v>
          </cell>
          <cell r="BZ36" t="str">
            <v>Ceiling (Low)</v>
          </cell>
          <cell r="CA36">
            <v>50000</v>
          </cell>
          <cell r="CB36" t="str">
            <v>0.005%</v>
          </cell>
          <cell r="CC36" t="str">
            <v>Y</v>
          </cell>
        </row>
        <row r="37">
          <cell r="A37" t="str">
            <v>DIBENZO(a,h)ANTHRACENE</v>
          </cell>
          <cell r="B37" t="str">
            <v xml:space="preserve">53-70-3 </v>
          </cell>
          <cell r="C37">
            <v>42922</v>
          </cell>
          <cell r="D37">
            <v>0.03</v>
          </cell>
          <cell r="E37" t="str">
            <v>5d</v>
          </cell>
          <cell r="F37">
            <v>0.3</v>
          </cell>
          <cell r="G37" t="str">
            <v>5d</v>
          </cell>
          <cell r="H37">
            <v>0.05</v>
          </cell>
          <cell r="I37" t="str">
            <v>5d</v>
          </cell>
          <cell r="J37">
            <v>0.5</v>
          </cell>
          <cell r="K37" t="str">
            <v>5d</v>
          </cell>
          <cell r="L37">
            <v>1</v>
          </cell>
          <cell r="M37" t="str">
            <v>B2</v>
          </cell>
          <cell r="N37" t="str">
            <v>1e</v>
          </cell>
          <cell r="O37">
            <v>5.9999999999999995E-4</v>
          </cell>
          <cell r="P37" t="str">
            <v>1e</v>
          </cell>
          <cell r="Q37">
            <v>0.3</v>
          </cell>
          <cell r="R37" t="str">
            <v>9d</v>
          </cell>
          <cell r="S37">
            <v>0.02</v>
          </cell>
          <cell r="T37" t="str">
            <v>9d</v>
          </cell>
          <cell r="U37">
            <v>0.3</v>
          </cell>
          <cell r="V37" t="str">
            <v>9d</v>
          </cell>
          <cell r="W37">
            <v>0.02</v>
          </cell>
          <cell r="X37" t="str">
            <v>9d</v>
          </cell>
          <cell r="Y37">
            <v>0.3</v>
          </cell>
          <cell r="Z37" t="str">
            <v>9d</v>
          </cell>
          <cell r="AA37">
            <v>0.02</v>
          </cell>
          <cell r="AB37" t="str">
            <v>9d</v>
          </cell>
          <cell r="AC37">
            <v>1</v>
          </cell>
          <cell r="AD37">
            <v>9</v>
          </cell>
          <cell r="AE37">
            <v>1</v>
          </cell>
          <cell r="AF37">
            <v>9</v>
          </cell>
          <cell r="AG37">
            <v>1</v>
          </cell>
          <cell r="AH37">
            <v>9</v>
          </cell>
          <cell r="AI37">
            <v>1</v>
          </cell>
          <cell r="AJ37" t="str">
            <v>M</v>
          </cell>
          <cell r="AK37">
            <v>0.92</v>
          </cell>
          <cell r="AL37">
            <v>0.92</v>
          </cell>
          <cell r="AM37">
            <v>0.5</v>
          </cell>
          <cell r="AO37">
            <v>0</v>
          </cell>
          <cell r="AU37">
            <v>0</v>
          </cell>
          <cell r="AW37">
            <v>0</v>
          </cell>
          <cell r="AX37">
            <v>0.66</v>
          </cell>
          <cell r="AY37">
            <v>0.5</v>
          </cell>
          <cell r="AZ37">
            <v>2.4900000000000002</v>
          </cell>
          <cell r="BA37">
            <v>22</v>
          </cell>
          <cell r="BB37">
            <v>1.23E-7</v>
          </cell>
          <cell r="BC37">
            <v>22</v>
          </cell>
          <cell r="BD37">
            <v>5.0335570469798661E-6</v>
          </cell>
          <cell r="BE37">
            <v>278</v>
          </cell>
          <cell r="BF37">
            <v>13</v>
          </cell>
          <cell r="BG37">
            <v>1E-10</v>
          </cell>
          <cell r="BH37">
            <v>6.75</v>
          </cell>
          <cell r="BI37">
            <v>16</v>
          </cell>
          <cell r="BJ37">
            <v>1790000</v>
          </cell>
          <cell r="BK37" t="str">
            <v>17a</v>
          </cell>
          <cell r="BL37">
            <v>269.5</v>
          </cell>
          <cell r="BM37">
            <v>17</v>
          </cell>
          <cell r="BO37">
            <v>1.253718400680121</v>
          </cell>
          <cell r="BS37">
            <v>1000</v>
          </cell>
          <cell r="BT37" t="str">
            <v>Ceiling (High)</v>
          </cell>
          <cell r="BV37">
            <v>3000</v>
          </cell>
          <cell r="BW37" t="str">
            <v>Ceiling (High)</v>
          </cell>
          <cell r="BY37">
            <v>5000</v>
          </cell>
          <cell r="BZ37" t="str">
            <v>Ceiling (High)</v>
          </cell>
          <cell r="CA37">
            <v>50000</v>
          </cell>
          <cell r="CB37" t="str">
            <v>0.005%</v>
          </cell>
        </row>
        <row r="38">
          <cell r="A38" t="str">
            <v>DIBROMOCHLOROMETHANE</v>
          </cell>
          <cell r="B38" t="str">
            <v>124-48-1</v>
          </cell>
          <cell r="C38">
            <v>42922</v>
          </cell>
          <cell r="D38">
            <v>0.02</v>
          </cell>
          <cell r="E38">
            <v>1</v>
          </cell>
          <cell r="F38">
            <v>7.0000000000000007E-2</v>
          </cell>
          <cell r="G38">
            <v>6</v>
          </cell>
          <cell r="H38">
            <v>7.0000000000000007E-2</v>
          </cell>
          <cell r="I38" t="str">
            <v>7b</v>
          </cell>
          <cell r="J38">
            <v>0.2</v>
          </cell>
          <cell r="K38" t="str">
            <v>7b</v>
          </cell>
          <cell r="L38">
            <v>8.4000000000000005E-2</v>
          </cell>
          <cell r="M38" t="str">
            <v>C</v>
          </cell>
          <cell r="N38">
            <v>1</v>
          </cell>
          <cell r="O38">
            <v>2.4000000000000001E-5</v>
          </cell>
          <cell r="P38" t="str">
            <v>7a</v>
          </cell>
          <cell r="Q38">
            <v>1</v>
          </cell>
          <cell r="R38" t="str">
            <v>9e</v>
          </cell>
          <cell r="S38">
            <v>0.03</v>
          </cell>
          <cell r="T38" t="str">
            <v>9e</v>
          </cell>
          <cell r="U38">
            <v>1</v>
          </cell>
          <cell r="V38" t="str">
            <v>9e</v>
          </cell>
          <cell r="W38">
            <v>0.03</v>
          </cell>
          <cell r="X38" t="str">
            <v>9e</v>
          </cell>
          <cell r="Y38">
            <v>1</v>
          </cell>
          <cell r="Z38" t="str">
            <v>9e</v>
          </cell>
          <cell r="AA38">
            <v>0.03</v>
          </cell>
          <cell r="AB38" t="str">
            <v>9e</v>
          </cell>
          <cell r="AC38">
            <v>1</v>
          </cell>
          <cell r="AD38">
            <v>9</v>
          </cell>
          <cell r="AE38">
            <v>1</v>
          </cell>
          <cell r="AF38">
            <v>9</v>
          </cell>
          <cell r="AG38">
            <v>1</v>
          </cell>
          <cell r="AH38">
            <v>9</v>
          </cell>
          <cell r="AK38">
            <v>0.98</v>
          </cell>
          <cell r="AL38">
            <v>0.98</v>
          </cell>
          <cell r="AO38">
            <v>0</v>
          </cell>
          <cell r="AU38">
            <v>0</v>
          </cell>
          <cell r="AW38">
            <v>0</v>
          </cell>
          <cell r="AX38">
            <v>5.0000000000000001E-3</v>
          </cell>
          <cell r="AY38">
            <v>2</v>
          </cell>
          <cell r="AZ38">
            <v>2700000</v>
          </cell>
          <cell r="BA38">
            <v>22</v>
          </cell>
          <cell r="BB38">
            <v>7.8299999999999995E-4</v>
          </cell>
          <cell r="BC38">
            <v>22</v>
          </cell>
          <cell r="BD38">
            <v>3.2042887542969391E-2</v>
          </cell>
          <cell r="BE38">
            <v>208</v>
          </cell>
          <cell r="BF38">
            <v>13</v>
          </cell>
          <cell r="BG38">
            <v>76</v>
          </cell>
          <cell r="BH38">
            <v>2.16</v>
          </cell>
          <cell r="BI38">
            <v>17</v>
          </cell>
          <cell r="BJ38">
            <v>63.1</v>
          </cell>
          <cell r="BK38" t="str">
            <v>17b</v>
          </cell>
          <cell r="BL38">
            <v>-20</v>
          </cell>
          <cell r="BM38">
            <v>17</v>
          </cell>
          <cell r="BO38">
            <v>2.8893489815590818E-3</v>
          </cell>
          <cell r="BS38">
            <v>100</v>
          </cell>
          <cell r="BT38" t="str">
            <v>Ceiling (Low)</v>
          </cell>
          <cell r="BV38">
            <v>500</v>
          </cell>
          <cell r="BW38" t="str">
            <v>Ceiling (Low)</v>
          </cell>
          <cell r="BY38">
            <v>500</v>
          </cell>
          <cell r="BZ38" t="str">
            <v>High Volatility</v>
          </cell>
          <cell r="CA38">
            <v>50000</v>
          </cell>
          <cell r="CB38" t="str">
            <v>0.005%</v>
          </cell>
        </row>
        <row r="39">
          <cell r="A39" t="str">
            <v>DICHLOROBENZENE, 1,2-  (o-DCB)</v>
          </cell>
          <cell r="B39" t="str">
            <v>95-50-1</v>
          </cell>
          <cell r="C39">
            <v>42923</v>
          </cell>
          <cell r="D39">
            <v>0.09</v>
          </cell>
          <cell r="E39">
            <v>1</v>
          </cell>
          <cell r="F39">
            <v>0.9</v>
          </cell>
          <cell r="G39" t="str">
            <v>2d</v>
          </cell>
          <cell r="H39">
            <v>0.8</v>
          </cell>
          <cell r="I39" t="str">
            <v>1m</v>
          </cell>
          <cell r="J39">
            <v>2.4</v>
          </cell>
          <cell r="K39" t="str">
            <v>1m</v>
          </cell>
          <cell r="M39" t="str">
            <v>D</v>
          </cell>
          <cell r="N39">
            <v>1</v>
          </cell>
          <cell r="Q39">
            <v>1</v>
          </cell>
          <cell r="R39" t="str">
            <v>9e</v>
          </cell>
          <cell r="S39">
            <v>0.03</v>
          </cell>
          <cell r="T39" t="str">
            <v>9e</v>
          </cell>
          <cell r="U39">
            <v>1</v>
          </cell>
          <cell r="V39" t="str">
            <v>9e</v>
          </cell>
          <cell r="W39">
            <v>0.03</v>
          </cell>
          <cell r="X39" t="str">
            <v>9e</v>
          </cell>
          <cell r="Y39" t="str">
            <v>NC</v>
          </cell>
          <cell r="AA39" t="str">
            <v>NC</v>
          </cell>
          <cell r="AC39">
            <v>1</v>
          </cell>
          <cell r="AD39">
            <v>9</v>
          </cell>
          <cell r="AE39">
            <v>1</v>
          </cell>
          <cell r="AF39">
            <v>9</v>
          </cell>
          <cell r="AK39">
            <v>1</v>
          </cell>
          <cell r="AL39" t="str">
            <v>NC</v>
          </cell>
          <cell r="AO39">
            <v>0.72</v>
          </cell>
          <cell r="AQ39">
            <v>0.6359999999999999</v>
          </cell>
          <cell r="AR39">
            <v>10</v>
          </cell>
          <cell r="AS39">
            <v>24</v>
          </cell>
          <cell r="AT39">
            <v>305000</v>
          </cell>
          <cell r="AU39">
            <v>50.732251875109014</v>
          </cell>
          <cell r="AV39">
            <v>24</v>
          </cell>
          <cell r="AW39">
            <v>2.9566990317966776E-2</v>
          </cell>
          <cell r="AX39">
            <v>0.66</v>
          </cell>
          <cell r="AY39">
            <v>5</v>
          </cell>
          <cell r="AZ39">
            <v>156000</v>
          </cell>
          <cell r="BA39">
            <v>22</v>
          </cell>
          <cell r="BB39">
            <v>1.92E-3</v>
          </cell>
          <cell r="BC39">
            <v>22</v>
          </cell>
          <cell r="BD39">
            <v>7.8572597806514988E-2</v>
          </cell>
          <cell r="BE39">
            <v>147</v>
          </cell>
          <cell r="BF39">
            <v>11</v>
          </cell>
          <cell r="BG39">
            <v>1.5</v>
          </cell>
          <cell r="BH39">
            <v>3.43</v>
          </cell>
          <cell r="BI39">
            <v>16</v>
          </cell>
          <cell r="BJ39">
            <v>379</v>
          </cell>
          <cell r="BK39" t="str">
            <v>17a</v>
          </cell>
          <cell r="BL39">
            <v>-16.7</v>
          </cell>
          <cell r="BM39">
            <v>17</v>
          </cell>
          <cell r="BO39">
            <v>4.3711931792622442E-2</v>
          </cell>
          <cell r="BS39">
            <v>1000</v>
          </cell>
          <cell r="BT39" t="str">
            <v>Ceiling (High)</v>
          </cell>
          <cell r="BV39">
            <v>3000</v>
          </cell>
          <cell r="BW39" t="str">
            <v>Ceiling (High)</v>
          </cell>
          <cell r="BY39">
            <v>5000</v>
          </cell>
          <cell r="BZ39" t="str">
            <v>Ceiling (High)</v>
          </cell>
          <cell r="CA39">
            <v>50000</v>
          </cell>
          <cell r="CB39" t="str">
            <v>0.005%</v>
          </cell>
        </row>
        <row r="40">
          <cell r="A40" t="str">
            <v>DICHLOROBENZENE, 1,3-  (m-DCB)</v>
          </cell>
          <cell r="B40" t="str">
            <v>541-73-1</v>
          </cell>
          <cell r="C40">
            <v>42923</v>
          </cell>
          <cell r="D40">
            <v>0.09</v>
          </cell>
          <cell r="E40" t="str">
            <v>1b</v>
          </cell>
          <cell r="F40">
            <v>0.9</v>
          </cell>
          <cell r="G40" t="str">
            <v>2a</v>
          </cell>
          <cell r="H40">
            <v>0.8</v>
          </cell>
          <cell r="I40" t="str">
            <v>1m</v>
          </cell>
          <cell r="J40">
            <v>2.4</v>
          </cell>
          <cell r="K40" t="str">
            <v>1m</v>
          </cell>
          <cell r="M40" t="str">
            <v>D</v>
          </cell>
          <cell r="N40">
            <v>1</v>
          </cell>
          <cell r="Q40">
            <v>1</v>
          </cell>
          <cell r="R40" t="str">
            <v>9e</v>
          </cell>
          <cell r="S40">
            <v>0.03</v>
          </cell>
          <cell r="T40" t="str">
            <v>9e</v>
          </cell>
          <cell r="U40">
            <v>1</v>
          </cell>
          <cell r="V40" t="str">
            <v>9e</v>
          </cell>
          <cell r="W40">
            <v>0.03</v>
          </cell>
          <cell r="X40" t="str">
            <v>9e</v>
          </cell>
          <cell r="Y40" t="str">
            <v>NC</v>
          </cell>
          <cell r="AA40" t="str">
            <v>NC</v>
          </cell>
          <cell r="AC40">
            <v>1</v>
          </cell>
          <cell r="AD40">
            <v>9</v>
          </cell>
          <cell r="AE40">
            <v>1</v>
          </cell>
          <cell r="AF40">
            <v>9</v>
          </cell>
          <cell r="AK40">
            <v>1</v>
          </cell>
          <cell r="AL40" t="str">
            <v>NC</v>
          </cell>
          <cell r="AO40">
            <v>0.6</v>
          </cell>
          <cell r="AP40">
            <v>5</v>
          </cell>
          <cell r="AQ40">
            <v>0.93200000000000005</v>
          </cell>
          <cell r="AU40">
            <v>0</v>
          </cell>
          <cell r="AW40">
            <v>0</v>
          </cell>
          <cell r="AX40">
            <v>0.66</v>
          </cell>
          <cell r="AY40">
            <v>0.6</v>
          </cell>
          <cell r="AZ40">
            <v>125000</v>
          </cell>
          <cell r="BA40">
            <v>22</v>
          </cell>
          <cell r="BB40">
            <v>2.63E-3</v>
          </cell>
          <cell r="BC40">
            <v>22</v>
          </cell>
          <cell r="BD40">
            <v>0.10762808970371583</v>
          </cell>
          <cell r="BE40">
            <v>147</v>
          </cell>
          <cell r="BF40">
            <v>11</v>
          </cell>
          <cell r="BG40">
            <v>1.5</v>
          </cell>
          <cell r="BH40">
            <v>3.53</v>
          </cell>
          <cell r="BI40">
            <v>16</v>
          </cell>
          <cell r="BJ40">
            <v>1700</v>
          </cell>
          <cell r="BK40">
            <v>11</v>
          </cell>
          <cell r="BO40">
            <v>5.0886197595607759E-2</v>
          </cell>
          <cell r="BS40">
            <v>100</v>
          </cell>
          <cell r="BT40" t="str">
            <v>Ceiling (Low)</v>
          </cell>
          <cell r="BV40">
            <v>500</v>
          </cell>
          <cell r="BW40" t="str">
            <v>Ceiling (Low)</v>
          </cell>
          <cell r="BY40">
            <v>500</v>
          </cell>
          <cell r="BZ40" t="str">
            <v>High Volatility</v>
          </cell>
          <cell r="CA40">
            <v>50000</v>
          </cell>
          <cell r="CB40" t="str">
            <v>0.005%</v>
          </cell>
        </row>
        <row r="41">
          <cell r="A41" t="str">
            <v>DICHLOROBENZENE, 1,4-  (p-DCB)</v>
          </cell>
          <cell r="B41" t="str">
            <v>106-46-7</v>
          </cell>
          <cell r="C41">
            <v>42923</v>
          </cell>
          <cell r="D41">
            <v>0.09</v>
          </cell>
          <cell r="E41" t="str">
            <v>1b</v>
          </cell>
          <cell r="F41">
            <v>0.9</v>
          </cell>
          <cell r="G41" t="str">
            <v>2a</v>
          </cell>
          <cell r="H41">
            <v>0.8</v>
          </cell>
          <cell r="I41">
            <v>1</v>
          </cell>
          <cell r="J41">
            <v>2.4</v>
          </cell>
          <cell r="K41" t="str">
            <v>1k</v>
          </cell>
          <cell r="L41">
            <v>2.4E-2</v>
          </cell>
          <cell r="M41" t="str">
            <v>C</v>
          </cell>
          <cell r="N41">
            <v>2</v>
          </cell>
          <cell r="O41">
            <v>6.8571428571428571E-6</v>
          </cell>
          <cell r="P41" t="str">
            <v>7a</v>
          </cell>
          <cell r="Q41">
            <v>1</v>
          </cell>
          <cell r="R41" t="str">
            <v>9e</v>
          </cell>
          <cell r="S41">
            <v>0.03</v>
          </cell>
          <cell r="T41" t="str">
            <v>9e</v>
          </cell>
          <cell r="U41">
            <v>1</v>
          </cell>
          <cell r="V41" t="str">
            <v>9e</v>
          </cell>
          <cell r="W41">
            <v>0.03</v>
          </cell>
          <cell r="X41" t="str">
            <v>9e</v>
          </cell>
          <cell r="Y41">
            <v>1</v>
          </cell>
          <cell r="Z41" t="str">
            <v>9e</v>
          </cell>
          <cell r="AA41">
            <v>0.03</v>
          </cell>
          <cell r="AB41" t="str">
            <v>9e</v>
          </cell>
          <cell r="AC41">
            <v>1</v>
          </cell>
          <cell r="AD41">
            <v>9</v>
          </cell>
          <cell r="AE41">
            <v>1</v>
          </cell>
          <cell r="AF41">
            <v>9</v>
          </cell>
          <cell r="AG41">
            <v>1</v>
          </cell>
          <cell r="AH41">
            <v>9</v>
          </cell>
          <cell r="AK41">
            <v>1</v>
          </cell>
          <cell r="AL41">
            <v>1</v>
          </cell>
          <cell r="AO41">
            <v>1.5</v>
          </cell>
          <cell r="AP41">
            <v>20</v>
          </cell>
          <cell r="AQ41">
            <v>0.93200000000000005</v>
          </cell>
          <cell r="AR41">
            <v>11</v>
          </cell>
          <cell r="AS41">
            <v>13</v>
          </cell>
          <cell r="AT41">
            <v>1100</v>
          </cell>
          <cell r="AU41">
            <v>0.18296877725449154</v>
          </cell>
          <cell r="AV41">
            <v>13</v>
          </cell>
          <cell r="AW41">
            <v>9.8377440512507626</v>
          </cell>
          <cell r="AX41">
            <v>0.66</v>
          </cell>
          <cell r="AY41">
            <v>0.2</v>
          </cell>
          <cell r="AZ41">
            <v>81300</v>
          </cell>
          <cell r="BA41">
            <v>22</v>
          </cell>
          <cell r="BB41">
            <v>2.4099999999999998E-3</v>
          </cell>
          <cell r="BC41">
            <v>22</v>
          </cell>
          <cell r="BD41">
            <v>9.8624979538385976E-2</v>
          </cell>
          <cell r="BE41">
            <v>147</v>
          </cell>
          <cell r="BF41">
            <v>13</v>
          </cell>
          <cell r="BG41">
            <v>1.8</v>
          </cell>
          <cell r="BH41">
            <v>3.44</v>
          </cell>
          <cell r="BI41">
            <v>16</v>
          </cell>
          <cell r="BJ41">
            <v>616</v>
          </cell>
          <cell r="BK41" t="str">
            <v>17a</v>
          </cell>
          <cell r="BL41">
            <v>52.7</v>
          </cell>
          <cell r="BM41">
            <v>17</v>
          </cell>
          <cell r="BO41">
            <v>4.4381298030813886E-2</v>
          </cell>
          <cell r="BS41">
            <v>500</v>
          </cell>
          <cell r="BT41" t="str">
            <v>Ceiling (Medium)</v>
          </cell>
          <cell r="BV41">
            <v>1000</v>
          </cell>
          <cell r="BW41" t="str">
            <v>Ceiling (Medium)</v>
          </cell>
          <cell r="BY41">
            <v>3000</v>
          </cell>
          <cell r="BZ41" t="str">
            <v>Ceiling (Medium)</v>
          </cell>
          <cell r="CA41">
            <v>50000</v>
          </cell>
          <cell r="CB41" t="str">
            <v>0.005%</v>
          </cell>
        </row>
        <row r="42">
          <cell r="A42" t="str">
            <v>DICHLOROBENZIDINE, 3,3'-</v>
          </cell>
          <cell r="B42" t="str">
            <v>91-94-1</v>
          </cell>
          <cell r="C42">
            <v>42922</v>
          </cell>
          <cell r="L42">
            <v>0.45</v>
          </cell>
          <cell r="M42" t="str">
            <v>B2</v>
          </cell>
          <cell r="N42">
            <v>1</v>
          </cell>
          <cell r="O42">
            <v>1.2857142857142858E-4</v>
          </cell>
          <cell r="P42" t="str">
            <v>7a</v>
          </cell>
          <cell r="Q42">
            <v>1</v>
          </cell>
          <cell r="R42" t="str">
            <v>9e</v>
          </cell>
          <cell r="S42">
            <v>0.1</v>
          </cell>
          <cell r="T42" t="str">
            <v>9e</v>
          </cell>
          <cell r="U42">
            <v>1</v>
          </cell>
          <cell r="V42" t="str">
            <v>9e</v>
          </cell>
          <cell r="W42">
            <v>0.1</v>
          </cell>
          <cell r="X42" t="str">
            <v>9e</v>
          </cell>
          <cell r="Y42">
            <v>1</v>
          </cell>
          <cell r="Z42" t="str">
            <v>9e</v>
          </cell>
          <cell r="AA42">
            <v>0.1</v>
          </cell>
          <cell r="AB42" t="str">
            <v>9e</v>
          </cell>
          <cell r="AE42">
            <v>1</v>
          </cell>
          <cell r="AF42">
            <v>9</v>
          </cell>
          <cell r="AG42">
            <v>1</v>
          </cell>
          <cell r="AH42">
            <v>9</v>
          </cell>
          <cell r="AK42">
            <v>0.9</v>
          </cell>
          <cell r="AL42">
            <v>0.9</v>
          </cell>
          <cell r="AO42">
            <v>0</v>
          </cell>
          <cell r="AU42">
            <v>0</v>
          </cell>
          <cell r="AW42">
            <v>0</v>
          </cell>
          <cell r="AX42">
            <v>1.3</v>
          </cell>
          <cell r="AY42">
            <v>82.5</v>
          </cell>
          <cell r="AZ42">
            <v>3100</v>
          </cell>
          <cell r="BA42">
            <v>22</v>
          </cell>
          <cell r="BB42">
            <v>2.84E-11</v>
          </cell>
          <cell r="BC42">
            <v>22</v>
          </cell>
          <cell r="BD42">
            <v>1.1622196758880341E-9</v>
          </cell>
          <cell r="BE42">
            <v>253</v>
          </cell>
          <cell r="BF42">
            <v>11</v>
          </cell>
          <cell r="BG42">
            <v>4.4999999999999998E-9</v>
          </cell>
          <cell r="BH42">
            <v>3.51</v>
          </cell>
          <cell r="BI42">
            <v>16</v>
          </cell>
          <cell r="BJ42">
            <v>724</v>
          </cell>
          <cell r="BK42" t="str">
            <v>17b</v>
          </cell>
          <cell r="BL42">
            <v>132.5</v>
          </cell>
          <cell r="BM42">
            <v>17</v>
          </cell>
          <cell r="BO42">
            <v>1.2583457886902842E-2</v>
          </cell>
          <cell r="BS42">
            <v>1000</v>
          </cell>
          <cell r="BT42" t="str">
            <v>Ceiling (High)</v>
          </cell>
          <cell r="BV42">
            <v>3000</v>
          </cell>
          <cell r="BW42" t="str">
            <v>Ceiling (High)</v>
          </cell>
          <cell r="BY42">
            <v>5000</v>
          </cell>
          <cell r="BZ42" t="str">
            <v>Ceiling (High)</v>
          </cell>
          <cell r="CA42">
            <v>50000</v>
          </cell>
          <cell r="CB42" t="str">
            <v>0.005%</v>
          </cell>
        </row>
        <row r="43">
          <cell r="A43" t="str">
            <v>DICHLORODIPHENYL DICHLOROETHANE, P,P'- (DDD)</v>
          </cell>
          <cell r="B43" t="str">
            <v>72-54-8</v>
          </cell>
          <cell r="C43">
            <v>42923</v>
          </cell>
          <cell r="D43">
            <v>5.0000000000000001E-4</v>
          </cell>
          <cell r="E43" t="str">
            <v>1g</v>
          </cell>
          <cell r="F43">
            <v>5.0000000000000001E-4</v>
          </cell>
          <cell r="G43" t="str">
            <v>2g</v>
          </cell>
          <cell r="H43">
            <v>1.8E-3</v>
          </cell>
          <cell r="I43" t="str">
            <v>7b</v>
          </cell>
          <cell r="J43">
            <v>1.8E-3</v>
          </cell>
          <cell r="K43" t="str">
            <v>7c</v>
          </cell>
          <cell r="L43">
            <v>0.24</v>
          </cell>
          <cell r="M43" t="str">
            <v>B2</v>
          </cell>
          <cell r="N43">
            <v>1</v>
          </cell>
          <cell r="O43">
            <v>6.8571428571428567E-5</v>
          </cell>
          <cell r="P43" t="str">
            <v>7a</v>
          </cell>
          <cell r="Q43">
            <v>1</v>
          </cell>
          <cell r="R43" t="str">
            <v>9e</v>
          </cell>
          <cell r="S43">
            <v>0.03</v>
          </cell>
          <cell r="T43" t="str">
            <v>9e</v>
          </cell>
          <cell r="U43">
            <v>1</v>
          </cell>
          <cell r="V43" t="str">
            <v>9e</v>
          </cell>
          <cell r="W43">
            <v>0.03</v>
          </cell>
          <cell r="X43" t="str">
            <v>9e</v>
          </cell>
          <cell r="Y43">
            <v>1</v>
          </cell>
          <cell r="Z43" t="str">
            <v>9e</v>
          </cell>
          <cell r="AA43">
            <v>0.03</v>
          </cell>
          <cell r="AB43" t="str">
            <v>9e</v>
          </cell>
          <cell r="AC43">
            <v>1</v>
          </cell>
          <cell r="AD43">
            <v>9</v>
          </cell>
          <cell r="AE43">
            <v>1</v>
          </cell>
          <cell r="AF43">
            <v>9</v>
          </cell>
          <cell r="AG43">
            <v>1</v>
          </cell>
          <cell r="AH43">
            <v>9</v>
          </cell>
          <cell r="AK43">
            <v>0.9</v>
          </cell>
          <cell r="AL43">
            <v>0.6</v>
          </cell>
          <cell r="AO43">
            <v>0</v>
          </cell>
          <cell r="AU43">
            <v>0</v>
          </cell>
          <cell r="AW43">
            <v>0</v>
          </cell>
          <cell r="AX43">
            <v>7.3699999999999998E-3</v>
          </cell>
          <cell r="AY43">
            <v>1.2500000000000001E-2</v>
          </cell>
          <cell r="AZ43">
            <v>90</v>
          </cell>
          <cell r="BA43">
            <v>22</v>
          </cell>
          <cell r="BB43">
            <v>6.6000000000000003E-6</v>
          </cell>
          <cell r="BC43">
            <v>22</v>
          </cell>
          <cell r="BD43">
            <v>2.7009330495989523E-4</v>
          </cell>
          <cell r="BE43">
            <v>320</v>
          </cell>
          <cell r="BF43">
            <v>13</v>
          </cell>
          <cell r="BG43">
            <v>9.9999999999999995E-7</v>
          </cell>
          <cell r="BH43">
            <v>6.02</v>
          </cell>
          <cell r="BI43">
            <v>16</v>
          </cell>
          <cell r="BJ43">
            <v>45800</v>
          </cell>
          <cell r="BK43" t="str">
            <v>17a</v>
          </cell>
          <cell r="BL43">
            <v>109.5</v>
          </cell>
          <cell r="BM43">
            <v>17</v>
          </cell>
          <cell r="BO43">
            <v>0.24054703049880952</v>
          </cell>
          <cell r="BS43">
            <v>1000</v>
          </cell>
          <cell r="BT43" t="str">
            <v>Ceiling (High)</v>
          </cell>
          <cell r="BV43">
            <v>3000</v>
          </cell>
          <cell r="BW43" t="str">
            <v>Ceiling (High)</v>
          </cell>
          <cell r="BY43">
            <v>5000</v>
          </cell>
          <cell r="BZ43" t="str">
            <v>Ceiling (High)</v>
          </cell>
          <cell r="CA43">
            <v>50000</v>
          </cell>
          <cell r="CB43" t="str">
            <v>0.005%</v>
          </cell>
        </row>
        <row r="44">
          <cell r="A44" t="str">
            <v>DICHLORODIPHENYLDICHLOROETHYLENE,P,P'- (DDE)</v>
          </cell>
          <cell r="B44" t="str">
            <v>72-55-9</v>
          </cell>
          <cell r="C44">
            <v>42923</v>
          </cell>
          <cell r="D44">
            <v>5.0000000000000001E-4</v>
          </cell>
          <cell r="E44" t="str">
            <v>1g</v>
          </cell>
          <cell r="F44">
            <v>5.0000000000000001E-4</v>
          </cell>
          <cell r="G44" t="str">
            <v>2g</v>
          </cell>
          <cell r="H44">
            <v>1.8E-3</v>
          </cell>
          <cell r="I44" t="str">
            <v>7b</v>
          </cell>
          <cell r="J44">
            <v>1.8E-3</v>
          </cell>
          <cell r="K44" t="str">
            <v>7c</v>
          </cell>
          <cell r="L44">
            <v>0.34</v>
          </cell>
          <cell r="M44" t="str">
            <v>B2</v>
          </cell>
          <cell r="N44">
            <v>1</v>
          </cell>
          <cell r="O44">
            <v>9.7142857142857165E-5</v>
          </cell>
          <cell r="P44" t="str">
            <v>7a</v>
          </cell>
          <cell r="Q44">
            <v>1</v>
          </cell>
          <cell r="R44" t="str">
            <v>9e</v>
          </cell>
          <cell r="S44">
            <v>0.03</v>
          </cell>
          <cell r="T44" t="str">
            <v>9e</v>
          </cell>
          <cell r="U44">
            <v>1</v>
          </cell>
          <cell r="V44" t="str">
            <v>9e</v>
          </cell>
          <cell r="W44">
            <v>0.03</v>
          </cell>
          <cell r="X44" t="str">
            <v>9e</v>
          </cell>
          <cell r="Y44">
            <v>1</v>
          </cell>
          <cell r="Z44" t="str">
            <v>9e</v>
          </cell>
          <cell r="AA44">
            <v>0.03</v>
          </cell>
          <cell r="AB44" t="str">
            <v>9e</v>
          </cell>
          <cell r="AC44">
            <v>1</v>
          </cell>
          <cell r="AD44">
            <v>9</v>
          </cell>
          <cell r="AE44">
            <v>1</v>
          </cell>
          <cell r="AF44">
            <v>9</v>
          </cell>
          <cell r="AG44">
            <v>1</v>
          </cell>
          <cell r="AH44">
            <v>9</v>
          </cell>
          <cell r="AK44">
            <v>0.9</v>
          </cell>
          <cell r="AL44">
            <v>0.6</v>
          </cell>
          <cell r="AO44">
            <v>0</v>
          </cell>
          <cell r="AU44">
            <v>0</v>
          </cell>
          <cell r="AW44">
            <v>0</v>
          </cell>
          <cell r="AX44">
            <v>2.6800000000000001E-3</v>
          </cell>
          <cell r="AY44">
            <v>0.05</v>
          </cell>
          <cell r="AZ44">
            <v>40</v>
          </cell>
          <cell r="BA44">
            <v>22</v>
          </cell>
          <cell r="BB44">
            <v>4.1600000000000002E-5</v>
          </cell>
          <cell r="BC44">
            <v>22</v>
          </cell>
          <cell r="BD44">
            <v>1.7024062858078247E-3</v>
          </cell>
          <cell r="BE44">
            <v>318</v>
          </cell>
          <cell r="BF44">
            <v>13</v>
          </cell>
          <cell r="BG44">
            <v>6.4999999999999996E-6</v>
          </cell>
          <cell r="BH44">
            <v>6.51</v>
          </cell>
          <cell r="BI44">
            <v>16</v>
          </cell>
          <cell r="BJ44">
            <v>86400</v>
          </cell>
          <cell r="BK44" t="str">
            <v>17a</v>
          </cell>
          <cell r="BL44">
            <v>89</v>
          </cell>
          <cell r="BM44">
            <v>17</v>
          </cell>
          <cell r="BO44">
            <v>0.51975658465836161</v>
          </cell>
          <cell r="BS44">
            <v>1000</v>
          </cell>
          <cell r="BT44" t="str">
            <v>Ceiling (High)</v>
          </cell>
          <cell r="BV44">
            <v>3000</v>
          </cell>
          <cell r="BW44" t="str">
            <v>Ceiling (High)</v>
          </cell>
          <cell r="BY44">
            <v>5000</v>
          </cell>
          <cell r="BZ44" t="str">
            <v>Ceiling (High)</v>
          </cell>
          <cell r="CA44">
            <v>50000</v>
          </cell>
          <cell r="CB44" t="str">
            <v>0.005%</v>
          </cell>
        </row>
        <row r="45">
          <cell r="A45" t="str">
            <v>DICHLORODIPHENYLTRICHLOROETHANE, P,P'- (DDT)</v>
          </cell>
          <cell r="B45" t="str">
            <v>50-29-3</v>
          </cell>
          <cell r="C45">
            <v>42923</v>
          </cell>
          <cell r="D45">
            <v>5.0000000000000001E-4</v>
          </cell>
          <cell r="E45">
            <v>1</v>
          </cell>
          <cell r="F45">
            <v>5.0000000000000001E-4</v>
          </cell>
          <cell r="G45">
            <v>2</v>
          </cell>
          <cell r="H45">
            <v>1.8E-3</v>
          </cell>
          <cell r="I45" t="str">
            <v>7b</v>
          </cell>
          <cell r="J45">
            <v>1.8E-3</v>
          </cell>
          <cell r="K45" t="str">
            <v>7c</v>
          </cell>
          <cell r="L45">
            <v>0.34</v>
          </cell>
          <cell r="M45" t="str">
            <v>B2</v>
          </cell>
          <cell r="N45">
            <v>1</v>
          </cell>
          <cell r="O45">
            <v>9.7E-5</v>
          </cell>
          <cell r="P45">
            <v>1</v>
          </cell>
          <cell r="Q45">
            <v>1</v>
          </cell>
          <cell r="R45" t="str">
            <v>9e</v>
          </cell>
          <cell r="S45">
            <v>0.03</v>
          </cell>
          <cell r="T45" t="str">
            <v>9e</v>
          </cell>
          <cell r="U45">
            <v>1</v>
          </cell>
          <cell r="V45" t="str">
            <v>9e</v>
          </cell>
          <cell r="W45">
            <v>0.03</v>
          </cell>
          <cell r="X45" t="str">
            <v>9e</v>
          </cell>
          <cell r="Y45">
            <v>1</v>
          </cell>
          <cell r="Z45" t="str">
            <v>9e</v>
          </cell>
          <cell r="AA45">
            <v>0.03</v>
          </cell>
          <cell r="AB45" t="str">
            <v>9e</v>
          </cell>
          <cell r="AC45">
            <v>1</v>
          </cell>
          <cell r="AD45">
            <v>9</v>
          </cell>
          <cell r="AE45">
            <v>1</v>
          </cell>
          <cell r="AF45">
            <v>9</v>
          </cell>
          <cell r="AG45">
            <v>1</v>
          </cell>
          <cell r="AH45">
            <v>9</v>
          </cell>
          <cell r="AK45">
            <v>0.9</v>
          </cell>
          <cell r="AL45">
            <v>0.6</v>
          </cell>
          <cell r="AO45">
            <v>0</v>
          </cell>
          <cell r="AR45">
            <v>350</v>
          </cell>
          <cell r="AS45">
            <v>13</v>
          </cell>
          <cell r="AU45">
            <v>0</v>
          </cell>
          <cell r="AW45">
            <v>0</v>
          </cell>
          <cell r="AX45">
            <v>8.0399999999999985E-3</v>
          </cell>
          <cell r="AY45">
            <v>0.3</v>
          </cell>
          <cell r="AZ45">
            <v>5.5</v>
          </cell>
          <cell r="BA45">
            <v>22</v>
          </cell>
          <cell r="BB45">
            <v>8.32E-6</v>
          </cell>
          <cell r="BC45">
            <v>22</v>
          </cell>
          <cell r="BD45">
            <v>3.4048125716156489E-4</v>
          </cell>
          <cell r="BE45">
            <v>354</v>
          </cell>
          <cell r="BF45">
            <v>13</v>
          </cell>
          <cell r="BG45">
            <v>1.4999999999999999E-7</v>
          </cell>
          <cell r="BH45">
            <v>6.91</v>
          </cell>
          <cell r="BI45">
            <v>16</v>
          </cell>
          <cell r="BJ45">
            <v>618000</v>
          </cell>
          <cell r="BK45" t="str">
            <v>17a</v>
          </cell>
          <cell r="BL45">
            <v>108.5</v>
          </cell>
          <cell r="BM45">
            <v>17</v>
          </cell>
          <cell r="BO45">
            <v>0.6000673538641168</v>
          </cell>
          <cell r="BS45">
            <v>1000</v>
          </cell>
          <cell r="BT45" t="str">
            <v>Ceiling (High)</v>
          </cell>
          <cell r="BV45">
            <v>3000</v>
          </cell>
          <cell r="BW45" t="str">
            <v>Ceiling (High)</v>
          </cell>
          <cell r="BY45">
            <v>5000</v>
          </cell>
          <cell r="BZ45" t="str">
            <v>Ceiling (High)</v>
          </cell>
          <cell r="CA45">
            <v>50000</v>
          </cell>
          <cell r="CB45" t="str">
            <v>0.005%</v>
          </cell>
        </row>
        <row r="46">
          <cell r="A46" t="str">
            <v>DICHLOROETHANE, 1,1-</v>
          </cell>
          <cell r="B46" t="str">
            <v xml:space="preserve">75-34-3 </v>
          </cell>
          <cell r="C46">
            <v>42922</v>
          </cell>
          <cell r="D46">
            <v>0.2</v>
          </cell>
          <cell r="E46">
            <v>6</v>
          </cell>
          <cell r="F46">
            <v>2</v>
          </cell>
          <cell r="G46">
            <v>6</v>
          </cell>
          <cell r="H46">
            <v>0.8</v>
          </cell>
          <cell r="I46" t="str">
            <v>7b</v>
          </cell>
          <cell r="J46">
            <v>8</v>
          </cell>
          <cell r="K46" t="str">
            <v>7b</v>
          </cell>
          <cell r="M46" t="str">
            <v>C</v>
          </cell>
          <cell r="N46">
            <v>1</v>
          </cell>
          <cell r="Q46">
            <v>1</v>
          </cell>
          <cell r="R46" t="str">
            <v>9e</v>
          </cell>
          <cell r="S46">
            <v>0.03</v>
          </cell>
          <cell r="T46" t="str">
            <v>9e</v>
          </cell>
          <cell r="U46">
            <v>1</v>
          </cell>
          <cell r="V46" t="str">
            <v>9e</v>
          </cell>
          <cell r="W46">
            <v>0.03</v>
          </cell>
          <cell r="X46" t="str">
            <v>9e</v>
          </cell>
          <cell r="Y46" t="str">
            <v>NC</v>
          </cell>
          <cell r="AA46" t="str">
            <v>NC</v>
          </cell>
          <cell r="AC46">
            <v>1</v>
          </cell>
          <cell r="AD46">
            <v>9</v>
          </cell>
          <cell r="AE46">
            <v>1</v>
          </cell>
          <cell r="AF46">
            <v>9</v>
          </cell>
          <cell r="AK46">
            <v>0.75</v>
          </cell>
          <cell r="AL46" t="str">
            <v>NC</v>
          </cell>
          <cell r="AO46">
            <v>0</v>
          </cell>
          <cell r="AT46">
            <v>125000</v>
          </cell>
          <cell r="AU46">
            <v>30.872830872830868</v>
          </cell>
          <cell r="AV46">
            <v>13</v>
          </cell>
          <cell r="AW46">
            <v>7.5794798657718134</v>
          </cell>
          <cell r="AX46">
            <v>0.1</v>
          </cell>
          <cell r="AY46">
            <v>1</v>
          </cell>
          <cell r="AZ46">
            <v>5040000</v>
          </cell>
          <cell r="BA46">
            <v>22</v>
          </cell>
          <cell r="BB46">
            <v>5.62E-3</v>
          </cell>
          <cell r="BC46">
            <v>22</v>
          </cell>
          <cell r="BD46">
            <v>0.22998854149615322</v>
          </cell>
          <cell r="BE46">
            <v>99</v>
          </cell>
          <cell r="BF46">
            <v>13</v>
          </cell>
          <cell r="BG46">
            <v>234</v>
          </cell>
          <cell r="BH46">
            <v>1.79</v>
          </cell>
          <cell r="BI46">
            <v>16</v>
          </cell>
          <cell r="BJ46">
            <v>53.4</v>
          </cell>
          <cell r="BK46" t="str">
            <v>17a</v>
          </cell>
          <cell r="BL46">
            <v>-96.9</v>
          </cell>
          <cell r="BM46">
            <v>17</v>
          </cell>
          <cell r="BO46">
            <v>6.7142885292595178E-3</v>
          </cell>
          <cell r="BS46">
            <v>500</v>
          </cell>
          <cell r="BT46" t="str">
            <v>Ceiling (Medium)</v>
          </cell>
          <cell r="BV46">
            <v>1000</v>
          </cell>
          <cell r="BW46" t="str">
            <v>Ceiling (Medium)</v>
          </cell>
          <cell r="BY46">
            <v>3000</v>
          </cell>
          <cell r="BZ46" t="str">
            <v>Ceiling (Medium)</v>
          </cell>
          <cell r="CA46">
            <v>50000</v>
          </cell>
          <cell r="CB46" t="str">
            <v>0.005%</v>
          </cell>
        </row>
        <row r="47">
          <cell r="A47" t="str">
            <v>DICHLOROETHANE, 1,2-</v>
          </cell>
          <cell r="B47" t="str">
            <v>107-06-2</v>
          </cell>
          <cell r="C47">
            <v>42922</v>
          </cell>
          <cell r="D47">
            <v>0.02</v>
          </cell>
          <cell r="E47">
            <v>4</v>
          </cell>
          <cell r="F47">
            <v>0.02</v>
          </cell>
          <cell r="G47">
            <v>6</v>
          </cell>
          <cell r="H47">
            <v>7.0000000000000001E-3</v>
          </cell>
          <cell r="I47">
            <v>6</v>
          </cell>
          <cell r="J47">
            <v>7.0000000000000007E-2</v>
          </cell>
          <cell r="K47">
            <v>6</v>
          </cell>
          <cell r="L47">
            <v>9.0999999999999998E-2</v>
          </cell>
          <cell r="M47" t="str">
            <v>B2</v>
          </cell>
          <cell r="N47">
            <v>1</v>
          </cell>
          <cell r="O47">
            <v>2.5999999999999998E-5</v>
          </cell>
          <cell r="P47">
            <v>1</v>
          </cell>
          <cell r="Q47">
            <v>1</v>
          </cell>
          <cell r="R47" t="str">
            <v>9e</v>
          </cell>
          <cell r="S47">
            <v>0.03</v>
          </cell>
          <cell r="T47" t="str">
            <v>9e</v>
          </cell>
          <cell r="U47">
            <v>1</v>
          </cell>
          <cell r="V47" t="str">
            <v>9e</v>
          </cell>
          <cell r="W47">
            <v>0.03</v>
          </cell>
          <cell r="X47" t="str">
            <v>9e</v>
          </cell>
          <cell r="Y47">
            <v>1</v>
          </cell>
          <cell r="Z47" t="str">
            <v>9e</v>
          </cell>
          <cell r="AA47">
            <v>0.03</v>
          </cell>
          <cell r="AB47" t="str">
            <v>9e</v>
          </cell>
          <cell r="AC47">
            <v>1</v>
          </cell>
          <cell r="AD47">
            <v>9</v>
          </cell>
          <cell r="AE47">
            <v>1</v>
          </cell>
          <cell r="AF47">
            <v>9</v>
          </cell>
          <cell r="AG47">
            <v>1</v>
          </cell>
          <cell r="AH47">
            <v>9</v>
          </cell>
          <cell r="AK47">
            <v>1</v>
          </cell>
          <cell r="AL47">
            <v>1</v>
          </cell>
          <cell r="AO47">
            <v>0</v>
          </cell>
          <cell r="AR47">
            <v>20000</v>
          </cell>
          <cell r="AS47">
            <v>13</v>
          </cell>
          <cell r="AT47">
            <v>2424</v>
          </cell>
          <cell r="AU47">
            <v>0.59868593628593625</v>
          </cell>
          <cell r="AV47">
            <v>13</v>
          </cell>
          <cell r="AW47">
            <v>131.95566358229783</v>
          </cell>
          <cell r="AX47">
            <v>0.1</v>
          </cell>
          <cell r="AY47">
            <v>1</v>
          </cell>
          <cell r="AZ47">
            <v>8600000</v>
          </cell>
          <cell r="BA47">
            <v>22</v>
          </cell>
          <cell r="BB47">
            <v>1.1800000000000001E-3</v>
          </cell>
          <cell r="BC47">
            <v>22</v>
          </cell>
          <cell r="BD47">
            <v>4.8289409068587336E-2</v>
          </cell>
          <cell r="BE47">
            <v>99</v>
          </cell>
          <cell r="BF47">
            <v>13</v>
          </cell>
          <cell r="BG47">
            <v>79</v>
          </cell>
          <cell r="BH47">
            <v>1</v>
          </cell>
          <cell r="BI47">
            <v>16</v>
          </cell>
          <cell r="BJ47">
            <v>38</v>
          </cell>
          <cell r="BK47" t="str">
            <v>17a</v>
          </cell>
          <cell r="BL47">
            <v>-35.5</v>
          </cell>
          <cell r="BM47">
            <v>17</v>
          </cell>
          <cell r="BO47">
            <v>2.0211567669607537E-3</v>
          </cell>
          <cell r="BS47">
            <v>100</v>
          </cell>
          <cell r="BT47" t="str">
            <v>Ceiling (Low)</v>
          </cell>
          <cell r="BV47">
            <v>500</v>
          </cell>
          <cell r="BW47" t="str">
            <v>Ceiling (Low)</v>
          </cell>
          <cell r="BY47">
            <v>1000</v>
          </cell>
          <cell r="BZ47" t="str">
            <v>Ceiling (Low)</v>
          </cell>
          <cell r="CA47">
            <v>50000</v>
          </cell>
          <cell r="CB47" t="str">
            <v>0.005%</v>
          </cell>
        </row>
        <row r="48">
          <cell r="A48" t="str">
            <v>DICHLOROETHYLENE, 1,1-</v>
          </cell>
          <cell r="B48" t="str">
            <v>75-35-4</v>
          </cell>
          <cell r="C48">
            <v>42922</v>
          </cell>
          <cell r="D48">
            <v>0.05</v>
          </cell>
          <cell r="E48">
            <v>1</v>
          </cell>
          <cell r="F48">
            <v>0.05</v>
          </cell>
          <cell r="G48" t="str">
            <v>1d</v>
          </cell>
          <cell r="H48">
            <v>0.2</v>
          </cell>
          <cell r="I48">
            <v>1</v>
          </cell>
          <cell r="J48">
            <v>0.2</v>
          </cell>
          <cell r="K48" t="str">
            <v>1j</v>
          </cell>
          <cell r="M48" t="str">
            <v>C</v>
          </cell>
          <cell r="N48">
            <v>1</v>
          </cell>
          <cell r="P48">
            <v>1</v>
          </cell>
          <cell r="Q48">
            <v>1</v>
          </cell>
          <cell r="R48" t="str">
            <v>9e</v>
          </cell>
          <cell r="S48">
            <v>0.03</v>
          </cell>
          <cell r="T48" t="str">
            <v>9e</v>
          </cell>
          <cell r="U48">
            <v>1</v>
          </cell>
          <cell r="V48" t="str">
            <v>9e</v>
          </cell>
          <cell r="W48">
            <v>0.03</v>
          </cell>
          <cell r="X48" t="str">
            <v>9e</v>
          </cell>
          <cell r="Y48" t="str">
            <v>NC</v>
          </cell>
          <cell r="AA48" t="str">
            <v>NC</v>
          </cell>
          <cell r="AC48">
            <v>1</v>
          </cell>
          <cell r="AD48">
            <v>9</v>
          </cell>
          <cell r="AE48">
            <v>1</v>
          </cell>
          <cell r="AF48">
            <v>9</v>
          </cell>
          <cell r="AK48">
            <v>1</v>
          </cell>
          <cell r="AL48">
            <v>0.98</v>
          </cell>
          <cell r="AO48">
            <v>0</v>
          </cell>
          <cell r="AT48">
            <v>125000</v>
          </cell>
          <cell r="AU48">
            <v>31.509384086703669</v>
          </cell>
          <cell r="AV48">
            <v>13</v>
          </cell>
          <cell r="AW48">
            <v>18.756317114093964</v>
          </cell>
          <cell r="AX48">
            <v>0.1</v>
          </cell>
          <cell r="AY48">
            <v>1</v>
          </cell>
          <cell r="AZ48">
            <v>2420000</v>
          </cell>
          <cell r="BA48">
            <v>22</v>
          </cell>
          <cell r="BB48">
            <v>2.6100000000000002E-2</v>
          </cell>
          <cell r="BC48">
            <v>22</v>
          </cell>
          <cell r="BD48">
            <v>1.0680962514323131</v>
          </cell>
          <cell r="BE48">
            <v>97</v>
          </cell>
          <cell r="BF48">
            <v>13</v>
          </cell>
          <cell r="BG48">
            <v>591</v>
          </cell>
          <cell r="BH48">
            <v>1.48</v>
          </cell>
          <cell r="BI48">
            <v>16</v>
          </cell>
          <cell r="BJ48">
            <v>65</v>
          </cell>
          <cell r="BK48" t="str">
            <v>17a</v>
          </cell>
          <cell r="BL48">
            <v>-122.5</v>
          </cell>
          <cell r="BM48">
            <v>17</v>
          </cell>
          <cell r="BO48">
            <v>4.3013026338213599E-3</v>
          </cell>
          <cell r="BS48">
            <v>500</v>
          </cell>
          <cell r="BT48" t="str">
            <v>Ceiling (Medium)</v>
          </cell>
          <cell r="BV48">
            <v>1000</v>
          </cell>
          <cell r="BW48" t="str">
            <v>Ceiling (Medium)</v>
          </cell>
          <cell r="BY48">
            <v>3000</v>
          </cell>
          <cell r="BZ48" t="str">
            <v>Ceiling (Medium)</v>
          </cell>
          <cell r="CA48">
            <v>50000</v>
          </cell>
          <cell r="CB48" t="str">
            <v>0.005%</v>
          </cell>
        </row>
        <row r="49">
          <cell r="A49" t="str">
            <v>DICHLOROETHYLENE, CIS-1,2-</v>
          </cell>
          <cell r="B49" t="str">
            <v>156-59-2</v>
          </cell>
          <cell r="C49">
            <v>42922</v>
          </cell>
          <cell r="D49">
            <v>2E-3</v>
          </cell>
          <cell r="E49">
            <v>1</v>
          </cell>
          <cell r="F49">
            <v>0.02</v>
          </cell>
          <cell r="G49">
            <v>6</v>
          </cell>
          <cell r="H49">
            <v>7.0000000000000001E-3</v>
          </cell>
          <cell r="I49" t="str">
            <v>7b</v>
          </cell>
          <cell r="J49">
            <v>7.0000000000000007E-2</v>
          </cell>
          <cell r="K49" t="str">
            <v>7b</v>
          </cell>
          <cell r="M49" t="str">
            <v>D</v>
          </cell>
          <cell r="N49">
            <v>1</v>
          </cell>
          <cell r="Q49">
            <v>1</v>
          </cell>
          <cell r="R49" t="str">
            <v>9e</v>
          </cell>
          <cell r="S49">
            <v>0.03</v>
          </cell>
          <cell r="T49" t="str">
            <v>9e</v>
          </cell>
          <cell r="U49">
            <v>1</v>
          </cell>
          <cell r="V49" t="str">
            <v>9e</v>
          </cell>
          <cell r="W49">
            <v>0.03</v>
          </cell>
          <cell r="X49" t="str">
            <v>9e</v>
          </cell>
          <cell r="Y49" t="str">
            <v>NC</v>
          </cell>
          <cell r="AA49" t="str">
            <v>NC</v>
          </cell>
          <cell r="AC49">
            <v>1</v>
          </cell>
          <cell r="AD49">
            <v>9</v>
          </cell>
          <cell r="AE49">
            <v>1</v>
          </cell>
          <cell r="AF49">
            <v>9</v>
          </cell>
          <cell r="AK49">
            <v>0.84</v>
          </cell>
          <cell r="AL49" t="str">
            <v>NC</v>
          </cell>
          <cell r="AO49">
            <v>0</v>
          </cell>
          <cell r="AU49">
            <v>0</v>
          </cell>
          <cell r="AW49">
            <v>0</v>
          </cell>
          <cell r="AX49">
            <v>0.1</v>
          </cell>
          <cell r="AY49">
            <v>0.6</v>
          </cell>
          <cell r="AZ49">
            <v>6410000</v>
          </cell>
          <cell r="BA49">
            <v>22</v>
          </cell>
          <cell r="BB49">
            <v>4.0800000000000003E-3</v>
          </cell>
          <cell r="BC49">
            <v>22</v>
          </cell>
          <cell r="BD49">
            <v>0.16696677033884436</v>
          </cell>
          <cell r="BE49">
            <v>97</v>
          </cell>
          <cell r="BF49">
            <v>13</v>
          </cell>
          <cell r="BG49">
            <v>202</v>
          </cell>
          <cell r="BH49">
            <v>1.76</v>
          </cell>
          <cell r="BI49">
            <v>17</v>
          </cell>
          <cell r="BJ49">
            <v>35.5</v>
          </cell>
          <cell r="BK49" t="str">
            <v>17b</v>
          </cell>
          <cell r="BL49">
            <v>-80</v>
          </cell>
          <cell r="BM49">
            <v>17</v>
          </cell>
          <cell r="BO49">
            <v>6.5826384164090132E-3</v>
          </cell>
          <cell r="BS49">
            <v>100</v>
          </cell>
          <cell r="BT49" t="str">
            <v>Ceiling (Low)</v>
          </cell>
          <cell r="BV49">
            <v>500</v>
          </cell>
          <cell r="BW49" t="str">
            <v>Ceiling (Low)</v>
          </cell>
          <cell r="BY49">
            <v>500</v>
          </cell>
          <cell r="BZ49" t="str">
            <v>High Volatility</v>
          </cell>
          <cell r="CA49">
            <v>50000</v>
          </cell>
          <cell r="CB49" t="str">
            <v>0.005%</v>
          </cell>
        </row>
        <row r="50">
          <cell r="A50" t="str">
            <v>DICHLOROETHYLENE, TRANS-1,2-</v>
          </cell>
          <cell r="B50" t="str">
            <v>156-60-5</v>
          </cell>
          <cell r="C50">
            <v>42922</v>
          </cell>
          <cell r="D50">
            <v>0.02</v>
          </cell>
          <cell r="E50">
            <v>1</v>
          </cell>
          <cell r="F50">
            <v>0.2</v>
          </cell>
          <cell r="G50" t="str">
            <v>1i</v>
          </cell>
          <cell r="H50">
            <v>7.0000000000000007E-2</v>
          </cell>
          <cell r="I50" t="str">
            <v>7b</v>
          </cell>
          <cell r="J50">
            <v>0.7</v>
          </cell>
          <cell r="K50" t="str">
            <v>7b</v>
          </cell>
          <cell r="Q50">
            <v>1</v>
          </cell>
          <cell r="R50" t="str">
            <v>9e</v>
          </cell>
          <cell r="S50">
            <v>0.03</v>
          </cell>
          <cell r="T50" t="str">
            <v>9e</v>
          </cell>
          <cell r="U50">
            <v>1</v>
          </cell>
          <cell r="V50" t="str">
            <v>9e</v>
          </cell>
          <cell r="W50">
            <v>0.03</v>
          </cell>
          <cell r="X50" t="str">
            <v>9e</v>
          </cell>
          <cell r="Y50" t="str">
            <v>NC</v>
          </cell>
          <cell r="AA50" t="str">
            <v>NC</v>
          </cell>
          <cell r="AC50">
            <v>1</v>
          </cell>
          <cell r="AD50">
            <v>9</v>
          </cell>
          <cell r="AE50">
            <v>1</v>
          </cell>
          <cell r="AF50">
            <v>9</v>
          </cell>
          <cell r="AK50">
            <v>0.84</v>
          </cell>
          <cell r="AL50" t="str">
            <v>NC</v>
          </cell>
          <cell r="AO50">
            <v>0</v>
          </cell>
          <cell r="AR50">
            <v>260</v>
          </cell>
          <cell r="AS50">
            <v>13</v>
          </cell>
          <cell r="AT50">
            <v>67320</v>
          </cell>
          <cell r="AU50">
            <v>16.96969389373513</v>
          </cell>
          <cell r="AV50">
            <v>13</v>
          </cell>
          <cell r="AW50">
            <v>19.505360678438553</v>
          </cell>
          <cell r="AX50">
            <v>0.1</v>
          </cell>
          <cell r="AY50">
            <v>0.3</v>
          </cell>
          <cell r="AZ50">
            <v>4520000</v>
          </cell>
          <cell r="BA50">
            <v>22</v>
          </cell>
          <cell r="BB50">
            <v>9.3799999999999994E-3</v>
          </cell>
          <cell r="BC50">
            <v>22</v>
          </cell>
          <cell r="BD50">
            <v>0.38385987886724504</v>
          </cell>
          <cell r="BE50">
            <v>97</v>
          </cell>
          <cell r="BF50">
            <v>13</v>
          </cell>
          <cell r="BG50">
            <v>331</v>
          </cell>
          <cell r="BH50">
            <v>2.09</v>
          </cell>
          <cell r="BI50">
            <v>16</v>
          </cell>
          <cell r="BJ50">
            <v>38</v>
          </cell>
          <cell r="BK50" t="str">
            <v>17a</v>
          </cell>
          <cell r="BL50">
            <v>-49.8</v>
          </cell>
          <cell r="BM50">
            <v>17</v>
          </cell>
          <cell r="BO50">
            <v>1.0869260563262276E-2</v>
          </cell>
          <cell r="BS50">
            <v>500</v>
          </cell>
          <cell r="BT50" t="str">
            <v>Ceiling (Medium)</v>
          </cell>
          <cell r="BV50">
            <v>1000</v>
          </cell>
          <cell r="BW50" t="str">
            <v>Ceiling (Medium)</v>
          </cell>
          <cell r="BY50">
            <v>3000</v>
          </cell>
          <cell r="BZ50" t="str">
            <v>Ceiling (Medium)</v>
          </cell>
          <cell r="CA50">
            <v>50000</v>
          </cell>
          <cell r="CB50" t="str">
            <v>0.005%</v>
          </cell>
        </row>
        <row r="51">
          <cell r="A51" t="str">
            <v>DICHLOROMETHANE</v>
          </cell>
          <cell r="B51" t="str">
            <v>75-09-2</v>
          </cell>
          <cell r="C51">
            <v>42922</v>
          </cell>
          <cell r="D51">
            <v>6.0000000000000001E-3</v>
          </cell>
          <cell r="E51">
            <v>1</v>
          </cell>
          <cell r="F51">
            <v>6.0000000000000001E-3</v>
          </cell>
          <cell r="G51" t="str">
            <v>1d</v>
          </cell>
          <cell r="H51">
            <v>0.6</v>
          </cell>
          <cell r="I51">
            <v>1</v>
          </cell>
          <cell r="J51">
            <v>0.6</v>
          </cell>
          <cell r="K51" t="str">
            <v>1j</v>
          </cell>
          <cell r="L51">
            <v>2E-3</v>
          </cell>
          <cell r="M51" t="str">
            <v>B2</v>
          </cell>
          <cell r="N51">
            <v>1</v>
          </cell>
          <cell r="O51">
            <v>1E-8</v>
          </cell>
          <cell r="P51">
            <v>1</v>
          </cell>
          <cell r="Q51">
            <v>1</v>
          </cell>
          <cell r="R51" t="str">
            <v>9e</v>
          </cell>
          <cell r="S51">
            <v>0.03</v>
          </cell>
          <cell r="T51" t="str">
            <v>9e</v>
          </cell>
          <cell r="U51">
            <v>1</v>
          </cell>
          <cell r="V51" t="str">
            <v>9e</v>
          </cell>
          <cell r="W51">
            <v>0.03</v>
          </cell>
          <cell r="X51" t="str">
            <v>9e</v>
          </cell>
          <cell r="Y51">
            <v>1</v>
          </cell>
          <cell r="Z51" t="str">
            <v>9e</v>
          </cell>
          <cell r="AA51">
            <v>0.03</v>
          </cell>
          <cell r="AB51" t="str">
            <v>9e</v>
          </cell>
          <cell r="AC51">
            <v>1</v>
          </cell>
          <cell r="AD51">
            <v>9</v>
          </cell>
          <cell r="AE51">
            <v>1</v>
          </cell>
          <cell r="AF51">
            <v>9</v>
          </cell>
          <cell r="AG51">
            <v>1</v>
          </cell>
          <cell r="AH51">
            <v>9</v>
          </cell>
          <cell r="AJ51" t="str">
            <v>M</v>
          </cell>
          <cell r="AK51">
            <v>1</v>
          </cell>
          <cell r="AL51">
            <v>1</v>
          </cell>
          <cell r="AO51">
            <v>11</v>
          </cell>
          <cell r="AP51">
            <v>600</v>
          </cell>
          <cell r="AR51">
            <v>9100</v>
          </cell>
          <cell r="AS51">
            <v>13</v>
          </cell>
          <cell r="AT51">
            <v>540000</v>
          </cell>
          <cell r="AU51">
            <v>155.33755656108596</v>
          </cell>
          <cell r="AV51">
            <v>13</v>
          </cell>
          <cell r="AW51">
            <v>2.761727488814318</v>
          </cell>
          <cell r="AX51">
            <v>0.1</v>
          </cell>
          <cell r="AY51">
            <v>5</v>
          </cell>
          <cell r="AZ51">
            <v>13000000</v>
          </cell>
          <cell r="BA51">
            <v>22</v>
          </cell>
          <cell r="BB51">
            <v>3.2499999999999999E-3</v>
          </cell>
          <cell r="BC51">
            <v>22</v>
          </cell>
          <cell r="BD51">
            <v>0.13300049107873629</v>
          </cell>
          <cell r="BE51">
            <v>85</v>
          </cell>
          <cell r="BF51">
            <v>13</v>
          </cell>
          <cell r="BG51">
            <v>429</v>
          </cell>
          <cell r="BH51">
            <v>1.25</v>
          </cell>
          <cell r="BI51">
            <v>16</v>
          </cell>
          <cell r="BJ51">
            <v>10</v>
          </cell>
          <cell r="BK51" t="str">
            <v>17a</v>
          </cell>
          <cell r="BL51">
            <v>-95.1</v>
          </cell>
          <cell r="BM51">
            <v>17</v>
          </cell>
          <cell r="BO51">
            <v>3.5399734108343484E-3</v>
          </cell>
          <cell r="BS51">
            <v>500</v>
          </cell>
          <cell r="BT51" t="str">
            <v>Ceiling (Medium)</v>
          </cell>
          <cell r="BV51">
            <v>1000</v>
          </cell>
          <cell r="BW51" t="str">
            <v>Ceiling (Medium)</v>
          </cell>
          <cell r="BY51">
            <v>3000</v>
          </cell>
          <cell r="BZ51" t="str">
            <v>Ceiling (Medium)</v>
          </cell>
          <cell r="CA51">
            <v>50000</v>
          </cell>
          <cell r="CB51" t="str">
            <v>0.005%</v>
          </cell>
        </row>
        <row r="52">
          <cell r="A52" t="str">
            <v>DICHLOROPHENOL, 2,4-</v>
          </cell>
          <cell r="B52" t="str">
            <v>120-83-2</v>
          </cell>
          <cell r="C52">
            <v>42922</v>
          </cell>
          <cell r="D52">
            <v>3.0000000000000001E-3</v>
          </cell>
          <cell r="E52">
            <v>1</v>
          </cell>
          <cell r="F52">
            <v>0.02</v>
          </cell>
          <cell r="G52">
            <v>6</v>
          </cell>
          <cell r="H52">
            <v>1.0999999999999999E-2</v>
          </cell>
          <cell r="I52" t="str">
            <v>7b</v>
          </cell>
          <cell r="J52">
            <v>0.06</v>
          </cell>
          <cell r="K52" t="str">
            <v>7b</v>
          </cell>
          <cell r="Q52">
            <v>1</v>
          </cell>
          <cell r="R52" t="str">
            <v>9e</v>
          </cell>
          <cell r="S52">
            <v>0.3</v>
          </cell>
          <cell r="T52" t="str">
            <v>9b</v>
          </cell>
          <cell r="U52">
            <v>1</v>
          </cell>
          <cell r="V52" t="str">
            <v>9e</v>
          </cell>
          <cell r="W52">
            <v>0.3</v>
          </cell>
          <cell r="X52" t="str">
            <v>9b</v>
          </cell>
          <cell r="Y52" t="str">
            <v>NC</v>
          </cell>
          <cell r="AA52" t="str">
            <v>NC</v>
          </cell>
          <cell r="AC52">
            <v>1</v>
          </cell>
          <cell r="AD52">
            <v>9</v>
          </cell>
          <cell r="AE52">
            <v>1</v>
          </cell>
          <cell r="AF52">
            <v>9</v>
          </cell>
          <cell r="AK52">
            <v>1</v>
          </cell>
          <cell r="AL52" t="str">
            <v>NC</v>
          </cell>
          <cell r="AO52">
            <v>0</v>
          </cell>
          <cell r="AR52">
            <v>0.3</v>
          </cell>
          <cell r="AS52">
            <v>13</v>
          </cell>
          <cell r="AT52">
            <v>1400.7</v>
          </cell>
          <cell r="AU52">
            <v>0.21011601698914581</v>
          </cell>
          <cell r="AV52">
            <v>13</v>
          </cell>
          <cell r="AW52">
            <v>0.31887145473284456</v>
          </cell>
          <cell r="AX52">
            <v>0.66</v>
          </cell>
          <cell r="AY52">
            <v>13.5</v>
          </cell>
          <cell r="AZ52">
            <v>4500000</v>
          </cell>
          <cell r="BA52">
            <v>22</v>
          </cell>
          <cell r="BB52">
            <v>5.5099999999999998E-6</v>
          </cell>
          <cell r="BC52">
            <v>22</v>
          </cell>
          <cell r="BD52">
            <v>2.254869864134883E-4</v>
          </cell>
          <cell r="BE52">
            <v>163</v>
          </cell>
          <cell r="BF52">
            <v>13</v>
          </cell>
          <cell r="BG52">
            <v>6.7000000000000004E-2</v>
          </cell>
          <cell r="BH52">
            <v>3.06</v>
          </cell>
          <cell r="BI52">
            <v>16</v>
          </cell>
          <cell r="BJ52">
            <v>72</v>
          </cell>
          <cell r="BK52" t="str">
            <v>17b</v>
          </cell>
          <cell r="BL52">
            <v>45</v>
          </cell>
          <cell r="BM52">
            <v>17</v>
          </cell>
          <cell r="BO52">
            <v>2.026749152098967E-2</v>
          </cell>
          <cell r="BS52">
            <v>500</v>
          </cell>
          <cell r="BT52" t="str">
            <v>Ceiling (Medium)</v>
          </cell>
          <cell r="BV52">
            <v>1000</v>
          </cell>
          <cell r="BW52" t="str">
            <v>Ceiling (Medium)</v>
          </cell>
          <cell r="BY52">
            <v>3000</v>
          </cell>
          <cell r="BZ52" t="str">
            <v>Ceiling (Medium)</v>
          </cell>
          <cell r="CA52">
            <v>50000</v>
          </cell>
          <cell r="CB52" t="str">
            <v>0.005%</v>
          </cell>
        </row>
        <row r="53">
          <cell r="A53" t="str">
            <v>DICHLOROPROPANE, 1,2-</v>
          </cell>
          <cell r="B53" t="str">
            <v>78-87-5</v>
          </cell>
          <cell r="C53">
            <v>42923</v>
          </cell>
          <cell r="D53">
            <v>0.04</v>
          </cell>
          <cell r="E53">
            <v>6</v>
          </cell>
          <cell r="F53">
            <v>0.04</v>
          </cell>
          <cell r="G53">
            <v>6</v>
          </cell>
          <cell r="H53">
            <v>4.0000000000000001E-3</v>
          </cell>
          <cell r="I53">
            <v>1</v>
          </cell>
          <cell r="J53">
            <v>1.2E-2</v>
          </cell>
          <cell r="K53" t="str">
            <v>1k</v>
          </cell>
          <cell r="L53">
            <v>3.6999999999999998E-2</v>
          </cell>
          <cell r="M53" t="str">
            <v>B2</v>
          </cell>
          <cell r="N53">
            <v>6</v>
          </cell>
          <cell r="O53">
            <v>1.9000000000000001E-5</v>
          </cell>
          <cell r="P53">
            <v>3</v>
          </cell>
          <cell r="Q53">
            <v>1</v>
          </cell>
          <cell r="R53" t="str">
            <v>9e</v>
          </cell>
          <cell r="S53">
            <v>0.03</v>
          </cell>
          <cell r="T53" t="str">
            <v>9e</v>
          </cell>
          <cell r="U53">
            <v>1</v>
          </cell>
          <cell r="V53" t="str">
            <v>9e</v>
          </cell>
          <cell r="W53">
            <v>0.03</v>
          </cell>
          <cell r="X53" t="str">
            <v>9e</v>
          </cell>
          <cell r="Y53">
            <v>1</v>
          </cell>
          <cell r="Z53" t="str">
            <v>9e</v>
          </cell>
          <cell r="AA53">
            <v>0.03</v>
          </cell>
          <cell r="AB53" t="str">
            <v>9e</v>
          </cell>
          <cell r="AC53">
            <v>1</v>
          </cell>
          <cell r="AD53">
            <v>9</v>
          </cell>
          <cell r="AE53">
            <v>1</v>
          </cell>
          <cell r="AF53">
            <v>9</v>
          </cell>
          <cell r="AG53">
            <v>1</v>
          </cell>
          <cell r="AH53">
            <v>9</v>
          </cell>
          <cell r="AK53">
            <v>1</v>
          </cell>
          <cell r="AL53">
            <v>1</v>
          </cell>
          <cell r="AO53">
            <v>0</v>
          </cell>
          <cell r="AR53">
            <v>10</v>
          </cell>
          <cell r="AS53">
            <v>13</v>
          </cell>
          <cell r="AT53">
            <v>1190.5</v>
          </cell>
          <cell r="AU53">
            <v>0.25760399364647146</v>
          </cell>
          <cell r="AV53">
            <v>13</v>
          </cell>
          <cell r="AW53">
            <v>163.0409505903842</v>
          </cell>
          <cell r="AX53">
            <v>0.1</v>
          </cell>
          <cell r="AY53">
            <v>1</v>
          </cell>
          <cell r="AZ53">
            <v>2800000</v>
          </cell>
          <cell r="BA53">
            <v>22</v>
          </cell>
          <cell r="BB53">
            <v>2.82E-3</v>
          </cell>
          <cell r="BC53">
            <v>22</v>
          </cell>
          <cell r="BD53">
            <v>0.11540350302831888</v>
          </cell>
          <cell r="BE53">
            <v>113</v>
          </cell>
          <cell r="BF53">
            <v>13</v>
          </cell>
          <cell r="BG53">
            <v>42</v>
          </cell>
          <cell r="BH53">
            <v>1.98</v>
          </cell>
          <cell r="BI53">
            <v>16</v>
          </cell>
          <cell r="BJ53">
            <v>46.773514128719818</v>
          </cell>
          <cell r="BK53" t="str">
            <v>17a</v>
          </cell>
          <cell r="BL53">
            <v>-70</v>
          </cell>
          <cell r="BM53">
            <v>17</v>
          </cell>
          <cell r="BO53">
            <v>7.481695005111544E-3</v>
          </cell>
          <cell r="BS53">
            <v>100</v>
          </cell>
          <cell r="BT53" t="str">
            <v>Ceiling (Low)</v>
          </cell>
          <cell r="BV53">
            <v>500</v>
          </cell>
          <cell r="BW53" t="str">
            <v>Ceiling (Low)</v>
          </cell>
          <cell r="BY53">
            <v>1000</v>
          </cell>
          <cell r="BZ53" t="str">
            <v>Ceiling (Low)</v>
          </cell>
          <cell r="CA53">
            <v>50000</v>
          </cell>
          <cell r="CB53" t="str">
            <v>0.005%</v>
          </cell>
        </row>
        <row r="54">
          <cell r="A54" t="str">
            <v>DICHLOROPROPENE, 1,3-</v>
          </cell>
          <cell r="B54" t="str">
            <v>542-75-6</v>
          </cell>
          <cell r="C54">
            <v>42922</v>
          </cell>
          <cell r="D54">
            <v>0.03</v>
          </cell>
          <cell r="E54">
            <v>1</v>
          </cell>
          <cell r="F54">
            <v>0.03</v>
          </cell>
          <cell r="G54" t="str">
            <v>1d</v>
          </cell>
          <cell r="H54">
            <v>0.02</v>
          </cell>
          <cell r="I54">
            <v>1</v>
          </cell>
          <cell r="J54">
            <v>0.02</v>
          </cell>
          <cell r="K54" t="str">
            <v>7c</v>
          </cell>
          <cell r="L54">
            <v>0.1</v>
          </cell>
          <cell r="M54" t="str">
            <v>B2</v>
          </cell>
          <cell r="N54">
            <v>1</v>
          </cell>
          <cell r="O54">
            <v>3.9999999999999998E-6</v>
          </cell>
          <cell r="P54">
            <v>1</v>
          </cell>
          <cell r="Q54">
            <v>1</v>
          </cell>
          <cell r="R54" t="str">
            <v>9e</v>
          </cell>
          <cell r="S54">
            <v>0.03</v>
          </cell>
          <cell r="T54" t="str">
            <v>9e</v>
          </cell>
          <cell r="U54">
            <v>1</v>
          </cell>
          <cell r="V54" t="str">
            <v>9e</v>
          </cell>
          <cell r="W54">
            <v>0.03</v>
          </cell>
          <cell r="X54" t="str">
            <v>9e</v>
          </cell>
          <cell r="Y54">
            <v>1</v>
          </cell>
          <cell r="Z54" t="str">
            <v>9e</v>
          </cell>
          <cell r="AA54">
            <v>0.03</v>
          </cell>
          <cell r="AB54" t="str">
            <v>9e</v>
          </cell>
          <cell r="AC54">
            <v>1</v>
          </cell>
          <cell r="AD54">
            <v>9</v>
          </cell>
          <cell r="AE54">
            <v>1</v>
          </cell>
          <cell r="AF54">
            <v>9</v>
          </cell>
          <cell r="AG54">
            <v>1</v>
          </cell>
          <cell r="AH54">
            <v>9</v>
          </cell>
          <cell r="AK54">
            <v>1</v>
          </cell>
          <cell r="AL54">
            <v>1</v>
          </cell>
          <cell r="AO54">
            <v>0</v>
          </cell>
          <cell r="AT54">
            <v>4610</v>
          </cell>
          <cell r="AU54">
            <v>1.0154991914991915</v>
          </cell>
          <cell r="AV54">
            <v>13</v>
          </cell>
          <cell r="AW54">
            <v>42.343706779833738</v>
          </cell>
          <cell r="AX54">
            <v>5.0000000000000001E-3</v>
          </cell>
          <cell r="AY54">
            <v>5</v>
          </cell>
          <cell r="AZ54">
            <v>2800000</v>
          </cell>
          <cell r="BA54">
            <v>22</v>
          </cell>
          <cell r="BB54">
            <v>3.5500000000000002E-3</v>
          </cell>
          <cell r="BC54">
            <v>22</v>
          </cell>
          <cell r="BD54">
            <v>0.14527745948600426</v>
          </cell>
          <cell r="BE54">
            <v>111</v>
          </cell>
          <cell r="BF54">
            <v>13</v>
          </cell>
          <cell r="BG54">
            <v>43</v>
          </cell>
          <cell r="BH54">
            <v>2.04</v>
          </cell>
          <cell r="BI54">
            <v>16</v>
          </cell>
          <cell r="BJ54">
            <v>27.1</v>
          </cell>
          <cell r="BK54" t="str">
            <v>17a</v>
          </cell>
          <cell r="BO54">
            <v>8.4100775406923331E-3</v>
          </cell>
          <cell r="BS54">
            <v>500</v>
          </cell>
          <cell r="BT54" t="str">
            <v>Ceiling (Medium)</v>
          </cell>
          <cell r="BV54">
            <v>1000</v>
          </cell>
          <cell r="BW54" t="str">
            <v>Ceiling (Medium)</v>
          </cell>
          <cell r="BY54">
            <v>3000</v>
          </cell>
          <cell r="BZ54" t="str">
            <v>Ceiling (Medium)</v>
          </cell>
          <cell r="CA54">
            <v>50000</v>
          </cell>
          <cell r="CB54" t="str">
            <v>0.005%</v>
          </cell>
        </row>
        <row r="55">
          <cell r="A55" t="str">
            <v>DIELDRIN</v>
          </cell>
          <cell r="B55" t="str">
            <v>60-57-1</v>
          </cell>
          <cell r="C55">
            <v>42923</v>
          </cell>
          <cell r="D55">
            <v>5.0000000000000002E-5</v>
          </cell>
          <cell r="E55">
            <v>1</v>
          </cell>
          <cell r="F55">
            <v>5.0000000000000002E-5</v>
          </cell>
          <cell r="G55">
            <v>2</v>
          </cell>
          <cell r="H55">
            <v>1.8000000000000001E-4</v>
          </cell>
          <cell r="I55" t="str">
            <v>7b</v>
          </cell>
          <cell r="J55">
            <v>1.8000000000000001E-4</v>
          </cell>
          <cell r="K55" t="str">
            <v>7c</v>
          </cell>
          <cell r="L55">
            <v>16</v>
          </cell>
          <cell r="M55" t="str">
            <v>B2</v>
          </cell>
          <cell r="N55">
            <v>1</v>
          </cell>
          <cell r="O55">
            <v>4.5999999999999999E-3</v>
          </cell>
          <cell r="P55">
            <v>1</v>
          </cell>
          <cell r="Q55">
            <v>1</v>
          </cell>
          <cell r="R55" t="str">
            <v>9e</v>
          </cell>
          <cell r="S55">
            <v>0.1</v>
          </cell>
          <cell r="T55" t="str">
            <v>9e</v>
          </cell>
          <cell r="U55">
            <v>1</v>
          </cell>
          <cell r="V55" t="str">
            <v>9e</v>
          </cell>
          <cell r="W55">
            <v>0.1</v>
          </cell>
          <cell r="X55" t="str">
            <v>9e</v>
          </cell>
          <cell r="Y55">
            <v>1</v>
          </cell>
          <cell r="Z55" t="str">
            <v>9e</v>
          </cell>
          <cell r="AA55">
            <v>0.1</v>
          </cell>
          <cell r="AB55" t="str">
            <v>9e</v>
          </cell>
          <cell r="AC55">
            <v>1</v>
          </cell>
          <cell r="AD55">
            <v>9</v>
          </cell>
          <cell r="AE55">
            <v>1</v>
          </cell>
          <cell r="AF55">
            <v>9</v>
          </cell>
          <cell r="AG55">
            <v>1</v>
          </cell>
          <cell r="AH55">
            <v>9</v>
          </cell>
          <cell r="AK55">
            <v>0.8</v>
          </cell>
          <cell r="AL55">
            <v>0.8</v>
          </cell>
          <cell r="AO55">
            <v>0</v>
          </cell>
          <cell r="AR55">
            <v>41</v>
          </cell>
          <cell r="AS55">
            <v>13</v>
          </cell>
          <cell r="AU55">
            <v>0</v>
          </cell>
          <cell r="AW55">
            <v>0</v>
          </cell>
          <cell r="AX55">
            <v>1.34E-3</v>
          </cell>
          <cell r="AY55">
            <v>0.1</v>
          </cell>
          <cell r="AZ55">
            <v>195</v>
          </cell>
          <cell r="BA55">
            <v>22</v>
          </cell>
          <cell r="BB55">
            <v>1.0000000000000001E-5</v>
          </cell>
          <cell r="BC55">
            <v>22</v>
          </cell>
          <cell r="BD55">
            <v>4.0923228024226558E-4</v>
          </cell>
          <cell r="BE55">
            <v>381</v>
          </cell>
          <cell r="BF55">
            <v>13</v>
          </cell>
          <cell r="BG55">
            <v>1.8E-7</v>
          </cell>
          <cell r="BH55">
            <v>5.4</v>
          </cell>
          <cell r="BI55">
            <v>16</v>
          </cell>
          <cell r="BJ55">
            <v>25500</v>
          </cell>
          <cell r="BK55" t="str">
            <v>17a</v>
          </cell>
          <cell r="BL55">
            <v>175.5</v>
          </cell>
          <cell r="BM55">
            <v>17</v>
          </cell>
          <cell r="BO55">
            <v>4.2697259404803421E-2</v>
          </cell>
          <cell r="BS55">
            <v>1000</v>
          </cell>
          <cell r="BT55" t="str">
            <v>Ceiling (High)</v>
          </cell>
          <cell r="BV55">
            <v>3000</v>
          </cell>
          <cell r="BW55" t="str">
            <v>Ceiling (High)</v>
          </cell>
          <cell r="BY55">
            <v>5000</v>
          </cell>
          <cell r="BZ55" t="str">
            <v>Ceiling (High)</v>
          </cell>
          <cell r="CA55">
            <v>50000</v>
          </cell>
          <cell r="CB55" t="str">
            <v>0.005%</v>
          </cell>
        </row>
        <row r="56">
          <cell r="A56" t="str">
            <v>DIETHYL PHTHALATE</v>
          </cell>
          <cell r="B56" t="str">
            <v>84-66-2</v>
          </cell>
          <cell r="C56">
            <v>42923</v>
          </cell>
          <cell r="D56">
            <v>0.8</v>
          </cell>
          <cell r="E56">
            <v>1</v>
          </cell>
          <cell r="F56">
            <v>8</v>
          </cell>
          <cell r="G56">
            <v>2</v>
          </cell>
          <cell r="H56">
            <v>2.8</v>
          </cell>
          <cell r="I56" t="str">
            <v>7b</v>
          </cell>
          <cell r="J56">
            <v>28</v>
          </cell>
          <cell r="K56" t="str">
            <v>7b</v>
          </cell>
          <cell r="M56" t="str">
            <v>D</v>
          </cell>
          <cell r="N56">
            <v>1</v>
          </cell>
          <cell r="Q56">
            <v>1</v>
          </cell>
          <cell r="R56" t="str">
            <v>9e</v>
          </cell>
          <cell r="S56">
            <v>0.1</v>
          </cell>
          <cell r="T56" t="str">
            <v>9e</v>
          </cell>
          <cell r="U56">
            <v>1</v>
          </cell>
          <cell r="V56" t="str">
            <v>9e</v>
          </cell>
          <cell r="W56">
            <v>0.1</v>
          </cell>
          <cell r="X56" t="str">
            <v>9e</v>
          </cell>
          <cell r="Y56" t="str">
            <v>NC</v>
          </cell>
          <cell r="AA56" t="str">
            <v>NC</v>
          </cell>
          <cell r="AC56">
            <v>1</v>
          </cell>
          <cell r="AD56">
            <v>9</v>
          </cell>
          <cell r="AE56">
            <v>1</v>
          </cell>
          <cell r="AF56">
            <v>9</v>
          </cell>
          <cell r="AK56">
            <v>1</v>
          </cell>
          <cell r="AL56" t="str">
            <v>NC</v>
          </cell>
          <cell r="AO56">
            <v>0</v>
          </cell>
          <cell r="AU56">
            <v>0</v>
          </cell>
          <cell r="AW56">
            <v>0</v>
          </cell>
          <cell r="AX56">
            <v>0.66</v>
          </cell>
          <cell r="AY56">
            <v>4</v>
          </cell>
          <cell r="AZ56">
            <v>1080000</v>
          </cell>
          <cell r="BA56">
            <v>22</v>
          </cell>
          <cell r="BB56">
            <v>6.0999999999999998E-7</v>
          </cell>
          <cell r="BC56">
            <v>22</v>
          </cell>
          <cell r="BD56">
            <v>2.4963169094778196E-5</v>
          </cell>
          <cell r="BE56">
            <v>222</v>
          </cell>
          <cell r="BF56">
            <v>11</v>
          </cell>
          <cell r="BH56">
            <v>2.42</v>
          </cell>
          <cell r="BI56">
            <v>16</v>
          </cell>
          <cell r="BJ56">
            <v>82.2</v>
          </cell>
          <cell r="BK56" t="str">
            <v>17a</v>
          </cell>
          <cell r="BL56">
            <v>-40.5</v>
          </cell>
          <cell r="BM56">
            <v>17</v>
          </cell>
          <cell r="BO56">
            <v>3.5809643710263614E-3</v>
          </cell>
          <cell r="BS56">
            <v>1000</v>
          </cell>
          <cell r="BT56" t="str">
            <v>Ceiling (High)</v>
          </cell>
          <cell r="BV56">
            <v>3000</v>
          </cell>
          <cell r="BW56" t="str">
            <v>Ceiling (High)</v>
          </cell>
          <cell r="BY56">
            <v>5000</v>
          </cell>
          <cell r="BZ56" t="str">
            <v>Ceiling (High)</v>
          </cell>
          <cell r="CA56">
            <v>50000</v>
          </cell>
          <cell r="CB56" t="str">
            <v>0.005%</v>
          </cell>
        </row>
        <row r="57">
          <cell r="A57" t="str">
            <v>DIMETHYL PHTHALATE</v>
          </cell>
          <cell r="B57" t="str">
            <v>131-11-3</v>
          </cell>
          <cell r="C57">
            <v>42922</v>
          </cell>
          <cell r="D57">
            <v>0.1</v>
          </cell>
          <cell r="E57" t="str">
            <v>6a</v>
          </cell>
          <cell r="F57">
            <v>0.1</v>
          </cell>
          <cell r="G57" t="str">
            <v>6c</v>
          </cell>
          <cell r="H57">
            <v>0.4</v>
          </cell>
          <cell r="I57" t="str">
            <v>7b</v>
          </cell>
          <cell r="J57">
            <v>0.4</v>
          </cell>
          <cell r="K57" t="str">
            <v>7b</v>
          </cell>
          <cell r="M57" t="str">
            <v>D</v>
          </cell>
          <cell r="N57">
            <v>1</v>
          </cell>
          <cell r="Q57">
            <v>1</v>
          </cell>
          <cell r="R57" t="str">
            <v>9e</v>
          </cell>
          <cell r="S57">
            <v>0.1</v>
          </cell>
          <cell r="T57" t="str">
            <v>9e</v>
          </cell>
          <cell r="U57">
            <v>1</v>
          </cell>
          <cell r="V57" t="str">
            <v>9e</v>
          </cell>
          <cell r="W57">
            <v>0.1</v>
          </cell>
          <cell r="X57" t="str">
            <v>9e</v>
          </cell>
          <cell r="Y57" t="str">
            <v>NC</v>
          </cell>
          <cell r="AA57" t="str">
            <v>NC</v>
          </cell>
          <cell r="AC57">
            <v>1</v>
          </cell>
          <cell r="AD57">
            <v>9</v>
          </cell>
          <cell r="AE57">
            <v>1</v>
          </cell>
          <cell r="AF57">
            <v>9</v>
          </cell>
          <cell r="AK57">
            <v>1</v>
          </cell>
          <cell r="AL57" t="str">
            <v>NC</v>
          </cell>
          <cell r="AO57">
            <v>0</v>
          </cell>
          <cell r="AU57">
            <v>0</v>
          </cell>
          <cell r="AW57">
            <v>0</v>
          </cell>
          <cell r="AX57">
            <v>0.66</v>
          </cell>
          <cell r="AY57">
            <v>1.5</v>
          </cell>
          <cell r="AZ57">
            <v>4000000</v>
          </cell>
          <cell r="BA57">
            <v>22</v>
          </cell>
          <cell r="BB57">
            <v>1.97E-7</v>
          </cell>
          <cell r="BC57">
            <v>22</v>
          </cell>
          <cell r="BD57">
            <v>8.0618759207726302E-6</v>
          </cell>
          <cell r="BE57">
            <v>194</v>
          </cell>
          <cell r="BF57">
            <v>15</v>
          </cell>
          <cell r="BH57">
            <v>1.6</v>
          </cell>
          <cell r="BI57">
            <v>16</v>
          </cell>
          <cell r="BJ57">
            <v>3.0902964418001324</v>
          </cell>
          <cell r="BK57" t="str">
            <v>calc</v>
          </cell>
          <cell r="BO57">
            <v>1.477746706171992E-3</v>
          </cell>
          <cell r="BS57">
            <v>1000</v>
          </cell>
          <cell r="BT57" t="str">
            <v>Ceiling (High)</v>
          </cell>
          <cell r="BV57">
            <v>3000</v>
          </cell>
          <cell r="BW57" t="str">
            <v>Ceiling (High)</v>
          </cell>
          <cell r="BY57">
            <v>5000</v>
          </cell>
          <cell r="BZ57" t="str">
            <v>Ceiling (High)</v>
          </cell>
          <cell r="CA57">
            <v>50000</v>
          </cell>
          <cell r="CB57" t="str">
            <v>0.005%</v>
          </cell>
        </row>
        <row r="58">
          <cell r="A58" t="str">
            <v>DIMETHYLPHENOL, 2,4-</v>
          </cell>
          <cell r="B58" t="str">
            <v>105-67-9</v>
          </cell>
          <cell r="C58">
            <v>42922</v>
          </cell>
          <cell r="D58">
            <v>0.02</v>
          </cell>
          <cell r="E58">
            <v>1</v>
          </cell>
          <cell r="F58">
            <v>0.05</v>
          </cell>
          <cell r="G58">
            <v>6</v>
          </cell>
          <cell r="H58">
            <v>7.0000000000000007E-2</v>
          </cell>
          <cell r="I58" t="str">
            <v>7b</v>
          </cell>
          <cell r="J58">
            <v>0.2</v>
          </cell>
          <cell r="K58" t="str">
            <v>7b</v>
          </cell>
          <cell r="Q58">
            <v>1</v>
          </cell>
          <cell r="R58" t="str">
            <v>9e</v>
          </cell>
          <cell r="S58">
            <v>0.3</v>
          </cell>
          <cell r="T58" t="str">
            <v>9b</v>
          </cell>
          <cell r="U58">
            <v>1</v>
          </cell>
          <cell r="V58" t="str">
            <v>9e</v>
          </cell>
          <cell r="W58">
            <v>0.3</v>
          </cell>
          <cell r="X58" t="str">
            <v>9b</v>
          </cell>
          <cell r="Y58" t="str">
            <v>NC</v>
          </cell>
          <cell r="AA58" t="str">
            <v>NC</v>
          </cell>
          <cell r="AC58">
            <v>1</v>
          </cell>
          <cell r="AD58">
            <v>9</v>
          </cell>
          <cell r="AE58">
            <v>1</v>
          </cell>
          <cell r="AF58">
            <v>9</v>
          </cell>
          <cell r="AK58">
            <v>1</v>
          </cell>
          <cell r="AL58" t="str">
            <v>NC</v>
          </cell>
          <cell r="AO58">
            <v>0</v>
          </cell>
          <cell r="AR58">
            <v>400</v>
          </cell>
          <cell r="AS58">
            <v>24</v>
          </cell>
          <cell r="AT58">
            <v>1</v>
          </cell>
          <cell r="AU58">
            <v>2.0042034468263973E-4</v>
          </cell>
          <cell r="AV58">
            <v>24</v>
          </cell>
          <cell r="AW58">
            <v>0</v>
          </cell>
          <cell r="AX58">
            <v>0.66</v>
          </cell>
          <cell r="AY58">
            <v>13.5</v>
          </cell>
          <cell r="AZ58">
            <v>7870000</v>
          </cell>
          <cell r="BA58">
            <v>22</v>
          </cell>
          <cell r="BB58">
            <v>9.5099999999999998E-7</v>
          </cell>
          <cell r="BC58">
            <v>22</v>
          </cell>
          <cell r="BD58">
            <v>3.8917989851039453E-5</v>
          </cell>
          <cell r="BE58">
            <v>122</v>
          </cell>
          <cell r="BF58">
            <v>15</v>
          </cell>
          <cell r="BH58">
            <v>2.2999999999999998</v>
          </cell>
          <cell r="BI58">
            <v>16</v>
          </cell>
          <cell r="BJ58">
            <v>209</v>
          </cell>
          <cell r="BK58" t="str">
            <v>17b</v>
          </cell>
          <cell r="BL58">
            <v>24.5</v>
          </cell>
          <cell r="BM58">
            <v>17</v>
          </cell>
          <cell r="BO58">
            <v>1.0834278621501391E-2</v>
          </cell>
          <cell r="BS58">
            <v>1000</v>
          </cell>
          <cell r="BT58" t="str">
            <v>Ceiling (High)</v>
          </cell>
          <cell r="BV58">
            <v>3000</v>
          </cell>
          <cell r="BW58" t="str">
            <v>Ceiling (High)</v>
          </cell>
          <cell r="BY58">
            <v>5000</v>
          </cell>
          <cell r="BZ58" t="str">
            <v>Ceiling (High)</v>
          </cell>
          <cell r="CA58">
            <v>50000</v>
          </cell>
          <cell r="CB58" t="str">
            <v>0.005%</v>
          </cell>
        </row>
        <row r="59">
          <cell r="A59" t="str">
            <v>DINITROPHENOL, 2,4-</v>
          </cell>
          <cell r="B59" t="str">
            <v>51-28-5</v>
          </cell>
          <cell r="C59">
            <v>42922</v>
          </cell>
          <cell r="D59">
            <v>2E-3</v>
          </cell>
          <cell r="E59">
            <v>1</v>
          </cell>
          <cell r="F59">
            <v>0.02</v>
          </cell>
          <cell r="G59">
            <v>6</v>
          </cell>
          <cell r="H59">
            <v>7.000000000000001E-3</v>
          </cell>
          <cell r="I59" t="str">
            <v>7b</v>
          </cell>
          <cell r="J59">
            <v>7.0000000000000007E-2</v>
          </cell>
          <cell r="K59" t="str">
            <v>7b</v>
          </cell>
          <cell r="Q59">
            <v>1</v>
          </cell>
          <cell r="R59" t="str">
            <v>9e</v>
          </cell>
          <cell r="S59">
            <v>0.3</v>
          </cell>
          <cell r="T59" t="str">
            <v>9b</v>
          </cell>
          <cell r="U59">
            <v>1</v>
          </cell>
          <cell r="V59" t="str">
            <v>9e</v>
          </cell>
          <cell r="W59">
            <v>0.3</v>
          </cell>
          <cell r="X59" t="str">
            <v>9b</v>
          </cell>
          <cell r="Y59" t="str">
            <v>NC</v>
          </cell>
          <cell r="AA59" t="str">
            <v>NC</v>
          </cell>
          <cell r="AC59">
            <v>1</v>
          </cell>
          <cell r="AD59">
            <v>9</v>
          </cell>
          <cell r="AE59">
            <v>1</v>
          </cell>
          <cell r="AF59">
            <v>9</v>
          </cell>
          <cell r="AK59">
            <v>1</v>
          </cell>
          <cell r="AL59" t="str">
            <v>NC</v>
          </cell>
          <cell r="AO59">
            <v>0</v>
          </cell>
          <cell r="AU59">
            <v>0</v>
          </cell>
          <cell r="AW59">
            <v>0</v>
          </cell>
          <cell r="AX59">
            <v>3.3</v>
          </cell>
          <cell r="AY59">
            <v>210</v>
          </cell>
          <cell r="AZ59">
            <v>2790000</v>
          </cell>
          <cell r="BA59">
            <v>22</v>
          </cell>
          <cell r="BB59">
            <v>8.6000000000000002E-8</v>
          </cell>
          <cell r="BC59">
            <v>22</v>
          </cell>
          <cell r="BD59">
            <v>3.5193976100834837E-6</v>
          </cell>
          <cell r="BE59">
            <v>184</v>
          </cell>
          <cell r="BF59">
            <v>11</v>
          </cell>
          <cell r="BH59">
            <v>1.67</v>
          </cell>
          <cell r="BI59">
            <v>17</v>
          </cell>
          <cell r="BJ59">
            <v>0.01</v>
          </cell>
          <cell r="BK59" t="str">
            <v>17b</v>
          </cell>
          <cell r="BL59">
            <v>115</v>
          </cell>
          <cell r="BM59">
            <v>17</v>
          </cell>
          <cell r="BO59">
            <v>1.8698208577366485E-3</v>
          </cell>
          <cell r="BS59">
            <v>1000</v>
          </cell>
          <cell r="BT59" t="str">
            <v>Ceiling (High)</v>
          </cell>
          <cell r="BV59">
            <v>3000</v>
          </cell>
          <cell r="BW59" t="str">
            <v>Ceiling (High)</v>
          </cell>
          <cell r="BY59">
            <v>5000</v>
          </cell>
          <cell r="BZ59" t="str">
            <v>Ceiling (High)</v>
          </cell>
          <cell r="CA59">
            <v>50000</v>
          </cell>
          <cell r="CB59" t="str">
            <v>0.005%</v>
          </cell>
        </row>
        <row r="60">
          <cell r="A60" t="str">
            <v>DINITROTOLUENE, 2,4-</v>
          </cell>
          <cell r="B60" t="str">
            <v>121-14-2</v>
          </cell>
          <cell r="C60">
            <v>42922</v>
          </cell>
          <cell r="D60">
            <v>0.02</v>
          </cell>
          <cell r="E60">
            <v>1</v>
          </cell>
          <cell r="F60">
            <v>2E-3</v>
          </cell>
          <cell r="G60">
            <v>2</v>
          </cell>
          <cell r="H60">
            <v>7.000000000000001E-3</v>
          </cell>
          <cell r="I60" t="str">
            <v>7b</v>
          </cell>
          <cell r="J60">
            <v>7.000000000000001E-3</v>
          </cell>
          <cell r="K60" t="str">
            <v>7c</v>
          </cell>
          <cell r="L60">
            <v>0.68</v>
          </cell>
          <cell r="M60" t="str">
            <v>B2</v>
          </cell>
          <cell r="N60" t="str">
            <v>1a</v>
          </cell>
          <cell r="O60">
            <v>1.9428571428571433E-4</v>
          </cell>
          <cell r="P60" t="str">
            <v>7a</v>
          </cell>
          <cell r="Q60">
            <v>1</v>
          </cell>
          <cell r="R60" t="str">
            <v>9e</v>
          </cell>
          <cell r="S60">
            <v>0.1</v>
          </cell>
          <cell r="T60" t="str">
            <v>9e</v>
          </cell>
          <cell r="U60">
            <v>1</v>
          </cell>
          <cell r="V60" t="str">
            <v>9e</v>
          </cell>
          <cell r="W60">
            <v>0.1</v>
          </cell>
          <cell r="X60" t="str">
            <v>9e</v>
          </cell>
          <cell r="Y60">
            <v>1</v>
          </cell>
          <cell r="Z60" t="str">
            <v>9e</v>
          </cell>
          <cell r="AA60">
            <v>0.1</v>
          </cell>
          <cell r="AB60" t="str">
            <v>9e</v>
          </cell>
          <cell r="AC60">
            <v>1</v>
          </cell>
          <cell r="AD60">
            <v>9</v>
          </cell>
          <cell r="AE60">
            <v>1</v>
          </cell>
          <cell r="AF60">
            <v>9</v>
          </cell>
          <cell r="AG60">
            <v>1</v>
          </cell>
          <cell r="AH60">
            <v>9</v>
          </cell>
          <cell r="AK60">
            <v>0.9</v>
          </cell>
          <cell r="AL60">
            <v>0.9</v>
          </cell>
          <cell r="AO60">
            <v>0</v>
          </cell>
          <cell r="AU60">
            <v>0</v>
          </cell>
          <cell r="AW60">
            <v>0</v>
          </cell>
          <cell r="AX60">
            <v>0.66</v>
          </cell>
          <cell r="AY60">
            <v>28.5</v>
          </cell>
          <cell r="AZ60">
            <v>270000</v>
          </cell>
          <cell r="BA60">
            <v>22</v>
          </cell>
          <cell r="BB60">
            <v>5.4E-8</v>
          </cell>
          <cell r="BC60">
            <v>22</v>
          </cell>
          <cell r="BD60">
            <v>2.209854313308234E-6</v>
          </cell>
          <cell r="BE60">
            <v>182</v>
          </cell>
          <cell r="BF60">
            <v>13</v>
          </cell>
          <cell r="BG60">
            <v>5.1000000000000004E-3</v>
          </cell>
          <cell r="BH60">
            <v>1.98</v>
          </cell>
          <cell r="BI60">
            <v>16</v>
          </cell>
          <cell r="BJ60">
            <v>95.5</v>
          </cell>
          <cell r="BK60" t="str">
            <v>17b</v>
          </cell>
          <cell r="BL60">
            <v>71</v>
          </cell>
          <cell r="BM60">
            <v>17</v>
          </cell>
          <cell r="BO60">
            <v>3.0732649292042956E-3</v>
          </cell>
          <cell r="BS60">
            <v>1000</v>
          </cell>
          <cell r="BT60" t="str">
            <v>Ceiling (High)</v>
          </cell>
          <cell r="BV60">
            <v>3000</v>
          </cell>
          <cell r="BW60" t="str">
            <v>Ceiling (High)</v>
          </cell>
          <cell r="BY60">
            <v>5000</v>
          </cell>
          <cell r="BZ60" t="str">
            <v>Ceiling (High)</v>
          </cell>
          <cell r="CA60">
            <v>50000</v>
          </cell>
          <cell r="CB60" t="str">
            <v>0.005%</v>
          </cell>
        </row>
        <row r="61">
          <cell r="A61" t="str">
            <v>DIOXANE, 1,4-</v>
          </cell>
          <cell r="B61" t="str">
            <v>123-91-1</v>
          </cell>
          <cell r="C61">
            <v>42922</v>
          </cell>
          <cell r="D61">
            <v>0.03</v>
          </cell>
          <cell r="E61">
            <v>1</v>
          </cell>
          <cell r="F61">
            <v>0.03</v>
          </cell>
          <cell r="G61" t="str">
            <v>1d</v>
          </cell>
          <cell r="H61">
            <v>0.03</v>
          </cell>
          <cell r="I61">
            <v>1</v>
          </cell>
          <cell r="J61">
            <v>0.03</v>
          </cell>
          <cell r="K61" t="str">
            <v>7c</v>
          </cell>
          <cell r="L61">
            <v>0.1</v>
          </cell>
          <cell r="M61" t="str">
            <v>B2</v>
          </cell>
          <cell r="N61">
            <v>1</v>
          </cell>
          <cell r="O61">
            <v>5.0000000000000004E-6</v>
          </cell>
          <cell r="P61">
            <v>1</v>
          </cell>
          <cell r="Q61">
            <v>1</v>
          </cell>
          <cell r="R61" t="str">
            <v>9e</v>
          </cell>
          <cell r="S61">
            <v>0.03</v>
          </cell>
          <cell r="T61" t="str">
            <v>9e</v>
          </cell>
          <cell r="U61">
            <v>1</v>
          </cell>
          <cell r="V61" t="str">
            <v>9e</v>
          </cell>
          <cell r="W61">
            <v>0.03</v>
          </cell>
          <cell r="X61" t="str">
            <v>9e</v>
          </cell>
          <cell r="Y61">
            <v>1</v>
          </cell>
          <cell r="Z61" t="str">
            <v>9e</v>
          </cell>
          <cell r="AA61">
            <v>0.03</v>
          </cell>
          <cell r="AB61" t="str">
            <v>9e</v>
          </cell>
          <cell r="AC61">
            <v>1</v>
          </cell>
          <cell r="AD61">
            <v>9</v>
          </cell>
          <cell r="AE61">
            <v>1</v>
          </cell>
          <cell r="AF61">
            <v>9</v>
          </cell>
          <cell r="AG61">
            <v>1</v>
          </cell>
          <cell r="AH61">
            <v>9</v>
          </cell>
          <cell r="AK61">
            <v>1</v>
          </cell>
          <cell r="AL61">
            <v>1</v>
          </cell>
          <cell r="AO61">
            <v>0.33</v>
          </cell>
          <cell r="AQ61">
            <v>9.1999999999999998E-2</v>
          </cell>
          <cell r="AU61">
            <v>24</v>
          </cell>
          <cell r="AV61">
            <v>16</v>
          </cell>
          <cell r="AW61">
            <v>0</v>
          </cell>
          <cell r="AX61">
            <v>0.15</v>
          </cell>
          <cell r="AY61">
            <v>0.04</v>
          </cell>
          <cell r="AZ61">
            <v>1000000000</v>
          </cell>
          <cell r="BA61">
            <v>22</v>
          </cell>
          <cell r="BB61">
            <v>4.7999999999999998E-6</v>
          </cell>
          <cell r="BC61">
            <v>22</v>
          </cell>
          <cell r="BD61">
            <v>1.9643149451628743E-4</v>
          </cell>
          <cell r="BE61">
            <v>88</v>
          </cell>
          <cell r="BF61">
            <v>16</v>
          </cell>
          <cell r="BG61">
            <v>29</v>
          </cell>
          <cell r="BH61">
            <v>-0.27</v>
          </cell>
          <cell r="BI61">
            <v>19</v>
          </cell>
          <cell r="BJ61">
            <v>3.47</v>
          </cell>
          <cell r="BK61">
            <v>21</v>
          </cell>
          <cell r="BL61">
            <v>11.8</v>
          </cell>
          <cell r="BM61">
            <v>16</v>
          </cell>
          <cell r="BO61">
            <v>3.3806483620598174E-4</v>
          </cell>
          <cell r="BS61">
            <v>100</v>
          </cell>
          <cell r="BT61" t="str">
            <v>Ceiling (Low)</v>
          </cell>
          <cell r="BV61">
            <v>500</v>
          </cell>
          <cell r="BW61" t="str">
            <v>Ceiling (Low)</v>
          </cell>
          <cell r="BY61">
            <v>500</v>
          </cell>
          <cell r="BZ61" t="str">
            <v>High Volatility</v>
          </cell>
          <cell r="CA61">
            <v>50000</v>
          </cell>
          <cell r="CB61" t="str">
            <v>0.005%</v>
          </cell>
        </row>
        <row r="62">
          <cell r="A62" t="str">
            <v>ENDOSULFAN</v>
          </cell>
          <cell r="B62" t="str">
            <v>115-29-7</v>
          </cell>
          <cell r="C62">
            <v>42923</v>
          </cell>
          <cell r="D62">
            <v>6.0000000000000001E-3</v>
          </cell>
          <cell r="E62">
            <v>1</v>
          </cell>
          <cell r="F62">
            <v>6.0000000000000001E-3</v>
          </cell>
          <cell r="G62">
            <v>2</v>
          </cell>
          <cell r="H62">
            <v>2.1000000000000001E-2</v>
          </cell>
          <cell r="I62" t="str">
            <v>7b</v>
          </cell>
          <cell r="J62">
            <v>2.1000000000000001E-2</v>
          </cell>
          <cell r="K62" t="str">
            <v>7c</v>
          </cell>
          <cell r="Q62">
            <v>1</v>
          </cell>
          <cell r="R62" t="str">
            <v>9e</v>
          </cell>
          <cell r="S62">
            <v>0.1</v>
          </cell>
          <cell r="T62" t="str">
            <v>9e</v>
          </cell>
          <cell r="U62">
            <v>1</v>
          </cell>
          <cell r="V62" t="str">
            <v>9e</v>
          </cell>
          <cell r="W62">
            <v>0.1</v>
          </cell>
          <cell r="X62" t="str">
            <v>9e</v>
          </cell>
          <cell r="Y62" t="str">
            <v>NC</v>
          </cell>
          <cell r="AA62" t="str">
            <v>NC</v>
          </cell>
          <cell r="AC62">
            <v>1</v>
          </cell>
          <cell r="AD62">
            <v>9</v>
          </cell>
          <cell r="AE62">
            <v>1</v>
          </cell>
          <cell r="AF62">
            <v>9</v>
          </cell>
          <cell r="AK62">
            <v>1</v>
          </cell>
          <cell r="AL62" t="str">
            <v>NC</v>
          </cell>
          <cell r="AO62">
            <v>0</v>
          </cell>
          <cell r="AU62">
            <v>0</v>
          </cell>
          <cell r="AW62">
            <v>0</v>
          </cell>
          <cell r="AX62">
            <v>9.3800000000000012E-3</v>
          </cell>
          <cell r="AY62">
            <v>0.12</v>
          </cell>
          <cell r="AZ62">
            <v>325</v>
          </cell>
          <cell r="BA62">
            <v>22</v>
          </cell>
          <cell r="BB62">
            <v>6.4999999999999994E-5</v>
          </cell>
          <cell r="BC62">
            <v>22</v>
          </cell>
          <cell r="BD62">
            <v>2.6600098215747259E-3</v>
          </cell>
          <cell r="BE62">
            <v>407</v>
          </cell>
          <cell r="BF62">
            <v>13</v>
          </cell>
          <cell r="BG62">
            <v>1.0000000000000001E-5</v>
          </cell>
          <cell r="BH62">
            <v>3.83</v>
          </cell>
          <cell r="BI62">
            <v>17</v>
          </cell>
          <cell r="BJ62">
            <v>2040</v>
          </cell>
          <cell r="BK62" t="str">
            <v>17a</v>
          </cell>
          <cell r="BL62">
            <v>106</v>
          </cell>
          <cell r="BM62">
            <v>17</v>
          </cell>
          <cell r="BO62">
            <v>2.8093121663317761E-3</v>
          </cell>
          <cell r="BS62">
            <v>1000</v>
          </cell>
          <cell r="BT62" t="str">
            <v>Ceiling (High)</v>
          </cell>
          <cell r="BV62">
            <v>3000</v>
          </cell>
          <cell r="BW62" t="str">
            <v>Ceiling (High)</v>
          </cell>
          <cell r="BY62">
            <v>5000</v>
          </cell>
          <cell r="BZ62" t="str">
            <v>Ceiling (High)</v>
          </cell>
          <cell r="CA62">
            <v>50000</v>
          </cell>
          <cell r="CB62" t="str">
            <v>0.005%</v>
          </cell>
        </row>
        <row r="63">
          <cell r="A63" t="str">
            <v>ENDRIN</v>
          </cell>
          <cell r="B63" t="str">
            <v>72-20-8</v>
          </cell>
          <cell r="C63">
            <v>42923</v>
          </cell>
          <cell r="D63">
            <v>2.9999999999999997E-4</v>
          </cell>
          <cell r="E63">
            <v>1</v>
          </cell>
          <cell r="F63">
            <v>2.9999999999999997E-4</v>
          </cell>
          <cell r="G63">
            <v>2</v>
          </cell>
          <cell r="H63">
            <v>1.1000000000000001E-3</v>
          </cell>
          <cell r="I63" t="str">
            <v>7b</v>
          </cell>
          <cell r="J63">
            <v>1.1000000000000001E-3</v>
          </cell>
          <cell r="K63" t="str">
            <v>7c</v>
          </cell>
          <cell r="M63" t="str">
            <v>D</v>
          </cell>
          <cell r="N63">
            <v>1</v>
          </cell>
          <cell r="Q63">
            <v>1</v>
          </cell>
          <cell r="R63" t="str">
            <v>9e</v>
          </cell>
          <cell r="S63">
            <v>0.1</v>
          </cell>
          <cell r="T63" t="str">
            <v>9e</v>
          </cell>
          <cell r="U63">
            <v>1</v>
          </cell>
          <cell r="V63" t="str">
            <v>9e</v>
          </cell>
          <cell r="W63">
            <v>0.1</v>
          </cell>
          <cell r="X63" t="str">
            <v>9e</v>
          </cell>
          <cell r="Y63" t="str">
            <v>NC</v>
          </cell>
          <cell r="AA63" t="str">
            <v>NC</v>
          </cell>
          <cell r="AC63">
            <v>1</v>
          </cell>
          <cell r="AD63">
            <v>9</v>
          </cell>
          <cell r="AE63">
            <v>1</v>
          </cell>
          <cell r="AF63">
            <v>9</v>
          </cell>
          <cell r="AK63">
            <v>0.8</v>
          </cell>
          <cell r="AL63" t="str">
            <v>NC</v>
          </cell>
          <cell r="AO63">
            <v>0</v>
          </cell>
          <cell r="AR63">
            <v>41</v>
          </cell>
          <cell r="AS63">
            <v>13</v>
          </cell>
          <cell r="AU63">
            <v>0</v>
          </cell>
          <cell r="AW63">
            <v>0</v>
          </cell>
          <cell r="AX63">
            <v>4.0199999999999993E-3</v>
          </cell>
          <cell r="AY63">
            <v>5</v>
          </cell>
          <cell r="AZ63">
            <v>250</v>
          </cell>
          <cell r="BA63">
            <v>22</v>
          </cell>
          <cell r="BB63">
            <v>6.3600000000000001E-6</v>
          </cell>
          <cell r="BC63">
            <v>22</v>
          </cell>
          <cell r="BD63">
            <v>2.602717302340809E-4</v>
          </cell>
          <cell r="BE63">
            <v>381</v>
          </cell>
          <cell r="BF63">
            <v>13</v>
          </cell>
          <cell r="BG63">
            <v>1.9999999999999999E-7</v>
          </cell>
          <cell r="BH63">
            <v>5.2</v>
          </cell>
          <cell r="BI63">
            <v>16</v>
          </cell>
          <cell r="BJ63">
            <v>10800</v>
          </cell>
          <cell r="BK63" t="str">
            <v>17a</v>
          </cell>
          <cell r="BL63">
            <v>200</v>
          </cell>
          <cell r="BM63">
            <v>17</v>
          </cell>
          <cell r="BO63">
            <v>3.1506488329723976E-2</v>
          </cell>
          <cell r="BS63">
            <v>1000</v>
          </cell>
          <cell r="BT63" t="str">
            <v>Ceiling (High)</v>
          </cell>
          <cell r="BV63">
            <v>3000</v>
          </cell>
          <cell r="BW63" t="str">
            <v>Ceiling (High)</v>
          </cell>
          <cell r="BY63">
            <v>5000</v>
          </cell>
          <cell r="BZ63" t="str">
            <v>Ceiling (High)</v>
          </cell>
          <cell r="CA63">
            <v>50000</v>
          </cell>
          <cell r="CB63" t="str">
            <v>0.005%</v>
          </cell>
        </row>
        <row r="64">
          <cell r="A64" t="str">
            <v>ETHYLBENZENE</v>
          </cell>
          <cell r="B64" t="str">
            <v>100-41-4</v>
          </cell>
          <cell r="C64">
            <v>42923</v>
          </cell>
          <cell r="D64">
            <v>0.05</v>
          </cell>
          <cell r="E64" t="str">
            <v>6a</v>
          </cell>
          <cell r="F64">
            <v>0.05</v>
          </cell>
          <cell r="G64">
            <v>6</v>
          </cell>
          <cell r="H64">
            <v>1</v>
          </cell>
          <cell r="I64">
            <v>1</v>
          </cell>
          <cell r="J64">
            <v>9</v>
          </cell>
          <cell r="K64">
            <v>6</v>
          </cell>
          <cell r="Q64">
            <v>1</v>
          </cell>
          <cell r="R64" t="str">
            <v>9e</v>
          </cell>
          <cell r="S64">
            <v>0.03</v>
          </cell>
          <cell r="T64" t="str">
            <v>9e</v>
          </cell>
          <cell r="U64">
            <v>1</v>
          </cell>
          <cell r="V64" t="str">
            <v>9e</v>
          </cell>
          <cell r="W64">
            <v>0.03</v>
          </cell>
          <cell r="X64" t="str">
            <v>9e</v>
          </cell>
          <cell r="Y64" t="str">
            <v>NC</v>
          </cell>
          <cell r="AA64">
            <v>0.03</v>
          </cell>
          <cell r="AC64">
            <v>1</v>
          </cell>
          <cell r="AD64">
            <v>9</v>
          </cell>
          <cell r="AE64">
            <v>1</v>
          </cell>
          <cell r="AF64">
            <v>9</v>
          </cell>
          <cell r="AG64">
            <v>1</v>
          </cell>
          <cell r="AH64">
            <v>9</v>
          </cell>
          <cell r="AK64">
            <v>1</v>
          </cell>
          <cell r="AL64">
            <v>1</v>
          </cell>
          <cell r="AO64">
            <v>7.4</v>
          </cell>
          <cell r="AP64">
            <v>20</v>
          </cell>
          <cell r="AQ64">
            <v>2.218</v>
          </cell>
          <cell r="AR64">
            <v>29</v>
          </cell>
          <cell r="AS64">
            <v>13</v>
          </cell>
          <cell r="AT64">
            <v>2000</v>
          </cell>
          <cell r="AU64">
            <v>0.46134494436381224</v>
          </cell>
          <cell r="AV64">
            <v>13</v>
          </cell>
          <cell r="AW64">
            <v>21.675755033557049</v>
          </cell>
          <cell r="AX64">
            <v>0.1</v>
          </cell>
          <cell r="AY64">
            <v>0.3</v>
          </cell>
          <cell r="AZ64">
            <v>169000</v>
          </cell>
          <cell r="BA64">
            <v>22</v>
          </cell>
          <cell r="BB64">
            <v>7.8799999999999999E-3</v>
          </cell>
          <cell r="BC64">
            <v>22</v>
          </cell>
          <cell r="BD64">
            <v>0.32247503683090523</v>
          </cell>
          <cell r="BE64">
            <v>106</v>
          </cell>
          <cell r="BF64">
            <v>13</v>
          </cell>
          <cell r="BG64">
            <v>10</v>
          </cell>
          <cell r="BH64">
            <v>3.15</v>
          </cell>
          <cell r="BI64">
            <v>16</v>
          </cell>
          <cell r="BJ64">
            <v>204</v>
          </cell>
          <cell r="BK64" t="str">
            <v>17a</v>
          </cell>
          <cell r="BL64">
            <v>-94.9</v>
          </cell>
          <cell r="BM64">
            <v>17</v>
          </cell>
          <cell r="BO64">
            <v>4.8461851224018325E-2</v>
          </cell>
          <cell r="BS64">
            <v>500</v>
          </cell>
          <cell r="BT64" t="str">
            <v>Ceiling (Medium)</v>
          </cell>
          <cell r="BV64">
            <v>1000</v>
          </cell>
          <cell r="BW64" t="str">
            <v>Ceiling (Medium)</v>
          </cell>
          <cell r="BY64">
            <v>3000</v>
          </cell>
          <cell r="BZ64" t="str">
            <v>Ceiling (Medium)</v>
          </cell>
          <cell r="CA64">
            <v>50000</v>
          </cell>
          <cell r="CB64" t="str">
            <v>0.005%</v>
          </cell>
        </row>
        <row r="65">
          <cell r="A65" t="str">
            <v>ETHYLENE DIBROMIDE</v>
          </cell>
          <cell r="B65" t="str">
            <v>106-93-4</v>
          </cell>
          <cell r="C65">
            <v>42922</v>
          </cell>
          <cell r="D65">
            <v>8.9999999999999993E-3</v>
          </cell>
          <cell r="E65">
            <v>1</v>
          </cell>
          <cell r="F65">
            <v>8.9999999999999993E-3</v>
          </cell>
          <cell r="G65" t="str">
            <v>1d</v>
          </cell>
          <cell r="H65">
            <v>8.9999999999999993E-3</v>
          </cell>
          <cell r="I65">
            <v>1</v>
          </cell>
          <cell r="J65">
            <v>8.9999999999999993E-3</v>
          </cell>
          <cell r="K65" t="str">
            <v>7c</v>
          </cell>
          <cell r="L65">
            <v>2</v>
          </cell>
          <cell r="M65" t="str">
            <v>B2</v>
          </cell>
          <cell r="N65">
            <v>1</v>
          </cell>
          <cell r="O65">
            <v>2.9999999999999997E-4</v>
          </cell>
          <cell r="P65">
            <v>1</v>
          </cell>
          <cell r="Q65">
            <v>1</v>
          </cell>
          <cell r="R65" t="str">
            <v>9e</v>
          </cell>
          <cell r="S65">
            <v>0.03</v>
          </cell>
          <cell r="T65" t="str">
            <v>9e</v>
          </cell>
          <cell r="U65">
            <v>1</v>
          </cell>
          <cell r="V65" t="str">
            <v>9e</v>
          </cell>
          <cell r="W65">
            <v>0.03</v>
          </cell>
          <cell r="X65" t="str">
            <v>9e</v>
          </cell>
          <cell r="Y65">
            <v>1</v>
          </cell>
          <cell r="Z65" t="str">
            <v>9e</v>
          </cell>
          <cell r="AA65">
            <v>0.03</v>
          </cell>
          <cell r="AB65" t="str">
            <v>9e</v>
          </cell>
          <cell r="AC65">
            <v>1</v>
          </cell>
          <cell r="AD65">
            <v>9</v>
          </cell>
          <cell r="AE65">
            <v>1</v>
          </cell>
          <cell r="AF65">
            <v>9</v>
          </cell>
          <cell r="AG65">
            <v>1</v>
          </cell>
          <cell r="AH65">
            <v>9</v>
          </cell>
          <cell r="AK65">
            <v>1</v>
          </cell>
          <cell r="AL65">
            <v>1</v>
          </cell>
          <cell r="AO65">
            <v>0</v>
          </cell>
          <cell r="AT65">
            <v>200000</v>
          </cell>
          <cell r="AU65">
            <v>26.012002182214946</v>
          </cell>
          <cell r="AV65">
            <v>24</v>
          </cell>
          <cell r="AW65">
            <v>0.46132550335570471</v>
          </cell>
          <cell r="AX65">
            <v>0.1</v>
          </cell>
          <cell r="AY65">
            <v>0.3</v>
          </cell>
          <cell r="AZ65">
            <v>3910000</v>
          </cell>
          <cell r="BA65">
            <v>22</v>
          </cell>
          <cell r="BB65">
            <v>6.4999999999999997E-4</v>
          </cell>
          <cell r="BC65">
            <v>22</v>
          </cell>
          <cell r="BD65">
            <v>2.6600098215747256E-2</v>
          </cell>
          <cell r="BE65">
            <v>188</v>
          </cell>
          <cell r="BF65">
            <v>11</v>
          </cell>
          <cell r="BG65">
            <v>12</v>
          </cell>
          <cell r="BH65">
            <v>1.96</v>
          </cell>
          <cell r="BI65">
            <v>16</v>
          </cell>
          <cell r="BJ65">
            <v>44</v>
          </cell>
          <cell r="BK65">
            <v>11</v>
          </cell>
          <cell r="BO65">
            <v>2.7593068558175102E-3</v>
          </cell>
          <cell r="BS65">
            <v>500</v>
          </cell>
          <cell r="BT65" t="str">
            <v>Ceiling (Medium)</v>
          </cell>
          <cell r="BV65">
            <v>1000</v>
          </cell>
          <cell r="BW65" t="str">
            <v>Ceiling (Medium)</v>
          </cell>
          <cell r="BY65">
            <v>3000</v>
          </cell>
          <cell r="BZ65" t="str">
            <v>Ceiling (Medium)</v>
          </cell>
          <cell r="CA65">
            <v>50000</v>
          </cell>
          <cell r="CB65" t="str">
            <v>0.005%</v>
          </cell>
        </row>
        <row r="66">
          <cell r="A66" t="str">
            <v>FLUORANTHENE</v>
          </cell>
          <cell r="B66" t="str">
            <v>206-44-0</v>
          </cell>
          <cell r="C66">
            <v>42922</v>
          </cell>
          <cell r="D66">
            <v>0.04</v>
          </cell>
          <cell r="E66">
            <v>1</v>
          </cell>
          <cell r="F66">
            <v>0.1</v>
          </cell>
          <cell r="G66">
            <v>6</v>
          </cell>
          <cell r="H66">
            <v>0.05</v>
          </cell>
          <cell r="I66" t="str">
            <v>5d</v>
          </cell>
          <cell r="J66">
            <v>0.5</v>
          </cell>
          <cell r="K66" t="str">
            <v>5d</v>
          </cell>
          <cell r="M66" t="str">
            <v>D</v>
          </cell>
          <cell r="N66">
            <v>1</v>
          </cell>
          <cell r="Q66">
            <v>0.3</v>
          </cell>
          <cell r="R66" t="str">
            <v>9d</v>
          </cell>
          <cell r="S66">
            <v>0.1</v>
          </cell>
          <cell r="T66" t="str">
            <v>9d</v>
          </cell>
          <cell r="U66">
            <v>0.3</v>
          </cell>
          <cell r="V66" t="str">
            <v>9d</v>
          </cell>
          <cell r="W66">
            <v>0.1</v>
          </cell>
          <cell r="X66" t="str">
            <v>9d</v>
          </cell>
          <cell r="Y66" t="str">
            <v>NC</v>
          </cell>
          <cell r="AA66" t="str">
            <v>NC</v>
          </cell>
          <cell r="AC66">
            <v>1</v>
          </cell>
          <cell r="AD66">
            <v>9</v>
          </cell>
          <cell r="AE66">
            <v>1</v>
          </cell>
          <cell r="AF66">
            <v>9</v>
          </cell>
          <cell r="AI66">
            <v>10</v>
          </cell>
          <cell r="AK66">
            <v>0.92</v>
          </cell>
          <cell r="AL66" t="str">
            <v>NC</v>
          </cell>
          <cell r="AM66">
            <v>4</v>
          </cell>
          <cell r="AO66">
            <v>0</v>
          </cell>
          <cell r="AU66">
            <v>0</v>
          </cell>
          <cell r="AW66">
            <v>0</v>
          </cell>
          <cell r="AX66">
            <v>0.66</v>
          </cell>
          <cell r="AY66">
            <v>11</v>
          </cell>
          <cell r="AZ66">
            <v>260</v>
          </cell>
          <cell r="BA66">
            <v>22</v>
          </cell>
          <cell r="BB66">
            <v>8.8599999999999999E-6</v>
          </cell>
          <cell r="BC66">
            <v>22</v>
          </cell>
          <cell r="BD66">
            <v>3.6257980029464726E-4</v>
          </cell>
          <cell r="BE66">
            <v>202</v>
          </cell>
          <cell r="BF66">
            <v>13</v>
          </cell>
          <cell r="BG66">
            <v>5.0000000000000004E-6</v>
          </cell>
          <cell r="BH66">
            <v>5.16</v>
          </cell>
          <cell r="BI66">
            <v>16</v>
          </cell>
          <cell r="BJ66">
            <v>49100</v>
          </cell>
          <cell r="BK66" t="str">
            <v>17a</v>
          </cell>
          <cell r="BL66">
            <v>107.8</v>
          </cell>
          <cell r="BM66">
            <v>17</v>
          </cell>
          <cell r="BO66">
            <v>0.2981261008172249</v>
          </cell>
          <cell r="BS66">
            <v>1000</v>
          </cell>
          <cell r="BT66" t="str">
            <v>Ceiling (High)</v>
          </cell>
          <cell r="BV66">
            <v>3000</v>
          </cell>
          <cell r="BW66" t="str">
            <v>Ceiling (High)</v>
          </cell>
          <cell r="BY66">
            <v>5000</v>
          </cell>
          <cell r="BZ66" t="str">
            <v>Ceiling (High)</v>
          </cell>
          <cell r="CA66">
            <v>50000</v>
          </cell>
          <cell r="CB66" t="str">
            <v>0.005%</v>
          </cell>
        </row>
        <row r="67">
          <cell r="A67" t="str">
            <v>FLUORENE</v>
          </cell>
          <cell r="B67" t="str">
            <v>86-73-7</v>
          </cell>
          <cell r="C67">
            <v>42923</v>
          </cell>
          <cell r="D67">
            <v>0.04</v>
          </cell>
          <cell r="E67">
            <v>1</v>
          </cell>
          <cell r="F67">
            <v>0.4</v>
          </cell>
          <cell r="G67">
            <v>2</v>
          </cell>
          <cell r="H67">
            <v>0.05</v>
          </cell>
          <cell r="I67" t="str">
            <v>5d</v>
          </cell>
          <cell r="J67">
            <v>0.5</v>
          </cell>
          <cell r="K67" t="str">
            <v>5d</v>
          </cell>
          <cell r="Q67">
            <v>0.3</v>
          </cell>
          <cell r="R67" t="str">
            <v>9d</v>
          </cell>
          <cell r="S67">
            <v>0.1</v>
          </cell>
          <cell r="T67" t="str">
            <v>9d</v>
          </cell>
          <cell r="U67">
            <v>0.3</v>
          </cell>
          <cell r="V67" t="str">
            <v>9e</v>
          </cell>
          <cell r="W67">
            <v>0.1</v>
          </cell>
          <cell r="X67" t="str">
            <v>9d</v>
          </cell>
          <cell r="Y67" t="str">
            <v>NC</v>
          </cell>
          <cell r="AA67" t="str">
            <v>NC</v>
          </cell>
          <cell r="AC67">
            <v>1</v>
          </cell>
          <cell r="AD67">
            <v>9</v>
          </cell>
          <cell r="AE67">
            <v>1</v>
          </cell>
          <cell r="AF67">
            <v>9</v>
          </cell>
          <cell r="AI67">
            <v>2</v>
          </cell>
          <cell r="AK67">
            <v>0.92</v>
          </cell>
          <cell r="AL67" t="str">
            <v>NC</v>
          </cell>
          <cell r="AM67">
            <v>1</v>
          </cell>
          <cell r="AO67">
            <v>0</v>
          </cell>
          <cell r="AU67">
            <v>0</v>
          </cell>
          <cell r="AW67">
            <v>0</v>
          </cell>
          <cell r="AX67">
            <v>0.66</v>
          </cell>
          <cell r="AY67">
            <v>1</v>
          </cell>
          <cell r="AZ67">
            <v>1890</v>
          </cell>
          <cell r="BA67">
            <v>22</v>
          </cell>
          <cell r="BB67">
            <v>9.6199999999999994E-5</v>
          </cell>
          <cell r="BC67">
            <v>22</v>
          </cell>
          <cell r="BD67">
            <v>3.9368145359305945E-3</v>
          </cell>
          <cell r="BE67">
            <v>166</v>
          </cell>
          <cell r="BF67">
            <v>13</v>
          </cell>
          <cell r="BH67">
            <v>4.18</v>
          </cell>
          <cell r="BI67">
            <v>17</v>
          </cell>
          <cell r="BJ67">
            <v>7710</v>
          </cell>
          <cell r="BK67" t="str">
            <v>17a</v>
          </cell>
          <cell r="BL67">
            <v>114.8</v>
          </cell>
          <cell r="BM67">
            <v>17</v>
          </cell>
          <cell r="BO67">
            <v>0.10695473105661606</v>
          </cell>
          <cell r="BS67">
            <v>1000</v>
          </cell>
          <cell r="BT67" t="str">
            <v>Ceiling (High)</v>
          </cell>
          <cell r="BV67">
            <v>3000</v>
          </cell>
          <cell r="BW67" t="str">
            <v>Ceiling (High)</v>
          </cell>
          <cell r="BY67">
            <v>5000</v>
          </cell>
          <cell r="BZ67" t="str">
            <v>Ceiling (High)</v>
          </cell>
          <cell r="CA67">
            <v>50000</v>
          </cell>
          <cell r="CB67" t="str">
            <v>0.005%</v>
          </cell>
        </row>
        <row r="68">
          <cell r="A68" t="str">
            <v>HEPTACHLOR</v>
          </cell>
          <cell r="B68" t="str">
            <v>76-44-8</v>
          </cell>
          <cell r="C68">
            <v>42923</v>
          </cell>
          <cell r="D68">
            <v>5.0000000000000001E-4</v>
          </cell>
          <cell r="E68">
            <v>1</v>
          </cell>
          <cell r="F68">
            <v>5.0000000000000001E-4</v>
          </cell>
          <cell r="G68">
            <v>2</v>
          </cell>
          <cell r="H68">
            <v>1E-3</v>
          </cell>
          <cell r="I68">
            <v>3</v>
          </cell>
          <cell r="J68">
            <v>1E-3</v>
          </cell>
          <cell r="K68" t="str">
            <v>7c</v>
          </cell>
          <cell r="L68">
            <v>4.5</v>
          </cell>
          <cell r="M68" t="str">
            <v>B2</v>
          </cell>
          <cell r="N68">
            <v>1</v>
          </cell>
          <cell r="O68">
            <v>1.2999999999999999E-3</v>
          </cell>
          <cell r="P68">
            <v>1</v>
          </cell>
          <cell r="Q68">
            <v>1</v>
          </cell>
          <cell r="R68" t="str">
            <v>9e</v>
          </cell>
          <cell r="S68">
            <v>0.1</v>
          </cell>
          <cell r="T68" t="str">
            <v>9e</v>
          </cell>
          <cell r="U68">
            <v>1</v>
          </cell>
          <cell r="V68" t="str">
            <v>9e</v>
          </cell>
          <cell r="W68">
            <v>0.1</v>
          </cell>
          <cell r="X68" t="str">
            <v>9e</v>
          </cell>
          <cell r="Y68">
            <v>1</v>
          </cell>
          <cell r="Z68" t="str">
            <v>9e</v>
          </cell>
          <cell r="AA68">
            <v>0.1</v>
          </cell>
          <cell r="AB68" t="str">
            <v>9e</v>
          </cell>
          <cell r="AC68">
            <v>1</v>
          </cell>
          <cell r="AD68">
            <v>9</v>
          </cell>
          <cell r="AE68">
            <v>1</v>
          </cell>
          <cell r="AF68">
            <v>9</v>
          </cell>
          <cell r="AG68">
            <v>1</v>
          </cell>
          <cell r="AH68">
            <v>9</v>
          </cell>
          <cell r="AK68">
            <v>0.66</v>
          </cell>
          <cell r="AL68">
            <v>0.66</v>
          </cell>
          <cell r="AO68">
            <v>0</v>
          </cell>
          <cell r="AR68">
            <v>20</v>
          </cell>
          <cell r="AS68">
            <v>13</v>
          </cell>
          <cell r="AT68">
            <v>300</v>
          </cell>
          <cell r="AU68">
            <v>1.9613327848621964E-2</v>
          </cell>
          <cell r="AV68">
            <v>13</v>
          </cell>
          <cell r="AW68">
            <v>1.5295721476510067E-2</v>
          </cell>
          <cell r="AX68">
            <v>2.0099999999999996E-3</v>
          </cell>
          <cell r="AY68">
            <v>1</v>
          </cell>
          <cell r="AZ68">
            <v>180</v>
          </cell>
          <cell r="BA68">
            <v>22</v>
          </cell>
          <cell r="BB68">
            <v>2.9399999999999999E-4</v>
          </cell>
          <cell r="BC68">
            <v>22</v>
          </cell>
          <cell r="BD68">
            <v>1.2031429039122606E-2</v>
          </cell>
          <cell r="BE68">
            <v>374</v>
          </cell>
          <cell r="BF68">
            <v>13</v>
          </cell>
          <cell r="BG68">
            <v>2.9999999999999997E-4</v>
          </cell>
          <cell r="BH68">
            <v>6.1</v>
          </cell>
          <cell r="BI68">
            <v>16</v>
          </cell>
          <cell r="BJ68">
            <v>9530</v>
          </cell>
          <cell r="BK68" t="str">
            <v>17a</v>
          </cell>
          <cell r="BL68">
            <v>95.5</v>
          </cell>
          <cell r="BM68">
            <v>17</v>
          </cell>
          <cell r="BO68">
            <v>0.13539418114050744</v>
          </cell>
          <cell r="BS68">
            <v>1000</v>
          </cell>
          <cell r="BT68" t="str">
            <v>Ceiling (High)</v>
          </cell>
          <cell r="BV68">
            <v>3000</v>
          </cell>
          <cell r="BW68" t="str">
            <v>Ceiling (High)</v>
          </cell>
          <cell r="BY68">
            <v>5000</v>
          </cell>
          <cell r="BZ68" t="str">
            <v>Ceiling (High)</v>
          </cell>
          <cell r="CA68">
            <v>50000</v>
          </cell>
          <cell r="CB68" t="str">
            <v>0.005%</v>
          </cell>
        </row>
        <row r="69">
          <cell r="A69" t="str">
            <v>HEPTACHLOR EPOXIDE</v>
          </cell>
          <cell r="B69" t="str">
            <v>1024-57-3</v>
          </cell>
          <cell r="C69">
            <v>42923</v>
          </cell>
          <cell r="D69">
            <v>1.2999999999999999E-5</v>
          </cell>
          <cell r="E69">
            <v>1</v>
          </cell>
          <cell r="F69">
            <v>1.2999999999999999E-5</v>
          </cell>
          <cell r="G69">
            <v>2</v>
          </cell>
          <cell r="H69">
            <v>4.6E-5</v>
          </cell>
          <cell r="I69" t="str">
            <v>7b</v>
          </cell>
          <cell r="J69">
            <v>4.6E-5</v>
          </cell>
          <cell r="K69" t="str">
            <v>7c</v>
          </cell>
          <cell r="L69">
            <v>9.1</v>
          </cell>
          <cell r="M69" t="str">
            <v>B2</v>
          </cell>
          <cell r="N69">
            <v>1</v>
          </cell>
          <cell r="O69">
            <v>2.5999999999999999E-3</v>
          </cell>
          <cell r="P69">
            <v>1</v>
          </cell>
          <cell r="Q69">
            <v>1</v>
          </cell>
          <cell r="R69" t="str">
            <v>9e</v>
          </cell>
          <cell r="S69">
            <v>0.1</v>
          </cell>
          <cell r="T69" t="str">
            <v>9e</v>
          </cell>
          <cell r="U69">
            <v>1</v>
          </cell>
          <cell r="V69" t="str">
            <v>9e</v>
          </cell>
          <cell r="W69">
            <v>0.1</v>
          </cell>
          <cell r="X69" t="str">
            <v>9e</v>
          </cell>
          <cell r="Y69">
            <v>1</v>
          </cell>
          <cell r="Z69" t="str">
            <v>9e</v>
          </cell>
          <cell r="AA69">
            <v>0.1</v>
          </cell>
          <cell r="AB69" t="str">
            <v>9e</v>
          </cell>
          <cell r="AC69">
            <v>1</v>
          </cell>
          <cell r="AD69">
            <v>9</v>
          </cell>
          <cell r="AE69">
            <v>1</v>
          </cell>
          <cell r="AF69">
            <v>9</v>
          </cell>
          <cell r="AG69">
            <v>1</v>
          </cell>
          <cell r="AH69">
            <v>9</v>
          </cell>
          <cell r="AK69">
            <v>0.66</v>
          </cell>
          <cell r="AL69">
            <v>0.66</v>
          </cell>
          <cell r="AO69">
            <v>0</v>
          </cell>
          <cell r="AT69">
            <v>300</v>
          </cell>
          <cell r="AU69">
            <v>1.8857029859600551E-2</v>
          </cell>
          <cell r="AV69">
            <v>13</v>
          </cell>
          <cell r="AW69">
            <v>1.3787961409395975E-4</v>
          </cell>
          <cell r="AX69">
            <v>5.561E-2</v>
          </cell>
          <cell r="AY69">
            <v>1.5</v>
          </cell>
          <cell r="AZ69">
            <v>200</v>
          </cell>
          <cell r="BA69">
            <v>22</v>
          </cell>
          <cell r="BB69">
            <v>2.0999999999999999E-5</v>
          </cell>
          <cell r="BC69">
            <v>22</v>
          </cell>
          <cell r="BD69">
            <v>8.593877885087575E-4</v>
          </cell>
          <cell r="BE69">
            <v>389</v>
          </cell>
          <cell r="BF69">
            <v>13</v>
          </cell>
          <cell r="BG69">
            <v>2.6000000000000001E-6</v>
          </cell>
          <cell r="BH69">
            <v>4.9800000000000004</v>
          </cell>
          <cell r="BI69">
            <v>17</v>
          </cell>
          <cell r="BJ69">
            <v>83200</v>
          </cell>
          <cell r="BK69" t="str">
            <v>17b</v>
          </cell>
          <cell r="BL69">
            <v>160</v>
          </cell>
          <cell r="BM69">
            <v>17</v>
          </cell>
          <cell r="BO69">
            <v>2.0342297432117306E-2</v>
          </cell>
          <cell r="BS69">
            <v>1000</v>
          </cell>
          <cell r="BT69" t="str">
            <v>Ceiling (High)</v>
          </cell>
          <cell r="BV69">
            <v>3000</v>
          </cell>
          <cell r="BW69" t="str">
            <v>Ceiling (High)</v>
          </cell>
          <cell r="BY69">
            <v>5000</v>
          </cell>
          <cell r="BZ69" t="str">
            <v>Ceiling (High)</v>
          </cell>
          <cell r="CA69">
            <v>50000</v>
          </cell>
          <cell r="CB69" t="str">
            <v>0.005%</v>
          </cell>
        </row>
        <row r="70">
          <cell r="A70" t="str">
            <v>HEXACHLOROBENZENE</v>
          </cell>
          <cell r="B70" t="str">
            <v>118-74-1</v>
          </cell>
          <cell r="C70">
            <v>42922</v>
          </cell>
          <cell r="D70">
            <v>1.0000000000000001E-5</v>
          </cell>
          <cell r="E70" t="str">
            <v>6a</v>
          </cell>
          <cell r="F70">
            <v>1.0000000000000001E-5</v>
          </cell>
          <cell r="G70">
            <v>6</v>
          </cell>
          <cell r="H70">
            <v>4.0000000000000003E-5</v>
          </cell>
          <cell r="I70" t="str">
            <v>7b</v>
          </cell>
          <cell r="J70">
            <v>4.0000000000000003E-5</v>
          </cell>
          <cell r="K70" t="str">
            <v>7b</v>
          </cell>
          <cell r="L70">
            <v>1.6</v>
          </cell>
          <cell r="M70" t="str">
            <v>B2</v>
          </cell>
          <cell r="N70">
            <v>1</v>
          </cell>
          <cell r="O70">
            <v>4.6000000000000001E-4</v>
          </cell>
          <cell r="P70">
            <v>1</v>
          </cell>
          <cell r="Q70">
            <v>1</v>
          </cell>
          <cell r="R70" t="str">
            <v>9e</v>
          </cell>
          <cell r="S70">
            <v>0.1</v>
          </cell>
          <cell r="T70" t="str">
            <v>9e</v>
          </cell>
          <cell r="U70">
            <v>1</v>
          </cell>
          <cell r="V70" t="str">
            <v>9e</v>
          </cell>
          <cell r="W70">
            <v>0.1</v>
          </cell>
          <cell r="X70" t="str">
            <v>9e</v>
          </cell>
          <cell r="Y70">
            <v>1</v>
          </cell>
          <cell r="Z70" t="str">
            <v>9e</v>
          </cell>
          <cell r="AA70">
            <v>0.1</v>
          </cell>
          <cell r="AB70" t="str">
            <v>9e</v>
          </cell>
          <cell r="AC70">
            <v>1</v>
          </cell>
          <cell r="AD70">
            <v>9</v>
          </cell>
          <cell r="AE70">
            <v>1</v>
          </cell>
          <cell r="AF70">
            <v>9</v>
          </cell>
          <cell r="AG70">
            <v>1</v>
          </cell>
          <cell r="AH70">
            <v>9</v>
          </cell>
          <cell r="AK70">
            <v>0.8</v>
          </cell>
          <cell r="AL70">
            <v>0.8</v>
          </cell>
          <cell r="AO70">
            <v>0</v>
          </cell>
          <cell r="AR70">
            <v>3000</v>
          </cell>
          <cell r="AS70">
            <v>24</v>
          </cell>
          <cell r="AU70">
            <v>0</v>
          </cell>
          <cell r="AW70">
            <v>0</v>
          </cell>
          <cell r="AX70">
            <v>0.66</v>
          </cell>
          <cell r="AY70">
            <v>1</v>
          </cell>
          <cell r="AZ70">
            <v>6.2</v>
          </cell>
          <cell r="BA70">
            <v>22</v>
          </cell>
          <cell r="BB70">
            <v>1.6999999999999999E-3</v>
          </cell>
          <cell r="BC70">
            <v>22</v>
          </cell>
          <cell r="BD70">
            <v>6.9569487641185132E-2</v>
          </cell>
          <cell r="BE70">
            <v>285</v>
          </cell>
          <cell r="BF70">
            <v>13</v>
          </cell>
          <cell r="BG70">
            <v>1.0890000000000001E-5</v>
          </cell>
          <cell r="BH70">
            <v>5.73</v>
          </cell>
          <cell r="BI70">
            <v>16</v>
          </cell>
          <cell r="BJ70">
            <v>80000</v>
          </cell>
          <cell r="BK70" t="str">
            <v>17a</v>
          </cell>
          <cell r="BL70">
            <v>231.8</v>
          </cell>
          <cell r="BM70">
            <v>17</v>
          </cell>
          <cell r="BO70">
            <v>0.24310841956013071</v>
          </cell>
          <cell r="BS70">
            <v>1000</v>
          </cell>
          <cell r="BT70" t="str">
            <v>Ceiling (High)</v>
          </cell>
          <cell r="BV70">
            <v>3000</v>
          </cell>
          <cell r="BW70" t="str">
            <v>Ceiling (High)</v>
          </cell>
          <cell r="BY70">
            <v>5000</v>
          </cell>
          <cell r="BZ70" t="str">
            <v>Ceiling (High)</v>
          </cell>
          <cell r="CA70">
            <v>50000</v>
          </cell>
          <cell r="CB70" t="str">
            <v>0.005%</v>
          </cell>
        </row>
        <row r="71">
          <cell r="A71" t="str">
            <v>HEXACHLOROBUTADIENE</v>
          </cell>
          <cell r="B71" t="str">
            <v>87-68-3</v>
          </cell>
          <cell r="C71">
            <v>42922</v>
          </cell>
          <cell r="D71">
            <v>1E-3</v>
          </cell>
          <cell r="E71">
            <v>6</v>
          </cell>
          <cell r="F71">
            <v>1E-3</v>
          </cell>
          <cell r="G71">
            <v>6</v>
          </cell>
          <cell r="H71">
            <v>4.0000000000000001E-3</v>
          </cell>
          <cell r="I71" t="str">
            <v>7b</v>
          </cell>
          <cell r="J71">
            <v>4.0000000000000001E-3</v>
          </cell>
          <cell r="K71" t="str">
            <v>7b</v>
          </cell>
          <cell r="L71">
            <v>7.8E-2</v>
          </cell>
          <cell r="M71" t="str">
            <v>C</v>
          </cell>
          <cell r="N71">
            <v>1</v>
          </cell>
          <cell r="O71">
            <v>2.1999999999999999E-5</v>
          </cell>
          <cell r="P71">
            <v>1</v>
          </cell>
          <cell r="Q71">
            <v>1</v>
          </cell>
          <cell r="R71" t="str">
            <v>9e</v>
          </cell>
          <cell r="S71">
            <v>0.03</v>
          </cell>
          <cell r="T71" t="str">
            <v>9e</v>
          </cell>
          <cell r="U71">
            <v>1</v>
          </cell>
          <cell r="V71" t="str">
            <v>9e</v>
          </cell>
          <cell r="W71">
            <v>0.03</v>
          </cell>
          <cell r="X71" t="str">
            <v>9e</v>
          </cell>
          <cell r="Y71">
            <v>1</v>
          </cell>
          <cell r="Z71" t="str">
            <v>9e</v>
          </cell>
          <cell r="AA71">
            <v>0.03</v>
          </cell>
          <cell r="AB71" t="str">
            <v>9e</v>
          </cell>
          <cell r="AC71">
            <v>1</v>
          </cell>
          <cell r="AD71">
            <v>9</v>
          </cell>
          <cell r="AE71">
            <v>1</v>
          </cell>
          <cell r="AF71">
            <v>9</v>
          </cell>
          <cell r="AG71">
            <v>1</v>
          </cell>
          <cell r="AH71">
            <v>9</v>
          </cell>
          <cell r="AK71">
            <v>1</v>
          </cell>
          <cell r="AL71">
            <v>1</v>
          </cell>
          <cell r="AO71">
            <v>4.5999999999999996</v>
          </cell>
          <cell r="AR71">
            <v>6</v>
          </cell>
          <cell r="AS71">
            <v>24</v>
          </cell>
          <cell r="AT71">
            <v>12000</v>
          </cell>
          <cell r="AU71">
            <v>1.1241968759210137</v>
          </cell>
          <cell r="AV71">
            <v>13</v>
          </cell>
          <cell r="AW71">
            <v>0.13342858640939598</v>
          </cell>
          <cell r="AX71">
            <v>0.66</v>
          </cell>
          <cell r="AY71">
            <v>0.55000000000000004</v>
          </cell>
          <cell r="AZ71">
            <v>3200</v>
          </cell>
          <cell r="BA71">
            <v>22</v>
          </cell>
          <cell r="BB71">
            <v>1.03E-2</v>
          </cell>
          <cell r="BC71">
            <v>22</v>
          </cell>
          <cell r="BD71">
            <v>0.42150924864953349</v>
          </cell>
          <cell r="BE71">
            <v>261</v>
          </cell>
          <cell r="BF71">
            <v>11</v>
          </cell>
          <cell r="BG71">
            <v>0.15</v>
          </cell>
          <cell r="BH71">
            <v>4.78</v>
          </cell>
          <cell r="BI71">
            <v>16</v>
          </cell>
          <cell r="BJ71">
            <v>53700</v>
          </cell>
          <cell r="BK71" t="str">
            <v>17b</v>
          </cell>
          <cell r="BL71">
            <v>-21</v>
          </cell>
          <cell r="BM71">
            <v>17</v>
          </cell>
          <cell r="BO71">
            <v>7.8198784038949712E-2</v>
          </cell>
          <cell r="BS71">
            <v>500</v>
          </cell>
          <cell r="BT71" t="str">
            <v>Ceiling (Medium)</v>
          </cell>
          <cell r="BV71">
            <v>1000</v>
          </cell>
          <cell r="BW71" t="str">
            <v>Ceiling (Medium)</v>
          </cell>
          <cell r="BY71">
            <v>3000</v>
          </cell>
          <cell r="BZ71" t="str">
            <v>Ceiling (Medium)</v>
          </cell>
          <cell r="CA71">
            <v>50000</v>
          </cell>
          <cell r="CB71" t="str">
            <v>0.005%</v>
          </cell>
        </row>
        <row r="72">
          <cell r="A72" t="str">
            <v>HEXACHLOROCYCLOHEXANE, GAMMA (gamma-HCH)</v>
          </cell>
          <cell r="B72" t="str">
            <v>58-89-9</v>
          </cell>
          <cell r="C72">
            <v>42923</v>
          </cell>
          <cell r="D72">
            <v>2.9999999999999997E-4</v>
          </cell>
          <cell r="E72">
            <v>1</v>
          </cell>
          <cell r="F72">
            <v>3.0000000000000001E-3</v>
          </cell>
          <cell r="G72">
            <v>2</v>
          </cell>
          <cell r="H72">
            <v>1.1000000000000001E-3</v>
          </cell>
          <cell r="I72" t="str">
            <v>7b</v>
          </cell>
          <cell r="J72">
            <v>1.0999999999999999E-2</v>
          </cell>
          <cell r="K72" t="str">
            <v>7b</v>
          </cell>
          <cell r="L72">
            <v>1.3</v>
          </cell>
          <cell r="M72" t="str">
            <v>B2-C</v>
          </cell>
          <cell r="N72">
            <v>2</v>
          </cell>
          <cell r="O72">
            <v>3.7142857142857143E-4</v>
          </cell>
          <cell r="P72" t="str">
            <v>7a</v>
          </cell>
          <cell r="Q72">
            <v>1</v>
          </cell>
          <cell r="R72" t="str">
            <v>9e</v>
          </cell>
          <cell r="S72">
            <v>0.04</v>
          </cell>
          <cell r="T72" t="str">
            <v>9e</v>
          </cell>
          <cell r="U72">
            <v>1</v>
          </cell>
          <cell r="V72" t="str">
            <v>9e</v>
          </cell>
          <cell r="W72">
            <v>0.04</v>
          </cell>
          <cell r="X72" t="str">
            <v>9e</v>
          </cell>
          <cell r="Y72">
            <v>1</v>
          </cell>
          <cell r="Z72" t="str">
            <v>9e</v>
          </cell>
          <cell r="AA72">
            <v>0.04</v>
          </cell>
          <cell r="AB72" t="str">
            <v>9e</v>
          </cell>
          <cell r="AC72">
            <v>1</v>
          </cell>
          <cell r="AD72">
            <v>9</v>
          </cell>
          <cell r="AE72">
            <v>1</v>
          </cell>
          <cell r="AF72">
            <v>9</v>
          </cell>
          <cell r="AG72">
            <v>1</v>
          </cell>
          <cell r="AH72">
            <v>9</v>
          </cell>
          <cell r="AK72">
            <v>1</v>
          </cell>
          <cell r="AL72">
            <v>1</v>
          </cell>
          <cell r="AO72">
            <v>0</v>
          </cell>
          <cell r="AR72">
            <v>12000</v>
          </cell>
          <cell r="AS72">
            <v>13</v>
          </cell>
          <cell r="AU72">
            <v>0</v>
          </cell>
          <cell r="AW72">
            <v>0</v>
          </cell>
          <cell r="AX72">
            <v>2.6800000000000001E-3</v>
          </cell>
          <cell r="AY72">
            <v>0.5</v>
          </cell>
          <cell r="AZ72">
            <v>7300</v>
          </cell>
          <cell r="BA72">
            <v>22</v>
          </cell>
          <cell r="BB72">
            <v>5.1399999999999999E-6</v>
          </cell>
          <cell r="BC72">
            <v>22</v>
          </cell>
          <cell r="BD72">
            <v>2.1034539204452447E-4</v>
          </cell>
          <cell r="BE72">
            <v>291</v>
          </cell>
          <cell r="BF72">
            <v>13</v>
          </cell>
          <cell r="BG72">
            <v>9.3999999999999998E-6</v>
          </cell>
          <cell r="BH72">
            <v>3.72</v>
          </cell>
          <cell r="BI72">
            <v>17</v>
          </cell>
          <cell r="BJ72">
            <v>1350</v>
          </cell>
          <cell r="BK72" t="str">
            <v>17a</v>
          </cell>
          <cell r="BL72">
            <v>112.5</v>
          </cell>
          <cell r="BM72">
            <v>17</v>
          </cell>
          <cell r="BO72">
            <v>1.0607181496353157E-2</v>
          </cell>
          <cell r="BS72">
            <v>1000</v>
          </cell>
          <cell r="BT72" t="str">
            <v>Ceiling (High)</v>
          </cell>
          <cell r="BV72">
            <v>3000</v>
          </cell>
          <cell r="BW72" t="str">
            <v>Ceiling (High)</v>
          </cell>
          <cell r="BY72">
            <v>5000</v>
          </cell>
          <cell r="BZ72" t="str">
            <v>Ceiling (High)</v>
          </cell>
          <cell r="CA72">
            <v>50000</v>
          </cell>
          <cell r="CB72" t="str">
            <v>0.005%</v>
          </cell>
        </row>
        <row r="73">
          <cell r="A73" t="str">
            <v>HEXACHLOROETHANE</v>
          </cell>
          <cell r="B73" t="str">
            <v>67-72-1</v>
          </cell>
          <cell r="C73">
            <v>42922</v>
          </cell>
          <cell r="D73">
            <v>6.9999999999999999E-4</v>
          </cell>
          <cell r="E73">
            <v>1</v>
          </cell>
          <cell r="F73">
            <v>2E-3</v>
          </cell>
          <cell r="G73" t="str">
            <v>1i</v>
          </cell>
          <cell r="H73">
            <v>0.03</v>
          </cell>
          <cell r="I73">
            <v>1</v>
          </cell>
          <cell r="J73">
            <v>0.3</v>
          </cell>
          <cell r="K73" t="str">
            <v>1k</v>
          </cell>
          <cell r="L73">
            <v>0.04</v>
          </cell>
          <cell r="M73" t="str">
            <v>C</v>
          </cell>
          <cell r="N73">
            <v>1</v>
          </cell>
          <cell r="O73">
            <v>3.9999999999999998E-6</v>
          </cell>
          <cell r="P73" t="str">
            <v>1f</v>
          </cell>
          <cell r="Q73">
            <v>1</v>
          </cell>
          <cell r="R73" t="str">
            <v>9e</v>
          </cell>
          <cell r="S73">
            <v>0.03</v>
          </cell>
          <cell r="T73" t="str">
            <v>9e</v>
          </cell>
          <cell r="U73">
            <v>1</v>
          </cell>
          <cell r="V73" t="str">
            <v>9e</v>
          </cell>
          <cell r="W73">
            <v>0.03</v>
          </cell>
          <cell r="X73" t="str">
            <v>9e</v>
          </cell>
          <cell r="Y73">
            <v>1</v>
          </cell>
          <cell r="Z73" t="str">
            <v>9e</v>
          </cell>
          <cell r="AA73">
            <v>0.03</v>
          </cell>
          <cell r="AB73" t="str">
            <v>9e</v>
          </cell>
          <cell r="AC73">
            <v>1</v>
          </cell>
          <cell r="AD73">
            <v>9</v>
          </cell>
          <cell r="AE73">
            <v>1</v>
          </cell>
          <cell r="AF73">
            <v>9</v>
          </cell>
          <cell r="AG73">
            <v>1</v>
          </cell>
          <cell r="AH73">
            <v>9</v>
          </cell>
          <cell r="AK73">
            <v>1</v>
          </cell>
          <cell r="AL73">
            <v>1</v>
          </cell>
          <cell r="AO73">
            <v>0</v>
          </cell>
          <cell r="AR73">
            <v>10</v>
          </cell>
          <cell r="AS73">
            <v>24</v>
          </cell>
          <cell r="AU73">
            <v>0</v>
          </cell>
          <cell r="AW73">
            <v>0</v>
          </cell>
          <cell r="AX73">
            <v>0.66</v>
          </cell>
          <cell r="AY73">
            <v>8</v>
          </cell>
          <cell r="AZ73">
            <v>50000</v>
          </cell>
          <cell r="BA73">
            <v>22</v>
          </cell>
          <cell r="BB73">
            <v>3.8899999999999998E-3</v>
          </cell>
          <cell r="BC73">
            <v>22</v>
          </cell>
          <cell r="BD73">
            <v>0.15919135701424128</v>
          </cell>
          <cell r="BE73">
            <v>237</v>
          </cell>
          <cell r="BF73">
            <v>11</v>
          </cell>
          <cell r="BG73">
            <v>0.4</v>
          </cell>
          <cell r="BH73">
            <v>4.1399999999999997</v>
          </cell>
          <cell r="BI73">
            <v>16</v>
          </cell>
          <cell r="BJ73">
            <v>1780</v>
          </cell>
          <cell r="BK73" t="str">
            <v>17b</v>
          </cell>
          <cell r="BL73">
            <v>187</v>
          </cell>
          <cell r="BM73">
            <v>17</v>
          </cell>
          <cell r="BO73">
            <v>4.0290253508329509E-2</v>
          </cell>
          <cell r="BS73">
            <v>1000</v>
          </cell>
          <cell r="BT73" t="str">
            <v>Ceiling (High)</v>
          </cell>
          <cell r="BV73">
            <v>3000</v>
          </cell>
          <cell r="BW73" t="str">
            <v>Ceiling (High)</v>
          </cell>
          <cell r="BY73">
            <v>5000</v>
          </cell>
          <cell r="BZ73" t="str">
            <v>Ceiling (High)</v>
          </cell>
          <cell r="CA73">
            <v>50000</v>
          </cell>
          <cell r="CB73" t="str">
            <v>0.005%</v>
          </cell>
        </row>
        <row r="74">
          <cell r="A74" t="str">
            <v>HMX</v>
          </cell>
          <cell r="B74" t="str">
            <v>2691-41-0</v>
          </cell>
          <cell r="C74">
            <v>42922</v>
          </cell>
          <cell r="D74">
            <v>0.05</v>
          </cell>
          <cell r="E74">
            <v>1</v>
          </cell>
          <cell r="F74">
            <v>0.05</v>
          </cell>
          <cell r="G74" t="str">
            <v>1d</v>
          </cell>
          <cell r="H74">
            <v>0.18</v>
          </cell>
          <cell r="I74" t="str">
            <v>7b</v>
          </cell>
          <cell r="J74">
            <v>0.18</v>
          </cell>
          <cell r="K74" t="str">
            <v>7c</v>
          </cell>
          <cell r="M74" t="str">
            <v>D</v>
          </cell>
          <cell r="N74">
            <v>1</v>
          </cell>
          <cell r="Q74">
            <v>1</v>
          </cell>
          <cell r="R74">
            <v>9</v>
          </cell>
          <cell r="S74">
            <v>0.03</v>
          </cell>
          <cell r="T74">
            <v>9</v>
          </cell>
          <cell r="U74">
            <v>1</v>
          </cell>
          <cell r="V74">
            <v>9</v>
          </cell>
          <cell r="W74">
            <v>0.03</v>
          </cell>
          <cell r="X74">
            <v>9</v>
          </cell>
          <cell r="Y74" t="str">
            <v>NC</v>
          </cell>
          <cell r="AA74" t="str">
            <v>NC</v>
          </cell>
          <cell r="AC74">
            <v>1</v>
          </cell>
          <cell r="AD74">
            <v>9</v>
          </cell>
          <cell r="AE74">
            <v>1</v>
          </cell>
          <cell r="AF74">
            <v>9</v>
          </cell>
          <cell r="AK74">
            <v>0.3</v>
          </cell>
          <cell r="AL74" t="str">
            <v>NC</v>
          </cell>
          <cell r="AO74">
            <v>0</v>
          </cell>
          <cell r="AX74">
            <v>2.2000000000000002</v>
          </cell>
          <cell r="AY74">
            <v>13</v>
          </cell>
          <cell r="AZ74">
            <v>2556000</v>
          </cell>
          <cell r="BA74">
            <v>23</v>
          </cell>
          <cell r="BB74">
            <v>8.67E-10</v>
          </cell>
          <cell r="BC74">
            <v>22</v>
          </cell>
          <cell r="BD74">
            <v>3.5480438697004418E-8</v>
          </cell>
          <cell r="BE74">
            <v>296.2</v>
          </cell>
          <cell r="BF74">
            <v>13</v>
          </cell>
          <cell r="BG74">
            <v>3.3300000000000001E-14</v>
          </cell>
          <cell r="BH74">
            <v>0.16</v>
          </cell>
          <cell r="BI74">
            <v>13</v>
          </cell>
          <cell r="BJ74">
            <v>3.4673685045253171</v>
          </cell>
          <cell r="BK74">
            <v>13</v>
          </cell>
          <cell r="BL74">
            <v>276</v>
          </cell>
          <cell r="BM74">
            <v>13</v>
          </cell>
          <cell r="BO74">
            <v>4.4348608726596469E-5</v>
          </cell>
          <cell r="BS74">
            <v>1000</v>
          </cell>
          <cell r="BT74" t="str">
            <v>Ceiling (High)</v>
          </cell>
          <cell r="BV74">
            <v>3000</v>
          </cell>
          <cell r="BW74" t="str">
            <v>Ceiling (High)</v>
          </cell>
          <cell r="BY74">
            <v>5000</v>
          </cell>
          <cell r="BZ74" t="str">
            <v>Ceiling (High)</v>
          </cell>
          <cell r="CA74">
            <v>50000</v>
          </cell>
          <cell r="CB74" t="str">
            <v>0.005%</v>
          </cell>
        </row>
        <row r="75">
          <cell r="A75" t="str">
            <v>INDENO(1,2,3-cd)PYRENE</v>
          </cell>
          <cell r="B75" t="str">
            <v>193-39-5</v>
          </cell>
          <cell r="C75">
            <v>42922</v>
          </cell>
          <cell r="D75">
            <v>0.03</v>
          </cell>
          <cell r="E75" t="str">
            <v>5d</v>
          </cell>
          <cell r="F75">
            <v>0.3</v>
          </cell>
          <cell r="G75" t="str">
            <v>5d</v>
          </cell>
          <cell r="H75">
            <v>0.05</v>
          </cell>
          <cell r="I75" t="str">
            <v>5d</v>
          </cell>
          <cell r="J75">
            <v>0.5</v>
          </cell>
          <cell r="K75" t="str">
            <v>5d</v>
          </cell>
          <cell r="L75">
            <v>0.1</v>
          </cell>
          <cell r="M75" t="str">
            <v>B2</v>
          </cell>
          <cell r="N75" t="str">
            <v>1e</v>
          </cell>
          <cell r="O75">
            <v>6.0000000000000002E-5</v>
          </cell>
          <cell r="P75" t="str">
            <v>1e</v>
          </cell>
          <cell r="Q75">
            <v>0.3</v>
          </cell>
          <cell r="R75" t="str">
            <v>9d</v>
          </cell>
          <cell r="S75">
            <v>0.02</v>
          </cell>
          <cell r="T75" t="str">
            <v>9d</v>
          </cell>
          <cell r="U75">
            <v>0.3</v>
          </cell>
          <cell r="V75" t="str">
            <v>9d</v>
          </cell>
          <cell r="W75">
            <v>0.02</v>
          </cell>
          <cell r="X75" t="str">
            <v>9d</v>
          </cell>
          <cell r="Y75">
            <v>0.3</v>
          </cell>
          <cell r="Z75" t="str">
            <v>9d</v>
          </cell>
          <cell r="AA75">
            <v>0.02</v>
          </cell>
          <cell r="AB75" t="str">
            <v>9d</v>
          </cell>
          <cell r="AC75">
            <v>1</v>
          </cell>
          <cell r="AD75">
            <v>9</v>
          </cell>
          <cell r="AE75">
            <v>1</v>
          </cell>
          <cell r="AF75">
            <v>9</v>
          </cell>
          <cell r="AG75">
            <v>1</v>
          </cell>
          <cell r="AH75">
            <v>9</v>
          </cell>
          <cell r="AI75">
            <v>3</v>
          </cell>
          <cell r="AJ75" t="str">
            <v>M</v>
          </cell>
          <cell r="AK75">
            <v>0.92</v>
          </cell>
          <cell r="AL75">
            <v>0.92</v>
          </cell>
          <cell r="AM75">
            <v>1</v>
          </cell>
          <cell r="AO75">
            <v>0</v>
          </cell>
          <cell r="AU75">
            <v>0</v>
          </cell>
          <cell r="AW75">
            <v>0</v>
          </cell>
          <cell r="AX75">
            <v>0.66</v>
          </cell>
          <cell r="AY75">
            <v>0.5</v>
          </cell>
          <cell r="AZ75">
            <v>0.19</v>
          </cell>
          <cell r="BA75">
            <v>22</v>
          </cell>
          <cell r="BB75">
            <v>3.4799999999999999E-7</v>
          </cell>
          <cell r="BC75">
            <v>22</v>
          </cell>
          <cell r="BD75">
            <v>1.424128335243084E-5</v>
          </cell>
          <cell r="BE75">
            <v>276</v>
          </cell>
          <cell r="BF75">
            <v>13</v>
          </cell>
          <cell r="BG75">
            <v>1.0000000000000001E-9</v>
          </cell>
          <cell r="BH75">
            <v>6.7</v>
          </cell>
          <cell r="BI75">
            <v>16</v>
          </cell>
          <cell r="BJ75">
            <v>3470000</v>
          </cell>
          <cell r="BK75" t="str">
            <v>17b</v>
          </cell>
          <cell r="BL75">
            <v>161.5</v>
          </cell>
          <cell r="BM75">
            <v>17</v>
          </cell>
          <cell r="BO75">
            <v>1.1923396878859682</v>
          </cell>
          <cell r="BS75">
            <v>1000</v>
          </cell>
          <cell r="BT75" t="str">
            <v>Ceiling (High)</v>
          </cell>
          <cell r="BV75">
            <v>3000</v>
          </cell>
          <cell r="BW75" t="str">
            <v>Ceiling (High)</v>
          </cell>
          <cell r="BY75">
            <v>5000</v>
          </cell>
          <cell r="BZ75" t="str">
            <v>Ceiling (High)</v>
          </cell>
          <cell r="CA75">
            <v>50000</v>
          </cell>
          <cell r="CB75" t="str">
            <v>0.005%</v>
          </cell>
        </row>
        <row r="76">
          <cell r="A76" t="str">
            <v>LEAD</v>
          </cell>
          <cell r="B76" t="str">
            <v>7439-92-1</v>
          </cell>
          <cell r="C76">
            <v>42922</v>
          </cell>
          <cell r="D76">
            <v>7.5000000000000002E-4</v>
          </cell>
          <cell r="E76">
            <v>4</v>
          </cell>
          <cell r="F76">
            <v>7.5000000000000002E-4</v>
          </cell>
          <cell r="G76">
            <v>4</v>
          </cell>
          <cell r="H76">
            <v>1E-3</v>
          </cell>
          <cell r="I76">
            <v>3</v>
          </cell>
          <cell r="J76">
            <v>1E-3</v>
          </cell>
          <cell r="K76" t="str">
            <v>7c</v>
          </cell>
          <cell r="M76" t="str">
            <v>B2</v>
          </cell>
          <cell r="N76">
            <v>1</v>
          </cell>
          <cell r="Q76">
            <v>0.5</v>
          </cell>
          <cell r="R76" t="str">
            <v>9h</v>
          </cell>
          <cell r="S76">
            <v>6.0000000000000001E-3</v>
          </cell>
          <cell r="T76">
            <v>9</v>
          </cell>
          <cell r="U76">
            <v>0.5</v>
          </cell>
          <cell r="V76" t="str">
            <v>9h</v>
          </cell>
          <cell r="W76">
            <v>6.0000000000000001E-3</v>
          </cell>
          <cell r="X76">
            <v>9</v>
          </cell>
          <cell r="Y76" t="str">
            <v>NC</v>
          </cell>
          <cell r="AA76" t="str">
            <v>NC</v>
          </cell>
          <cell r="AC76">
            <v>1</v>
          </cell>
          <cell r="AD76">
            <v>9</v>
          </cell>
          <cell r="AE76">
            <v>1</v>
          </cell>
          <cell r="AF76">
            <v>9</v>
          </cell>
          <cell r="AI76">
            <v>600</v>
          </cell>
          <cell r="AK76">
            <v>0.5</v>
          </cell>
          <cell r="AL76" t="str">
            <v>NC</v>
          </cell>
          <cell r="AM76">
            <v>200</v>
          </cell>
          <cell r="AN76">
            <v>8.8000000000000007</v>
          </cell>
          <cell r="AO76">
            <v>0</v>
          </cell>
          <cell r="AU76">
            <v>0</v>
          </cell>
          <cell r="AW76">
            <v>0</v>
          </cell>
          <cell r="AX76">
            <v>8.4</v>
          </cell>
          <cell r="AY76">
            <v>1</v>
          </cell>
          <cell r="AZ76">
            <v>0</v>
          </cell>
          <cell r="BD76">
            <v>0</v>
          </cell>
          <cell r="BE76">
            <v>207</v>
          </cell>
          <cell r="BF76">
            <v>11</v>
          </cell>
          <cell r="BH76">
            <v>0.73</v>
          </cell>
          <cell r="BJ76">
            <v>0</v>
          </cell>
          <cell r="BO76">
            <v>1E-4</v>
          </cell>
          <cell r="BP76">
            <v>0.15</v>
          </cell>
          <cell r="BS76">
            <v>1000</v>
          </cell>
          <cell r="BT76" t="str">
            <v>Ceiling (High)</v>
          </cell>
          <cell r="BV76">
            <v>3000</v>
          </cell>
          <cell r="BW76" t="str">
            <v>Ceiling (High)</v>
          </cell>
          <cell r="BY76">
            <v>5000</v>
          </cell>
          <cell r="BZ76" t="str">
            <v>Ceiling (High)</v>
          </cell>
          <cell r="CA76">
            <v>50000</v>
          </cell>
          <cell r="CB76" t="str">
            <v>0.005%</v>
          </cell>
          <cell r="CC76" t="str">
            <v>Y</v>
          </cell>
        </row>
        <row r="77">
          <cell r="A77" t="str">
            <v>MERCURY</v>
          </cell>
          <cell r="B77" t="str">
            <v>7439-97-6</v>
          </cell>
          <cell r="C77">
            <v>42923</v>
          </cell>
          <cell r="D77">
            <v>2.9999999999999997E-4</v>
          </cell>
          <cell r="E77" t="str">
            <v>2d</v>
          </cell>
          <cell r="F77">
            <v>2.9999999999999997E-4</v>
          </cell>
          <cell r="G77" t="str">
            <v>2d</v>
          </cell>
          <cell r="H77">
            <v>2.9999999999999997E-4</v>
          </cell>
          <cell r="I77">
            <v>1</v>
          </cell>
          <cell r="J77">
            <v>2.9999999999999997E-4</v>
          </cell>
          <cell r="K77" t="str">
            <v>7c</v>
          </cell>
          <cell r="M77" t="str">
            <v>D</v>
          </cell>
          <cell r="N77">
            <v>1</v>
          </cell>
          <cell r="Q77">
            <v>0.5</v>
          </cell>
          <cell r="R77" t="str">
            <v>9e</v>
          </cell>
          <cell r="S77">
            <v>0.1</v>
          </cell>
          <cell r="T77" t="str">
            <v>9e</v>
          </cell>
          <cell r="U77">
            <v>0.5</v>
          </cell>
          <cell r="V77" t="str">
            <v>9e</v>
          </cell>
          <cell r="W77">
            <v>0.1</v>
          </cell>
          <cell r="X77" t="str">
            <v>9e</v>
          </cell>
          <cell r="Y77" t="str">
            <v>NC</v>
          </cell>
          <cell r="AA77" t="str">
            <v>NC</v>
          </cell>
          <cell r="AC77">
            <v>1</v>
          </cell>
          <cell r="AD77">
            <v>9</v>
          </cell>
          <cell r="AE77">
            <v>1</v>
          </cell>
          <cell r="AF77">
            <v>9</v>
          </cell>
          <cell r="AI77">
            <v>1</v>
          </cell>
          <cell r="AK77">
            <v>0.95</v>
          </cell>
          <cell r="AL77" t="str">
            <v>NC</v>
          </cell>
          <cell r="AM77">
            <v>0.3</v>
          </cell>
          <cell r="AN77">
            <v>0.95</v>
          </cell>
          <cell r="AO77">
            <v>0</v>
          </cell>
          <cell r="AU77">
            <v>0</v>
          </cell>
          <cell r="AW77">
            <v>0</v>
          </cell>
          <cell r="AX77">
            <v>0.1</v>
          </cell>
          <cell r="AY77">
            <v>0.2</v>
          </cell>
          <cell r="AZ77">
            <v>60</v>
          </cell>
          <cell r="BA77">
            <v>22</v>
          </cell>
          <cell r="BD77">
            <v>0</v>
          </cell>
          <cell r="BE77">
            <v>201</v>
          </cell>
          <cell r="BF77">
            <v>13</v>
          </cell>
          <cell r="BG77">
            <v>1.1999999999999999E-3</v>
          </cell>
          <cell r="BH77">
            <v>0.62</v>
          </cell>
          <cell r="BJ77">
            <v>0</v>
          </cell>
          <cell r="BO77">
            <v>1E-3</v>
          </cell>
          <cell r="BS77">
            <v>1000</v>
          </cell>
          <cell r="BT77" t="str">
            <v>Ceiling (High)</v>
          </cell>
          <cell r="BV77">
            <v>3000</v>
          </cell>
          <cell r="BW77" t="str">
            <v>Ceiling (High)</v>
          </cell>
          <cell r="BY77">
            <v>5000</v>
          </cell>
          <cell r="BZ77" t="str">
            <v>Ceiling (High)</v>
          </cell>
          <cell r="CA77">
            <v>50000</v>
          </cell>
          <cell r="CB77" t="str">
            <v>0.005%</v>
          </cell>
          <cell r="CC77" t="str">
            <v>Y</v>
          </cell>
        </row>
        <row r="78">
          <cell r="A78" t="str">
            <v>METHOXYCHLOR</v>
          </cell>
          <cell r="B78" t="str">
            <v>72-43-5</v>
          </cell>
          <cell r="C78">
            <v>42923</v>
          </cell>
          <cell r="D78">
            <v>5.0000000000000001E-3</v>
          </cell>
          <cell r="E78">
            <v>1</v>
          </cell>
          <cell r="F78">
            <v>5.0000000000000001E-3</v>
          </cell>
          <cell r="G78">
            <v>2</v>
          </cell>
          <cell r="H78">
            <v>1.7999999999999999E-2</v>
          </cell>
          <cell r="I78" t="str">
            <v>7b</v>
          </cell>
          <cell r="J78">
            <v>1.7999999999999999E-2</v>
          </cell>
          <cell r="K78" t="str">
            <v>7c</v>
          </cell>
          <cell r="M78" t="str">
            <v>D</v>
          </cell>
          <cell r="N78">
            <v>1</v>
          </cell>
          <cell r="Q78">
            <v>1</v>
          </cell>
          <cell r="R78" t="str">
            <v>9e</v>
          </cell>
          <cell r="S78">
            <v>0.1</v>
          </cell>
          <cell r="T78" t="str">
            <v>9e</v>
          </cell>
          <cell r="U78">
            <v>1</v>
          </cell>
          <cell r="V78" t="str">
            <v>9e</v>
          </cell>
          <cell r="W78">
            <v>0.1</v>
          </cell>
          <cell r="X78" t="str">
            <v>9e</v>
          </cell>
          <cell r="Y78" t="str">
            <v>NC</v>
          </cell>
          <cell r="AA78" t="str">
            <v>NC</v>
          </cell>
          <cell r="AC78">
            <v>1</v>
          </cell>
          <cell r="AD78">
            <v>9</v>
          </cell>
          <cell r="AE78">
            <v>1</v>
          </cell>
          <cell r="AF78">
            <v>9</v>
          </cell>
          <cell r="AK78">
            <v>1</v>
          </cell>
          <cell r="AL78" t="str">
            <v>NC</v>
          </cell>
          <cell r="AO78">
            <v>0</v>
          </cell>
          <cell r="AR78">
            <v>4700</v>
          </cell>
          <cell r="AS78">
            <v>13</v>
          </cell>
          <cell r="AU78">
            <v>0</v>
          </cell>
          <cell r="AW78">
            <v>0</v>
          </cell>
          <cell r="AX78">
            <v>0.11792</v>
          </cell>
          <cell r="AY78">
            <v>1.5</v>
          </cell>
          <cell r="AZ78">
            <v>100</v>
          </cell>
          <cell r="BA78">
            <v>22</v>
          </cell>
          <cell r="BB78">
            <v>2.03E-7</v>
          </cell>
          <cell r="BC78">
            <v>22</v>
          </cell>
          <cell r="BD78">
            <v>8.3074152889179904E-6</v>
          </cell>
          <cell r="BE78">
            <v>346</v>
          </cell>
          <cell r="BF78">
            <v>13</v>
          </cell>
          <cell r="BG78">
            <v>1.3999999999999999E-6</v>
          </cell>
          <cell r="BH78">
            <v>5.08</v>
          </cell>
          <cell r="BI78">
            <v>17</v>
          </cell>
          <cell r="BJ78">
            <v>80000</v>
          </cell>
          <cell r="BK78" t="str">
            <v>17a</v>
          </cell>
          <cell r="BL78">
            <v>87</v>
          </cell>
          <cell r="BM78">
            <v>17</v>
          </cell>
          <cell r="BO78">
            <v>4.1228734072288685E-2</v>
          </cell>
          <cell r="BS78">
            <v>1000</v>
          </cell>
          <cell r="BT78" t="str">
            <v>Ceiling (High)</v>
          </cell>
          <cell r="BV78">
            <v>3000</v>
          </cell>
          <cell r="BW78" t="str">
            <v>Ceiling (High)</v>
          </cell>
          <cell r="BY78">
            <v>5000</v>
          </cell>
          <cell r="BZ78" t="str">
            <v>Ceiling (High)</v>
          </cell>
          <cell r="CA78">
            <v>50000</v>
          </cell>
          <cell r="CB78" t="str">
            <v>0.005%</v>
          </cell>
        </row>
        <row r="79">
          <cell r="A79" t="str">
            <v>METHYL ETHYL KETONE</v>
          </cell>
          <cell r="B79" t="str">
            <v>78-93-3</v>
          </cell>
          <cell r="C79">
            <v>42922</v>
          </cell>
          <cell r="D79">
            <v>0.6</v>
          </cell>
          <cell r="E79">
            <v>1</v>
          </cell>
          <cell r="F79">
            <v>0.6</v>
          </cell>
          <cell r="G79" t="str">
            <v>1d</v>
          </cell>
          <cell r="H79">
            <v>5</v>
          </cell>
          <cell r="I79">
            <v>1</v>
          </cell>
          <cell r="J79">
            <v>5</v>
          </cell>
          <cell r="K79" t="str">
            <v>1j</v>
          </cell>
          <cell r="M79" t="str">
            <v>D</v>
          </cell>
          <cell r="N79">
            <v>1</v>
          </cell>
          <cell r="Q79">
            <v>1</v>
          </cell>
          <cell r="R79" t="str">
            <v>9e</v>
          </cell>
          <cell r="S79">
            <v>0.03</v>
          </cell>
          <cell r="T79" t="str">
            <v>9e</v>
          </cell>
          <cell r="U79">
            <v>1</v>
          </cell>
          <cell r="V79" t="str">
            <v>9e</v>
          </cell>
          <cell r="W79">
            <v>0.03</v>
          </cell>
          <cell r="X79" t="str">
            <v>9e</v>
          </cell>
          <cell r="Y79" t="str">
            <v>NC</v>
          </cell>
          <cell r="AA79" t="str">
            <v>NC</v>
          </cell>
          <cell r="AC79">
            <v>1</v>
          </cell>
          <cell r="AD79">
            <v>9</v>
          </cell>
          <cell r="AE79">
            <v>1</v>
          </cell>
          <cell r="AF79">
            <v>9</v>
          </cell>
          <cell r="AK79">
            <v>1</v>
          </cell>
          <cell r="AL79" t="str">
            <v>NC</v>
          </cell>
          <cell r="AO79">
            <v>12</v>
          </cell>
          <cell r="AP79">
            <v>10</v>
          </cell>
          <cell r="AQ79">
            <v>14.324999999999999</v>
          </cell>
          <cell r="AR79">
            <v>1000</v>
          </cell>
          <cell r="AS79">
            <v>24</v>
          </cell>
          <cell r="AT79">
            <v>32000</v>
          </cell>
          <cell r="AU79">
            <v>10.867236467236465</v>
          </cell>
          <cell r="AV79">
            <v>24</v>
          </cell>
          <cell r="AW79">
            <v>9.2019714765100691</v>
          </cell>
          <cell r="AX79">
            <v>0.1</v>
          </cell>
          <cell r="AY79">
            <v>100</v>
          </cell>
          <cell r="AZ79">
            <v>223000000</v>
          </cell>
          <cell r="BA79">
            <v>22</v>
          </cell>
          <cell r="BB79">
            <v>5.6900000000000001E-5</v>
          </cell>
          <cell r="BC79">
            <v>22</v>
          </cell>
          <cell r="BD79">
            <v>2.3285316745784907E-3</v>
          </cell>
          <cell r="BE79">
            <v>72</v>
          </cell>
          <cell r="BF79">
            <v>13</v>
          </cell>
          <cell r="BG79">
            <v>100</v>
          </cell>
          <cell r="BH79">
            <v>0.28999999999999998</v>
          </cell>
          <cell r="BI79">
            <v>16</v>
          </cell>
          <cell r="BJ79">
            <v>3.5481338923357555</v>
          </cell>
          <cell r="BK79">
            <v>13</v>
          </cell>
          <cell r="BO79">
            <v>9.7319529359227738E-4</v>
          </cell>
          <cell r="BS79">
            <v>500</v>
          </cell>
          <cell r="BT79" t="str">
            <v>Ceiling (Medium)</v>
          </cell>
          <cell r="BV79">
            <v>1000</v>
          </cell>
          <cell r="BW79" t="str">
            <v>Ceiling (Medium)</v>
          </cell>
          <cell r="BY79">
            <v>3000</v>
          </cell>
          <cell r="BZ79" t="str">
            <v>Ceiling (Medium)</v>
          </cell>
          <cell r="CA79">
            <v>50000</v>
          </cell>
          <cell r="CB79" t="str">
            <v>0.005%</v>
          </cell>
        </row>
        <row r="80">
          <cell r="A80" t="str">
            <v>METHYL ISOBUTYL KETONE</v>
          </cell>
          <cell r="B80" t="str">
            <v>108-10-1</v>
          </cell>
          <cell r="C80">
            <v>42923</v>
          </cell>
          <cell r="D80">
            <v>0.08</v>
          </cell>
          <cell r="E80">
            <v>2</v>
          </cell>
          <cell r="F80">
            <v>0.8</v>
          </cell>
          <cell r="G80">
            <v>2</v>
          </cell>
          <cell r="H80">
            <v>3</v>
          </cell>
          <cell r="I80">
            <v>1</v>
          </cell>
          <cell r="J80">
            <v>3</v>
          </cell>
          <cell r="K80" t="str">
            <v>7c</v>
          </cell>
          <cell r="Q80">
            <v>1</v>
          </cell>
          <cell r="R80" t="str">
            <v>9e</v>
          </cell>
          <cell r="S80">
            <v>0.03</v>
          </cell>
          <cell r="T80" t="str">
            <v>9e</v>
          </cell>
          <cell r="U80">
            <v>1</v>
          </cell>
          <cell r="V80" t="str">
            <v>9e</v>
          </cell>
          <cell r="W80">
            <v>0.03</v>
          </cell>
          <cell r="X80" t="str">
            <v>9e</v>
          </cell>
          <cell r="Y80" t="str">
            <v>NC</v>
          </cell>
          <cell r="AA80" t="str">
            <v>NC</v>
          </cell>
          <cell r="AC80">
            <v>1</v>
          </cell>
          <cell r="AD80">
            <v>9</v>
          </cell>
          <cell r="AE80">
            <v>1</v>
          </cell>
          <cell r="AF80">
            <v>9</v>
          </cell>
          <cell r="AK80">
            <v>1</v>
          </cell>
          <cell r="AL80" t="str">
            <v>NC</v>
          </cell>
          <cell r="AO80">
            <v>2.2000000000000002</v>
          </cell>
          <cell r="AT80">
            <v>9700</v>
          </cell>
          <cell r="AU80">
            <v>2.371774358974359</v>
          </cell>
          <cell r="AV80">
            <v>25</v>
          </cell>
          <cell r="AW80">
            <v>4.2162526811042689</v>
          </cell>
          <cell r="AX80">
            <v>0.05</v>
          </cell>
          <cell r="AY80">
            <v>50</v>
          </cell>
          <cell r="AZ80">
            <v>19000000</v>
          </cell>
          <cell r="BA80">
            <v>22</v>
          </cell>
          <cell r="BB80">
            <v>1.3799999999999999E-4</v>
          </cell>
          <cell r="BC80">
            <v>22</v>
          </cell>
          <cell r="BD80">
            <v>5.6474054673432642E-3</v>
          </cell>
          <cell r="BE80">
            <v>100</v>
          </cell>
          <cell r="BF80">
            <v>11</v>
          </cell>
          <cell r="BG80">
            <v>10</v>
          </cell>
          <cell r="BH80">
            <v>1.31</v>
          </cell>
          <cell r="BI80">
            <v>12</v>
          </cell>
          <cell r="BJ80">
            <v>12.58925411794168</v>
          </cell>
          <cell r="BK80" t="str">
            <v>calc</v>
          </cell>
          <cell r="BO80">
            <v>3.1959501748147611E-3</v>
          </cell>
          <cell r="BS80">
            <v>500</v>
          </cell>
          <cell r="BT80" t="str">
            <v>Ceiling (Medium)</v>
          </cell>
          <cell r="BV80">
            <v>1000</v>
          </cell>
          <cell r="BW80" t="str">
            <v>Ceiling (Medium)</v>
          </cell>
          <cell r="BY80">
            <v>3000</v>
          </cell>
          <cell r="BZ80" t="str">
            <v>Ceiling (Medium)</v>
          </cell>
          <cell r="CA80">
            <v>50000</v>
          </cell>
          <cell r="CB80" t="str">
            <v>0.005%</v>
          </cell>
        </row>
        <row r="81">
          <cell r="A81" t="str">
            <v>METHYL MERCURY</v>
          </cell>
          <cell r="B81" t="str">
            <v>22967-92-6</v>
          </cell>
          <cell r="C81">
            <v>42923</v>
          </cell>
          <cell r="D81">
            <v>1E-4</v>
          </cell>
          <cell r="E81">
            <v>1</v>
          </cell>
          <cell r="F81">
            <v>1E-4</v>
          </cell>
          <cell r="G81">
            <v>2</v>
          </cell>
          <cell r="H81">
            <v>2.0000000000000002E-5</v>
          </cell>
          <cell r="I81">
            <v>3</v>
          </cell>
          <cell r="J81">
            <v>2.0000000000000002E-5</v>
          </cell>
          <cell r="K81" t="str">
            <v>7c</v>
          </cell>
          <cell r="M81" t="str">
            <v>C</v>
          </cell>
          <cell r="N81">
            <v>1</v>
          </cell>
          <cell r="Q81">
            <v>1</v>
          </cell>
          <cell r="R81" t="str">
            <v>9e</v>
          </cell>
          <cell r="S81">
            <v>0.1</v>
          </cell>
          <cell r="T81" t="str">
            <v>9e</v>
          </cell>
          <cell r="U81">
            <v>1</v>
          </cell>
          <cell r="V81" t="str">
            <v>9e</v>
          </cell>
          <cell r="W81">
            <v>0.1</v>
          </cell>
          <cell r="X81" t="str">
            <v>9e</v>
          </cell>
          <cell r="Y81" t="str">
            <v>NC</v>
          </cell>
          <cell r="AA81" t="str">
            <v>NC</v>
          </cell>
          <cell r="AC81">
            <v>1</v>
          </cell>
          <cell r="AD81">
            <v>9</v>
          </cell>
          <cell r="AE81">
            <v>1</v>
          </cell>
          <cell r="AF81">
            <v>9</v>
          </cell>
          <cell r="AK81">
            <v>0.95</v>
          </cell>
          <cell r="AL81" t="str">
            <v>NC</v>
          </cell>
          <cell r="AO81">
            <v>0</v>
          </cell>
          <cell r="AU81">
            <v>0</v>
          </cell>
          <cell r="AW81">
            <v>0</v>
          </cell>
          <cell r="AX81">
            <v>0</v>
          </cell>
          <cell r="AY81">
            <v>0</v>
          </cell>
          <cell r="AZ81">
            <v>0</v>
          </cell>
          <cell r="BD81">
            <v>0</v>
          </cell>
          <cell r="BE81">
            <v>231</v>
          </cell>
          <cell r="BF81">
            <v>15</v>
          </cell>
          <cell r="BJ81">
            <v>0</v>
          </cell>
          <cell r="BO81">
            <v>1E-3</v>
          </cell>
          <cell r="BS81">
            <v>1000</v>
          </cell>
          <cell r="BT81" t="str">
            <v>Ceiling (High)</v>
          </cell>
          <cell r="BV81">
            <v>3000</v>
          </cell>
          <cell r="BW81" t="str">
            <v>Ceiling (High)</v>
          </cell>
          <cell r="BY81">
            <v>5000</v>
          </cell>
          <cell r="BZ81" t="str">
            <v>Ceiling (High)</v>
          </cell>
          <cell r="CA81">
            <v>50000</v>
          </cell>
          <cell r="CB81" t="str">
            <v>0.005%</v>
          </cell>
          <cell r="CC81" t="str">
            <v>Y</v>
          </cell>
        </row>
        <row r="82">
          <cell r="A82" t="str">
            <v>METHYL TERT BUTYL ETHER</v>
          </cell>
          <cell r="B82" t="str">
            <v>1634-04-4</v>
          </cell>
          <cell r="C82">
            <v>42922</v>
          </cell>
          <cell r="D82">
            <v>0.1</v>
          </cell>
          <cell r="E82" t="str">
            <v>5a</v>
          </cell>
          <cell r="F82">
            <v>1</v>
          </cell>
          <cell r="G82" t="str">
            <v>5a</v>
          </cell>
          <cell r="H82">
            <v>3</v>
          </cell>
          <cell r="I82">
            <v>1</v>
          </cell>
          <cell r="J82">
            <v>3</v>
          </cell>
          <cell r="K82" t="str">
            <v>7c</v>
          </cell>
          <cell r="M82" t="str">
            <v>C</v>
          </cell>
          <cell r="Q82">
            <v>1</v>
          </cell>
          <cell r="R82" t="str">
            <v>9e</v>
          </cell>
          <cell r="S82">
            <v>0.03</v>
          </cell>
          <cell r="T82" t="str">
            <v>9e</v>
          </cell>
          <cell r="U82">
            <v>1</v>
          </cell>
          <cell r="V82" t="str">
            <v>9e</v>
          </cell>
          <cell r="W82">
            <v>0.03</v>
          </cell>
          <cell r="X82" t="str">
            <v>9e</v>
          </cell>
          <cell r="Y82" t="str">
            <v>NC</v>
          </cell>
          <cell r="AA82" t="str">
            <v>NC</v>
          </cell>
          <cell r="AC82">
            <v>1</v>
          </cell>
          <cell r="AD82">
            <v>9</v>
          </cell>
          <cell r="AE82">
            <v>1</v>
          </cell>
          <cell r="AF82">
            <v>9</v>
          </cell>
          <cell r="AK82">
            <v>1</v>
          </cell>
          <cell r="AL82" t="str">
            <v>NC</v>
          </cell>
          <cell r="AO82">
            <v>39</v>
          </cell>
          <cell r="AU82">
            <v>0</v>
          </cell>
          <cell r="AW82">
            <v>0</v>
          </cell>
          <cell r="AX82">
            <v>0.1</v>
          </cell>
          <cell r="AY82">
            <v>0.5</v>
          </cell>
          <cell r="AZ82">
            <v>51000000</v>
          </cell>
          <cell r="BA82">
            <v>22</v>
          </cell>
          <cell r="BB82">
            <v>5.8699999999999996E-4</v>
          </cell>
          <cell r="BC82">
            <v>22</v>
          </cell>
          <cell r="BD82">
            <v>2.4021934850220986E-2</v>
          </cell>
          <cell r="BE82">
            <v>88</v>
          </cell>
          <cell r="BF82">
            <v>15</v>
          </cell>
          <cell r="BG82">
            <v>245</v>
          </cell>
          <cell r="BH82">
            <v>0.94</v>
          </cell>
          <cell r="BI82">
            <v>14</v>
          </cell>
          <cell r="BJ82">
            <v>5.3703179637025285</v>
          </cell>
          <cell r="BK82" t="str">
            <v>calc</v>
          </cell>
          <cell r="BO82">
            <v>2.1261798598625221E-3</v>
          </cell>
          <cell r="BS82">
            <v>100</v>
          </cell>
          <cell r="BT82" t="str">
            <v>Ceiling (Low)</v>
          </cell>
          <cell r="BV82">
            <v>500</v>
          </cell>
          <cell r="BW82" t="str">
            <v>Ceiling (Low)</v>
          </cell>
          <cell r="BY82">
            <v>500</v>
          </cell>
          <cell r="BZ82" t="str">
            <v>High Volatility</v>
          </cell>
          <cell r="CA82">
            <v>50000</v>
          </cell>
          <cell r="CB82" t="str">
            <v>0.005%</v>
          </cell>
        </row>
        <row r="83">
          <cell r="A83" t="str">
            <v>METHYLNAPHTHALENE, 2-</v>
          </cell>
          <cell r="B83" t="str">
            <v>91-57-6</v>
          </cell>
          <cell r="C83">
            <v>42922</v>
          </cell>
          <cell r="D83">
            <v>4.0000000000000001E-3</v>
          </cell>
          <cell r="E83">
            <v>1</v>
          </cell>
          <cell r="F83">
            <v>4.0000000000000001E-3</v>
          </cell>
          <cell r="G83">
            <v>6</v>
          </cell>
          <cell r="H83">
            <v>0.05</v>
          </cell>
          <cell r="I83" t="str">
            <v>5d</v>
          </cell>
          <cell r="J83">
            <v>0.5</v>
          </cell>
          <cell r="K83" t="str">
            <v>5d</v>
          </cell>
          <cell r="Q83">
            <v>0.3</v>
          </cell>
          <cell r="R83" t="str">
            <v>9d</v>
          </cell>
          <cell r="S83">
            <v>0.1</v>
          </cell>
          <cell r="T83" t="str">
            <v>9d</v>
          </cell>
          <cell r="U83">
            <v>0.3</v>
          </cell>
          <cell r="V83" t="str">
            <v>9d</v>
          </cell>
          <cell r="W83">
            <v>0.1</v>
          </cell>
          <cell r="X83" t="str">
            <v>9d</v>
          </cell>
          <cell r="Y83" t="str">
            <v>NC</v>
          </cell>
          <cell r="AA83" t="str">
            <v>NC</v>
          </cell>
          <cell r="AC83">
            <v>1</v>
          </cell>
          <cell r="AD83">
            <v>9</v>
          </cell>
          <cell r="AE83">
            <v>1</v>
          </cell>
          <cell r="AF83">
            <v>9</v>
          </cell>
          <cell r="AI83">
            <v>1</v>
          </cell>
          <cell r="AK83">
            <v>0.92</v>
          </cell>
          <cell r="AL83" t="str">
            <v>NC</v>
          </cell>
          <cell r="AM83">
            <v>0.5</v>
          </cell>
          <cell r="AO83">
            <v>1.74</v>
          </cell>
          <cell r="AQ83">
            <v>0.3</v>
          </cell>
          <cell r="AR83">
            <v>10</v>
          </cell>
          <cell r="AS83">
            <v>13</v>
          </cell>
          <cell r="AT83">
            <v>68</v>
          </cell>
          <cell r="AU83">
            <v>1.1709064644275909E-2</v>
          </cell>
          <cell r="AV83">
            <v>28</v>
          </cell>
          <cell r="AW83">
            <v>5.8074664429530225</v>
          </cell>
          <cell r="AX83">
            <v>0.66</v>
          </cell>
          <cell r="AY83">
            <v>10</v>
          </cell>
          <cell r="AZ83">
            <v>24600</v>
          </cell>
          <cell r="BA83">
            <v>22</v>
          </cell>
          <cell r="BB83">
            <v>5.1800000000000001E-4</v>
          </cell>
          <cell r="BC83">
            <v>22</v>
          </cell>
          <cell r="BD83">
            <v>2.1198232116549354E-2</v>
          </cell>
          <cell r="BE83">
            <v>142</v>
          </cell>
          <cell r="BF83">
            <v>13</v>
          </cell>
          <cell r="BG83">
            <v>6.8000000000000005E-2</v>
          </cell>
          <cell r="BH83">
            <v>3.86</v>
          </cell>
          <cell r="BI83">
            <v>12</v>
          </cell>
          <cell r="BJ83">
            <v>2500</v>
          </cell>
          <cell r="BK83">
            <v>13</v>
          </cell>
          <cell r="BO83">
            <v>8.9618980686161434E-2</v>
          </cell>
          <cell r="BS83">
            <v>500</v>
          </cell>
          <cell r="BT83" t="str">
            <v>Ceiling (Medium)</v>
          </cell>
          <cell r="BV83">
            <v>1000</v>
          </cell>
          <cell r="BW83" t="str">
            <v>Ceiling (Medium)</v>
          </cell>
          <cell r="BY83">
            <v>3000</v>
          </cell>
          <cell r="BZ83" t="str">
            <v>Ceiling (Medium)</v>
          </cell>
          <cell r="CA83">
            <v>50000</v>
          </cell>
          <cell r="CB83" t="str">
            <v>0.005%</v>
          </cell>
        </row>
        <row r="84">
          <cell r="A84" t="str">
            <v>NAPHTHALENE</v>
          </cell>
          <cell r="B84" t="str">
            <v>91-20-3</v>
          </cell>
          <cell r="C84">
            <v>42922</v>
          </cell>
          <cell r="D84">
            <v>0.02</v>
          </cell>
          <cell r="E84">
            <v>1</v>
          </cell>
          <cell r="F84">
            <v>0.2</v>
          </cell>
          <cell r="G84" t="str">
            <v>1i</v>
          </cell>
          <cell r="H84">
            <v>3.0000000000000001E-3</v>
          </cell>
          <cell r="I84">
            <v>1</v>
          </cell>
          <cell r="J84">
            <v>3.0000000000000001E-3</v>
          </cell>
          <cell r="K84" t="str">
            <v>7c</v>
          </cell>
          <cell r="Q84">
            <v>0.3</v>
          </cell>
          <cell r="R84" t="str">
            <v>9d</v>
          </cell>
          <cell r="S84">
            <v>0.1</v>
          </cell>
          <cell r="T84" t="str">
            <v>9d</v>
          </cell>
          <cell r="U84">
            <v>0.3</v>
          </cell>
          <cell r="V84" t="str">
            <v>9d</v>
          </cell>
          <cell r="W84">
            <v>0.1</v>
          </cell>
          <cell r="X84" t="str">
            <v>9d</v>
          </cell>
          <cell r="Y84" t="str">
            <v>NC</v>
          </cell>
          <cell r="AA84" t="str">
            <v>NC</v>
          </cell>
          <cell r="AC84">
            <v>1</v>
          </cell>
          <cell r="AD84">
            <v>9</v>
          </cell>
          <cell r="AE84">
            <v>1</v>
          </cell>
          <cell r="AF84">
            <v>9</v>
          </cell>
          <cell r="AI84">
            <v>1</v>
          </cell>
          <cell r="AK84">
            <v>0.92</v>
          </cell>
          <cell r="AL84" t="str">
            <v>NC</v>
          </cell>
          <cell r="AM84">
            <v>0.5</v>
          </cell>
          <cell r="AO84">
            <v>2.7</v>
          </cell>
          <cell r="AP84">
            <v>5</v>
          </cell>
          <cell r="AR84">
            <v>21</v>
          </cell>
          <cell r="AS84">
            <v>13</v>
          </cell>
          <cell r="AT84">
            <v>440</v>
          </cell>
          <cell r="AU84">
            <v>8.4051282051282039E-2</v>
          </cell>
          <cell r="AV84">
            <v>13</v>
          </cell>
          <cell r="AW84">
            <v>0.9755948749237342</v>
          </cell>
          <cell r="AX84">
            <v>0.66</v>
          </cell>
          <cell r="AY84">
            <v>0.2</v>
          </cell>
          <cell r="AZ84">
            <v>31000</v>
          </cell>
          <cell r="BA84">
            <v>22</v>
          </cell>
          <cell r="BB84">
            <v>4.4000000000000002E-4</v>
          </cell>
          <cell r="BC84">
            <v>22</v>
          </cell>
          <cell r="BD84">
            <v>1.8006220330659684E-2</v>
          </cell>
          <cell r="BE84">
            <v>128</v>
          </cell>
          <cell r="BF84">
            <v>13</v>
          </cell>
          <cell r="BG84">
            <v>8.2000000000000003E-2</v>
          </cell>
          <cell r="BH84">
            <v>3.3</v>
          </cell>
          <cell r="BI84">
            <v>16</v>
          </cell>
          <cell r="BJ84">
            <v>1190</v>
          </cell>
          <cell r="BK84" t="str">
            <v>17a</v>
          </cell>
          <cell r="BL84">
            <v>80.2</v>
          </cell>
          <cell r="BM84">
            <v>17</v>
          </cell>
          <cell r="BO84">
            <v>4.5835291743818875E-2</v>
          </cell>
          <cell r="BS84">
            <v>500</v>
          </cell>
          <cell r="BT84" t="str">
            <v>Ceiling (Medium)</v>
          </cell>
          <cell r="BV84">
            <v>1000</v>
          </cell>
          <cell r="BW84" t="str">
            <v>Ceiling (Medium)</v>
          </cell>
          <cell r="BY84">
            <v>3000</v>
          </cell>
          <cell r="BZ84" t="str">
            <v>Ceiling (Medium)</v>
          </cell>
          <cell r="CA84">
            <v>50000</v>
          </cell>
          <cell r="CB84" t="str">
            <v>0.005%</v>
          </cell>
        </row>
        <row r="85">
          <cell r="A85" t="str">
            <v>NICKEL</v>
          </cell>
          <cell r="B85" t="str">
            <v>7440-02-0</v>
          </cell>
          <cell r="C85">
            <v>42923</v>
          </cell>
          <cell r="D85">
            <v>0.02</v>
          </cell>
          <cell r="E85">
            <v>1</v>
          </cell>
          <cell r="F85">
            <v>0.02</v>
          </cell>
          <cell r="G85">
            <v>2</v>
          </cell>
          <cell r="H85">
            <v>1E-3</v>
          </cell>
          <cell r="I85">
            <v>3</v>
          </cell>
          <cell r="J85">
            <v>1E-3</v>
          </cell>
          <cell r="K85" t="str">
            <v>7c</v>
          </cell>
          <cell r="M85" t="str">
            <v>A</v>
          </cell>
          <cell r="N85">
            <v>1</v>
          </cell>
          <cell r="O85">
            <v>4.8000000000000001E-4</v>
          </cell>
          <cell r="P85">
            <v>1</v>
          </cell>
          <cell r="Q85">
            <v>1</v>
          </cell>
          <cell r="R85" t="str">
            <v>9e</v>
          </cell>
          <cell r="S85">
            <v>0.2</v>
          </cell>
          <cell r="T85" t="str">
            <v>9e</v>
          </cell>
          <cell r="U85">
            <v>1</v>
          </cell>
          <cell r="V85" t="str">
            <v>9e</v>
          </cell>
          <cell r="W85">
            <v>0.2</v>
          </cell>
          <cell r="X85" t="str">
            <v>9e</v>
          </cell>
          <cell r="Y85" t="str">
            <v>NC</v>
          </cell>
          <cell r="AA85" t="str">
            <v>NC</v>
          </cell>
          <cell r="AC85">
            <v>1</v>
          </cell>
          <cell r="AD85">
            <v>9</v>
          </cell>
          <cell r="AE85">
            <v>1</v>
          </cell>
          <cell r="AF85">
            <v>9</v>
          </cell>
          <cell r="AI85">
            <v>30</v>
          </cell>
          <cell r="AK85">
            <v>0.1</v>
          </cell>
          <cell r="AL85" t="str">
            <v>NC</v>
          </cell>
          <cell r="AM85">
            <v>20</v>
          </cell>
          <cell r="AO85">
            <v>0</v>
          </cell>
          <cell r="AU85">
            <v>0</v>
          </cell>
          <cell r="AW85">
            <v>0</v>
          </cell>
          <cell r="AX85">
            <v>3</v>
          </cell>
          <cell r="AY85">
            <v>15</v>
          </cell>
          <cell r="AZ85">
            <v>0</v>
          </cell>
          <cell r="BD85">
            <v>0</v>
          </cell>
          <cell r="BE85">
            <v>59</v>
          </cell>
          <cell r="BF85">
            <v>13</v>
          </cell>
          <cell r="BH85">
            <v>-0.56999999999999995</v>
          </cell>
          <cell r="BJ85">
            <v>0</v>
          </cell>
          <cell r="BO85">
            <v>2.0000000000000001E-4</v>
          </cell>
          <cell r="BP85">
            <v>0.38</v>
          </cell>
          <cell r="BS85">
            <v>1000</v>
          </cell>
          <cell r="BT85" t="str">
            <v>Ceiling (High)</v>
          </cell>
          <cell r="BV85">
            <v>3000</v>
          </cell>
          <cell r="BW85" t="str">
            <v>Ceiling (High)</v>
          </cell>
          <cell r="BY85">
            <v>5000</v>
          </cell>
          <cell r="BZ85" t="str">
            <v>Ceiling (High)</v>
          </cell>
          <cell r="CA85">
            <v>50000</v>
          </cell>
          <cell r="CB85" t="str">
            <v>0.005%</v>
          </cell>
          <cell r="CC85" t="str">
            <v>Y</v>
          </cell>
        </row>
        <row r="86">
          <cell r="A86" t="str">
            <v>PENTACHLOROPHENOL</v>
          </cell>
          <cell r="B86" t="str">
            <v>87-86-5</v>
          </cell>
          <cell r="C86">
            <v>42922</v>
          </cell>
          <cell r="D86">
            <v>5.0000000000000001E-3</v>
          </cell>
          <cell r="E86">
            <v>1</v>
          </cell>
          <cell r="F86">
            <v>5.0000000000000001E-3</v>
          </cell>
          <cell r="G86" t="str">
            <v>1d</v>
          </cell>
          <cell r="H86">
            <v>6.9999999999999994E-5</v>
          </cell>
          <cell r="I86">
            <v>3</v>
          </cell>
          <cell r="J86">
            <v>6.9999999999999994E-5</v>
          </cell>
          <cell r="K86" t="str">
            <v>7c</v>
          </cell>
          <cell r="L86">
            <v>0.4</v>
          </cell>
          <cell r="M86" t="str">
            <v>B2</v>
          </cell>
          <cell r="N86">
            <v>1</v>
          </cell>
          <cell r="O86">
            <v>1E-4</v>
          </cell>
          <cell r="P86" t="str">
            <v>7a</v>
          </cell>
          <cell r="Q86">
            <v>1</v>
          </cell>
          <cell r="R86" t="str">
            <v>9e</v>
          </cell>
          <cell r="S86">
            <v>0.3</v>
          </cell>
          <cell r="T86" t="str">
            <v>9c</v>
          </cell>
          <cell r="U86">
            <v>1</v>
          </cell>
          <cell r="V86" t="str">
            <v>9e</v>
          </cell>
          <cell r="W86">
            <v>0.3</v>
          </cell>
          <cell r="X86" t="str">
            <v>9c</v>
          </cell>
          <cell r="Y86">
            <v>1</v>
          </cell>
          <cell r="Z86" t="str">
            <v>9e</v>
          </cell>
          <cell r="AA86">
            <v>0.3</v>
          </cell>
          <cell r="AB86" t="str">
            <v>9c</v>
          </cell>
          <cell r="AC86">
            <v>1</v>
          </cell>
          <cell r="AD86">
            <v>9</v>
          </cell>
          <cell r="AE86">
            <v>1</v>
          </cell>
          <cell r="AF86">
            <v>9</v>
          </cell>
          <cell r="AG86">
            <v>1</v>
          </cell>
          <cell r="AH86">
            <v>9</v>
          </cell>
          <cell r="AK86">
            <v>0.9</v>
          </cell>
          <cell r="AL86">
            <v>0.9</v>
          </cell>
          <cell r="AO86">
            <v>0</v>
          </cell>
          <cell r="AR86">
            <v>587</v>
          </cell>
          <cell r="AS86">
            <v>13</v>
          </cell>
          <cell r="AU86">
            <v>0</v>
          </cell>
          <cell r="AW86">
            <v>0</v>
          </cell>
          <cell r="AX86">
            <v>3.3</v>
          </cell>
          <cell r="AY86">
            <v>15</v>
          </cell>
          <cell r="AZ86">
            <v>14000</v>
          </cell>
          <cell r="BA86">
            <v>22</v>
          </cell>
          <cell r="BB86">
            <v>2.4500000000000001E-8</v>
          </cell>
          <cell r="BC86">
            <v>22</v>
          </cell>
          <cell r="BD86">
            <v>1.0026190865935506E-6</v>
          </cell>
          <cell r="BE86">
            <v>266</v>
          </cell>
          <cell r="BF86">
            <v>13</v>
          </cell>
          <cell r="BG86">
            <v>1.1E-4</v>
          </cell>
          <cell r="BH86">
            <v>5.12</v>
          </cell>
          <cell r="BI86">
            <v>16</v>
          </cell>
          <cell r="BJ86">
            <v>410</v>
          </cell>
          <cell r="BK86" t="str">
            <v>17b</v>
          </cell>
          <cell r="BL86">
            <v>174</v>
          </cell>
          <cell r="BM86">
            <v>17</v>
          </cell>
          <cell r="BO86">
            <v>0.12291361730601695</v>
          </cell>
          <cell r="BS86">
            <v>1000</v>
          </cell>
          <cell r="BT86" t="str">
            <v>Ceiling (High)</v>
          </cell>
          <cell r="BV86">
            <v>3000</v>
          </cell>
          <cell r="BW86" t="str">
            <v>Ceiling (High)</v>
          </cell>
          <cell r="BY86">
            <v>5000</v>
          </cell>
          <cell r="BZ86" t="str">
            <v>Ceiling (High)</v>
          </cell>
          <cell r="CA86">
            <v>50000</v>
          </cell>
          <cell r="CB86" t="str">
            <v>0.005%</v>
          </cell>
        </row>
        <row r="87">
          <cell r="A87" t="str">
            <v>PER- AND POLYFLUORALKYL SUBSTANCES (PFAS)</v>
          </cell>
          <cell r="B87" t="str">
            <v>NA</v>
          </cell>
          <cell r="D87">
            <v>5.0000000000000004E-6</v>
          </cell>
          <cell r="E87" t="str">
            <v>5i</v>
          </cell>
          <cell r="F87">
            <v>5.0000000000000004E-6</v>
          </cell>
          <cell r="G87" t="str">
            <v>5i</v>
          </cell>
          <cell r="H87">
            <v>2.0000000000000002E-5</v>
          </cell>
          <cell r="I87" t="str">
            <v>7b</v>
          </cell>
          <cell r="J87">
            <v>2.0000000000000002E-5</v>
          </cell>
          <cell r="K87" t="str">
            <v>7c</v>
          </cell>
          <cell r="Q87">
            <v>1</v>
          </cell>
          <cell r="S87">
            <v>0.1</v>
          </cell>
          <cell r="U87">
            <v>1</v>
          </cell>
          <cell r="W87">
            <v>0.1</v>
          </cell>
          <cell r="Y87" t="str">
            <v>NC</v>
          </cell>
          <cell r="AA87" t="str">
            <v>NC</v>
          </cell>
          <cell r="AC87">
            <v>1</v>
          </cell>
          <cell r="AD87">
            <v>9</v>
          </cell>
          <cell r="AE87">
            <v>1</v>
          </cell>
          <cell r="AF87">
            <v>9</v>
          </cell>
          <cell r="AX87">
            <v>2.0000000000000001E-4</v>
          </cell>
          <cell r="BS87">
            <v>1000</v>
          </cell>
          <cell r="BT87" t="str">
            <v>Ceiling (High)</v>
          </cell>
          <cell r="BV87">
            <v>3000</v>
          </cell>
          <cell r="BW87" t="str">
            <v>Ceiling (High)</v>
          </cell>
          <cell r="BY87">
            <v>5000</v>
          </cell>
          <cell r="BZ87" t="str">
            <v>Ceiling (High)</v>
          </cell>
          <cell r="CA87">
            <v>50000</v>
          </cell>
          <cell r="CB87" t="str">
            <v>0.005%</v>
          </cell>
        </row>
        <row r="88">
          <cell r="A88" t="str">
            <v>PERFLUORODECANOIC ACID (PFDA)</v>
          </cell>
          <cell r="B88" t="str">
            <v>335-76-2</v>
          </cell>
          <cell r="C88">
            <v>43374</v>
          </cell>
          <cell r="D88">
            <v>5.0000000000000004E-6</v>
          </cell>
          <cell r="E88" t="str">
            <v>5i</v>
          </cell>
          <cell r="F88">
            <v>5.0000000000000004E-6</v>
          </cell>
          <cell r="G88" t="str">
            <v>5i</v>
          </cell>
          <cell r="H88">
            <v>2.0000000000000002E-5</v>
          </cell>
          <cell r="I88" t="str">
            <v>7b</v>
          </cell>
          <cell r="J88">
            <v>2.0000000000000002E-5</v>
          </cell>
          <cell r="K88" t="str">
            <v>7c</v>
          </cell>
          <cell r="Q88">
            <v>1</v>
          </cell>
          <cell r="S88">
            <v>0.1</v>
          </cell>
          <cell r="U88">
            <v>1</v>
          </cell>
          <cell r="W88">
            <v>0.1</v>
          </cell>
          <cell r="Y88" t="str">
            <v>NC</v>
          </cell>
          <cell r="AA88" t="str">
            <v>NC</v>
          </cell>
          <cell r="AC88">
            <v>1</v>
          </cell>
          <cell r="AD88">
            <v>9</v>
          </cell>
          <cell r="AE88">
            <v>1</v>
          </cell>
          <cell r="AF88">
            <v>9</v>
          </cell>
          <cell r="AI88">
            <v>2.9999999999999997E-4</v>
          </cell>
          <cell r="AM88">
            <v>2.9999999999999997E-4</v>
          </cell>
          <cell r="AX88">
            <v>2.0000000000000001E-4</v>
          </cell>
          <cell r="BE88">
            <v>514</v>
          </cell>
          <cell r="BS88">
            <v>1000</v>
          </cell>
          <cell r="BT88" t="str">
            <v>Ceiling (High)</v>
          </cell>
          <cell r="BV88">
            <v>3000</v>
          </cell>
          <cell r="BW88" t="str">
            <v>Ceiling (High)</v>
          </cell>
          <cell r="BY88">
            <v>5000</v>
          </cell>
          <cell r="BZ88" t="str">
            <v>Ceiling (High)</v>
          </cell>
          <cell r="CA88">
            <v>50000</v>
          </cell>
          <cell r="CB88" t="str">
            <v>0.005%</v>
          </cell>
        </row>
        <row r="89">
          <cell r="A89" t="str">
            <v>PERFLUOROHEPTANOIC ACID (PFHpA)</v>
          </cell>
          <cell r="B89" t="str">
            <v>375-85-9</v>
          </cell>
          <cell r="C89">
            <v>42922</v>
          </cell>
          <cell r="D89">
            <v>5.0000000000000004E-6</v>
          </cell>
          <cell r="E89" t="str">
            <v>5i</v>
          </cell>
          <cell r="F89">
            <v>5.0000000000000004E-6</v>
          </cell>
          <cell r="G89" t="str">
            <v>5i</v>
          </cell>
          <cell r="H89">
            <v>2.0000000000000002E-5</v>
          </cell>
          <cell r="I89" t="str">
            <v>7b</v>
          </cell>
          <cell r="J89">
            <v>2.0000000000000002E-5</v>
          </cell>
          <cell r="K89" t="str">
            <v>7c</v>
          </cell>
          <cell r="Q89">
            <v>1</v>
          </cell>
          <cell r="S89">
            <v>0.1</v>
          </cell>
          <cell r="U89">
            <v>1</v>
          </cell>
          <cell r="W89">
            <v>0.1</v>
          </cell>
          <cell r="Y89" t="str">
            <v>NC</v>
          </cell>
          <cell r="AA89" t="str">
            <v>NC</v>
          </cell>
          <cell r="AC89">
            <v>1</v>
          </cell>
          <cell r="AD89">
            <v>9</v>
          </cell>
          <cell r="AE89">
            <v>1</v>
          </cell>
          <cell r="AF89">
            <v>9</v>
          </cell>
          <cell r="AI89">
            <v>5.0000000000000001E-4</v>
          </cell>
          <cell r="AM89">
            <v>5.0000000000000001E-4</v>
          </cell>
          <cell r="AX89">
            <v>2.0000000000000001E-4</v>
          </cell>
          <cell r="AY89">
            <v>0</v>
          </cell>
          <cell r="BE89">
            <v>364</v>
          </cell>
          <cell r="BS89">
            <v>1000</v>
          </cell>
          <cell r="BT89" t="str">
            <v>Ceiling (High)</v>
          </cell>
          <cell r="BV89">
            <v>3000</v>
          </cell>
          <cell r="BW89" t="str">
            <v>Ceiling (High)</v>
          </cell>
          <cell r="BY89">
            <v>5000</v>
          </cell>
          <cell r="BZ89" t="str">
            <v>Ceiling (High)</v>
          </cell>
          <cell r="CA89">
            <v>50000</v>
          </cell>
          <cell r="CB89" t="str">
            <v>0.005%</v>
          </cell>
        </row>
        <row r="90">
          <cell r="A90" t="str">
            <v>PERFLUOROHEXANESULFONIC ACID (PFHxS)</v>
          </cell>
          <cell r="B90" t="str">
            <v>335-46-4</v>
          </cell>
          <cell r="C90">
            <v>42922</v>
          </cell>
          <cell r="D90">
            <v>5.0000000000000004E-6</v>
          </cell>
          <cell r="E90" t="str">
            <v>5i</v>
          </cell>
          <cell r="F90">
            <v>5.0000000000000004E-6</v>
          </cell>
          <cell r="G90" t="str">
            <v>5i</v>
          </cell>
          <cell r="H90">
            <v>2.0000000000000002E-5</v>
          </cell>
          <cell r="I90" t="str">
            <v>7b</v>
          </cell>
          <cell r="J90">
            <v>2.0000000000000002E-5</v>
          </cell>
          <cell r="K90" t="str">
            <v>7c</v>
          </cell>
          <cell r="Q90">
            <v>1</v>
          </cell>
          <cell r="S90">
            <v>0.1</v>
          </cell>
          <cell r="U90">
            <v>1</v>
          </cell>
          <cell r="W90">
            <v>0.1</v>
          </cell>
          <cell r="Y90" t="str">
            <v>NC</v>
          </cell>
          <cell r="AA90" t="str">
            <v>NC</v>
          </cell>
          <cell r="AC90">
            <v>1</v>
          </cell>
          <cell r="AD90">
            <v>9</v>
          </cell>
          <cell r="AE90">
            <v>1</v>
          </cell>
          <cell r="AF90">
            <v>9</v>
          </cell>
          <cell r="AI90">
            <v>2.9999999999999997E-4</v>
          </cell>
          <cell r="AM90">
            <v>2.9999999999999997E-4</v>
          </cell>
          <cell r="AX90">
            <v>2.0000000000000001E-4</v>
          </cell>
          <cell r="AY90">
            <v>0</v>
          </cell>
          <cell r="BE90">
            <v>400</v>
          </cell>
          <cell r="BS90">
            <v>1000</v>
          </cell>
          <cell r="BT90" t="str">
            <v>Ceiling (High)</v>
          </cell>
          <cell r="BV90">
            <v>3000</v>
          </cell>
          <cell r="BW90" t="str">
            <v>Ceiling (High)</v>
          </cell>
          <cell r="BY90">
            <v>5000</v>
          </cell>
          <cell r="BZ90" t="str">
            <v>Ceiling (High)</v>
          </cell>
          <cell r="CA90">
            <v>50000</v>
          </cell>
          <cell r="CB90" t="str">
            <v>0.005%</v>
          </cell>
        </row>
        <row r="91">
          <cell r="A91" t="str">
            <v>PERFLUOROOCTANOIC ACID (PFOA)</v>
          </cell>
          <cell r="B91" t="str">
            <v>335-67-1</v>
          </cell>
          <cell r="C91">
            <v>42922</v>
          </cell>
          <cell r="D91">
            <v>5.0000000000000004E-6</v>
          </cell>
          <cell r="E91" t="str">
            <v>5i</v>
          </cell>
          <cell r="F91">
            <v>5.0000000000000004E-6</v>
          </cell>
          <cell r="G91" t="str">
            <v>5i</v>
          </cell>
          <cell r="H91">
            <v>2.0000000000000002E-5</v>
          </cell>
          <cell r="I91" t="str">
            <v>7b</v>
          </cell>
          <cell r="J91">
            <v>2.0000000000000002E-5</v>
          </cell>
          <cell r="K91" t="str">
            <v>7c</v>
          </cell>
          <cell r="Q91">
            <v>1</v>
          </cell>
          <cell r="S91">
            <v>0.1</v>
          </cell>
          <cell r="U91">
            <v>1</v>
          </cell>
          <cell r="W91">
            <v>0.1</v>
          </cell>
          <cell r="Y91" t="str">
            <v>NC</v>
          </cell>
          <cell r="AA91" t="str">
            <v>NC</v>
          </cell>
          <cell r="AC91">
            <v>1</v>
          </cell>
          <cell r="AD91">
            <v>9</v>
          </cell>
          <cell r="AE91">
            <v>1</v>
          </cell>
          <cell r="AF91">
            <v>9</v>
          </cell>
          <cell r="AI91">
            <v>7.2000000000000005E-4</v>
          </cell>
          <cell r="AM91">
            <v>7.2000000000000005E-4</v>
          </cell>
          <cell r="AX91">
            <v>2.0000000000000001E-4</v>
          </cell>
          <cell r="AY91">
            <v>0</v>
          </cell>
          <cell r="BE91">
            <v>414</v>
          </cell>
          <cell r="BS91">
            <v>1000</v>
          </cell>
          <cell r="BT91" t="str">
            <v>Ceiling (High)</v>
          </cell>
          <cell r="BV91">
            <v>3000</v>
          </cell>
          <cell r="BW91" t="str">
            <v>Ceiling (High)</v>
          </cell>
          <cell r="BY91">
            <v>5000</v>
          </cell>
          <cell r="BZ91" t="str">
            <v>Ceiling (High)</v>
          </cell>
          <cell r="CA91">
            <v>50000</v>
          </cell>
          <cell r="CB91" t="str">
            <v>0.005%</v>
          </cell>
        </row>
        <row r="92">
          <cell r="A92" t="str">
            <v>PERFLUOROOCTANESULFONIC ACID (PFOS)</v>
          </cell>
          <cell r="B92" t="str">
            <v>1763-23-1</v>
          </cell>
          <cell r="C92">
            <v>42922</v>
          </cell>
          <cell r="D92">
            <v>5.0000000000000004E-6</v>
          </cell>
          <cell r="E92" t="str">
            <v>5i</v>
          </cell>
          <cell r="F92">
            <v>5.0000000000000004E-6</v>
          </cell>
          <cell r="G92" t="str">
            <v>5i</v>
          </cell>
          <cell r="H92">
            <v>2.0000000000000002E-5</v>
          </cell>
          <cell r="I92" t="str">
            <v>7b</v>
          </cell>
          <cell r="J92">
            <v>2.0000000000000002E-5</v>
          </cell>
          <cell r="K92" t="str">
            <v>7c</v>
          </cell>
          <cell r="Q92">
            <v>1</v>
          </cell>
          <cell r="S92">
            <v>0.1</v>
          </cell>
          <cell r="U92">
            <v>1</v>
          </cell>
          <cell r="W92">
            <v>0.1</v>
          </cell>
          <cell r="Y92" t="str">
            <v>NC</v>
          </cell>
          <cell r="AA92" t="str">
            <v>NC</v>
          </cell>
          <cell r="AC92">
            <v>1</v>
          </cell>
          <cell r="AD92">
            <v>9</v>
          </cell>
          <cell r="AE92">
            <v>1</v>
          </cell>
          <cell r="AF92">
            <v>9</v>
          </cell>
          <cell r="AI92">
            <v>2E-3</v>
          </cell>
          <cell r="AM92">
            <v>2E-3</v>
          </cell>
          <cell r="AX92">
            <v>2.0000000000000001E-4</v>
          </cell>
          <cell r="AY92">
            <v>0</v>
          </cell>
          <cell r="BE92">
            <v>500</v>
          </cell>
          <cell r="BS92">
            <v>1000</v>
          </cell>
          <cell r="BT92" t="str">
            <v>Ceiling (High)</v>
          </cell>
          <cell r="BV92">
            <v>3000</v>
          </cell>
          <cell r="BW92" t="str">
            <v>Ceiling (High)</v>
          </cell>
          <cell r="BY92">
            <v>5000</v>
          </cell>
          <cell r="BZ92" t="str">
            <v>Ceiling (High)</v>
          </cell>
          <cell r="CA92">
            <v>50000</v>
          </cell>
          <cell r="CB92" t="str">
            <v>0.005%</v>
          </cell>
        </row>
        <row r="93">
          <cell r="A93" t="str">
            <v>PERFLUORONONANOIC ACID (PFNA)</v>
          </cell>
          <cell r="B93" t="str">
            <v>375-95-1</v>
          </cell>
          <cell r="C93">
            <v>42922</v>
          </cell>
          <cell r="D93">
            <v>5.0000000000000004E-6</v>
          </cell>
          <cell r="E93" t="str">
            <v>5i</v>
          </cell>
          <cell r="F93">
            <v>5.0000000000000004E-6</v>
          </cell>
          <cell r="G93" t="str">
            <v>5i</v>
          </cell>
          <cell r="H93">
            <v>2.0000000000000002E-5</v>
          </cell>
          <cell r="I93" t="str">
            <v>7b</v>
          </cell>
          <cell r="J93">
            <v>2.0000000000000002E-5</v>
          </cell>
          <cell r="K93" t="str">
            <v>7c</v>
          </cell>
          <cell r="Q93">
            <v>1</v>
          </cell>
          <cell r="S93">
            <v>0.1</v>
          </cell>
          <cell r="U93">
            <v>1</v>
          </cell>
          <cell r="W93">
            <v>0.1</v>
          </cell>
          <cell r="Y93" t="str">
            <v>NC</v>
          </cell>
          <cell r="AA93" t="str">
            <v>NC</v>
          </cell>
          <cell r="AC93">
            <v>1</v>
          </cell>
          <cell r="AD93">
            <v>9</v>
          </cell>
          <cell r="AE93">
            <v>1</v>
          </cell>
          <cell r="AF93">
            <v>9</v>
          </cell>
          <cell r="AI93">
            <v>3.2000000000000003E-4</v>
          </cell>
          <cell r="AM93">
            <v>3.2000000000000003E-4</v>
          </cell>
          <cell r="AX93">
            <v>2.0000000000000001E-4</v>
          </cell>
          <cell r="AY93">
            <v>0</v>
          </cell>
          <cell r="BE93">
            <v>464</v>
          </cell>
          <cell r="BS93">
            <v>1000</v>
          </cell>
          <cell r="BT93" t="str">
            <v>Ceiling (High)</v>
          </cell>
          <cell r="BV93">
            <v>3000</v>
          </cell>
          <cell r="BW93" t="str">
            <v>Ceiling (High)</v>
          </cell>
          <cell r="BY93">
            <v>5000</v>
          </cell>
          <cell r="BZ93" t="str">
            <v>Ceiling (High)</v>
          </cell>
          <cell r="CA93">
            <v>50000</v>
          </cell>
          <cell r="CB93" t="str">
            <v>0.005%</v>
          </cell>
        </row>
        <row r="94">
          <cell r="A94" t="str">
            <v>PERCHLORATE</v>
          </cell>
          <cell r="B94" t="str">
            <v>NA</v>
          </cell>
          <cell r="C94">
            <v>42922</v>
          </cell>
          <cell r="D94">
            <v>6.9999999999999994E-5</v>
          </cell>
          <cell r="E94" t="str">
            <v>5e</v>
          </cell>
          <cell r="F94">
            <v>6.9999999999999994E-5</v>
          </cell>
          <cell r="G94" t="str">
            <v>5e</v>
          </cell>
          <cell r="H94">
            <v>2.0000000000000001E-4</v>
          </cell>
          <cell r="I94" t="str">
            <v>7b</v>
          </cell>
          <cell r="J94">
            <v>2.0000000000000001E-4</v>
          </cell>
          <cell r="K94" t="str">
            <v>7c</v>
          </cell>
          <cell r="Q94">
            <v>1</v>
          </cell>
          <cell r="R94">
            <v>9</v>
          </cell>
          <cell r="S94">
            <v>0.1</v>
          </cell>
          <cell r="T94">
            <v>9</v>
          </cell>
          <cell r="U94">
            <v>1</v>
          </cell>
          <cell r="V94">
            <v>9</v>
          </cell>
          <cell r="W94">
            <v>0.1</v>
          </cell>
          <cell r="X94">
            <v>9</v>
          </cell>
          <cell r="Y94" t="str">
            <v>NC</v>
          </cell>
          <cell r="AA94" t="str">
            <v>NC</v>
          </cell>
          <cell r="AC94">
            <v>1</v>
          </cell>
          <cell r="AD94">
            <v>9</v>
          </cell>
          <cell r="AE94">
            <v>1</v>
          </cell>
          <cell r="AF94">
            <v>9</v>
          </cell>
          <cell r="AK94">
            <v>1</v>
          </cell>
          <cell r="AO94">
            <v>0</v>
          </cell>
          <cell r="AX94">
            <v>0.1</v>
          </cell>
          <cell r="AY94">
            <v>1</v>
          </cell>
          <cell r="AZ94">
            <v>0</v>
          </cell>
          <cell r="BD94">
            <v>0</v>
          </cell>
          <cell r="BO94">
            <v>0</v>
          </cell>
          <cell r="BS94">
            <v>1000</v>
          </cell>
          <cell r="BT94" t="str">
            <v>Ceiling (High)</v>
          </cell>
          <cell r="BV94">
            <v>3000</v>
          </cell>
          <cell r="BW94" t="str">
            <v>Ceiling (High)</v>
          </cell>
          <cell r="BY94">
            <v>5000</v>
          </cell>
          <cell r="BZ94" t="str">
            <v>Ceiling (High)</v>
          </cell>
          <cell r="CA94">
            <v>50000</v>
          </cell>
          <cell r="CB94" t="str">
            <v>0.005%</v>
          </cell>
        </row>
        <row r="95">
          <cell r="A95" t="str">
            <v>PETROLEUM HYDROCARBONS</v>
          </cell>
          <cell r="B95" t="str">
            <v>NA</v>
          </cell>
          <cell r="Q95">
            <v>1</v>
          </cell>
          <cell r="AC95">
            <v>1</v>
          </cell>
          <cell r="AD95">
            <v>9</v>
          </cell>
          <cell r="AE95">
            <v>1</v>
          </cell>
          <cell r="AF95">
            <v>9</v>
          </cell>
          <cell r="AO95">
            <v>0</v>
          </cell>
          <cell r="AW95">
            <v>0</v>
          </cell>
          <cell r="AX95">
            <v>0</v>
          </cell>
          <cell r="AY95">
            <v>0</v>
          </cell>
          <cell r="AZ95">
            <v>0</v>
          </cell>
          <cell r="BD95">
            <v>0</v>
          </cell>
        </row>
        <row r="96">
          <cell r="A96" t="str">
            <v>PETROLEUM HYDROCARBONS Aliphatics C5 to C8</v>
          </cell>
          <cell r="B96" t="str">
            <v>NA</v>
          </cell>
          <cell r="D96">
            <v>0.04</v>
          </cell>
          <cell r="E96" t="str">
            <v>5c</v>
          </cell>
          <cell r="F96">
            <v>0.4</v>
          </cell>
          <cell r="G96" t="str">
            <v>5c</v>
          </cell>
          <cell r="H96">
            <v>0.2</v>
          </cell>
          <cell r="I96" t="str">
            <v>5c</v>
          </cell>
          <cell r="J96">
            <v>0.2</v>
          </cell>
          <cell r="K96" t="str">
            <v>7c</v>
          </cell>
          <cell r="Q96">
            <v>1</v>
          </cell>
          <cell r="R96" t="str">
            <v>9e</v>
          </cell>
          <cell r="S96">
            <v>0.2</v>
          </cell>
          <cell r="T96" t="str">
            <v>9e</v>
          </cell>
          <cell r="U96">
            <v>1</v>
          </cell>
          <cell r="V96" t="str">
            <v>9e</v>
          </cell>
          <cell r="W96">
            <v>0.2</v>
          </cell>
          <cell r="X96" t="str">
            <v>9e</v>
          </cell>
          <cell r="Y96" t="str">
            <v>NC</v>
          </cell>
          <cell r="AA96" t="str">
            <v>NC</v>
          </cell>
          <cell r="AC96">
            <v>1</v>
          </cell>
          <cell r="AD96">
            <v>9</v>
          </cell>
          <cell r="AE96">
            <v>1</v>
          </cell>
          <cell r="AF96">
            <v>9</v>
          </cell>
          <cell r="AK96">
            <v>1</v>
          </cell>
          <cell r="AL96" t="str">
            <v>NC</v>
          </cell>
          <cell r="AO96">
            <v>330</v>
          </cell>
          <cell r="AU96">
            <v>0</v>
          </cell>
          <cell r="AW96">
            <v>0</v>
          </cell>
          <cell r="AX96">
            <v>0</v>
          </cell>
          <cell r="AY96">
            <v>0</v>
          </cell>
          <cell r="AZ96">
            <v>11000</v>
          </cell>
          <cell r="BA96" t="str">
            <v>18b</v>
          </cell>
          <cell r="BB96">
            <v>1.296</v>
          </cell>
          <cell r="BC96" t="str">
            <v>18b</v>
          </cell>
          <cell r="BD96">
            <v>54</v>
          </cell>
          <cell r="BE96">
            <v>93</v>
          </cell>
          <cell r="BG96">
            <v>76</v>
          </cell>
          <cell r="BH96">
            <v>3.85</v>
          </cell>
          <cell r="BI96" t="str">
            <v>18a</v>
          </cell>
          <cell r="BJ96">
            <v>2265</v>
          </cell>
          <cell r="BO96">
            <v>0.16603513514585116</v>
          </cell>
          <cell r="BS96">
            <v>100</v>
          </cell>
          <cell r="BT96" t="str">
            <v>Ceiling (Low)</v>
          </cell>
          <cell r="BV96">
            <v>500</v>
          </cell>
          <cell r="BW96" t="str">
            <v>Ceiling (Low)</v>
          </cell>
          <cell r="BY96">
            <v>500</v>
          </cell>
          <cell r="BZ96" t="str">
            <v>High Volatility</v>
          </cell>
          <cell r="CA96">
            <v>50000</v>
          </cell>
          <cell r="CB96" t="str">
            <v>0.005%</v>
          </cell>
        </row>
        <row r="97">
          <cell r="A97" t="str">
            <v>PETROLEUM HYDROCARBONS Aliphatics C9 to C12</v>
          </cell>
          <cell r="B97" t="str">
            <v>NA</v>
          </cell>
          <cell r="D97">
            <v>0.1</v>
          </cell>
          <cell r="E97" t="str">
            <v>5c</v>
          </cell>
          <cell r="F97">
            <v>1</v>
          </cell>
          <cell r="G97" t="str">
            <v>5c</v>
          </cell>
          <cell r="H97">
            <v>0.2</v>
          </cell>
          <cell r="I97" t="str">
            <v>5c</v>
          </cell>
          <cell r="J97">
            <v>0.6</v>
          </cell>
          <cell r="K97" t="str">
            <v>5c</v>
          </cell>
          <cell r="Q97">
            <v>1</v>
          </cell>
          <cell r="R97" t="str">
            <v>9e</v>
          </cell>
          <cell r="S97">
            <v>0.2</v>
          </cell>
          <cell r="T97" t="str">
            <v>9e</v>
          </cell>
          <cell r="U97">
            <v>1</v>
          </cell>
          <cell r="V97" t="str">
            <v>9e</v>
          </cell>
          <cell r="W97">
            <v>0.2</v>
          </cell>
          <cell r="X97" t="str">
            <v>9e</v>
          </cell>
          <cell r="Y97" t="str">
            <v>NC</v>
          </cell>
          <cell r="AA97" t="str">
            <v>NC</v>
          </cell>
          <cell r="AC97">
            <v>1</v>
          </cell>
          <cell r="AD97">
            <v>9</v>
          </cell>
          <cell r="AE97">
            <v>1</v>
          </cell>
          <cell r="AF97">
            <v>9</v>
          </cell>
          <cell r="AK97">
            <v>1</v>
          </cell>
          <cell r="AL97" t="str">
            <v>NC</v>
          </cell>
          <cell r="AO97">
            <v>220</v>
          </cell>
          <cell r="AU97">
            <v>0</v>
          </cell>
          <cell r="AW97">
            <v>0</v>
          </cell>
          <cell r="AX97">
            <v>0</v>
          </cell>
          <cell r="AY97">
            <v>0</v>
          </cell>
          <cell r="AZ97">
            <v>70</v>
          </cell>
          <cell r="BA97" t="str">
            <v>18b</v>
          </cell>
          <cell r="BB97">
            <v>1.56</v>
          </cell>
          <cell r="BC97" t="str">
            <v>18b</v>
          </cell>
          <cell r="BD97">
            <v>65</v>
          </cell>
          <cell r="BE97">
            <v>149</v>
          </cell>
          <cell r="BG97">
            <v>0.66120000000000001</v>
          </cell>
          <cell r="BH97">
            <v>5.52</v>
          </cell>
          <cell r="BI97" t="str">
            <v>18a</v>
          </cell>
          <cell r="BJ97">
            <v>150000</v>
          </cell>
          <cell r="BO97">
            <v>1.020469431942199</v>
          </cell>
          <cell r="BS97">
            <v>1000</v>
          </cell>
          <cell r="BT97" t="str">
            <v>Ceiling (High)</v>
          </cell>
          <cell r="BV97">
            <v>3000</v>
          </cell>
          <cell r="BW97" t="str">
            <v>Ceiling (High)</v>
          </cell>
          <cell r="BY97">
            <v>5000</v>
          </cell>
          <cell r="BZ97" t="str">
            <v>Ceiling (High)</v>
          </cell>
          <cell r="CA97">
            <v>50000</v>
          </cell>
          <cell r="CB97" t="str">
            <v>0.005%</v>
          </cell>
        </row>
        <row r="98">
          <cell r="A98" t="str">
            <v>PETROLEUM HYDROCARBONS Aliphatics C9 to C18</v>
          </cell>
          <cell r="B98" t="str">
            <v>NA</v>
          </cell>
          <cell r="D98">
            <v>0.1</v>
          </cell>
          <cell r="E98" t="str">
            <v>5c</v>
          </cell>
          <cell r="F98">
            <v>1</v>
          </cell>
          <cell r="G98" t="str">
            <v>5c</v>
          </cell>
          <cell r="H98">
            <v>0.2</v>
          </cell>
          <cell r="I98" t="str">
            <v>5c</v>
          </cell>
          <cell r="J98">
            <v>0.6</v>
          </cell>
          <cell r="K98" t="str">
            <v>5c</v>
          </cell>
          <cell r="Q98">
            <v>1</v>
          </cell>
          <cell r="R98" t="str">
            <v>9e</v>
          </cell>
          <cell r="S98">
            <v>0.2</v>
          </cell>
          <cell r="T98" t="str">
            <v>9e</v>
          </cell>
          <cell r="U98">
            <v>1</v>
          </cell>
          <cell r="V98" t="str">
            <v>9e</v>
          </cell>
          <cell r="W98">
            <v>0.2</v>
          </cell>
          <cell r="X98" t="str">
            <v>9e</v>
          </cell>
          <cell r="Y98" t="str">
            <v>NC</v>
          </cell>
          <cell r="AA98" t="str">
            <v>NC</v>
          </cell>
          <cell r="AC98">
            <v>1</v>
          </cell>
          <cell r="AD98">
            <v>9</v>
          </cell>
          <cell r="AE98">
            <v>1</v>
          </cell>
          <cell r="AF98">
            <v>9</v>
          </cell>
          <cell r="AK98">
            <v>1</v>
          </cell>
          <cell r="AL98" t="str">
            <v>NC</v>
          </cell>
          <cell r="AO98">
            <v>100</v>
          </cell>
          <cell r="AU98">
            <v>0</v>
          </cell>
          <cell r="AW98">
            <v>0</v>
          </cell>
          <cell r="AX98">
            <v>0</v>
          </cell>
          <cell r="AY98">
            <v>0</v>
          </cell>
          <cell r="AZ98">
            <v>10</v>
          </cell>
          <cell r="BA98" t="str">
            <v>18b</v>
          </cell>
          <cell r="BB98">
            <v>1.6560000000000001</v>
          </cell>
          <cell r="BC98" t="str">
            <v>18b</v>
          </cell>
          <cell r="BD98">
            <v>69</v>
          </cell>
          <cell r="BE98">
            <v>170</v>
          </cell>
          <cell r="BG98">
            <v>0.106</v>
          </cell>
          <cell r="BH98">
            <v>5.94</v>
          </cell>
          <cell r="BI98" t="str">
            <v>18a</v>
          </cell>
          <cell r="BJ98">
            <v>680000</v>
          </cell>
          <cell r="BO98">
            <v>1.4736691770366908</v>
          </cell>
          <cell r="BS98">
            <v>1000</v>
          </cell>
          <cell r="BT98" t="str">
            <v>Ceiling (High)</v>
          </cell>
          <cell r="BV98">
            <v>3000</v>
          </cell>
          <cell r="BW98" t="str">
            <v>Ceiling (High)</v>
          </cell>
          <cell r="BY98">
            <v>5000</v>
          </cell>
          <cell r="BZ98" t="str">
            <v>Ceiling (High)</v>
          </cell>
          <cell r="CA98">
            <v>50000</v>
          </cell>
          <cell r="CB98" t="str">
            <v>0.005%</v>
          </cell>
        </row>
        <row r="99">
          <cell r="A99" t="str">
            <v>PETROLEUM HYDROCARBONS Aliphatics C19 to C36</v>
          </cell>
          <cell r="B99" t="str">
            <v>NA</v>
          </cell>
          <cell r="D99">
            <v>2</v>
          </cell>
          <cell r="E99" t="str">
            <v>5c</v>
          </cell>
          <cell r="F99">
            <v>6</v>
          </cell>
          <cell r="G99" t="str">
            <v>5c</v>
          </cell>
          <cell r="Q99">
            <v>1</v>
          </cell>
          <cell r="R99" t="str">
            <v>9e</v>
          </cell>
          <cell r="S99">
            <v>0.2</v>
          </cell>
          <cell r="T99" t="str">
            <v>9e</v>
          </cell>
          <cell r="U99">
            <v>1</v>
          </cell>
          <cell r="V99" t="str">
            <v>9e</v>
          </cell>
          <cell r="W99">
            <v>0.2</v>
          </cell>
          <cell r="X99" t="str">
            <v>9e</v>
          </cell>
          <cell r="Y99" t="str">
            <v>NC</v>
          </cell>
          <cell r="AA99" t="str">
            <v>NC</v>
          </cell>
          <cell r="AC99">
            <v>1</v>
          </cell>
          <cell r="AD99">
            <v>9</v>
          </cell>
          <cell r="AE99">
            <v>1</v>
          </cell>
          <cell r="AF99">
            <v>9</v>
          </cell>
          <cell r="AK99">
            <v>1</v>
          </cell>
          <cell r="AL99" t="str">
            <v>NC</v>
          </cell>
          <cell r="AO99">
            <v>0</v>
          </cell>
          <cell r="AW99">
            <v>0</v>
          </cell>
          <cell r="AX99">
            <v>0</v>
          </cell>
          <cell r="AY99">
            <v>0</v>
          </cell>
          <cell r="AZ99">
            <v>0</v>
          </cell>
          <cell r="BD99">
            <v>0</v>
          </cell>
          <cell r="BJ99">
            <v>0</v>
          </cell>
          <cell r="BO99">
            <v>0</v>
          </cell>
          <cell r="BS99">
            <v>3000</v>
          </cell>
          <cell r="BT99" t="str">
            <v>Ceiling (High)</v>
          </cell>
          <cell r="BV99">
            <v>5000</v>
          </cell>
          <cell r="BW99" t="str">
            <v>Ceiling (High)</v>
          </cell>
          <cell r="BY99">
            <v>5000</v>
          </cell>
          <cell r="BZ99" t="str">
            <v>Ceiling (High)</v>
          </cell>
          <cell r="CA99">
            <v>50000</v>
          </cell>
          <cell r="CB99" t="str">
            <v>0.005%</v>
          </cell>
        </row>
        <row r="100">
          <cell r="A100" t="str">
            <v>PETROLEUM HYDROCARBONS Aromatics C9 to C10</v>
          </cell>
          <cell r="B100" t="str">
            <v>NA</v>
          </cell>
          <cell r="D100">
            <v>0.03</v>
          </cell>
          <cell r="E100" t="str">
            <v>5c</v>
          </cell>
          <cell r="F100">
            <v>0.3</v>
          </cell>
          <cell r="G100" t="str">
            <v>5c</v>
          </cell>
          <cell r="H100">
            <v>0.05</v>
          </cell>
          <cell r="I100" t="str">
            <v>5c</v>
          </cell>
          <cell r="J100">
            <v>0.5</v>
          </cell>
          <cell r="K100" t="str">
            <v>5c</v>
          </cell>
          <cell r="Q100">
            <v>1</v>
          </cell>
          <cell r="R100" t="str">
            <v>9e</v>
          </cell>
          <cell r="S100">
            <v>0.2</v>
          </cell>
          <cell r="T100" t="str">
            <v>9e</v>
          </cell>
          <cell r="U100">
            <v>1</v>
          </cell>
          <cell r="V100" t="str">
            <v>9e</v>
          </cell>
          <cell r="W100">
            <v>0.2</v>
          </cell>
          <cell r="X100" t="str">
            <v>9e</v>
          </cell>
          <cell r="Y100" t="str">
            <v>NC</v>
          </cell>
          <cell r="AA100" t="str">
            <v>NC</v>
          </cell>
          <cell r="AC100">
            <v>1</v>
          </cell>
          <cell r="AD100">
            <v>9</v>
          </cell>
          <cell r="AE100">
            <v>1</v>
          </cell>
          <cell r="AF100">
            <v>9</v>
          </cell>
          <cell r="AK100">
            <v>1</v>
          </cell>
          <cell r="AL100" t="str">
            <v>NC</v>
          </cell>
          <cell r="AO100">
            <v>44</v>
          </cell>
          <cell r="AU100">
            <v>0</v>
          </cell>
          <cell r="AW100">
            <v>0</v>
          </cell>
          <cell r="AX100">
            <v>0</v>
          </cell>
          <cell r="AY100">
            <v>0</v>
          </cell>
          <cell r="AZ100">
            <v>51000</v>
          </cell>
          <cell r="BA100" t="str">
            <v>18b</v>
          </cell>
          <cell r="BB100">
            <v>7.92E-3</v>
          </cell>
          <cell r="BC100" t="str">
            <v>18b</v>
          </cell>
          <cell r="BD100">
            <v>0.33</v>
          </cell>
          <cell r="BE100">
            <v>120</v>
          </cell>
          <cell r="BG100">
            <v>2.2040000000000002</v>
          </cell>
          <cell r="BH100">
            <v>3.93</v>
          </cell>
          <cell r="BI100" t="str">
            <v>18a</v>
          </cell>
          <cell r="BJ100">
            <v>1778</v>
          </cell>
          <cell r="BO100">
            <v>0.13237317937881946</v>
          </cell>
          <cell r="BS100">
            <v>100</v>
          </cell>
          <cell r="BT100" t="str">
            <v>Ceiling (Low)</v>
          </cell>
          <cell r="BV100">
            <v>500</v>
          </cell>
          <cell r="BW100" t="str">
            <v>Ceiling (Low)</v>
          </cell>
          <cell r="BY100">
            <v>500</v>
          </cell>
          <cell r="BZ100" t="str">
            <v>High Volatility</v>
          </cell>
          <cell r="CA100">
            <v>50000</v>
          </cell>
          <cell r="CB100" t="str">
            <v>0.005%</v>
          </cell>
        </row>
        <row r="101">
          <cell r="A101" t="str">
            <v>PETROLEUM HYDROCARBONS Aromatics C11 to C22</v>
          </cell>
          <cell r="B101" t="str">
            <v>NA</v>
          </cell>
          <cell r="D101">
            <v>0.03</v>
          </cell>
          <cell r="E101" t="str">
            <v>5c</v>
          </cell>
          <cell r="F101">
            <v>0.3</v>
          </cell>
          <cell r="G101" t="str">
            <v>5c</v>
          </cell>
          <cell r="H101">
            <v>0.05</v>
          </cell>
          <cell r="I101" t="str">
            <v>5c</v>
          </cell>
          <cell r="J101">
            <v>0.5</v>
          </cell>
          <cell r="K101" t="str">
            <v>5c</v>
          </cell>
          <cell r="Q101">
            <v>0.3</v>
          </cell>
          <cell r="R101" t="str">
            <v>9d</v>
          </cell>
          <cell r="S101">
            <v>0.1</v>
          </cell>
          <cell r="T101" t="str">
            <v>9d</v>
          </cell>
          <cell r="U101">
            <v>0.3</v>
          </cell>
          <cell r="V101" t="str">
            <v>9d</v>
          </cell>
          <cell r="W101">
            <v>0.1</v>
          </cell>
          <cell r="X101" t="str">
            <v>9d</v>
          </cell>
          <cell r="Y101" t="str">
            <v>NC</v>
          </cell>
          <cell r="AA101" t="str">
            <v>NC</v>
          </cell>
          <cell r="AC101">
            <v>1</v>
          </cell>
          <cell r="AD101">
            <v>9</v>
          </cell>
          <cell r="AE101">
            <v>1</v>
          </cell>
          <cell r="AF101">
            <v>9</v>
          </cell>
          <cell r="AK101">
            <v>0.92</v>
          </cell>
          <cell r="AL101" t="str">
            <v>NC</v>
          </cell>
          <cell r="AO101">
            <v>50</v>
          </cell>
          <cell r="AU101">
            <v>0</v>
          </cell>
          <cell r="AW101">
            <v>0</v>
          </cell>
          <cell r="AX101">
            <v>0</v>
          </cell>
          <cell r="AY101">
            <v>0</v>
          </cell>
          <cell r="AZ101">
            <v>5800</v>
          </cell>
          <cell r="BA101" t="str">
            <v>18b</v>
          </cell>
          <cell r="BB101">
            <v>7.1999999999999994E-4</v>
          </cell>
          <cell r="BC101" t="str">
            <v>18b</v>
          </cell>
          <cell r="BD101">
            <v>0.03</v>
          </cell>
          <cell r="BE101">
            <v>150</v>
          </cell>
          <cell r="BG101">
            <v>2.4E-2</v>
          </cell>
          <cell r="BH101">
            <v>5.09</v>
          </cell>
          <cell r="BI101" t="str">
            <v>18a</v>
          </cell>
          <cell r="BJ101">
            <v>5012</v>
          </cell>
          <cell r="BO101">
            <v>0.52408291256402928</v>
          </cell>
          <cell r="BS101">
            <v>1000</v>
          </cell>
          <cell r="BT101" t="str">
            <v>Ceiling (High)</v>
          </cell>
          <cell r="BV101">
            <v>3000</v>
          </cell>
          <cell r="BW101" t="str">
            <v>Ceiling (High)</v>
          </cell>
          <cell r="BY101">
            <v>5000</v>
          </cell>
          <cell r="BZ101" t="str">
            <v>Ceiling (High)</v>
          </cell>
          <cell r="CA101">
            <v>50000</v>
          </cell>
          <cell r="CB101" t="str">
            <v>0.005%</v>
          </cell>
        </row>
        <row r="102">
          <cell r="A102" t="str">
            <v>PHENANTHRENE</v>
          </cell>
          <cell r="B102" t="str">
            <v>85-01-8</v>
          </cell>
          <cell r="C102">
            <v>42922</v>
          </cell>
          <cell r="D102">
            <v>0.03</v>
          </cell>
          <cell r="E102" t="str">
            <v>5d</v>
          </cell>
          <cell r="F102">
            <v>0.3</v>
          </cell>
          <cell r="G102" t="str">
            <v>5d</v>
          </cell>
          <cell r="H102">
            <v>0.05</v>
          </cell>
          <cell r="I102" t="str">
            <v>5d</v>
          </cell>
          <cell r="J102">
            <v>0.5</v>
          </cell>
          <cell r="K102" t="str">
            <v>5d</v>
          </cell>
          <cell r="M102" t="str">
            <v>D</v>
          </cell>
          <cell r="N102">
            <v>1</v>
          </cell>
          <cell r="Q102">
            <v>0.3</v>
          </cell>
          <cell r="R102" t="str">
            <v>9d</v>
          </cell>
          <cell r="S102">
            <v>0.1</v>
          </cell>
          <cell r="T102" t="str">
            <v>9d</v>
          </cell>
          <cell r="U102">
            <v>0.3</v>
          </cell>
          <cell r="V102" t="str">
            <v>9e</v>
          </cell>
          <cell r="W102">
            <v>0.1</v>
          </cell>
          <cell r="X102" t="str">
            <v>9d</v>
          </cell>
          <cell r="Y102" t="str">
            <v>NC</v>
          </cell>
          <cell r="AA102" t="str">
            <v>NC</v>
          </cell>
          <cell r="AC102">
            <v>1</v>
          </cell>
          <cell r="AD102">
            <v>9</v>
          </cell>
          <cell r="AE102">
            <v>1</v>
          </cell>
          <cell r="AF102">
            <v>9</v>
          </cell>
          <cell r="AI102">
            <v>20</v>
          </cell>
          <cell r="AK102">
            <v>0.92</v>
          </cell>
          <cell r="AL102" t="str">
            <v>NC</v>
          </cell>
          <cell r="AM102">
            <v>3</v>
          </cell>
          <cell r="AO102">
            <v>0</v>
          </cell>
          <cell r="AR102">
            <v>1000</v>
          </cell>
          <cell r="AS102">
            <v>24</v>
          </cell>
          <cell r="AT102">
            <v>55</v>
          </cell>
          <cell r="AU102">
            <v>7.5551714203399593E-3</v>
          </cell>
          <cell r="AV102">
            <v>24</v>
          </cell>
          <cell r="AW102">
            <v>0.12706528370957901</v>
          </cell>
          <cell r="AX102">
            <v>0.66</v>
          </cell>
          <cell r="AY102">
            <v>1</v>
          </cell>
          <cell r="AZ102">
            <v>1150</v>
          </cell>
          <cell r="BA102">
            <v>22</v>
          </cell>
          <cell r="BB102">
            <v>4.2299999999999998E-5</v>
          </cell>
          <cell r="BC102">
            <v>22</v>
          </cell>
          <cell r="BD102">
            <v>1.7310525454247831E-3</v>
          </cell>
          <cell r="BE102">
            <v>178</v>
          </cell>
          <cell r="BF102">
            <v>13</v>
          </cell>
          <cell r="BG102">
            <v>9.6000000000000002E-4</v>
          </cell>
          <cell r="BH102">
            <v>4.46</v>
          </cell>
          <cell r="BI102">
            <v>16</v>
          </cell>
          <cell r="BJ102">
            <v>14000</v>
          </cell>
          <cell r="BK102">
            <v>13</v>
          </cell>
          <cell r="BO102">
            <v>0.14021678337057589</v>
          </cell>
          <cell r="BS102">
            <v>500</v>
          </cell>
          <cell r="BT102" t="str">
            <v>Ceiling (Medium)</v>
          </cell>
          <cell r="BV102">
            <v>1000</v>
          </cell>
          <cell r="BW102" t="str">
            <v>Ceiling (Medium)</v>
          </cell>
          <cell r="BY102">
            <v>3000</v>
          </cell>
          <cell r="BZ102" t="str">
            <v>Ceiling (Medium)</v>
          </cell>
          <cell r="CA102">
            <v>50000</v>
          </cell>
          <cell r="CB102" t="str">
            <v>0.005%</v>
          </cell>
        </row>
        <row r="103">
          <cell r="A103" t="str">
            <v>PHENOL</v>
          </cell>
          <cell r="B103" t="str">
            <v>108-95-2</v>
          </cell>
          <cell r="C103">
            <v>42922</v>
          </cell>
          <cell r="D103">
            <v>0.3</v>
          </cell>
          <cell r="E103">
            <v>1</v>
          </cell>
          <cell r="F103">
            <v>0.3</v>
          </cell>
          <cell r="G103" t="str">
            <v>1d</v>
          </cell>
          <cell r="H103">
            <v>0.26</v>
          </cell>
          <cell r="I103">
            <v>3</v>
          </cell>
          <cell r="J103">
            <v>0.26</v>
          </cell>
          <cell r="K103" t="str">
            <v>7c</v>
          </cell>
          <cell r="M103" t="str">
            <v>D</v>
          </cell>
          <cell r="N103">
            <v>1</v>
          </cell>
          <cell r="Q103">
            <v>1</v>
          </cell>
          <cell r="R103" t="str">
            <v>9e</v>
          </cell>
          <cell r="S103">
            <v>0.3</v>
          </cell>
          <cell r="T103" t="str">
            <v>9b</v>
          </cell>
          <cell r="U103">
            <v>1</v>
          </cell>
          <cell r="V103" t="str">
            <v>9e</v>
          </cell>
          <cell r="W103">
            <v>0.3</v>
          </cell>
          <cell r="X103" t="str">
            <v>9b</v>
          </cell>
          <cell r="Y103" t="str">
            <v>NC</v>
          </cell>
          <cell r="AA103" t="str">
            <v>NC</v>
          </cell>
          <cell r="AC103">
            <v>1</v>
          </cell>
          <cell r="AD103">
            <v>9</v>
          </cell>
          <cell r="AE103">
            <v>1</v>
          </cell>
          <cell r="AF103">
            <v>9</v>
          </cell>
          <cell r="AK103">
            <v>1</v>
          </cell>
          <cell r="AL103" t="str">
            <v>NC</v>
          </cell>
          <cell r="AO103">
            <v>0</v>
          </cell>
          <cell r="AR103">
            <v>7900</v>
          </cell>
          <cell r="AS103">
            <v>13</v>
          </cell>
          <cell r="AT103">
            <v>156.80000000000001</v>
          </cell>
          <cell r="AU103">
            <v>4.0786819421713041E-2</v>
          </cell>
          <cell r="AV103">
            <v>13</v>
          </cell>
          <cell r="AW103">
            <v>8.5812035594439102</v>
          </cell>
          <cell r="AX103">
            <v>0.66</v>
          </cell>
          <cell r="AY103">
            <v>10</v>
          </cell>
          <cell r="AZ103">
            <v>82800000</v>
          </cell>
          <cell r="BA103">
            <v>22</v>
          </cell>
          <cell r="BB103">
            <v>3.3299999999999998E-7</v>
          </cell>
          <cell r="BC103">
            <v>22</v>
          </cell>
          <cell r="BD103">
            <v>1.3627434932067441E-5</v>
          </cell>
          <cell r="BE103">
            <v>94</v>
          </cell>
          <cell r="BF103">
            <v>13</v>
          </cell>
          <cell r="BG103">
            <v>0.35</v>
          </cell>
          <cell r="BH103">
            <v>1.46</v>
          </cell>
          <cell r="BI103">
            <v>16</v>
          </cell>
          <cell r="BJ103">
            <v>28.8</v>
          </cell>
          <cell r="BK103" t="str">
            <v>17b</v>
          </cell>
          <cell r="BL103">
            <v>40.9</v>
          </cell>
          <cell r="BM103">
            <v>17</v>
          </cell>
          <cell r="BO103">
            <v>4.3371056350044119E-3</v>
          </cell>
          <cell r="BS103">
            <v>500</v>
          </cell>
          <cell r="BT103" t="str">
            <v>Ceiling (Medium)</v>
          </cell>
          <cell r="BV103">
            <v>1000</v>
          </cell>
          <cell r="BW103" t="str">
            <v>Ceiling (Medium)</v>
          </cell>
          <cell r="BY103">
            <v>3000</v>
          </cell>
          <cell r="BZ103" t="str">
            <v>Ceiling (Medium)</v>
          </cell>
          <cell r="CA103">
            <v>50000</v>
          </cell>
          <cell r="CB103" t="str">
            <v>0.005%</v>
          </cell>
        </row>
        <row r="104">
          <cell r="A104" t="str">
            <v>POLYCHLORINATED BIPHENYLS (PCBs)</v>
          </cell>
          <cell r="B104" t="str">
            <v>1336-36-3</v>
          </cell>
          <cell r="C104">
            <v>42923</v>
          </cell>
          <cell r="D104">
            <v>2.0000000000000002E-5</v>
          </cell>
          <cell r="E104">
            <v>1</v>
          </cell>
          <cell r="F104">
            <v>5.0000000000000002E-5</v>
          </cell>
          <cell r="G104">
            <v>2</v>
          </cell>
          <cell r="H104">
            <v>2.0000000000000002E-5</v>
          </cell>
          <cell r="I104">
            <v>3</v>
          </cell>
          <cell r="J104">
            <v>2.0000000000000002E-5</v>
          </cell>
          <cell r="K104" t="str">
            <v>7c</v>
          </cell>
          <cell r="L104">
            <v>2</v>
          </cell>
          <cell r="M104" t="str">
            <v>B2</v>
          </cell>
          <cell r="N104">
            <v>1</v>
          </cell>
          <cell r="O104">
            <v>1E-4</v>
          </cell>
          <cell r="P104">
            <v>1</v>
          </cell>
          <cell r="Q104">
            <v>1</v>
          </cell>
          <cell r="R104" t="str">
            <v>9e</v>
          </cell>
          <cell r="S104">
            <v>0.1</v>
          </cell>
          <cell r="T104" t="str">
            <v>9a</v>
          </cell>
          <cell r="U104">
            <v>1</v>
          </cell>
          <cell r="V104" t="str">
            <v>9e</v>
          </cell>
          <cell r="W104">
            <v>0.1</v>
          </cell>
          <cell r="X104" t="str">
            <v>9a</v>
          </cell>
          <cell r="Y104">
            <v>1</v>
          </cell>
          <cell r="Z104" t="str">
            <v>9e</v>
          </cell>
          <cell r="AA104">
            <v>0.1</v>
          </cell>
          <cell r="AB104" t="str">
            <v>9a</v>
          </cell>
          <cell r="AC104">
            <v>1</v>
          </cell>
          <cell r="AD104">
            <v>9</v>
          </cell>
          <cell r="AE104">
            <v>1</v>
          </cell>
          <cell r="AF104">
            <v>9</v>
          </cell>
          <cell r="AG104">
            <v>1</v>
          </cell>
          <cell r="AH104">
            <v>9</v>
          </cell>
          <cell r="AK104">
            <v>0.89</v>
          </cell>
          <cell r="AL104">
            <v>0.89</v>
          </cell>
          <cell r="AO104">
            <v>0</v>
          </cell>
          <cell r="AU104">
            <v>0</v>
          </cell>
          <cell r="AW104">
            <v>0</v>
          </cell>
          <cell r="AX104">
            <v>4.3549999999999998E-2</v>
          </cell>
          <cell r="AY104">
            <v>0.32500000000000001</v>
          </cell>
          <cell r="AZ104">
            <v>700</v>
          </cell>
          <cell r="BA104">
            <v>22</v>
          </cell>
          <cell r="BB104">
            <v>4.15E-4</v>
          </cell>
          <cell r="BC104">
            <v>22</v>
          </cell>
          <cell r="BD104">
            <v>1.6983139630054021E-2</v>
          </cell>
          <cell r="BE104">
            <v>328</v>
          </cell>
          <cell r="BF104">
            <v>13</v>
          </cell>
          <cell r="BG104">
            <v>7.7100000000000004E-5</v>
          </cell>
          <cell r="BH104">
            <v>7.1</v>
          </cell>
          <cell r="BI104">
            <v>19</v>
          </cell>
          <cell r="BJ104">
            <v>309000</v>
          </cell>
          <cell r="BK104" t="str">
            <v>17b</v>
          </cell>
          <cell r="BO104">
            <v>1.1199535223848884</v>
          </cell>
          <cell r="BP104">
            <v>0.83937499999999998</v>
          </cell>
          <cell r="BS104">
            <v>1000</v>
          </cell>
          <cell r="BT104" t="str">
            <v>Ceiling (High)</v>
          </cell>
          <cell r="BV104">
            <v>3000</v>
          </cell>
          <cell r="BW104" t="str">
            <v>Ceiling (High)</v>
          </cell>
          <cell r="BY104">
            <v>5000</v>
          </cell>
          <cell r="BZ104" t="str">
            <v>Ceiling (High)</v>
          </cell>
          <cell r="CA104">
            <v>50000</v>
          </cell>
          <cell r="CB104" t="str">
            <v>0.005%</v>
          </cell>
        </row>
        <row r="105">
          <cell r="A105" t="str">
            <v>PYRENE</v>
          </cell>
          <cell r="B105" t="str">
            <v>129-00-0</v>
          </cell>
          <cell r="C105">
            <v>42922</v>
          </cell>
          <cell r="D105">
            <v>0.03</v>
          </cell>
          <cell r="E105">
            <v>1</v>
          </cell>
          <cell r="F105">
            <v>0.3</v>
          </cell>
          <cell r="G105">
            <v>6</v>
          </cell>
          <cell r="H105">
            <v>0.05</v>
          </cell>
          <cell r="I105" t="str">
            <v>5d</v>
          </cell>
          <cell r="J105">
            <v>0.5</v>
          </cell>
          <cell r="K105" t="str">
            <v>5d</v>
          </cell>
          <cell r="M105" t="str">
            <v>D</v>
          </cell>
          <cell r="N105">
            <v>1</v>
          </cell>
          <cell r="Q105">
            <v>0.3</v>
          </cell>
          <cell r="R105" t="str">
            <v>9d</v>
          </cell>
          <cell r="S105">
            <v>0.1</v>
          </cell>
          <cell r="T105" t="str">
            <v>9d</v>
          </cell>
          <cell r="U105">
            <v>0.3</v>
          </cell>
          <cell r="V105" t="str">
            <v>9d</v>
          </cell>
          <cell r="W105">
            <v>0.1</v>
          </cell>
          <cell r="X105" t="str">
            <v>9d</v>
          </cell>
          <cell r="Y105" t="str">
            <v>NC</v>
          </cell>
          <cell r="AA105" t="str">
            <v>NC</v>
          </cell>
          <cell r="AC105">
            <v>1</v>
          </cell>
          <cell r="AD105">
            <v>9</v>
          </cell>
          <cell r="AE105">
            <v>1</v>
          </cell>
          <cell r="AF105">
            <v>9</v>
          </cell>
          <cell r="AI105">
            <v>20</v>
          </cell>
          <cell r="AK105">
            <v>0.92</v>
          </cell>
          <cell r="AL105" t="str">
            <v>NC</v>
          </cell>
          <cell r="AM105">
            <v>4</v>
          </cell>
          <cell r="AO105">
            <v>0</v>
          </cell>
          <cell r="AU105">
            <v>0</v>
          </cell>
          <cell r="AW105">
            <v>0</v>
          </cell>
          <cell r="AX105">
            <v>0.66</v>
          </cell>
          <cell r="AY105">
            <v>0.5</v>
          </cell>
          <cell r="AZ105">
            <v>135</v>
          </cell>
          <cell r="BA105">
            <v>22</v>
          </cell>
          <cell r="BB105">
            <v>1.19E-5</v>
          </cell>
          <cell r="BC105">
            <v>22</v>
          </cell>
          <cell r="BD105">
            <v>4.8698641348829597E-4</v>
          </cell>
          <cell r="BE105">
            <v>202</v>
          </cell>
          <cell r="BF105">
            <v>13</v>
          </cell>
          <cell r="BG105">
            <v>2.5000000000000002E-6</v>
          </cell>
          <cell r="BH105">
            <v>4.88</v>
          </cell>
          <cell r="BI105">
            <v>17</v>
          </cell>
          <cell r="BJ105">
            <v>68000</v>
          </cell>
          <cell r="BK105" t="str">
            <v>17a</v>
          </cell>
          <cell r="BL105">
            <v>151.19999999999999</v>
          </cell>
          <cell r="BM105">
            <v>17</v>
          </cell>
          <cell r="BO105">
            <v>0.1948049553290766</v>
          </cell>
          <cell r="BS105">
            <v>1000</v>
          </cell>
          <cell r="BT105" t="str">
            <v>Ceiling (High)</v>
          </cell>
          <cell r="BV105">
            <v>3000</v>
          </cell>
          <cell r="BW105" t="str">
            <v>Ceiling (High)</v>
          </cell>
          <cell r="BY105">
            <v>5000</v>
          </cell>
          <cell r="BZ105" t="str">
            <v>Ceiling (High)</v>
          </cell>
          <cell r="CA105">
            <v>50000</v>
          </cell>
          <cell r="CB105" t="str">
            <v>0.005%</v>
          </cell>
        </row>
        <row r="106">
          <cell r="A106" t="str">
            <v>RDX</v>
          </cell>
          <cell r="B106" t="str">
            <v>121-82-4</v>
          </cell>
          <cell r="C106">
            <v>42922</v>
          </cell>
          <cell r="D106">
            <v>3.0000000000000001E-3</v>
          </cell>
          <cell r="E106">
            <v>1</v>
          </cell>
          <cell r="F106">
            <v>3.0000000000000001E-3</v>
          </cell>
          <cell r="G106" t="str">
            <v>1d</v>
          </cell>
          <cell r="H106">
            <v>1.0999999999999999E-2</v>
          </cell>
          <cell r="I106" t="str">
            <v>7b</v>
          </cell>
          <cell r="J106">
            <v>1.0999999999999999E-2</v>
          </cell>
          <cell r="K106" t="str">
            <v>7c</v>
          </cell>
          <cell r="L106">
            <v>0.11</v>
          </cell>
          <cell r="M106" t="str">
            <v>C</v>
          </cell>
          <cell r="N106">
            <v>1</v>
          </cell>
          <cell r="O106">
            <v>3.1428571428571431E-5</v>
          </cell>
          <cell r="P106" t="str">
            <v>7a</v>
          </cell>
          <cell r="Q106">
            <v>1</v>
          </cell>
          <cell r="R106">
            <v>9</v>
          </cell>
          <cell r="S106">
            <v>0.02</v>
          </cell>
          <cell r="T106">
            <v>9</v>
          </cell>
          <cell r="U106">
            <v>1</v>
          </cell>
          <cell r="V106">
            <v>9</v>
          </cell>
          <cell r="W106">
            <v>0.02</v>
          </cell>
          <cell r="X106">
            <v>9</v>
          </cell>
          <cell r="Y106">
            <v>1</v>
          </cell>
          <cell r="Z106">
            <v>9</v>
          </cell>
          <cell r="AA106">
            <v>0.02</v>
          </cell>
          <cell r="AB106">
            <v>9</v>
          </cell>
          <cell r="AC106">
            <v>1</v>
          </cell>
          <cell r="AD106">
            <v>9</v>
          </cell>
          <cell r="AE106">
            <v>1</v>
          </cell>
          <cell r="AF106">
            <v>9</v>
          </cell>
          <cell r="AG106">
            <v>1</v>
          </cell>
          <cell r="AH106">
            <v>9</v>
          </cell>
          <cell r="AK106">
            <v>1</v>
          </cell>
          <cell r="AL106">
            <v>1</v>
          </cell>
          <cell r="AO106">
            <v>0</v>
          </cell>
          <cell r="AX106">
            <v>1</v>
          </cell>
          <cell r="AY106">
            <v>0.84</v>
          </cell>
          <cell r="AZ106">
            <v>59700</v>
          </cell>
          <cell r="BA106">
            <v>22</v>
          </cell>
          <cell r="BB106">
            <v>6.3199999999999997E-8</v>
          </cell>
          <cell r="BC106">
            <v>22</v>
          </cell>
          <cell r="BD106">
            <v>2.5863480111311181E-6</v>
          </cell>
          <cell r="BE106">
            <v>222.26</v>
          </cell>
          <cell r="BF106">
            <v>13</v>
          </cell>
          <cell r="BG106">
            <v>1.0000000000000001E-9</v>
          </cell>
          <cell r="BH106">
            <v>0.87</v>
          </cell>
          <cell r="BI106">
            <v>13</v>
          </cell>
          <cell r="BJ106">
            <v>63.095734448019364</v>
          </cell>
          <cell r="BK106">
            <v>13</v>
          </cell>
          <cell r="BL106">
            <v>205</v>
          </cell>
          <cell r="BM106">
            <v>13</v>
          </cell>
          <cell r="BO106">
            <v>3.384885636728822E-4</v>
          </cell>
          <cell r="BS106">
            <v>1000</v>
          </cell>
          <cell r="BT106" t="str">
            <v>Ceiling (High)</v>
          </cell>
          <cell r="BV106">
            <v>3000</v>
          </cell>
          <cell r="BW106" t="str">
            <v>Ceiling (High)</v>
          </cell>
          <cell r="BY106">
            <v>5000</v>
          </cell>
          <cell r="BZ106" t="str">
            <v>Ceiling (High)</v>
          </cell>
          <cell r="CA106">
            <v>50000</v>
          </cell>
          <cell r="CB106" t="str">
            <v>0.005%</v>
          </cell>
        </row>
        <row r="107">
          <cell r="A107" t="str">
            <v>SELENIUM</v>
          </cell>
          <cell r="B107" t="str">
            <v>7782-49-2</v>
          </cell>
          <cell r="C107">
            <v>42923</v>
          </cell>
          <cell r="D107">
            <v>5.0000000000000001E-3</v>
          </cell>
          <cell r="E107">
            <v>1</v>
          </cell>
          <cell r="F107">
            <v>5.0000000000000001E-3</v>
          </cell>
          <cell r="G107">
            <v>2</v>
          </cell>
          <cell r="H107">
            <v>3.0000000000000001E-3</v>
          </cell>
          <cell r="I107">
            <v>3</v>
          </cell>
          <cell r="J107">
            <v>3.0000000000000001E-3</v>
          </cell>
          <cell r="K107" t="str">
            <v>7c</v>
          </cell>
          <cell r="M107" t="str">
            <v>D</v>
          </cell>
          <cell r="N107">
            <v>1</v>
          </cell>
          <cell r="Q107">
            <v>1</v>
          </cell>
          <cell r="R107" t="str">
            <v>9e</v>
          </cell>
          <cell r="S107">
            <v>0.01</v>
          </cell>
          <cell r="T107" t="str">
            <v>9e</v>
          </cell>
          <cell r="U107">
            <v>1</v>
          </cell>
          <cell r="V107" t="str">
            <v>9e</v>
          </cell>
          <cell r="W107">
            <v>0.01</v>
          </cell>
          <cell r="X107" t="str">
            <v>9e</v>
          </cell>
          <cell r="Y107" t="str">
            <v>NC</v>
          </cell>
          <cell r="AA107" t="str">
            <v>NC</v>
          </cell>
          <cell r="AC107">
            <v>1</v>
          </cell>
          <cell r="AD107">
            <v>9</v>
          </cell>
          <cell r="AE107">
            <v>1</v>
          </cell>
          <cell r="AF107">
            <v>9</v>
          </cell>
          <cell r="AI107">
            <v>1</v>
          </cell>
          <cell r="AK107">
            <v>0.6</v>
          </cell>
          <cell r="AL107" t="str">
            <v>NC</v>
          </cell>
          <cell r="AM107">
            <v>0.5</v>
          </cell>
          <cell r="AO107">
            <v>0</v>
          </cell>
          <cell r="AU107">
            <v>0</v>
          </cell>
          <cell r="AW107">
            <v>0</v>
          </cell>
          <cell r="AX107">
            <v>15</v>
          </cell>
          <cell r="AY107">
            <v>50</v>
          </cell>
          <cell r="AZ107">
            <v>0</v>
          </cell>
          <cell r="BD107">
            <v>0</v>
          </cell>
          <cell r="BE107">
            <v>79</v>
          </cell>
          <cell r="BF107">
            <v>13</v>
          </cell>
          <cell r="BH107">
            <v>0.24</v>
          </cell>
          <cell r="BJ107">
            <v>0</v>
          </cell>
          <cell r="BO107">
            <v>1E-3</v>
          </cell>
          <cell r="BS107">
            <v>1000</v>
          </cell>
          <cell r="BT107" t="str">
            <v>Ceiling (High)</v>
          </cell>
          <cell r="BV107">
            <v>3000</v>
          </cell>
          <cell r="BW107" t="str">
            <v>Ceiling (High)</v>
          </cell>
          <cell r="BY107">
            <v>5000</v>
          </cell>
          <cell r="BZ107" t="str">
            <v>Ceiling (High)</v>
          </cell>
          <cell r="CA107">
            <v>50000</v>
          </cell>
          <cell r="CB107" t="str">
            <v>0.005%</v>
          </cell>
          <cell r="CC107" t="str">
            <v>Y</v>
          </cell>
        </row>
        <row r="108">
          <cell r="A108" t="str">
            <v>SILVER</v>
          </cell>
          <cell r="B108" t="str">
            <v>7440-22-4</v>
          </cell>
          <cell r="C108">
            <v>42923</v>
          </cell>
          <cell r="D108">
            <v>5.0000000000000001E-3</v>
          </cell>
          <cell r="E108">
            <v>1</v>
          </cell>
          <cell r="F108">
            <v>5.0000000000000001E-3</v>
          </cell>
          <cell r="G108">
            <v>2</v>
          </cell>
          <cell r="H108">
            <v>1.3999999999999999E-4</v>
          </cell>
          <cell r="I108" t="str">
            <v>5b</v>
          </cell>
          <cell r="J108">
            <v>1.3999999999999999E-4</v>
          </cell>
          <cell r="K108" t="str">
            <v>7c</v>
          </cell>
          <cell r="M108" t="str">
            <v>D</v>
          </cell>
          <cell r="N108">
            <v>1</v>
          </cell>
          <cell r="Q108">
            <v>1</v>
          </cell>
          <cell r="R108" t="str">
            <v>9e</v>
          </cell>
          <cell r="S108">
            <v>0.3</v>
          </cell>
          <cell r="T108" t="str">
            <v>9e</v>
          </cell>
          <cell r="U108">
            <v>1</v>
          </cell>
          <cell r="V108" t="str">
            <v>9e</v>
          </cell>
          <cell r="W108">
            <v>0.3</v>
          </cell>
          <cell r="X108" t="str">
            <v>9e</v>
          </cell>
          <cell r="Y108" t="str">
            <v>NC</v>
          </cell>
          <cell r="AA108" t="str">
            <v>NC</v>
          </cell>
          <cell r="AC108">
            <v>1</v>
          </cell>
          <cell r="AD108">
            <v>9</v>
          </cell>
          <cell r="AE108">
            <v>1</v>
          </cell>
          <cell r="AF108">
            <v>9</v>
          </cell>
          <cell r="AI108">
            <v>5</v>
          </cell>
          <cell r="AK108">
            <v>0.04</v>
          </cell>
          <cell r="AL108" t="str">
            <v>NC</v>
          </cell>
          <cell r="AM108">
            <v>0.6</v>
          </cell>
          <cell r="AN108">
            <v>4.7</v>
          </cell>
          <cell r="AO108">
            <v>0</v>
          </cell>
          <cell r="AU108">
            <v>0</v>
          </cell>
          <cell r="AW108">
            <v>0</v>
          </cell>
          <cell r="AX108">
            <v>1.4</v>
          </cell>
          <cell r="AY108">
            <v>7</v>
          </cell>
          <cell r="AZ108">
            <v>0</v>
          </cell>
          <cell r="BD108">
            <v>0</v>
          </cell>
          <cell r="BE108">
            <v>108</v>
          </cell>
          <cell r="BF108">
            <v>13</v>
          </cell>
          <cell r="BH108">
            <v>0.23</v>
          </cell>
          <cell r="BJ108">
            <v>0</v>
          </cell>
          <cell r="BO108">
            <v>5.9999999999999995E-4</v>
          </cell>
          <cell r="BS108">
            <v>1000</v>
          </cell>
          <cell r="BT108" t="str">
            <v>Ceiling (High)</v>
          </cell>
          <cell r="BV108">
            <v>3000</v>
          </cell>
          <cell r="BW108" t="str">
            <v>Ceiling (High)</v>
          </cell>
          <cell r="BY108">
            <v>5000</v>
          </cell>
          <cell r="BZ108" t="str">
            <v>Ceiling (High)</v>
          </cell>
          <cell r="CA108">
            <v>50000</v>
          </cell>
          <cell r="CB108" t="str">
            <v>0.005%</v>
          </cell>
          <cell r="CC108" t="str">
            <v>Y</v>
          </cell>
        </row>
        <row r="109">
          <cell r="A109" t="str">
            <v>STYRENE</v>
          </cell>
          <cell r="B109" t="str">
            <v>100-42-5</v>
          </cell>
          <cell r="C109">
            <v>42923</v>
          </cell>
          <cell r="D109">
            <v>0.2</v>
          </cell>
          <cell r="E109">
            <v>1</v>
          </cell>
          <cell r="F109">
            <v>2</v>
          </cell>
          <cell r="G109" t="str">
            <v>2d</v>
          </cell>
          <cell r="H109">
            <v>1</v>
          </cell>
          <cell r="I109">
            <v>1</v>
          </cell>
          <cell r="J109">
            <v>3</v>
          </cell>
          <cell r="K109" t="str">
            <v>1k</v>
          </cell>
          <cell r="L109">
            <v>0.03</v>
          </cell>
          <cell r="M109" t="str">
            <v>B2</v>
          </cell>
          <cell r="N109" t="str">
            <v>2d</v>
          </cell>
          <cell r="O109">
            <v>5.7000000000000005E-7</v>
          </cell>
          <cell r="P109" t="str">
            <v>2d</v>
          </cell>
          <cell r="Q109">
            <v>1</v>
          </cell>
          <cell r="R109" t="str">
            <v>9e</v>
          </cell>
          <cell r="S109">
            <v>0.03</v>
          </cell>
          <cell r="T109" t="str">
            <v>9e</v>
          </cell>
          <cell r="U109">
            <v>1</v>
          </cell>
          <cell r="V109" t="str">
            <v>9e</v>
          </cell>
          <cell r="W109">
            <v>0.03</v>
          </cell>
          <cell r="X109" t="str">
            <v>9e</v>
          </cell>
          <cell r="Y109">
            <v>1</v>
          </cell>
          <cell r="Z109" t="str">
            <v>9e</v>
          </cell>
          <cell r="AA109">
            <v>0.03</v>
          </cell>
          <cell r="AB109" t="str">
            <v>9e</v>
          </cell>
          <cell r="AC109">
            <v>1</v>
          </cell>
          <cell r="AD109">
            <v>9</v>
          </cell>
          <cell r="AE109">
            <v>1</v>
          </cell>
          <cell r="AF109">
            <v>9</v>
          </cell>
          <cell r="AG109">
            <v>1</v>
          </cell>
          <cell r="AH109">
            <v>9</v>
          </cell>
          <cell r="AK109">
            <v>1</v>
          </cell>
          <cell r="AL109">
            <v>1</v>
          </cell>
          <cell r="AO109">
            <v>1.4</v>
          </cell>
          <cell r="AP109">
            <v>5</v>
          </cell>
          <cell r="AQ109">
            <v>0.65700000000000003</v>
          </cell>
          <cell r="AR109">
            <v>11</v>
          </cell>
          <cell r="AS109">
            <v>13</v>
          </cell>
          <cell r="AT109">
            <v>1360</v>
          </cell>
          <cell r="AU109">
            <v>0.31974753451676524</v>
          </cell>
          <cell r="AV109">
            <v>13</v>
          </cell>
          <cell r="AW109">
            <v>15.637337149624953</v>
          </cell>
          <cell r="AX109">
            <v>0.1</v>
          </cell>
          <cell r="AY109">
            <v>0.3</v>
          </cell>
          <cell r="AZ109">
            <v>310000</v>
          </cell>
          <cell r="BA109">
            <v>22</v>
          </cell>
          <cell r="BB109">
            <v>2.7499999999999998E-3</v>
          </cell>
          <cell r="BC109">
            <v>22</v>
          </cell>
          <cell r="BD109">
            <v>0.11253887706662301</v>
          </cell>
          <cell r="BE109">
            <v>104</v>
          </cell>
          <cell r="BF109">
            <v>13</v>
          </cell>
          <cell r="BG109">
            <v>5</v>
          </cell>
          <cell r="BH109">
            <v>2.95</v>
          </cell>
          <cell r="BI109">
            <v>16</v>
          </cell>
          <cell r="BJ109">
            <v>912</v>
          </cell>
          <cell r="BK109" t="str">
            <v>17a</v>
          </cell>
          <cell r="BL109">
            <v>-31</v>
          </cell>
          <cell r="BM109">
            <v>17</v>
          </cell>
          <cell r="BO109">
            <v>3.6694417673371636E-2</v>
          </cell>
          <cell r="BS109">
            <v>500</v>
          </cell>
          <cell r="BT109" t="str">
            <v>Ceiling (Medium)</v>
          </cell>
          <cell r="BV109">
            <v>1000</v>
          </cell>
          <cell r="BW109" t="str">
            <v>Ceiling (Medium)</v>
          </cell>
          <cell r="BY109">
            <v>3000</v>
          </cell>
          <cell r="BZ109" t="str">
            <v>Ceiling (Medium)</v>
          </cell>
          <cell r="CA109">
            <v>50000</v>
          </cell>
          <cell r="CB109" t="str">
            <v>0.005%</v>
          </cell>
        </row>
        <row r="110">
          <cell r="A110" t="str">
            <v>TCDD, 2,3,7,8-  (equivalents)</v>
          </cell>
          <cell r="B110" t="str">
            <v>1746-01-6</v>
          </cell>
          <cell r="C110">
            <v>42923</v>
          </cell>
          <cell r="D110">
            <v>6.9999999999999996E-10</v>
          </cell>
          <cell r="E110">
            <v>1</v>
          </cell>
          <cell r="F110">
            <v>6.9999999999999996E-10</v>
          </cell>
          <cell r="G110" t="str">
            <v>1d</v>
          </cell>
          <cell r="H110">
            <v>2.0000000000000001E-10</v>
          </cell>
          <cell r="I110" t="str">
            <v>7b</v>
          </cell>
          <cell r="J110">
            <v>2.0000000000000001E-10</v>
          </cell>
          <cell r="K110" t="str">
            <v>7c</v>
          </cell>
          <cell r="L110">
            <v>150000</v>
          </cell>
          <cell r="M110" t="str">
            <v>B2</v>
          </cell>
          <cell r="N110">
            <v>2</v>
          </cell>
          <cell r="O110">
            <v>33</v>
          </cell>
          <cell r="P110">
            <v>2</v>
          </cell>
          <cell r="Q110">
            <v>1</v>
          </cell>
          <cell r="R110" t="str">
            <v>9e</v>
          </cell>
          <cell r="S110">
            <v>0.1</v>
          </cell>
          <cell r="T110" t="str">
            <v>9a</v>
          </cell>
          <cell r="U110">
            <v>1</v>
          </cell>
          <cell r="V110" t="str">
            <v>9e</v>
          </cell>
          <cell r="W110">
            <v>0.1</v>
          </cell>
          <cell r="X110" t="str">
            <v>9a</v>
          </cell>
          <cell r="Y110">
            <v>1</v>
          </cell>
          <cell r="Z110" t="str">
            <v>9e</v>
          </cell>
          <cell r="AA110">
            <v>0.1</v>
          </cell>
          <cell r="AB110" t="str">
            <v>9a</v>
          </cell>
          <cell r="AC110">
            <v>1</v>
          </cell>
          <cell r="AD110">
            <v>9</v>
          </cell>
          <cell r="AE110">
            <v>1</v>
          </cell>
          <cell r="AF110">
            <v>9</v>
          </cell>
          <cell r="AG110">
            <v>1</v>
          </cell>
          <cell r="AH110">
            <v>9</v>
          </cell>
          <cell r="AI110">
            <v>2.1999999999999999E-5</v>
          </cell>
          <cell r="AK110">
            <v>1</v>
          </cell>
          <cell r="AL110">
            <v>1</v>
          </cell>
          <cell r="AM110">
            <v>2.1999999999999999E-5</v>
          </cell>
          <cell r="AO110">
            <v>0</v>
          </cell>
          <cell r="AU110">
            <v>0</v>
          </cell>
          <cell r="AW110">
            <v>0</v>
          </cell>
          <cell r="AX110">
            <v>9.9999999999999995E-7</v>
          </cell>
          <cell r="AY110">
            <v>1.0000000000000001E-5</v>
          </cell>
          <cell r="AZ110">
            <v>0.2</v>
          </cell>
          <cell r="BA110">
            <v>22</v>
          </cell>
          <cell r="BB110">
            <v>5.0000000000000002E-5</v>
          </cell>
          <cell r="BC110">
            <v>22</v>
          </cell>
          <cell r="BD110">
            <v>2.0461614012113275E-3</v>
          </cell>
          <cell r="BE110">
            <v>322</v>
          </cell>
          <cell r="BF110">
            <v>11</v>
          </cell>
          <cell r="BG110">
            <v>7.4000000000000003E-10</v>
          </cell>
          <cell r="BH110">
            <v>6.8</v>
          </cell>
          <cell r="BI110">
            <v>16</v>
          </cell>
          <cell r="BJ110">
            <v>3300000</v>
          </cell>
          <cell r="BK110">
            <v>11</v>
          </cell>
          <cell r="BO110">
            <v>0.76700818769351109</v>
          </cell>
          <cell r="BS110">
            <v>1000</v>
          </cell>
          <cell r="BT110" t="str">
            <v>Ceiling (High)</v>
          </cell>
          <cell r="BV110">
            <v>3000</v>
          </cell>
          <cell r="BW110" t="str">
            <v>Ceiling (High)</v>
          </cell>
          <cell r="BY110">
            <v>5000</v>
          </cell>
          <cell r="BZ110" t="str">
            <v>Ceiling (High)</v>
          </cell>
          <cell r="CA110">
            <v>50000</v>
          </cell>
          <cell r="CB110" t="str">
            <v>0.005%</v>
          </cell>
        </row>
        <row r="111">
          <cell r="A111" t="str">
            <v>TETRACHLOROETHANE, 1,1,1,2-</v>
          </cell>
          <cell r="B111" t="str">
            <v>630-20-6</v>
          </cell>
          <cell r="C111">
            <v>42922</v>
          </cell>
          <cell r="D111">
            <v>0.03</v>
          </cell>
          <cell r="E111">
            <v>1</v>
          </cell>
          <cell r="F111">
            <v>0.09</v>
          </cell>
          <cell r="G111">
            <v>6</v>
          </cell>
          <cell r="H111">
            <v>0.11</v>
          </cell>
          <cell r="I111" t="str">
            <v>7b</v>
          </cell>
          <cell r="J111">
            <v>0.3</v>
          </cell>
          <cell r="K111" t="str">
            <v>7b</v>
          </cell>
          <cell r="L111">
            <v>2.5999999999999999E-2</v>
          </cell>
          <cell r="M111" t="str">
            <v>C</v>
          </cell>
          <cell r="N111">
            <v>1</v>
          </cell>
          <cell r="O111">
            <v>7.4000000000000003E-6</v>
          </cell>
          <cell r="P111">
            <v>1</v>
          </cell>
          <cell r="Q111">
            <v>1</v>
          </cell>
          <cell r="R111" t="str">
            <v>9e</v>
          </cell>
          <cell r="S111">
            <v>0.03</v>
          </cell>
          <cell r="T111" t="str">
            <v>9e</v>
          </cell>
          <cell r="U111">
            <v>1</v>
          </cell>
          <cell r="V111" t="str">
            <v>9e</v>
          </cell>
          <cell r="W111">
            <v>0.03</v>
          </cell>
          <cell r="X111" t="str">
            <v>9e</v>
          </cell>
          <cell r="Y111">
            <v>1</v>
          </cell>
          <cell r="Z111" t="str">
            <v>9e</v>
          </cell>
          <cell r="AA111">
            <v>0.03</v>
          </cell>
          <cell r="AB111" t="str">
            <v>9e</v>
          </cell>
          <cell r="AC111">
            <v>1</v>
          </cell>
          <cell r="AD111">
            <v>9</v>
          </cell>
          <cell r="AE111">
            <v>1</v>
          </cell>
          <cell r="AF111">
            <v>9</v>
          </cell>
          <cell r="AG111">
            <v>1</v>
          </cell>
          <cell r="AH111">
            <v>9</v>
          </cell>
          <cell r="AK111">
            <v>0.7</v>
          </cell>
          <cell r="AL111">
            <v>0.7</v>
          </cell>
          <cell r="AO111">
            <v>0</v>
          </cell>
          <cell r="AU111">
            <v>0</v>
          </cell>
          <cell r="AW111">
            <v>0</v>
          </cell>
          <cell r="AX111">
            <v>0.1</v>
          </cell>
          <cell r="AY111">
            <v>5</v>
          </cell>
          <cell r="AZ111">
            <v>1070000</v>
          </cell>
          <cell r="BA111">
            <v>22</v>
          </cell>
          <cell r="BB111">
            <v>2.4499999999999999E-3</v>
          </cell>
          <cell r="BC111">
            <v>22</v>
          </cell>
          <cell r="BD111">
            <v>0.10026190865935505</v>
          </cell>
          <cell r="BE111">
            <v>168</v>
          </cell>
          <cell r="BF111">
            <v>11</v>
          </cell>
          <cell r="BG111">
            <v>10</v>
          </cell>
          <cell r="BH111">
            <v>2.93</v>
          </cell>
          <cell r="BI111">
            <v>20</v>
          </cell>
          <cell r="BJ111">
            <v>54</v>
          </cell>
          <cell r="BK111">
            <v>11</v>
          </cell>
          <cell r="BO111">
            <v>1.5595525028269547E-2</v>
          </cell>
          <cell r="BS111">
            <v>100</v>
          </cell>
          <cell r="BT111" t="str">
            <v>Ceiling (Low)</v>
          </cell>
          <cell r="BV111">
            <v>500</v>
          </cell>
          <cell r="BW111" t="str">
            <v>Ceiling (Low)</v>
          </cell>
          <cell r="BY111">
            <v>500</v>
          </cell>
          <cell r="BZ111" t="str">
            <v>High Volatility</v>
          </cell>
          <cell r="CA111">
            <v>50000</v>
          </cell>
          <cell r="CB111" t="str">
            <v>0.005%</v>
          </cell>
        </row>
        <row r="112">
          <cell r="A112" t="str">
            <v>TETRACHLOROETHANE, 1,1,2,2-</v>
          </cell>
          <cell r="B112" t="str">
            <v>79-34-5</v>
          </cell>
          <cell r="C112">
            <v>42922</v>
          </cell>
          <cell r="D112">
            <v>0.02</v>
          </cell>
          <cell r="E112">
            <v>1</v>
          </cell>
          <cell r="F112">
            <v>0.05</v>
          </cell>
          <cell r="G112">
            <v>1</v>
          </cell>
          <cell r="H112">
            <v>9.2999999999999999E-2</v>
          </cell>
          <cell r="I112">
            <v>3</v>
          </cell>
          <cell r="J112">
            <v>9.2999999999999999E-2</v>
          </cell>
          <cell r="K112" t="str">
            <v>7c</v>
          </cell>
          <cell r="L112">
            <v>0.2</v>
          </cell>
          <cell r="M112" t="str">
            <v>C</v>
          </cell>
          <cell r="N112">
            <v>1</v>
          </cell>
          <cell r="O112">
            <v>5.8E-5</v>
          </cell>
          <cell r="P112" t="str">
            <v>1f</v>
          </cell>
          <cell r="Q112">
            <v>1</v>
          </cell>
          <cell r="R112" t="str">
            <v>9e</v>
          </cell>
          <cell r="S112">
            <v>0.03</v>
          </cell>
          <cell r="T112" t="str">
            <v>9e</v>
          </cell>
          <cell r="U112">
            <v>1</v>
          </cell>
          <cell r="V112" t="str">
            <v>9e</v>
          </cell>
          <cell r="W112">
            <v>0.03</v>
          </cell>
          <cell r="X112" t="str">
            <v>9e</v>
          </cell>
          <cell r="Y112">
            <v>1</v>
          </cell>
          <cell r="Z112" t="str">
            <v>9e</v>
          </cell>
          <cell r="AA112">
            <v>0.03</v>
          </cell>
          <cell r="AB112" t="str">
            <v>9e</v>
          </cell>
          <cell r="AC112">
            <v>1</v>
          </cell>
          <cell r="AD112">
            <v>9</v>
          </cell>
          <cell r="AE112">
            <v>1</v>
          </cell>
          <cell r="AF112">
            <v>9</v>
          </cell>
          <cell r="AG112">
            <v>1</v>
          </cell>
          <cell r="AH112">
            <v>9</v>
          </cell>
          <cell r="AL112">
            <v>0.7</v>
          </cell>
          <cell r="AO112">
            <v>0</v>
          </cell>
          <cell r="AR112">
            <v>500</v>
          </cell>
          <cell r="AS112">
            <v>13</v>
          </cell>
          <cell r="AT112">
            <v>10470</v>
          </cell>
          <cell r="AU112">
            <v>1.5238388278388275</v>
          </cell>
          <cell r="AV112">
            <v>13</v>
          </cell>
          <cell r="AW112">
            <v>2.6249495202015352</v>
          </cell>
          <cell r="AX112">
            <v>5.0000000000000001E-3</v>
          </cell>
          <cell r="AY112">
            <v>2</v>
          </cell>
          <cell r="AZ112">
            <v>2830000</v>
          </cell>
          <cell r="BA112">
            <v>22</v>
          </cell>
          <cell r="BB112">
            <v>3.6699999999999998E-4</v>
          </cell>
          <cell r="BC112">
            <v>22</v>
          </cell>
          <cell r="BD112">
            <v>1.5018824684891144E-2</v>
          </cell>
          <cell r="BE112">
            <v>168</v>
          </cell>
          <cell r="BF112">
            <v>13</v>
          </cell>
          <cell r="BG112">
            <v>4</v>
          </cell>
          <cell r="BH112">
            <v>2.39</v>
          </cell>
          <cell r="BI112">
            <v>16</v>
          </cell>
          <cell r="BJ112">
            <v>79</v>
          </cell>
          <cell r="BK112" t="str">
            <v>17a</v>
          </cell>
          <cell r="BL112">
            <v>-43.8</v>
          </cell>
          <cell r="BM112">
            <v>17</v>
          </cell>
          <cell r="BO112">
            <v>6.8643591792699517E-3</v>
          </cell>
          <cell r="BS112">
            <v>500</v>
          </cell>
          <cell r="BT112" t="str">
            <v>Ceiling (Medium)</v>
          </cell>
          <cell r="BV112">
            <v>1000</v>
          </cell>
          <cell r="BW112" t="str">
            <v>Ceiling (Medium)</v>
          </cell>
          <cell r="BY112">
            <v>3000</v>
          </cell>
          <cell r="BZ112" t="str">
            <v>Ceiling (Medium)</v>
          </cell>
          <cell r="CA112">
            <v>50000</v>
          </cell>
          <cell r="CB112" t="str">
            <v>0.005%</v>
          </cell>
        </row>
        <row r="113">
          <cell r="A113" t="str">
            <v>TETRACHLOROETHYLENE</v>
          </cell>
          <cell r="B113" t="str">
            <v>127-18-4</v>
          </cell>
          <cell r="C113">
            <v>42922</v>
          </cell>
          <cell r="D113">
            <v>6.0000000000000001E-3</v>
          </cell>
          <cell r="E113">
            <v>1</v>
          </cell>
          <cell r="F113">
            <v>6.0000000000000001E-3</v>
          </cell>
          <cell r="G113" t="str">
            <v>1d</v>
          </cell>
          <cell r="H113">
            <v>0.04</v>
          </cell>
          <cell r="I113">
            <v>1</v>
          </cell>
          <cell r="J113">
            <v>0.04</v>
          </cell>
          <cell r="K113" t="str">
            <v>7c</v>
          </cell>
          <cell r="L113">
            <v>0.02</v>
          </cell>
          <cell r="N113" t="str">
            <v>5h</v>
          </cell>
          <cell r="O113">
            <v>3.0000000000000001E-6</v>
          </cell>
          <cell r="P113" t="str">
            <v>5h</v>
          </cell>
          <cell r="Q113">
            <v>1</v>
          </cell>
          <cell r="R113" t="str">
            <v>9e</v>
          </cell>
          <cell r="S113">
            <v>0.03</v>
          </cell>
          <cell r="T113" t="str">
            <v>9e</v>
          </cell>
          <cell r="U113">
            <v>1</v>
          </cell>
          <cell r="V113" t="str">
            <v>9e</v>
          </cell>
          <cell r="W113">
            <v>0.03</v>
          </cell>
          <cell r="X113" t="str">
            <v>9e</v>
          </cell>
          <cell r="Y113">
            <v>1</v>
          </cell>
          <cell r="Z113" t="str">
            <v>9e</v>
          </cell>
          <cell r="AA113">
            <v>0.03</v>
          </cell>
          <cell r="AB113" t="str">
            <v>9e</v>
          </cell>
          <cell r="AC113">
            <v>1</v>
          </cell>
          <cell r="AD113">
            <v>9</v>
          </cell>
          <cell r="AE113">
            <v>1</v>
          </cell>
          <cell r="AF113">
            <v>9</v>
          </cell>
          <cell r="AG113">
            <v>1</v>
          </cell>
          <cell r="AH113">
            <v>9</v>
          </cell>
          <cell r="AK113">
            <v>1</v>
          </cell>
          <cell r="AL113">
            <v>1</v>
          </cell>
          <cell r="AO113">
            <v>4.0999999999999996</v>
          </cell>
          <cell r="AP113">
            <v>20</v>
          </cell>
          <cell r="AQ113">
            <v>1.6220000000000001</v>
          </cell>
          <cell r="AR113">
            <v>300</v>
          </cell>
          <cell r="AS113">
            <v>13</v>
          </cell>
          <cell r="AT113">
            <v>31730</v>
          </cell>
          <cell r="AU113">
            <v>4.6737299969107191</v>
          </cell>
          <cell r="AV113">
            <v>13</v>
          </cell>
          <cell r="AW113">
            <v>4.0652754892898768</v>
          </cell>
          <cell r="AX113">
            <v>0.1</v>
          </cell>
          <cell r="AY113">
            <v>1.5</v>
          </cell>
          <cell r="AZ113">
            <v>206000</v>
          </cell>
          <cell r="BA113">
            <v>22</v>
          </cell>
          <cell r="BB113">
            <v>1.77E-2</v>
          </cell>
          <cell r="BC113">
            <v>22</v>
          </cell>
          <cell r="BD113">
            <v>0.72434113602881001</v>
          </cell>
          <cell r="BE113">
            <v>166</v>
          </cell>
          <cell r="BF113">
            <v>13</v>
          </cell>
          <cell r="BG113">
            <v>19</v>
          </cell>
          <cell r="BH113">
            <v>3.4</v>
          </cell>
          <cell r="BI113">
            <v>16</v>
          </cell>
          <cell r="BJ113">
            <v>265</v>
          </cell>
          <cell r="BK113" t="str">
            <v>17a</v>
          </cell>
          <cell r="BL113">
            <v>-22.3</v>
          </cell>
          <cell r="BM113">
            <v>17</v>
          </cell>
          <cell r="BO113">
            <v>3.2688876924727196E-2</v>
          </cell>
          <cell r="BS113">
            <v>500</v>
          </cell>
          <cell r="BT113" t="str">
            <v>Ceiling (Medium)</v>
          </cell>
          <cell r="BV113">
            <v>1000</v>
          </cell>
          <cell r="BW113" t="str">
            <v>Ceiling (Medium)</v>
          </cell>
          <cell r="BY113">
            <v>3000</v>
          </cell>
          <cell r="BZ113" t="str">
            <v>Ceiling (Medium)</v>
          </cell>
          <cell r="CA113">
            <v>50000</v>
          </cell>
          <cell r="CB113" t="str">
            <v>0.005%</v>
          </cell>
        </row>
        <row r="114">
          <cell r="A114" t="str">
            <v>THALLIUM</v>
          </cell>
          <cell r="B114" t="str">
            <v>7440-28-0</v>
          </cell>
          <cell r="C114">
            <v>42922</v>
          </cell>
          <cell r="D114">
            <v>8.0000000000000007E-5</v>
          </cell>
          <cell r="E114" t="str">
            <v>1f</v>
          </cell>
          <cell r="F114">
            <v>8.0000000000000004E-4</v>
          </cell>
          <cell r="G114" t="str">
            <v>1f</v>
          </cell>
          <cell r="H114">
            <v>1.4E-5</v>
          </cell>
          <cell r="I114" t="str">
            <v>5b</v>
          </cell>
          <cell r="J114">
            <v>1.4E-5</v>
          </cell>
          <cell r="K114" t="str">
            <v>7c</v>
          </cell>
          <cell r="Q114">
            <v>1</v>
          </cell>
          <cell r="R114" t="str">
            <v>9e</v>
          </cell>
          <cell r="S114">
            <v>0.01</v>
          </cell>
          <cell r="T114" t="str">
            <v>9e</v>
          </cell>
          <cell r="U114">
            <v>1</v>
          </cell>
          <cell r="V114" t="str">
            <v>9e</v>
          </cell>
          <cell r="W114">
            <v>0.01</v>
          </cell>
          <cell r="X114" t="str">
            <v>9e</v>
          </cell>
          <cell r="Y114" t="str">
            <v>NC</v>
          </cell>
          <cell r="AA114" t="str">
            <v>NC</v>
          </cell>
          <cell r="AC114">
            <v>1</v>
          </cell>
          <cell r="AD114">
            <v>9</v>
          </cell>
          <cell r="AE114">
            <v>1</v>
          </cell>
          <cell r="AF114">
            <v>9</v>
          </cell>
          <cell r="AI114">
            <v>5</v>
          </cell>
          <cell r="AK114">
            <v>1</v>
          </cell>
          <cell r="AL114" t="str">
            <v>NC</v>
          </cell>
          <cell r="AM114">
            <v>0.6</v>
          </cell>
          <cell r="AO114">
            <v>0</v>
          </cell>
          <cell r="AU114">
            <v>0</v>
          </cell>
          <cell r="AW114">
            <v>0</v>
          </cell>
          <cell r="AX114">
            <v>8</v>
          </cell>
          <cell r="AY114">
            <v>40</v>
          </cell>
          <cell r="AZ114">
            <v>0</v>
          </cell>
          <cell r="BD114">
            <v>0</v>
          </cell>
          <cell r="BE114">
            <v>204</v>
          </cell>
          <cell r="BF114">
            <v>13</v>
          </cell>
          <cell r="BH114">
            <v>0.23</v>
          </cell>
          <cell r="BJ114">
            <v>0</v>
          </cell>
          <cell r="BO114">
            <v>1E-3</v>
          </cell>
          <cell r="BS114">
            <v>1000</v>
          </cell>
          <cell r="BT114" t="str">
            <v>Ceiling (High)</v>
          </cell>
          <cell r="BV114">
            <v>3000</v>
          </cell>
          <cell r="BW114" t="str">
            <v>Ceiling (High)</v>
          </cell>
          <cell r="BY114">
            <v>5000</v>
          </cell>
          <cell r="BZ114" t="str">
            <v>Ceiling (High)</v>
          </cell>
          <cell r="CA114">
            <v>50000</v>
          </cell>
          <cell r="CB114" t="str">
            <v>0.005%</v>
          </cell>
          <cell r="CC114" t="str">
            <v>Y</v>
          </cell>
        </row>
        <row r="115">
          <cell r="A115" t="str">
            <v>TOLUENE</v>
          </cell>
          <cell r="B115" t="str">
            <v>108-88-3</v>
          </cell>
          <cell r="C115">
            <v>42922</v>
          </cell>
          <cell r="D115">
            <v>0.08</v>
          </cell>
          <cell r="E115">
            <v>1</v>
          </cell>
          <cell r="F115">
            <v>0.8</v>
          </cell>
          <cell r="G115">
            <v>6</v>
          </cell>
          <cell r="H115">
            <v>5</v>
          </cell>
          <cell r="I115">
            <v>1</v>
          </cell>
          <cell r="J115">
            <v>5</v>
          </cell>
          <cell r="K115">
            <v>6</v>
          </cell>
          <cell r="M115" t="str">
            <v>D</v>
          </cell>
          <cell r="N115">
            <v>1</v>
          </cell>
          <cell r="Q115">
            <v>1</v>
          </cell>
          <cell r="R115" t="str">
            <v>9e</v>
          </cell>
          <cell r="S115">
            <v>0.03</v>
          </cell>
          <cell r="T115" t="str">
            <v>9e</v>
          </cell>
          <cell r="U115">
            <v>1</v>
          </cell>
          <cell r="V115" t="str">
            <v>9e</v>
          </cell>
          <cell r="W115">
            <v>0.03</v>
          </cell>
          <cell r="X115" t="str">
            <v>9e</v>
          </cell>
          <cell r="Y115" t="str">
            <v>NC</v>
          </cell>
          <cell r="AA115" t="str">
            <v>NC</v>
          </cell>
          <cell r="AC115">
            <v>1</v>
          </cell>
          <cell r="AD115">
            <v>9</v>
          </cell>
          <cell r="AE115">
            <v>1</v>
          </cell>
          <cell r="AF115">
            <v>9</v>
          </cell>
          <cell r="AK115">
            <v>1</v>
          </cell>
          <cell r="AL115" t="str">
            <v>NC</v>
          </cell>
          <cell r="AO115">
            <v>54</v>
          </cell>
          <cell r="AP115">
            <v>150</v>
          </cell>
          <cell r="AQ115">
            <v>7.6150000000000002</v>
          </cell>
          <cell r="AR115">
            <v>40</v>
          </cell>
          <cell r="AS115">
            <v>13</v>
          </cell>
          <cell r="AT115">
            <v>30000</v>
          </cell>
          <cell r="AU115">
            <v>7.9732441471571907</v>
          </cell>
          <cell r="AV115">
            <v>13</v>
          </cell>
          <cell r="AW115">
            <v>3.511744966442953</v>
          </cell>
          <cell r="AX115">
            <v>0.1</v>
          </cell>
          <cell r="AY115">
            <v>0.5</v>
          </cell>
          <cell r="AZ115">
            <v>526000</v>
          </cell>
          <cell r="BA115">
            <v>22</v>
          </cell>
          <cell r="BB115">
            <v>6.6400000000000001E-3</v>
          </cell>
          <cell r="BC115">
            <v>22</v>
          </cell>
          <cell r="BD115">
            <v>0.27173023408086433</v>
          </cell>
          <cell r="BE115">
            <v>92</v>
          </cell>
          <cell r="BF115">
            <v>13</v>
          </cell>
          <cell r="BG115">
            <v>28</v>
          </cell>
          <cell r="BH115">
            <v>2.73</v>
          </cell>
          <cell r="BI115">
            <v>16</v>
          </cell>
          <cell r="BJ115">
            <v>140</v>
          </cell>
          <cell r="BK115" t="str">
            <v>17a</v>
          </cell>
          <cell r="BL115">
            <v>-94.9</v>
          </cell>
          <cell r="BM115">
            <v>17</v>
          </cell>
          <cell r="BO115">
            <v>3.0661966160107378E-2</v>
          </cell>
          <cell r="BS115">
            <v>500</v>
          </cell>
          <cell r="BT115" t="str">
            <v>Ceiling (Medium)</v>
          </cell>
          <cell r="BV115">
            <v>1000</v>
          </cell>
          <cell r="BW115" t="str">
            <v>Ceiling (Medium)</v>
          </cell>
          <cell r="BY115">
            <v>3000</v>
          </cell>
          <cell r="BZ115" t="str">
            <v>Ceiling (Medium)</v>
          </cell>
          <cell r="CA115">
            <v>50000</v>
          </cell>
          <cell r="CB115" t="str">
            <v>0.005%</v>
          </cell>
        </row>
        <row r="116">
          <cell r="A116" t="str">
            <v>TRICHLOROBENZENE, 1,2,4-</v>
          </cell>
          <cell r="B116" t="str">
            <v>120-82-1</v>
          </cell>
          <cell r="C116">
            <v>42922</v>
          </cell>
          <cell r="D116">
            <v>0.01</v>
          </cell>
          <cell r="E116">
            <v>1</v>
          </cell>
          <cell r="F116">
            <v>0.09</v>
          </cell>
          <cell r="G116">
            <v>6</v>
          </cell>
          <cell r="H116">
            <v>2E-3</v>
          </cell>
          <cell r="I116">
            <v>6</v>
          </cell>
          <cell r="J116">
            <v>0.02</v>
          </cell>
          <cell r="K116">
            <v>6</v>
          </cell>
          <cell r="M116" t="str">
            <v>D</v>
          </cell>
          <cell r="N116">
            <v>1</v>
          </cell>
          <cell r="Q116">
            <v>1</v>
          </cell>
          <cell r="R116" t="str">
            <v>9e</v>
          </cell>
          <cell r="S116">
            <v>0.03</v>
          </cell>
          <cell r="T116" t="str">
            <v>9e</v>
          </cell>
          <cell r="U116">
            <v>1</v>
          </cell>
          <cell r="V116" t="str">
            <v>9e</v>
          </cell>
          <cell r="W116">
            <v>0.03</v>
          </cell>
          <cell r="X116" t="str">
            <v>9e</v>
          </cell>
          <cell r="Y116" t="str">
            <v>NC</v>
          </cell>
          <cell r="AA116" t="str">
            <v>NC</v>
          </cell>
          <cell r="AC116">
            <v>1</v>
          </cell>
          <cell r="AD116">
            <v>9</v>
          </cell>
          <cell r="AE116">
            <v>1</v>
          </cell>
          <cell r="AF116">
            <v>9</v>
          </cell>
          <cell r="AK116">
            <v>1</v>
          </cell>
          <cell r="AL116" t="str">
            <v>NC</v>
          </cell>
          <cell r="AO116">
            <v>3.4</v>
          </cell>
          <cell r="AP116">
            <v>15</v>
          </cell>
          <cell r="AQ116">
            <v>0.08</v>
          </cell>
          <cell r="AT116">
            <v>22000</v>
          </cell>
          <cell r="AU116">
            <v>2.9719790338574863</v>
          </cell>
          <cell r="AV116">
            <v>27</v>
          </cell>
          <cell r="AW116">
            <v>0</v>
          </cell>
          <cell r="AX116">
            <v>0.1</v>
          </cell>
          <cell r="AY116">
            <v>1</v>
          </cell>
          <cell r="AZ116">
            <v>49000</v>
          </cell>
          <cell r="BA116">
            <v>22</v>
          </cell>
          <cell r="BB116">
            <v>1.42E-3</v>
          </cell>
          <cell r="BC116">
            <v>22</v>
          </cell>
          <cell r="BD116">
            <v>5.8110983794401702E-2</v>
          </cell>
          <cell r="BE116">
            <v>181</v>
          </cell>
          <cell r="BF116">
            <v>11</v>
          </cell>
          <cell r="BH116">
            <v>4.0199999999999996</v>
          </cell>
          <cell r="BI116">
            <v>16</v>
          </cell>
          <cell r="BJ116">
            <v>1660</v>
          </cell>
          <cell r="BK116" t="str">
            <v>17a</v>
          </cell>
          <cell r="BL116">
            <v>17</v>
          </cell>
          <cell r="BM116">
            <v>17</v>
          </cell>
          <cell r="BO116">
            <v>6.9119406439804909E-2</v>
          </cell>
          <cell r="BS116">
            <v>1000</v>
          </cell>
          <cell r="BT116" t="str">
            <v>Ceiling (High)</v>
          </cell>
          <cell r="BV116">
            <v>3000</v>
          </cell>
          <cell r="BW116" t="str">
            <v>Ceiling (High)</v>
          </cell>
          <cell r="BY116">
            <v>5000</v>
          </cell>
          <cell r="BZ116" t="str">
            <v>Ceiling (High)</v>
          </cell>
          <cell r="CA116">
            <v>50000</v>
          </cell>
          <cell r="CB116" t="str">
            <v>0.005%</v>
          </cell>
        </row>
        <row r="117">
          <cell r="A117" t="str">
            <v>TRICHLOROETHANE, 1,1,1-</v>
          </cell>
          <cell r="B117" t="str">
            <v>71-55-6</v>
          </cell>
          <cell r="C117">
            <v>42922</v>
          </cell>
          <cell r="D117">
            <v>2</v>
          </cell>
          <cell r="E117">
            <v>1</v>
          </cell>
          <cell r="F117">
            <v>7</v>
          </cell>
          <cell r="G117">
            <v>1</v>
          </cell>
          <cell r="H117">
            <v>5</v>
          </cell>
          <cell r="I117">
            <v>1</v>
          </cell>
          <cell r="J117">
            <v>5</v>
          </cell>
          <cell r="K117">
            <v>1</v>
          </cell>
          <cell r="M117" t="str">
            <v>D</v>
          </cell>
          <cell r="N117">
            <v>1</v>
          </cell>
          <cell r="Q117">
            <v>1</v>
          </cell>
          <cell r="R117" t="str">
            <v>9e</v>
          </cell>
          <cell r="S117">
            <v>0.03</v>
          </cell>
          <cell r="T117" t="str">
            <v>9e</v>
          </cell>
          <cell r="U117">
            <v>1</v>
          </cell>
          <cell r="V117" t="str">
            <v>9e</v>
          </cell>
          <cell r="W117">
            <v>0.03</v>
          </cell>
          <cell r="X117" t="str">
            <v>9e</v>
          </cell>
          <cell r="Y117" t="str">
            <v>NC</v>
          </cell>
          <cell r="AA117" t="str">
            <v>NC</v>
          </cell>
          <cell r="AC117">
            <v>1</v>
          </cell>
          <cell r="AD117">
            <v>9</v>
          </cell>
          <cell r="AE117">
            <v>1</v>
          </cell>
          <cell r="AF117">
            <v>9</v>
          </cell>
          <cell r="AK117">
            <v>1</v>
          </cell>
          <cell r="AL117" t="str">
            <v>NC</v>
          </cell>
          <cell r="AO117">
            <v>3</v>
          </cell>
          <cell r="AP117">
            <v>20</v>
          </cell>
          <cell r="AQ117">
            <v>3.67</v>
          </cell>
          <cell r="AR117">
            <v>50000</v>
          </cell>
          <cell r="AS117">
            <v>24</v>
          </cell>
          <cell r="AT117">
            <v>65127</v>
          </cell>
          <cell r="AU117">
            <v>11.973222903412374</v>
          </cell>
          <cell r="AV117">
            <v>13</v>
          </cell>
          <cell r="AW117">
            <v>8.3519701258965089</v>
          </cell>
          <cell r="AX117">
            <v>0.1</v>
          </cell>
          <cell r="AY117">
            <v>1.5</v>
          </cell>
          <cell r="AZ117">
            <v>1290000</v>
          </cell>
          <cell r="BA117">
            <v>22</v>
          </cell>
          <cell r="BB117">
            <v>1.72E-2</v>
          </cell>
          <cell r="BC117">
            <v>22</v>
          </cell>
          <cell r="BD117">
            <v>0.70387952201669668</v>
          </cell>
          <cell r="BE117">
            <v>133</v>
          </cell>
          <cell r="BF117">
            <v>13</v>
          </cell>
          <cell r="BG117">
            <v>100</v>
          </cell>
          <cell r="BH117">
            <v>2.4900000000000002</v>
          </cell>
          <cell r="BI117">
            <v>16</v>
          </cell>
          <cell r="BJ117">
            <v>135</v>
          </cell>
          <cell r="BK117" t="str">
            <v>17a</v>
          </cell>
          <cell r="BL117">
            <v>-30.4</v>
          </cell>
          <cell r="BM117">
            <v>17</v>
          </cell>
          <cell r="BO117">
            <v>1.2548736499304816E-2</v>
          </cell>
          <cell r="BS117">
            <v>500</v>
          </cell>
          <cell r="BT117" t="str">
            <v>Ceiling (Medium)</v>
          </cell>
          <cell r="BV117">
            <v>1000</v>
          </cell>
          <cell r="BW117" t="str">
            <v>Ceiling (Medium)</v>
          </cell>
          <cell r="BY117">
            <v>3000</v>
          </cell>
          <cell r="BZ117" t="str">
            <v>Ceiling (Medium)</v>
          </cell>
          <cell r="CA117">
            <v>50000</v>
          </cell>
          <cell r="CB117" t="str">
            <v>0.005%</v>
          </cell>
        </row>
        <row r="118">
          <cell r="A118" t="str">
            <v>TRICHLOROETHANE, 1,1,2-</v>
          </cell>
          <cell r="B118" t="str">
            <v xml:space="preserve">79-00-5 </v>
          </cell>
          <cell r="C118">
            <v>42922</v>
          </cell>
          <cell r="D118">
            <v>4.0000000000000001E-3</v>
          </cell>
          <cell r="E118">
            <v>1</v>
          </cell>
          <cell r="F118">
            <v>4.0000000000000001E-3</v>
          </cell>
          <cell r="G118">
            <v>6</v>
          </cell>
          <cell r="H118">
            <v>7.3999999999999996E-2</v>
          </cell>
          <cell r="I118">
            <v>3</v>
          </cell>
          <cell r="J118">
            <v>7.3999999999999996E-2</v>
          </cell>
          <cell r="K118" t="str">
            <v>7c</v>
          </cell>
          <cell r="L118">
            <v>5.7000000000000002E-2</v>
          </cell>
          <cell r="M118" t="str">
            <v>C</v>
          </cell>
          <cell r="N118">
            <v>1</v>
          </cell>
          <cell r="O118">
            <v>1.5999999999999999E-5</v>
          </cell>
          <cell r="P118">
            <v>1</v>
          </cell>
          <cell r="Q118">
            <v>1</v>
          </cell>
          <cell r="R118" t="str">
            <v>9e</v>
          </cell>
          <cell r="S118">
            <v>0.03</v>
          </cell>
          <cell r="T118" t="str">
            <v>9e</v>
          </cell>
          <cell r="U118">
            <v>1</v>
          </cell>
          <cell r="V118" t="str">
            <v>9e</v>
          </cell>
          <cell r="W118">
            <v>0.03</v>
          </cell>
          <cell r="X118" t="str">
            <v>9e</v>
          </cell>
          <cell r="Y118">
            <v>1</v>
          </cell>
          <cell r="Z118" t="str">
            <v>9e</v>
          </cell>
          <cell r="AA118">
            <v>0.03</v>
          </cell>
          <cell r="AB118" t="str">
            <v>9e</v>
          </cell>
          <cell r="AC118">
            <v>1</v>
          </cell>
          <cell r="AD118">
            <v>9</v>
          </cell>
          <cell r="AE118">
            <v>1</v>
          </cell>
          <cell r="AF118">
            <v>9</v>
          </cell>
          <cell r="AG118">
            <v>1</v>
          </cell>
          <cell r="AH118">
            <v>9</v>
          </cell>
          <cell r="AK118">
            <v>1</v>
          </cell>
          <cell r="AL118">
            <v>1</v>
          </cell>
          <cell r="AO118">
            <v>9.98</v>
          </cell>
          <cell r="AP118">
            <v>10</v>
          </cell>
          <cell r="AQ118">
            <v>1.835</v>
          </cell>
          <cell r="AU118">
            <v>0</v>
          </cell>
          <cell r="AW118">
            <v>0</v>
          </cell>
          <cell r="AX118">
            <v>0.1</v>
          </cell>
          <cell r="AY118">
            <v>0.5</v>
          </cell>
          <cell r="AZ118">
            <v>4590000</v>
          </cell>
          <cell r="BA118">
            <v>22</v>
          </cell>
          <cell r="BB118">
            <v>8.2399999999999997E-4</v>
          </cell>
          <cell r="BC118">
            <v>22</v>
          </cell>
          <cell r="BD118">
            <v>3.3720739891962677E-2</v>
          </cell>
          <cell r="BE118">
            <v>133</v>
          </cell>
          <cell r="BF118">
            <v>13</v>
          </cell>
          <cell r="BG118">
            <v>25</v>
          </cell>
          <cell r="BH118">
            <v>1.89</v>
          </cell>
          <cell r="BI118">
            <v>16</v>
          </cell>
          <cell r="BJ118">
            <v>75</v>
          </cell>
          <cell r="BK118" t="str">
            <v>17a</v>
          </cell>
          <cell r="BL118">
            <v>-36.6</v>
          </cell>
          <cell r="BM118">
            <v>17</v>
          </cell>
          <cell r="BO118">
            <v>5.0419670131853726E-3</v>
          </cell>
          <cell r="BS118">
            <v>100</v>
          </cell>
          <cell r="BT118" t="str">
            <v>Ceiling (Low)</v>
          </cell>
          <cell r="BV118">
            <v>500</v>
          </cell>
          <cell r="BW118" t="str">
            <v>Ceiling (Low)</v>
          </cell>
          <cell r="BY118">
            <v>500</v>
          </cell>
          <cell r="BZ118" t="str">
            <v>High Volatility</v>
          </cell>
          <cell r="CA118">
            <v>50000</v>
          </cell>
          <cell r="CB118" t="str">
            <v>0.005%</v>
          </cell>
        </row>
        <row r="119">
          <cell r="A119" t="str">
            <v>TRICHLOROETHYLENE</v>
          </cell>
          <cell r="B119" t="str">
            <v>79-01-6</v>
          </cell>
          <cell r="C119">
            <v>42922</v>
          </cell>
          <cell r="D119">
            <v>5.0000000000000001E-4</v>
          </cell>
          <cell r="E119">
            <v>1</v>
          </cell>
          <cell r="F119">
            <v>5.0000000000000001E-4</v>
          </cell>
          <cell r="G119" t="str">
            <v>1d</v>
          </cell>
          <cell r="H119">
            <v>2E-3</v>
          </cell>
          <cell r="I119">
            <v>1</v>
          </cell>
          <cell r="J119">
            <v>2E-3</v>
          </cell>
          <cell r="K119" t="str">
            <v>1j</v>
          </cell>
          <cell r="L119">
            <v>4.6300000000000001E-2</v>
          </cell>
          <cell r="M119" t="str">
            <v>C-B2</v>
          </cell>
          <cell r="N119">
            <v>1</v>
          </cell>
          <cell r="O119">
            <v>4.0999999999999997E-6</v>
          </cell>
          <cell r="P119">
            <v>1</v>
          </cell>
          <cell r="Q119">
            <v>1</v>
          </cell>
          <cell r="R119" t="str">
            <v>9e</v>
          </cell>
          <cell r="S119">
            <v>0.03</v>
          </cell>
          <cell r="T119" t="str">
            <v>9e</v>
          </cell>
          <cell r="U119">
            <v>1</v>
          </cell>
          <cell r="V119" t="str">
            <v>9e</v>
          </cell>
          <cell r="W119">
            <v>0.03</v>
          </cell>
          <cell r="X119" t="str">
            <v>9e</v>
          </cell>
          <cell r="Y119">
            <v>1</v>
          </cell>
          <cell r="Z119" t="str">
            <v>9e</v>
          </cell>
          <cell r="AA119">
            <v>0.03</v>
          </cell>
          <cell r="AB119" t="str">
            <v>9e</v>
          </cell>
          <cell r="AC119">
            <v>1</v>
          </cell>
          <cell r="AD119">
            <v>9</v>
          </cell>
          <cell r="AE119">
            <v>1</v>
          </cell>
          <cell r="AF119">
            <v>9</v>
          </cell>
          <cell r="AG119">
            <v>1</v>
          </cell>
          <cell r="AH119">
            <v>9</v>
          </cell>
          <cell r="AJ119" t="str">
            <v>M</v>
          </cell>
          <cell r="AK119">
            <v>1</v>
          </cell>
          <cell r="AL119">
            <v>1</v>
          </cell>
          <cell r="AO119">
            <v>0.8</v>
          </cell>
          <cell r="AP119">
            <v>20</v>
          </cell>
          <cell r="AQ119">
            <v>0.83799999999999997</v>
          </cell>
          <cell r="AR119">
            <v>10000</v>
          </cell>
          <cell r="AS119">
            <v>24</v>
          </cell>
          <cell r="AT119">
            <v>1360000</v>
          </cell>
          <cell r="AU119">
            <v>253.84537091407313</v>
          </cell>
          <cell r="AV119">
            <v>28</v>
          </cell>
          <cell r="AW119">
            <v>0.30333426890051329</v>
          </cell>
          <cell r="AX119">
            <v>5.0000000000000001E-3</v>
          </cell>
          <cell r="AY119">
            <v>2</v>
          </cell>
          <cell r="AZ119">
            <v>1280000</v>
          </cell>
          <cell r="BA119">
            <v>22</v>
          </cell>
          <cell r="BB119">
            <v>9.8499999999999994E-3</v>
          </cell>
          <cell r="BC119">
            <v>22</v>
          </cell>
          <cell r="BD119">
            <v>0.40309379603863149</v>
          </cell>
          <cell r="BE119">
            <v>131</v>
          </cell>
          <cell r="BF119">
            <v>13</v>
          </cell>
          <cell r="BG119">
            <v>77</v>
          </cell>
          <cell r="BH119">
            <v>2.42</v>
          </cell>
          <cell r="BI119">
            <v>16</v>
          </cell>
          <cell r="BJ119">
            <v>94.3</v>
          </cell>
          <cell r="BK119" t="str">
            <v>17a</v>
          </cell>
          <cell r="BL119">
            <v>-84.7</v>
          </cell>
          <cell r="BM119">
            <v>17</v>
          </cell>
          <cell r="BO119">
            <v>1.1577105741152704E-2</v>
          </cell>
          <cell r="BS119">
            <v>500</v>
          </cell>
          <cell r="BT119" t="str">
            <v>Ceiling (Medium)</v>
          </cell>
          <cell r="BV119">
            <v>1000</v>
          </cell>
          <cell r="BW119" t="str">
            <v>Ceiling (Medium)</v>
          </cell>
          <cell r="BY119">
            <v>3000</v>
          </cell>
          <cell r="BZ119" t="str">
            <v>Ceiling (Medium)</v>
          </cell>
          <cell r="CA119">
            <v>50000</v>
          </cell>
          <cell r="CB119" t="str">
            <v>0.005%</v>
          </cell>
        </row>
        <row r="120">
          <cell r="A120" t="str">
            <v>TRICHLOROPHENOL, 2,4,5-</v>
          </cell>
          <cell r="B120" t="str">
            <v>95-95-4</v>
          </cell>
          <cell r="C120">
            <v>42922</v>
          </cell>
          <cell r="D120">
            <v>0.1</v>
          </cell>
          <cell r="E120">
            <v>1</v>
          </cell>
          <cell r="F120">
            <v>0.3</v>
          </cell>
          <cell r="G120">
            <v>6</v>
          </cell>
          <cell r="H120">
            <v>0.35</v>
          </cell>
          <cell r="I120" t="str">
            <v>7b</v>
          </cell>
          <cell r="J120">
            <v>1</v>
          </cell>
          <cell r="K120" t="str">
            <v>7b</v>
          </cell>
          <cell r="Q120">
            <v>1</v>
          </cell>
          <cell r="R120" t="str">
            <v>9e</v>
          </cell>
          <cell r="S120">
            <v>0.3</v>
          </cell>
          <cell r="T120" t="str">
            <v>9b</v>
          </cell>
          <cell r="U120">
            <v>1</v>
          </cell>
          <cell r="V120" t="str">
            <v>9e</v>
          </cell>
          <cell r="W120">
            <v>0.3</v>
          </cell>
          <cell r="X120" t="str">
            <v>9b</v>
          </cell>
          <cell r="Y120" t="str">
            <v>NC</v>
          </cell>
          <cell r="AA120" t="str">
            <v>NC</v>
          </cell>
          <cell r="AC120">
            <v>1</v>
          </cell>
          <cell r="AD120">
            <v>9</v>
          </cell>
          <cell r="AE120">
            <v>1</v>
          </cell>
          <cell r="AF120">
            <v>9</v>
          </cell>
          <cell r="AK120">
            <v>1</v>
          </cell>
          <cell r="AL120" t="str">
            <v>NC</v>
          </cell>
          <cell r="AO120">
            <v>0</v>
          </cell>
          <cell r="AR120">
            <v>200</v>
          </cell>
          <cell r="AS120">
            <v>24</v>
          </cell>
          <cell r="AU120">
            <v>0</v>
          </cell>
          <cell r="AW120">
            <v>0</v>
          </cell>
          <cell r="AX120">
            <v>0.66</v>
          </cell>
          <cell r="AY120">
            <v>10</v>
          </cell>
          <cell r="AZ120">
            <v>1200000</v>
          </cell>
          <cell r="BA120">
            <v>22</v>
          </cell>
          <cell r="BB120">
            <v>1.6199999999999999E-6</v>
          </cell>
          <cell r="BC120">
            <v>22</v>
          </cell>
          <cell r="BD120">
            <v>6.629562939924701E-5</v>
          </cell>
          <cell r="BE120">
            <v>197</v>
          </cell>
          <cell r="BF120">
            <v>11</v>
          </cell>
          <cell r="BH120">
            <v>3.72</v>
          </cell>
          <cell r="BI120">
            <v>17</v>
          </cell>
          <cell r="BJ120">
            <v>298</v>
          </cell>
          <cell r="BK120" t="str">
            <v>17b</v>
          </cell>
          <cell r="BL120">
            <v>69</v>
          </cell>
          <cell r="BM120">
            <v>17</v>
          </cell>
          <cell r="BO120">
            <v>3.5645113342624428E-2</v>
          </cell>
          <cell r="BS120">
            <v>1000</v>
          </cell>
          <cell r="BT120" t="str">
            <v>Ceiling (High)</v>
          </cell>
          <cell r="BV120">
            <v>3000</v>
          </cell>
          <cell r="BW120" t="str">
            <v>Ceiling (High)</v>
          </cell>
          <cell r="BY120">
            <v>5000</v>
          </cell>
          <cell r="BZ120" t="str">
            <v>Ceiling (High)</v>
          </cell>
          <cell r="CA120">
            <v>50000</v>
          </cell>
          <cell r="CB120" t="str">
            <v>0.005%</v>
          </cell>
        </row>
        <row r="121">
          <cell r="A121" t="str">
            <v>TRICHLOROPHENOL 2,4,6-</v>
          </cell>
          <cell r="B121" t="str">
            <v>88-06-2</v>
          </cell>
          <cell r="C121">
            <v>42922</v>
          </cell>
          <cell r="D121">
            <v>1E-3</v>
          </cell>
          <cell r="E121">
            <v>6</v>
          </cell>
          <cell r="F121">
            <v>0.01</v>
          </cell>
          <cell r="G121" t="str">
            <v>6d</v>
          </cell>
          <cell r="H121">
            <v>4.0000000000000001E-3</v>
          </cell>
          <cell r="I121" t="str">
            <v>7b</v>
          </cell>
          <cell r="J121">
            <v>0.04</v>
          </cell>
          <cell r="K121" t="str">
            <v>7b</v>
          </cell>
          <cell r="L121">
            <v>1.0999999999999999E-2</v>
          </cell>
          <cell r="M121" t="str">
            <v>B2</v>
          </cell>
          <cell r="N121">
            <v>1</v>
          </cell>
          <cell r="O121">
            <v>3.1E-6</v>
          </cell>
          <cell r="P121">
            <v>1</v>
          </cell>
          <cell r="Q121">
            <v>1</v>
          </cell>
          <cell r="R121" t="str">
            <v>9e</v>
          </cell>
          <cell r="S121">
            <v>0.3</v>
          </cell>
          <cell r="T121" t="str">
            <v>9b</v>
          </cell>
          <cell r="U121">
            <v>1</v>
          </cell>
          <cell r="V121" t="str">
            <v>9e</v>
          </cell>
          <cell r="W121">
            <v>0.3</v>
          </cell>
          <cell r="X121" t="str">
            <v>9b</v>
          </cell>
          <cell r="Y121">
            <v>1</v>
          </cell>
          <cell r="Z121" t="str">
            <v>9e</v>
          </cell>
          <cell r="AA121">
            <v>0.3</v>
          </cell>
          <cell r="AB121" t="str">
            <v>9b</v>
          </cell>
          <cell r="AC121">
            <v>1</v>
          </cell>
          <cell r="AD121">
            <v>9</v>
          </cell>
          <cell r="AE121">
            <v>1</v>
          </cell>
          <cell r="AF121">
            <v>9</v>
          </cell>
          <cell r="AG121">
            <v>1</v>
          </cell>
          <cell r="AH121">
            <v>9</v>
          </cell>
          <cell r="AK121">
            <v>1</v>
          </cell>
          <cell r="AL121">
            <v>1</v>
          </cell>
          <cell r="AO121">
            <v>0</v>
          </cell>
          <cell r="AR121">
            <v>100</v>
          </cell>
          <cell r="AS121">
            <v>13</v>
          </cell>
          <cell r="AT121">
            <v>0.3</v>
          </cell>
          <cell r="AU121">
            <v>3.7235454900429518E-5</v>
          </cell>
          <cell r="AV121">
            <v>13</v>
          </cell>
          <cell r="AW121">
            <v>0</v>
          </cell>
          <cell r="AX121">
            <v>0.66</v>
          </cell>
          <cell r="AY121">
            <v>10</v>
          </cell>
          <cell r="AZ121">
            <v>800000</v>
          </cell>
          <cell r="BA121">
            <v>22</v>
          </cell>
          <cell r="BB121">
            <v>2.6000000000000001E-6</v>
          </cell>
          <cell r="BC121">
            <v>22</v>
          </cell>
          <cell r="BD121">
            <v>1.0640039286298905E-4</v>
          </cell>
          <cell r="BE121">
            <v>197</v>
          </cell>
          <cell r="BF121">
            <v>13</v>
          </cell>
          <cell r="BH121">
            <v>3.69</v>
          </cell>
          <cell r="BI121">
            <v>16</v>
          </cell>
          <cell r="BJ121">
            <v>131</v>
          </cell>
          <cell r="BK121" t="str">
            <v>17b</v>
          </cell>
          <cell r="BL121">
            <v>69</v>
          </cell>
          <cell r="BM121">
            <v>17</v>
          </cell>
          <cell r="BO121">
            <v>3.4056498956736098E-2</v>
          </cell>
          <cell r="BS121">
            <v>1000</v>
          </cell>
          <cell r="BT121" t="str">
            <v>Ceiling (High)</v>
          </cell>
          <cell r="BV121">
            <v>3000</v>
          </cell>
          <cell r="BW121" t="str">
            <v>Ceiling (High)</v>
          </cell>
          <cell r="BY121">
            <v>5000</v>
          </cell>
          <cell r="BZ121" t="str">
            <v>Ceiling (High)</v>
          </cell>
          <cell r="CA121">
            <v>50000</v>
          </cell>
          <cell r="CB121" t="str">
            <v>0.005%</v>
          </cell>
        </row>
        <row r="122">
          <cell r="A122" t="str">
            <v>VANADIUM</v>
          </cell>
          <cell r="B122" t="str">
            <v>7440-62-2</v>
          </cell>
          <cell r="C122">
            <v>42922</v>
          </cell>
          <cell r="D122">
            <v>8.9999999999999993E-3</v>
          </cell>
          <cell r="E122">
            <v>1</v>
          </cell>
          <cell r="F122">
            <v>8.9999999999999993E-3</v>
          </cell>
          <cell r="G122" t="str">
            <v>1d</v>
          </cell>
          <cell r="H122">
            <v>1E-3</v>
          </cell>
          <cell r="I122">
            <v>3</v>
          </cell>
          <cell r="J122">
            <v>1E-3</v>
          </cell>
          <cell r="K122" t="str">
            <v>7c</v>
          </cell>
          <cell r="Q122">
            <v>1</v>
          </cell>
          <cell r="R122" t="str">
            <v>9e</v>
          </cell>
          <cell r="S122">
            <v>0.1</v>
          </cell>
          <cell r="T122" t="str">
            <v>9e</v>
          </cell>
          <cell r="U122">
            <v>1</v>
          </cell>
          <cell r="V122" t="str">
            <v>9e</v>
          </cell>
          <cell r="W122">
            <v>0.1</v>
          </cell>
          <cell r="X122" t="str">
            <v>9e</v>
          </cell>
          <cell r="Y122" t="str">
            <v>NC</v>
          </cell>
          <cell r="AA122" t="str">
            <v>NC</v>
          </cell>
          <cell r="AC122">
            <v>1</v>
          </cell>
          <cell r="AD122">
            <v>9</v>
          </cell>
          <cell r="AE122">
            <v>1</v>
          </cell>
          <cell r="AF122">
            <v>9</v>
          </cell>
          <cell r="AI122">
            <v>30</v>
          </cell>
          <cell r="AK122">
            <v>0.05</v>
          </cell>
          <cell r="AL122" t="str">
            <v>NC</v>
          </cell>
          <cell r="AM122">
            <v>30</v>
          </cell>
          <cell r="AO122">
            <v>0</v>
          </cell>
          <cell r="AU122">
            <v>0</v>
          </cell>
          <cell r="AW122">
            <v>0</v>
          </cell>
          <cell r="AX122">
            <v>0</v>
          </cell>
          <cell r="AY122">
            <v>8</v>
          </cell>
          <cell r="AZ122">
            <v>0</v>
          </cell>
          <cell r="BD122">
            <v>0</v>
          </cell>
          <cell r="BE122">
            <v>51</v>
          </cell>
          <cell r="BF122">
            <v>13</v>
          </cell>
          <cell r="BO122">
            <v>1E-3</v>
          </cell>
          <cell r="BS122">
            <v>1000</v>
          </cell>
          <cell r="BT122" t="str">
            <v>Ceiling (High)</v>
          </cell>
          <cell r="BV122">
            <v>3000</v>
          </cell>
          <cell r="BW122" t="str">
            <v>Ceiling (High)</v>
          </cell>
          <cell r="BY122">
            <v>5000</v>
          </cell>
          <cell r="BZ122" t="str">
            <v>Ceiling (High)</v>
          </cell>
          <cell r="CA122">
            <v>50000</v>
          </cell>
          <cell r="CB122" t="str">
            <v>0.005%</v>
          </cell>
          <cell r="CC122" t="str">
            <v>Y</v>
          </cell>
        </row>
        <row r="123">
          <cell r="A123" t="str">
            <v>VINYL CHLORIDE</v>
          </cell>
          <cell r="B123" t="str">
            <v>75-01-4</v>
          </cell>
          <cell r="C123">
            <v>42922</v>
          </cell>
          <cell r="D123">
            <v>3.0000000000000001E-3</v>
          </cell>
          <cell r="E123">
            <v>1</v>
          </cell>
          <cell r="F123">
            <v>3.0000000000000001E-3</v>
          </cell>
          <cell r="G123" t="str">
            <v>1d</v>
          </cell>
          <cell r="H123">
            <v>0.1</v>
          </cell>
          <cell r="I123">
            <v>1</v>
          </cell>
          <cell r="J123">
            <v>0.1</v>
          </cell>
          <cell r="K123" t="str">
            <v>7c</v>
          </cell>
          <cell r="L123">
            <v>0.72</v>
          </cell>
          <cell r="M123" t="str">
            <v>A</v>
          </cell>
          <cell r="N123">
            <v>1</v>
          </cell>
          <cell r="O123">
            <v>4.4000000000000002E-6</v>
          </cell>
          <cell r="P123">
            <v>1</v>
          </cell>
          <cell r="Q123">
            <v>1</v>
          </cell>
          <cell r="R123" t="str">
            <v>9e</v>
          </cell>
          <cell r="S123">
            <v>0.03</v>
          </cell>
          <cell r="T123" t="str">
            <v>9e</v>
          </cell>
          <cell r="U123">
            <v>1</v>
          </cell>
          <cell r="V123" t="str">
            <v>9e</v>
          </cell>
          <cell r="W123">
            <v>0.03</v>
          </cell>
          <cell r="X123" t="str">
            <v>9e</v>
          </cell>
          <cell r="Y123">
            <v>1</v>
          </cell>
          <cell r="Z123" t="str">
            <v>9e</v>
          </cell>
          <cell r="AA123">
            <v>0.03</v>
          </cell>
          <cell r="AB123" t="str">
            <v>9e</v>
          </cell>
          <cell r="AC123">
            <v>1</v>
          </cell>
          <cell r="AD123">
            <v>9</v>
          </cell>
          <cell r="AE123">
            <v>1</v>
          </cell>
          <cell r="AF123">
            <v>9</v>
          </cell>
          <cell r="AG123">
            <v>1</v>
          </cell>
          <cell r="AH123">
            <v>9</v>
          </cell>
          <cell r="AJ123" t="str">
            <v>M</v>
          </cell>
          <cell r="AK123">
            <v>0.98</v>
          </cell>
          <cell r="AL123">
            <v>0.64</v>
          </cell>
          <cell r="AO123">
            <v>0</v>
          </cell>
          <cell r="AR123">
            <v>3400</v>
          </cell>
          <cell r="AS123">
            <v>13</v>
          </cell>
          <cell r="AT123">
            <v>771244</v>
          </cell>
          <cell r="AU123">
            <v>299.33181864061856</v>
          </cell>
          <cell r="AV123">
            <v>13</v>
          </cell>
          <cell r="AW123">
            <v>8.61919728987308</v>
          </cell>
          <cell r="AX123">
            <v>0.1</v>
          </cell>
          <cell r="AY123">
            <v>1.5</v>
          </cell>
          <cell r="AZ123">
            <v>8800000</v>
          </cell>
          <cell r="BA123">
            <v>22</v>
          </cell>
          <cell r="BB123">
            <v>2.7799999999999998E-2</v>
          </cell>
          <cell r="BC123">
            <v>22</v>
          </cell>
          <cell r="BD123">
            <v>1.1376657390734981</v>
          </cell>
          <cell r="BE123">
            <v>63</v>
          </cell>
          <cell r="BF123">
            <v>13</v>
          </cell>
          <cell r="BG123">
            <v>2580</v>
          </cell>
          <cell r="BH123">
            <v>1.62</v>
          </cell>
          <cell r="BI123">
            <v>16</v>
          </cell>
          <cell r="BJ123">
            <v>18.600000000000001</v>
          </cell>
          <cell r="BK123" t="str">
            <v>17b</v>
          </cell>
          <cell r="BL123">
            <v>-153.69999999999999</v>
          </cell>
          <cell r="BM123">
            <v>17</v>
          </cell>
          <cell r="BO123">
            <v>8.2489752393533015E-3</v>
          </cell>
          <cell r="BS123">
            <v>500</v>
          </cell>
          <cell r="BT123" t="str">
            <v>Ceiling (Medium)</v>
          </cell>
          <cell r="BV123">
            <v>1000</v>
          </cell>
          <cell r="BW123" t="str">
            <v>Ceiling (Medium)</v>
          </cell>
          <cell r="BY123">
            <v>3000</v>
          </cell>
          <cell r="BZ123" t="str">
            <v>Ceiling (Medium)</v>
          </cell>
          <cell r="CA123">
            <v>50000</v>
          </cell>
          <cell r="CB123" t="str">
            <v>0.005%</v>
          </cell>
        </row>
        <row r="124">
          <cell r="A124" t="str">
            <v>XYLENES (Mixed Isomers)</v>
          </cell>
          <cell r="B124" t="str">
            <v>1330-20-7</v>
          </cell>
          <cell r="C124">
            <v>42922</v>
          </cell>
          <cell r="D124">
            <v>0.2</v>
          </cell>
          <cell r="E124">
            <v>1</v>
          </cell>
          <cell r="F124">
            <v>0.4</v>
          </cell>
          <cell r="G124">
            <v>6</v>
          </cell>
          <cell r="H124">
            <v>0.1</v>
          </cell>
          <cell r="I124">
            <v>1</v>
          </cell>
          <cell r="J124">
            <v>0.4</v>
          </cell>
          <cell r="K124">
            <v>6</v>
          </cell>
          <cell r="M124" t="str">
            <v>D</v>
          </cell>
          <cell r="N124">
            <v>1</v>
          </cell>
          <cell r="Q124">
            <v>1</v>
          </cell>
          <cell r="R124" t="str">
            <v>9e</v>
          </cell>
          <cell r="S124">
            <v>0.03</v>
          </cell>
          <cell r="T124" t="str">
            <v>9e</v>
          </cell>
          <cell r="U124">
            <v>1</v>
          </cell>
          <cell r="V124" t="str">
            <v>9e</v>
          </cell>
          <cell r="W124">
            <v>0.03</v>
          </cell>
          <cell r="X124" t="str">
            <v>9e</v>
          </cell>
          <cell r="Y124" t="str">
            <v>NC</v>
          </cell>
          <cell r="AA124" t="str">
            <v>NC</v>
          </cell>
          <cell r="AC124">
            <v>1</v>
          </cell>
          <cell r="AD124">
            <v>9</v>
          </cell>
          <cell r="AE124">
            <v>1</v>
          </cell>
          <cell r="AF124">
            <v>9</v>
          </cell>
          <cell r="AK124">
            <v>1</v>
          </cell>
          <cell r="AL124" t="str">
            <v>NC</v>
          </cell>
          <cell r="AO124">
            <v>28</v>
          </cell>
          <cell r="AP124">
            <v>40</v>
          </cell>
          <cell r="AQ124">
            <v>16.702999999999999</v>
          </cell>
          <cell r="AR124">
            <v>530</v>
          </cell>
          <cell r="AS124">
            <v>24</v>
          </cell>
          <cell r="AT124">
            <v>441</v>
          </cell>
          <cell r="AU124">
            <v>0.10172656023222058</v>
          </cell>
          <cell r="AV124">
            <v>13</v>
          </cell>
          <cell r="AW124">
            <v>58.981646349815108</v>
          </cell>
          <cell r="AX124">
            <v>0.1</v>
          </cell>
          <cell r="AY124">
            <v>2.5</v>
          </cell>
          <cell r="AZ124">
            <v>106000</v>
          </cell>
          <cell r="BA124">
            <v>22</v>
          </cell>
          <cell r="BB124">
            <v>6.6299999999999996E-3</v>
          </cell>
          <cell r="BC124">
            <v>22</v>
          </cell>
          <cell r="BD124">
            <v>0.27132100180062202</v>
          </cell>
          <cell r="BE124">
            <v>106</v>
          </cell>
          <cell r="BF124">
            <v>13</v>
          </cell>
          <cell r="BG124">
            <v>6</v>
          </cell>
          <cell r="BH124">
            <v>3.16</v>
          </cell>
          <cell r="BI124">
            <v>16</v>
          </cell>
          <cell r="BJ124">
            <v>249.33333333333334</v>
          </cell>
          <cell r="BK124" t="str">
            <v>17a</v>
          </cell>
          <cell r="BL124">
            <v>13.2</v>
          </cell>
          <cell r="BM124">
            <v>17</v>
          </cell>
          <cell r="BO124">
            <v>4.9203953568145137E-2</v>
          </cell>
          <cell r="BS124">
            <v>500</v>
          </cell>
          <cell r="BT124" t="str">
            <v>Ceiling (Medium)</v>
          </cell>
          <cell r="BV124">
            <v>1000</v>
          </cell>
          <cell r="BW124" t="str">
            <v>Ceiling (Medium)</v>
          </cell>
          <cell r="BY124">
            <v>3000</v>
          </cell>
          <cell r="BZ124" t="str">
            <v>Ceiling (Medium)</v>
          </cell>
          <cell r="CA124">
            <v>50000</v>
          </cell>
          <cell r="CB124" t="str">
            <v>0.005%</v>
          </cell>
        </row>
        <row r="125">
          <cell r="A125" t="str">
            <v>ZINC</v>
          </cell>
          <cell r="B125" t="str">
            <v>7440-66-6</v>
          </cell>
          <cell r="C125">
            <v>42923</v>
          </cell>
          <cell r="D125">
            <v>0.3</v>
          </cell>
          <cell r="E125">
            <v>1</v>
          </cell>
          <cell r="F125">
            <v>0.3</v>
          </cell>
          <cell r="G125">
            <v>2</v>
          </cell>
          <cell r="H125">
            <v>1.4E-3</v>
          </cell>
          <cell r="I125" t="str">
            <v>5b</v>
          </cell>
          <cell r="J125">
            <v>1.4E-3</v>
          </cell>
          <cell r="K125" t="str">
            <v>7c</v>
          </cell>
          <cell r="M125" t="str">
            <v>D</v>
          </cell>
          <cell r="N125">
            <v>1</v>
          </cell>
          <cell r="Q125">
            <v>1</v>
          </cell>
          <cell r="R125" t="str">
            <v>9e</v>
          </cell>
          <cell r="S125">
            <v>0.1</v>
          </cell>
          <cell r="T125" t="str">
            <v>9e</v>
          </cell>
          <cell r="U125">
            <v>1</v>
          </cell>
          <cell r="V125" t="str">
            <v>9e</v>
          </cell>
          <cell r="W125">
            <v>0.1</v>
          </cell>
          <cell r="X125" t="str">
            <v>9e</v>
          </cell>
          <cell r="Y125" t="str">
            <v>NC</v>
          </cell>
          <cell r="AA125" t="str">
            <v>NC</v>
          </cell>
          <cell r="AC125">
            <v>1</v>
          </cell>
          <cell r="AD125">
            <v>9</v>
          </cell>
          <cell r="AE125">
            <v>1</v>
          </cell>
          <cell r="AF125">
            <v>9</v>
          </cell>
          <cell r="AI125">
            <v>300</v>
          </cell>
          <cell r="AK125">
            <v>0.46</v>
          </cell>
          <cell r="AL125" t="str">
            <v>NC</v>
          </cell>
          <cell r="AM125">
            <v>100</v>
          </cell>
          <cell r="AO125">
            <v>0</v>
          </cell>
          <cell r="AU125">
            <v>0</v>
          </cell>
          <cell r="AW125">
            <v>0</v>
          </cell>
          <cell r="AX125">
            <v>0.4</v>
          </cell>
          <cell r="AY125">
            <v>2</v>
          </cell>
          <cell r="AZ125">
            <v>0</v>
          </cell>
          <cell r="BE125">
            <v>65</v>
          </cell>
          <cell r="BF125">
            <v>13</v>
          </cell>
          <cell r="BH125">
            <v>-0.47</v>
          </cell>
          <cell r="BJ125">
            <v>0</v>
          </cell>
          <cell r="BO125">
            <v>5.9999999999999995E-4</v>
          </cell>
          <cell r="BP125">
            <v>1.52</v>
          </cell>
          <cell r="BS125">
            <v>1000</v>
          </cell>
          <cell r="BT125" t="str">
            <v>Ceiling (High)</v>
          </cell>
          <cell r="BV125">
            <v>3000</v>
          </cell>
          <cell r="BW125" t="str">
            <v>Ceiling (High)</v>
          </cell>
          <cell r="BY125">
            <v>5000</v>
          </cell>
          <cell r="BZ125" t="str">
            <v>Ceiling (High)</v>
          </cell>
          <cell r="CA125">
            <v>50000</v>
          </cell>
          <cell r="CB125" t="str">
            <v>0.005%</v>
          </cell>
          <cell r="CC125" t="str">
            <v>Y</v>
          </cell>
        </row>
      </sheetData>
      <sheetData sheetId="2">
        <row r="3">
          <cell r="B3" t="str">
            <v>RISK LEVELS</v>
          </cell>
        </row>
        <row r="4">
          <cell r="B4" t="str">
            <v>(all Calculations)</v>
          </cell>
        </row>
        <row r="6">
          <cell r="B6" t="str">
            <v>Target Non-cancer Risk Level:</v>
          </cell>
        </row>
        <row r="8">
          <cell r="C8" t="str">
            <v xml:space="preserve">Hazard Index = </v>
          </cell>
          <cell r="D8">
            <v>0.2</v>
          </cell>
        </row>
        <row r="10">
          <cell r="B10" t="str">
            <v>Target Cancer Risk Level:</v>
          </cell>
        </row>
        <row r="12">
          <cell r="C12" t="str">
            <v>Excess Lifetime Cancer Risk =</v>
          </cell>
          <cell r="D12">
            <v>9.9999999999999995E-7</v>
          </cell>
        </row>
      </sheetData>
      <sheetData sheetId="3">
        <row r="3">
          <cell r="C3" t="str">
            <v>PQL</v>
          </cell>
          <cell r="D3" t="str">
            <v>PQL</v>
          </cell>
        </row>
        <row r="4">
          <cell r="C4" t="str">
            <v>Ground</v>
          </cell>
          <cell r="D4" t="str">
            <v>Soil</v>
          </cell>
        </row>
        <row r="5">
          <cell r="B5" t="str">
            <v>CASRN</v>
          </cell>
          <cell r="C5" t="str">
            <v>Water</v>
          </cell>
        </row>
        <row r="6">
          <cell r="A6" t="str">
            <v>OIL OR HAZARDOUS MATERIAL (OHM)</v>
          </cell>
          <cell r="C6" t="str">
            <v>ug/L</v>
          </cell>
          <cell r="D6" t="str">
            <v>mg/kg</v>
          </cell>
          <cell r="E6" t="str">
            <v>Ref</v>
          </cell>
        </row>
        <row r="7">
          <cell r="A7" t="str">
            <v>ACENAPHTHENE</v>
          </cell>
          <cell r="B7" t="str">
            <v>83-32-9</v>
          </cell>
          <cell r="C7">
            <v>10</v>
          </cell>
          <cell r="D7">
            <v>0.66</v>
          </cell>
          <cell r="E7" t="str">
            <v>10b</v>
          </cell>
        </row>
        <row r="8">
          <cell r="A8" t="str">
            <v>ACENAPHTHYLENE</v>
          </cell>
          <cell r="B8" t="str">
            <v>208-96-8</v>
          </cell>
          <cell r="C8">
            <v>0.5</v>
          </cell>
          <cell r="D8">
            <v>0.66</v>
          </cell>
          <cell r="E8" t="str">
            <v>10b</v>
          </cell>
        </row>
        <row r="9">
          <cell r="A9" t="str">
            <v>ACETONE</v>
          </cell>
          <cell r="B9" t="str">
            <v>67-64-1</v>
          </cell>
          <cell r="C9">
            <v>100</v>
          </cell>
          <cell r="D9">
            <v>0.1</v>
          </cell>
          <cell r="E9" t="str">
            <v>10b</v>
          </cell>
        </row>
        <row r="10">
          <cell r="A10" t="str">
            <v>ALDRIN</v>
          </cell>
          <cell r="B10" t="str">
            <v>309-00-2</v>
          </cell>
          <cell r="C10">
            <v>0.5</v>
          </cell>
          <cell r="D10">
            <v>2.6800000000000001E-3</v>
          </cell>
          <cell r="E10" t="str">
            <v>10b</v>
          </cell>
        </row>
        <row r="11">
          <cell r="A11" t="str">
            <v>ANTHRACENE</v>
          </cell>
          <cell r="B11" t="str">
            <v>120-12-7</v>
          </cell>
          <cell r="C11">
            <v>0.5</v>
          </cell>
          <cell r="D11">
            <v>0.66</v>
          </cell>
          <cell r="E11" t="str">
            <v>10b</v>
          </cell>
        </row>
        <row r="12">
          <cell r="A12" t="str">
            <v>ANTIMONY</v>
          </cell>
          <cell r="B12" t="str">
            <v>7440-36-0</v>
          </cell>
          <cell r="C12">
            <v>32</v>
          </cell>
          <cell r="D12">
            <v>6.4</v>
          </cell>
          <cell r="E12" t="str">
            <v>10a</v>
          </cell>
        </row>
        <row r="13">
          <cell r="A13" t="str">
            <v>ARSENIC</v>
          </cell>
          <cell r="B13" t="str">
            <v>7440-38-2</v>
          </cell>
          <cell r="C13">
            <v>50</v>
          </cell>
          <cell r="D13">
            <v>10.6</v>
          </cell>
          <cell r="E13" t="str">
            <v>10d</v>
          </cell>
        </row>
        <row r="14">
          <cell r="A14" t="str">
            <v>BARIUM</v>
          </cell>
          <cell r="B14" t="str">
            <v>7440-39-3</v>
          </cell>
          <cell r="C14">
            <v>2</v>
          </cell>
        </row>
        <row r="15">
          <cell r="A15" t="str">
            <v>BENZENE</v>
          </cell>
          <cell r="B15" t="str">
            <v>71-43-2</v>
          </cell>
          <cell r="C15">
            <v>0.5</v>
          </cell>
          <cell r="D15">
            <v>0.1</v>
          </cell>
          <cell r="E15" t="str">
            <v>10b</v>
          </cell>
        </row>
        <row r="16">
          <cell r="A16" t="str">
            <v>BENZO(a)ANTHRACENE</v>
          </cell>
          <cell r="B16" t="str">
            <v>56-55-3</v>
          </cell>
          <cell r="C16">
            <v>1</v>
          </cell>
          <cell r="D16">
            <v>0.66</v>
          </cell>
          <cell r="E16" t="str">
            <v>10b</v>
          </cell>
        </row>
        <row r="17">
          <cell r="A17" t="str">
            <v>BENZO(a)PYRENE</v>
          </cell>
          <cell r="B17" t="str">
            <v>50-32-8</v>
          </cell>
          <cell r="C17">
            <v>0.5</v>
          </cell>
          <cell r="D17">
            <v>0.66</v>
          </cell>
          <cell r="E17" t="str">
            <v>10b</v>
          </cell>
        </row>
        <row r="18">
          <cell r="A18" t="str">
            <v>BENZO(b)FLUORANTHENE</v>
          </cell>
          <cell r="B18" t="str">
            <v>205-99-2</v>
          </cell>
          <cell r="C18">
            <v>1</v>
          </cell>
          <cell r="D18">
            <v>0.66</v>
          </cell>
          <cell r="E18" t="str">
            <v>10b</v>
          </cell>
        </row>
        <row r="19">
          <cell r="A19" t="str">
            <v>BENZO(g,h,i)PERYLENE</v>
          </cell>
          <cell r="B19" t="str">
            <v>191-24-2</v>
          </cell>
          <cell r="C19">
            <v>0.5</v>
          </cell>
          <cell r="D19">
            <v>0.66</v>
          </cell>
          <cell r="E19" t="str">
            <v>10b</v>
          </cell>
        </row>
        <row r="20">
          <cell r="A20" t="str">
            <v>BENZO(k)FLUORANTHENE</v>
          </cell>
          <cell r="B20" t="str">
            <v>207-08-9</v>
          </cell>
          <cell r="C20">
            <v>1</v>
          </cell>
          <cell r="D20">
            <v>0.66</v>
          </cell>
          <cell r="E20" t="str">
            <v>10b</v>
          </cell>
        </row>
        <row r="21">
          <cell r="A21" t="str">
            <v>BERYLLIUM</v>
          </cell>
          <cell r="B21" t="str">
            <v>7440-41-7</v>
          </cell>
          <cell r="C21">
            <v>0.3</v>
          </cell>
          <cell r="D21">
            <v>0.06</v>
          </cell>
          <cell r="E21" t="str">
            <v>10a</v>
          </cell>
        </row>
        <row r="22">
          <cell r="A22" t="str">
            <v>BIPHENYL, 1,1-</v>
          </cell>
          <cell r="B22" t="str">
            <v xml:space="preserve">92-52-4 </v>
          </cell>
          <cell r="C22">
            <v>0.1</v>
          </cell>
          <cell r="D22">
            <v>0.05</v>
          </cell>
          <cell r="E22" t="str">
            <v>10b</v>
          </cell>
        </row>
        <row r="23">
          <cell r="A23" t="str">
            <v>BIS(2-CHLOROETHYL)ETHER</v>
          </cell>
          <cell r="B23" t="str">
            <v>111-44-4</v>
          </cell>
          <cell r="C23">
            <v>28.5</v>
          </cell>
          <cell r="D23">
            <v>0.66</v>
          </cell>
          <cell r="E23" t="str">
            <v>10a</v>
          </cell>
        </row>
        <row r="24">
          <cell r="A24" t="str">
            <v>BIS(2-CHLOROISOPROPYL)ETHER</v>
          </cell>
          <cell r="B24" t="str">
            <v>108-60-1</v>
          </cell>
          <cell r="C24">
            <v>28.5</v>
          </cell>
          <cell r="D24">
            <v>0.66</v>
          </cell>
          <cell r="E24" t="str">
            <v>10a</v>
          </cell>
        </row>
        <row r="25">
          <cell r="A25" t="str">
            <v>BIS(2-ETHYLHEXYL)PHTHALATE</v>
          </cell>
          <cell r="B25" t="str">
            <v>117-81-7</v>
          </cell>
          <cell r="C25">
            <v>4</v>
          </cell>
          <cell r="D25">
            <v>0.66</v>
          </cell>
          <cell r="E25" t="str">
            <v>10b</v>
          </cell>
        </row>
        <row r="26">
          <cell r="A26" t="str">
            <v>BROMODICHLOROMETHANE</v>
          </cell>
          <cell r="B26" t="str">
            <v>75-27-4</v>
          </cell>
          <cell r="C26">
            <v>2.5</v>
          </cell>
          <cell r="D26">
            <v>0.1</v>
          </cell>
          <cell r="E26" t="str">
            <v>10b</v>
          </cell>
        </row>
        <row r="27">
          <cell r="A27" t="str">
            <v>BROMOFORM</v>
          </cell>
          <cell r="B27" t="str">
            <v>75-25-2</v>
          </cell>
          <cell r="C27">
            <v>3.5</v>
          </cell>
          <cell r="D27">
            <v>0.1</v>
          </cell>
          <cell r="E27" t="str">
            <v>10b</v>
          </cell>
        </row>
        <row r="28">
          <cell r="A28" t="str">
            <v>BROMOMETHANE</v>
          </cell>
          <cell r="B28" t="str">
            <v>74-83-9</v>
          </cell>
          <cell r="C28">
            <v>0.55000000000000004</v>
          </cell>
          <cell r="D28">
            <v>0.5</v>
          </cell>
          <cell r="E28" t="str">
            <v>10g</v>
          </cell>
        </row>
        <row r="29">
          <cell r="A29" t="str">
            <v>CADMIUM</v>
          </cell>
          <cell r="B29" t="str">
            <v>7440-43-9</v>
          </cell>
          <cell r="C29">
            <v>4</v>
          </cell>
          <cell r="D29">
            <v>0.8</v>
          </cell>
          <cell r="E29" t="str">
            <v>10a</v>
          </cell>
        </row>
        <row r="30">
          <cell r="A30" t="str">
            <v>CARBON TETRACHLORIDE</v>
          </cell>
          <cell r="B30" t="str">
            <v>56-23-5</v>
          </cell>
          <cell r="C30">
            <v>1.5</v>
          </cell>
          <cell r="D30">
            <v>0.1</v>
          </cell>
          <cell r="E30" t="str">
            <v>10b</v>
          </cell>
        </row>
        <row r="31">
          <cell r="A31" t="str">
            <v>CHLORDANE</v>
          </cell>
          <cell r="B31" t="str">
            <v>12789-03-6</v>
          </cell>
          <cell r="C31">
            <v>1.5</v>
          </cell>
          <cell r="D31">
            <v>0.7</v>
          </cell>
          <cell r="E31" t="str">
            <v>10b</v>
          </cell>
        </row>
        <row r="32">
          <cell r="A32" t="str">
            <v>CHLOROANILINE, p-</v>
          </cell>
          <cell r="B32" t="str">
            <v>106-47-8</v>
          </cell>
          <cell r="C32">
            <v>20</v>
          </cell>
          <cell r="D32">
            <v>1.3</v>
          </cell>
          <cell r="E32" t="str">
            <v>10b</v>
          </cell>
        </row>
        <row r="33">
          <cell r="A33" t="str">
            <v>CHLOROBENZENE</v>
          </cell>
          <cell r="B33" t="str">
            <v>108-90-7</v>
          </cell>
          <cell r="C33">
            <v>0.5</v>
          </cell>
          <cell r="D33">
            <v>0.1</v>
          </cell>
          <cell r="E33" t="str">
            <v>10b</v>
          </cell>
        </row>
        <row r="34">
          <cell r="A34" t="str">
            <v>CHLOROFORM</v>
          </cell>
          <cell r="B34" t="str">
            <v>67-66-3</v>
          </cell>
          <cell r="C34">
            <v>1</v>
          </cell>
          <cell r="D34">
            <v>0.1</v>
          </cell>
          <cell r="E34" t="str">
            <v>10b</v>
          </cell>
        </row>
        <row r="35">
          <cell r="A35" t="str">
            <v>CHLOROPHENOL, 2-</v>
          </cell>
          <cell r="B35" t="str">
            <v>95-57-8</v>
          </cell>
          <cell r="C35">
            <v>10</v>
          </cell>
          <cell r="D35">
            <v>0.66</v>
          </cell>
          <cell r="E35" t="str">
            <v>10b</v>
          </cell>
        </row>
        <row r="36">
          <cell r="A36" t="str">
            <v>CHROMIUM (TOTAL)</v>
          </cell>
          <cell r="B36" t="str">
            <v>7440-47-3</v>
          </cell>
          <cell r="C36">
            <v>0.5</v>
          </cell>
          <cell r="D36">
            <v>0</v>
          </cell>
          <cell r="E36" t="str">
            <v>10b</v>
          </cell>
        </row>
        <row r="37">
          <cell r="A37" t="str">
            <v>CHROMIUM(III)</v>
          </cell>
          <cell r="B37" t="str">
            <v>16065-83-1</v>
          </cell>
          <cell r="C37">
            <v>7</v>
          </cell>
          <cell r="D37">
            <v>1.4</v>
          </cell>
          <cell r="E37" t="str">
            <v>10b</v>
          </cell>
        </row>
        <row r="38">
          <cell r="A38" t="str">
            <v>CHROMIUM(VI)</v>
          </cell>
          <cell r="B38" t="str">
            <v>18540-29-9</v>
          </cell>
          <cell r="C38">
            <v>0.5</v>
          </cell>
          <cell r="D38">
            <v>0</v>
          </cell>
          <cell r="E38" t="str">
            <v>10b</v>
          </cell>
        </row>
        <row r="39">
          <cell r="A39" t="str">
            <v>CHRYSENE</v>
          </cell>
          <cell r="B39" t="str">
            <v>218-01-9</v>
          </cell>
          <cell r="C39">
            <v>1.5</v>
          </cell>
          <cell r="D39">
            <v>0.66</v>
          </cell>
          <cell r="E39" t="str">
            <v>10b</v>
          </cell>
        </row>
        <row r="40">
          <cell r="A40" t="str">
            <v>CYANIDE</v>
          </cell>
          <cell r="B40" t="str">
            <v>57-12-5</v>
          </cell>
          <cell r="C40">
            <v>0.1</v>
          </cell>
          <cell r="D40">
            <v>1</v>
          </cell>
          <cell r="E40" t="str">
            <v>10a</v>
          </cell>
        </row>
        <row r="41">
          <cell r="A41" t="str">
            <v>DIBENZO(a,h)ANTHRACENE</v>
          </cell>
          <cell r="B41" t="str">
            <v xml:space="preserve">53-70-3 </v>
          </cell>
          <cell r="C41">
            <v>0.5</v>
          </cell>
          <cell r="D41">
            <v>0.66</v>
          </cell>
          <cell r="E41" t="str">
            <v>10b</v>
          </cell>
        </row>
        <row r="42">
          <cell r="A42" t="str">
            <v>DIBROMOCHLOROMETHANE</v>
          </cell>
          <cell r="B42" t="str">
            <v>124-48-1</v>
          </cell>
          <cell r="C42">
            <v>2</v>
          </cell>
          <cell r="D42">
            <v>5.0000000000000001E-3</v>
          </cell>
          <cell r="E42" t="str">
            <v>10b</v>
          </cell>
        </row>
        <row r="43">
          <cell r="A43" t="str">
            <v>DICHLOROBENZENE, 1,2-  (o-DCB)</v>
          </cell>
          <cell r="B43" t="str">
            <v>95-50-1</v>
          </cell>
          <cell r="C43">
            <v>5</v>
          </cell>
          <cell r="D43">
            <v>0.66</v>
          </cell>
          <cell r="E43" t="str">
            <v>10b</v>
          </cell>
        </row>
        <row r="44">
          <cell r="A44" t="str">
            <v>DICHLOROBENZENE, 1,3-  (m-DCB)</v>
          </cell>
          <cell r="B44" t="str">
            <v>541-73-1</v>
          </cell>
          <cell r="C44">
            <v>0.6</v>
          </cell>
          <cell r="D44">
            <v>0.66</v>
          </cell>
          <cell r="E44" t="str">
            <v>10b</v>
          </cell>
        </row>
        <row r="45">
          <cell r="A45" t="str">
            <v>DICHLOROBENZENE, 1,4-  (p-DCB)</v>
          </cell>
          <cell r="B45" t="str">
            <v>106-46-7</v>
          </cell>
          <cell r="C45">
            <v>0.2</v>
          </cell>
          <cell r="D45">
            <v>0.66</v>
          </cell>
          <cell r="E45" t="str">
            <v>10b</v>
          </cell>
        </row>
        <row r="46">
          <cell r="A46" t="str">
            <v>DICHLOROBENZIDINE, 3,3'-</v>
          </cell>
          <cell r="B46" t="str">
            <v>91-94-1</v>
          </cell>
          <cell r="C46">
            <v>82.5</v>
          </cell>
          <cell r="D46">
            <v>1.3</v>
          </cell>
          <cell r="E46" t="str">
            <v>10a</v>
          </cell>
        </row>
        <row r="47">
          <cell r="A47" t="str">
            <v>DICHLORODIPHENYL DICHLOROETHANE, P,P'- (DDD)</v>
          </cell>
          <cell r="B47" t="str">
            <v>72-54-8</v>
          </cell>
          <cell r="C47">
            <v>1.2500000000000001E-2</v>
          </cell>
          <cell r="D47">
            <v>7.3699999999999998E-3</v>
          </cell>
          <cell r="E47" t="str">
            <v>10a</v>
          </cell>
        </row>
        <row r="48">
          <cell r="A48" t="str">
            <v>DICHLORODIPHENYLDICHLOROETHYLENE,P,P'- (DDE)</v>
          </cell>
          <cell r="B48" t="str">
            <v>72-55-9</v>
          </cell>
          <cell r="C48">
            <v>0.05</v>
          </cell>
          <cell r="D48">
            <v>2.6800000000000001E-3</v>
          </cell>
          <cell r="E48" t="str">
            <v>10a</v>
          </cell>
        </row>
        <row r="49">
          <cell r="A49" t="str">
            <v>DICHLORODIPHENYLTRICHLOROETHANE, P,P'- (DDT)</v>
          </cell>
          <cell r="B49" t="str">
            <v>50-29-3</v>
          </cell>
          <cell r="C49">
            <v>0.3</v>
          </cell>
          <cell r="D49">
            <v>8.0399999999999985E-3</v>
          </cell>
          <cell r="E49" t="str">
            <v>10a</v>
          </cell>
        </row>
        <row r="50">
          <cell r="A50" t="str">
            <v>DICHLOROETHANE, 1,1-</v>
          </cell>
          <cell r="B50" t="str">
            <v xml:space="preserve">75-34-3 </v>
          </cell>
          <cell r="C50">
            <v>1</v>
          </cell>
          <cell r="D50">
            <v>0.1</v>
          </cell>
          <cell r="E50" t="str">
            <v>10b</v>
          </cell>
        </row>
        <row r="51">
          <cell r="A51" t="str">
            <v>DICHLOROETHANE, 1,2-</v>
          </cell>
          <cell r="B51" t="str">
            <v>107-06-2</v>
          </cell>
          <cell r="C51">
            <v>1</v>
          </cell>
          <cell r="D51">
            <v>0.1</v>
          </cell>
          <cell r="E51" t="str">
            <v>10b</v>
          </cell>
        </row>
        <row r="52">
          <cell r="A52" t="str">
            <v>DICHLOROETHYLENE, 1,1-</v>
          </cell>
          <cell r="B52" t="str">
            <v>75-35-4</v>
          </cell>
          <cell r="C52">
            <v>1</v>
          </cell>
          <cell r="D52">
            <v>0.1</v>
          </cell>
          <cell r="E52" t="str">
            <v>10b</v>
          </cell>
        </row>
        <row r="53">
          <cell r="A53" t="str">
            <v>DICHLOROETHYLENE, CIS-1,2-</v>
          </cell>
          <cell r="B53" t="str">
            <v>156-59-2</v>
          </cell>
          <cell r="C53">
            <v>0.6</v>
          </cell>
          <cell r="D53">
            <v>0.1</v>
          </cell>
          <cell r="E53" t="str">
            <v>10b</v>
          </cell>
        </row>
        <row r="54">
          <cell r="A54" t="str">
            <v>DICHLOROETHYLENE, TRANS-1,2-</v>
          </cell>
          <cell r="B54" t="str">
            <v>156-60-5</v>
          </cell>
          <cell r="C54">
            <v>0.3</v>
          </cell>
          <cell r="D54">
            <v>0.1</v>
          </cell>
          <cell r="E54" t="str">
            <v>10b</v>
          </cell>
        </row>
        <row r="55">
          <cell r="A55" t="str">
            <v>DICHLOROMETHANE</v>
          </cell>
          <cell r="B55" t="str">
            <v>75-09-2</v>
          </cell>
          <cell r="C55">
            <v>5</v>
          </cell>
          <cell r="D55">
            <v>0.1</v>
          </cell>
          <cell r="E55" t="str">
            <v>10b</v>
          </cell>
        </row>
        <row r="56">
          <cell r="A56" t="str">
            <v>DICHLOROPHENOL, 2,4-</v>
          </cell>
          <cell r="B56" t="str">
            <v>120-83-2</v>
          </cell>
          <cell r="C56">
            <v>13.5</v>
          </cell>
          <cell r="D56">
            <v>0.66</v>
          </cell>
          <cell r="E56" t="str">
            <v>10a</v>
          </cell>
        </row>
        <row r="57">
          <cell r="A57" t="str">
            <v>DICHLOROPROPANE, 1,2-</v>
          </cell>
          <cell r="B57" t="str">
            <v>78-87-5</v>
          </cell>
          <cell r="C57">
            <v>1</v>
          </cell>
          <cell r="D57">
            <v>0.1</v>
          </cell>
          <cell r="E57" t="str">
            <v>10b</v>
          </cell>
        </row>
        <row r="58">
          <cell r="A58" t="str">
            <v>DICHLOROPROPENE, 1,3-</v>
          </cell>
          <cell r="B58" t="str">
            <v>542-75-6</v>
          </cell>
          <cell r="C58">
            <v>5</v>
          </cell>
          <cell r="D58">
            <v>5.0000000000000001E-3</v>
          </cell>
          <cell r="E58" t="str">
            <v>10b</v>
          </cell>
        </row>
        <row r="59">
          <cell r="A59" t="str">
            <v>DIELDRIN</v>
          </cell>
          <cell r="B59" t="str">
            <v>60-57-1</v>
          </cell>
          <cell r="C59">
            <v>0.1</v>
          </cell>
          <cell r="D59">
            <v>1.34E-3</v>
          </cell>
          <cell r="E59" t="str">
            <v>10a</v>
          </cell>
        </row>
        <row r="60">
          <cell r="A60" t="str">
            <v>DIETHYL PHTHALATE</v>
          </cell>
          <cell r="B60" t="str">
            <v>84-66-2</v>
          </cell>
          <cell r="C60">
            <v>4</v>
          </cell>
          <cell r="D60">
            <v>0.66</v>
          </cell>
          <cell r="E60" t="str">
            <v>10b</v>
          </cell>
        </row>
        <row r="61">
          <cell r="A61" t="str">
            <v>DIMETHYL PHTHALATE</v>
          </cell>
          <cell r="B61" t="str">
            <v>131-11-3</v>
          </cell>
          <cell r="C61">
            <v>1.5</v>
          </cell>
          <cell r="D61">
            <v>0.66</v>
          </cell>
          <cell r="E61" t="str">
            <v>10b</v>
          </cell>
        </row>
        <row r="62">
          <cell r="A62" t="str">
            <v>DIMETHYLPHENOL, 2,4-</v>
          </cell>
          <cell r="B62" t="str">
            <v>105-67-9</v>
          </cell>
          <cell r="C62">
            <v>13.5</v>
          </cell>
          <cell r="D62">
            <v>0.66</v>
          </cell>
          <cell r="E62" t="str">
            <v>10a</v>
          </cell>
        </row>
        <row r="63">
          <cell r="A63" t="str">
            <v>DINITROPHENOL, 2,4-</v>
          </cell>
          <cell r="B63" t="str">
            <v>51-28-5</v>
          </cell>
          <cell r="C63">
            <v>210</v>
          </cell>
          <cell r="D63">
            <v>3.3</v>
          </cell>
          <cell r="E63" t="str">
            <v>10a</v>
          </cell>
        </row>
        <row r="64">
          <cell r="A64" t="str">
            <v>DINITROTOLUENE, 2,4-</v>
          </cell>
          <cell r="B64" t="str">
            <v>121-14-2</v>
          </cell>
          <cell r="C64">
            <v>28.5</v>
          </cell>
          <cell r="D64">
            <v>0.66</v>
          </cell>
          <cell r="E64" t="str">
            <v>10a</v>
          </cell>
        </row>
        <row r="65">
          <cell r="A65" t="str">
            <v>DIOXANE, 1,4-</v>
          </cell>
          <cell r="B65" t="str">
            <v>123-91-1</v>
          </cell>
          <cell r="C65">
            <v>0.04</v>
          </cell>
          <cell r="D65">
            <v>0.15</v>
          </cell>
          <cell r="E65" t="str">
            <v>10e</v>
          </cell>
        </row>
        <row r="66">
          <cell r="A66" t="str">
            <v>ENDOSULFAN</v>
          </cell>
          <cell r="B66" t="str">
            <v>115-29-7</v>
          </cell>
          <cell r="C66">
            <v>0.12</v>
          </cell>
          <cell r="D66">
            <v>9.3800000000000012E-3</v>
          </cell>
          <cell r="E66" t="str">
            <v>10a</v>
          </cell>
        </row>
        <row r="67">
          <cell r="A67" t="str">
            <v>ENDRIN</v>
          </cell>
          <cell r="B67" t="str">
            <v>72-20-8</v>
          </cell>
          <cell r="C67">
            <v>5</v>
          </cell>
          <cell r="D67">
            <v>4.0199999999999993E-3</v>
          </cell>
          <cell r="E67" t="str">
            <v>10b</v>
          </cell>
        </row>
        <row r="68">
          <cell r="A68" t="str">
            <v>ETHYLBENZENE</v>
          </cell>
          <cell r="B68" t="str">
            <v>100-41-4</v>
          </cell>
          <cell r="C68">
            <v>0.3</v>
          </cell>
          <cell r="D68">
            <v>0.1</v>
          </cell>
          <cell r="E68" t="str">
            <v>10b</v>
          </cell>
        </row>
        <row r="69">
          <cell r="A69" t="str">
            <v>ETHYLENE DIBROMIDE</v>
          </cell>
          <cell r="B69" t="str">
            <v>106-93-4</v>
          </cell>
          <cell r="C69">
            <v>0.3</v>
          </cell>
          <cell r="D69">
            <v>0.1</v>
          </cell>
          <cell r="E69" t="str">
            <v>10b</v>
          </cell>
        </row>
        <row r="70">
          <cell r="A70" t="str">
            <v>FLUORANTHENE</v>
          </cell>
          <cell r="B70" t="str">
            <v>206-44-0</v>
          </cell>
          <cell r="C70">
            <v>11</v>
          </cell>
          <cell r="D70">
            <v>0.66</v>
          </cell>
          <cell r="E70" t="str">
            <v>10a</v>
          </cell>
        </row>
        <row r="71">
          <cell r="A71" t="str">
            <v>FLUORENE</v>
          </cell>
          <cell r="B71" t="str">
            <v>86-73-7</v>
          </cell>
          <cell r="C71">
            <v>1</v>
          </cell>
          <cell r="D71">
            <v>0.66</v>
          </cell>
          <cell r="E71" t="str">
            <v>10b</v>
          </cell>
        </row>
        <row r="72">
          <cell r="A72" t="str">
            <v>HEPTACHLOR</v>
          </cell>
          <cell r="B72" t="str">
            <v>76-44-8</v>
          </cell>
          <cell r="C72">
            <v>1</v>
          </cell>
          <cell r="D72">
            <v>2.0099999999999996E-3</v>
          </cell>
          <cell r="E72" t="str">
            <v>10b</v>
          </cell>
        </row>
        <row r="73">
          <cell r="A73" t="str">
            <v>HEPTACHLOR EPOXIDE</v>
          </cell>
          <cell r="B73" t="str">
            <v>1024-57-3</v>
          </cell>
          <cell r="C73">
            <v>1.5</v>
          </cell>
          <cell r="D73">
            <v>5.561E-2</v>
          </cell>
          <cell r="E73" t="str">
            <v>10b</v>
          </cell>
        </row>
        <row r="74">
          <cell r="A74" t="str">
            <v>HEXACHLOROBENZENE</v>
          </cell>
          <cell r="B74" t="str">
            <v>118-74-1</v>
          </cell>
          <cell r="C74">
            <v>1</v>
          </cell>
          <cell r="D74">
            <v>0.66</v>
          </cell>
          <cell r="E74" t="str">
            <v>10b</v>
          </cell>
        </row>
        <row r="75">
          <cell r="A75" t="str">
            <v>HEXACHLOROBUTADIENE</v>
          </cell>
          <cell r="B75" t="str">
            <v>87-68-3</v>
          </cell>
          <cell r="C75">
            <v>0.55000000000000004</v>
          </cell>
          <cell r="D75">
            <v>0.66</v>
          </cell>
          <cell r="E75" t="str">
            <v>10b</v>
          </cell>
        </row>
        <row r="76">
          <cell r="A76" t="str">
            <v>HEXACHLOROCYCLOHEXANE, GAMMA (gamma-HCH)</v>
          </cell>
          <cell r="B76" t="str">
            <v>58-89-9</v>
          </cell>
          <cell r="C76">
            <v>0.5</v>
          </cell>
          <cell r="D76">
            <v>2.6800000000000001E-3</v>
          </cell>
          <cell r="E76" t="str">
            <v>10b</v>
          </cell>
        </row>
        <row r="77">
          <cell r="A77" t="str">
            <v>HEXACHLOROETHANE</v>
          </cell>
          <cell r="B77" t="str">
            <v>67-72-1</v>
          </cell>
          <cell r="C77">
            <v>8</v>
          </cell>
          <cell r="D77">
            <v>0.66</v>
          </cell>
          <cell r="E77" t="str">
            <v>10a</v>
          </cell>
        </row>
        <row r="78">
          <cell r="A78" t="str">
            <v>HMX</v>
          </cell>
          <cell r="B78" t="str">
            <v>2691-41-0</v>
          </cell>
          <cell r="C78">
            <v>13</v>
          </cell>
          <cell r="D78">
            <v>2.2000000000000002</v>
          </cell>
        </row>
        <row r="79">
          <cell r="A79" t="str">
            <v>INDENO(1,2,3-cd)PYRENE</v>
          </cell>
          <cell r="B79" t="str">
            <v>193-39-5</v>
          </cell>
          <cell r="C79">
            <v>0.5</v>
          </cell>
          <cell r="D79">
            <v>0.66</v>
          </cell>
          <cell r="E79" t="str">
            <v>10b</v>
          </cell>
        </row>
        <row r="80">
          <cell r="A80" t="str">
            <v>LEAD</v>
          </cell>
          <cell r="B80" t="str">
            <v>7439-92-1</v>
          </cell>
          <cell r="C80">
            <v>1</v>
          </cell>
          <cell r="D80">
            <v>8.4</v>
          </cell>
          <cell r="E80" t="str">
            <v>10a</v>
          </cell>
        </row>
        <row r="81">
          <cell r="A81" t="str">
            <v>MERCURY</v>
          </cell>
          <cell r="B81" t="str">
            <v>7439-97-6</v>
          </cell>
          <cell r="C81">
            <v>0.2</v>
          </cell>
          <cell r="D81">
            <v>0.1</v>
          </cell>
          <cell r="E81" t="str">
            <v>10b</v>
          </cell>
        </row>
        <row r="82">
          <cell r="A82" t="str">
            <v>METHOXYCHLOR</v>
          </cell>
          <cell r="B82" t="str">
            <v>72-43-5</v>
          </cell>
          <cell r="C82">
            <v>1.5</v>
          </cell>
          <cell r="D82">
            <v>0.11792</v>
          </cell>
          <cell r="E82" t="str">
            <v>10b</v>
          </cell>
        </row>
        <row r="83">
          <cell r="A83" t="str">
            <v>METHYL ETHYL KETONE</v>
          </cell>
          <cell r="B83" t="str">
            <v>78-93-3</v>
          </cell>
          <cell r="C83">
            <v>100</v>
          </cell>
          <cell r="D83">
            <v>0.1</v>
          </cell>
          <cell r="E83" t="str">
            <v>10b</v>
          </cell>
        </row>
        <row r="84">
          <cell r="A84" t="str">
            <v>METHYL ISOBUTYL KETONE</v>
          </cell>
          <cell r="B84" t="str">
            <v>108-10-1</v>
          </cell>
          <cell r="C84">
            <v>50</v>
          </cell>
          <cell r="D84">
            <v>0.05</v>
          </cell>
          <cell r="E84" t="str">
            <v>10b</v>
          </cell>
        </row>
        <row r="85">
          <cell r="A85" t="str">
            <v>METHYL MERCURY</v>
          </cell>
          <cell r="B85" t="str">
            <v>22967-92-6</v>
          </cell>
          <cell r="D85">
            <v>0</v>
          </cell>
        </row>
        <row r="86">
          <cell r="A86" t="str">
            <v>METHYL TERT BUTYL ETHER</v>
          </cell>
          <cell r="B86" t="str">
            <v>1634-04-4</v>
          </cell>
          <cell r="C86">
            <v>0.5</v>
          </cell>
          <cell r="D86">
            <v>0.1</v>
          </cell>
          <cell r="E86" t="str">
            <v>10b</v>
          </cell>
        </row>
        <row r="87">
          <cell r="A87" t="str">
            <v>METHYLNAPHTHALENE, 2-</v>
          </cell>
          <cell r="B87" t="str">
            <v>91-57-6</v>
          </cell>
          <cell r="C87">
            <v>10</v>
          </cell>
          <cell r="D87">
            <v>0.66</v>
          </cell>
          <cell r="E87" t="str">
            <v>10b</v>
          </cell>
        </row>
        <row r="88">
          <cell r="A88" t="str">
            <v>NAPHTHALENE</v>
          </cell>
          <cell r="B88" t="str">
            <v>91-20-3</v>
          </cell>
          <cell r="C88">
            <v>0.2</v>
          </cell>
          <cell r="D88">
            <v>0.66</v>
          </cell>
          <cell r="E88" t="str">
            <v>10b</v>
          </cell>
        </row>
        <row r="89">
          <cell r="A89" t="str">
            <v>NICKEL</v>
          </cell>
          <cell r="B89" t="str">
            <v>7440-02-0</v>
          </cell>
          <cell r="C89">
            <v>15</v>
          </cell>
          <cell r="D89">
            <v>3</v>
          </cell>
          <cell r="E89" t="str">
            <v>10a</v>
          </cell>
        </row>
        <row r="90">
          <cell r="A90" t="str">
            <v>PENTACHLOROPHENOL</v>
          </cell>
          <cell r="B90" t="str">
            <v>87-86-5</v>
          </cell>
          <cell r="C90">
            <v>15</v>
          </cell>
          <cell r="D90">
            <v>3.3</v>
          </cell>
          <cell r="E90" t="str">
            <v>10b</v>
          </cell>
        </row>
        <row r="91">
          <cell r="A91" t="str">
            <v>PERCHLORATE</v>
          </cell>
          <cell r="B91" t="str">
            <v>NA</v>
          </cell>
          <cell r="C91">
            <v>1</v>
          </cell>
          <cell r="D91">
            <v>0.1</v>
          </cell>
          <cell r="E91" t="str">
            <v>10f</v>
          </cell>
        </row>
        <row r="92">
          <cell r="A92" t="str">
            <v>PER- AND POLYFLUORALKYL SUBSTANCES (PFAS)</v>
          </cell>
          <cell r="B92" t="str">
            <v>NA</v>
          </cell>
          <cell r="D92">
            <v>2.0000000000000001E-4</v>
          </cell>
          <cell r="E92" t="str">
            <v>10h</v>
          </cell>
        </row>
        <row r="93">
          <cell r="A93" t="str">
            <v>PERFLUORODECANOIC ACID (PFDA)</v>
          </cell>
          <cell r="B93" t="str">
            <v>335-76-2</v>
          </cell>
          <cell r="D93">
            <v>2.0000000000000001E-4</v>
          </cell>
          <cell r="E93" t="str">
            <v>10h</v>
          </cell>
        </row>
        <row r="94">
          <cell r="A94" t="str">
            <v>PERFLUOROHEPTANOIC ACID (PFHpA)</v>
          </cell>
          <cell r="B94" t="str">
            <v>375-85-9</v>
          </cell>
          <cell r="D94">
            <v>2.0000000000000001E-4</v>
          </cell>
          <cell r="E94" t="str">
            <v>10h</v>
          </cell>
        </row>
        <row r="95">
          <cell r="A95" t="str">
            <v>PERFLUOROHEXANESULFONIC ACID (PFHxS)</v>
          </cell>
          <cell r="B95" t="str">
            <v>335-46-4</v>
          </cell>
          <cell r="D95">
            <v>2.0000000000000001E-4</v>
          </cell>
          <cell r="E95" t="str">
            <v>10h</v>
          </cell>
        </row>
        <row r="96">
          <cell r="A96" t="str">
            <v>PERFLUOROOCTANOIC ACID (PFOA)</v>
          </cell>
          <cell r="B96" t="str">
            <v>335-67-1</v>
          </cell>
          <cell r="D96">
            <v>2.0000000000000001E-4</v>
          </cell>
          <cell r="E96" t="str">
            <v>10h</v>
          </cell>
        </row>
        <row r="97">
          <cell r="A97" t="str">
            <v>PERFLUOROOCTANESULFONIC ACID (PFOS)</v>
          </cell>
          <cell r="B97" t="str">
            <v>1763-23-1</v>
          </cell>
          <cell r="D97">
            <v>2.0000000000000001E-4</v>
          </cell>
          <cell r="E97" t="str">
            <v>10h</v>
          </cell>
        </row>
        <row r="98">
          <cell r="A98" t="str">
            <v>PERFLUORONONANOIC ACID (PFNA)</v>
          </cell>
          <cell r="B98" t="str">
            <v>375-95-1</v>
          </cell>
          <cell r="D98">
            <v>2.0000000000000001E-4</v>
          </cell>
          <cell r="E98" t="str">
            <v>10h</v>
          </cell>
        </row>
        <row r="99">
          <cell r="A99" t="str">
            <v>PETROLEUM HYDROCARBONS</v>
          </cell>
          <cell r="B99" t="str">
            <v>NA</v>
          </cell>
        </row>
        <row r="100">
          <cell r="A100" t="str">
            <v>PETROLEUM HYDROCARBONS Aliphatics C5 to C8</v>
          </cell>
          <cell r="B100" t="str">
            <v>NA</v>
          </cell>
        </row>
        <row r="101">
          <cell r="A101" t="str">
            <v>PETROLEUM HYDROCARBONS Aliphatics C9 to C12</v>
          </cell>
          <cell r="B101" t="str">
            <v>NA</v>
          </cell>
        </row>
        <row r="102">
          <cell r="A102" t="str">
            <v>PETROLEUM HYDROCARBONS Aliphatics C9 to C18</v>
          </cell>
          <cell r="B102" t="str">
            <v>NA</v>
          </cell>
        </row>
        <row r="103">
          <cell r="A103" t="str">
            <v>PETROLEUM HYDROCARBONS Aliphatics C19 to C36</v>
          </cell>
          <cell r="B103" t="str">
            <v>NA</v>
          </cell>
        </row>
        <row r="104">
          <cell r="A104" t="str">
            <v>PETROLEUM HYDROCARBONS Aromatics C9 to C10</v>
          </cell>
          <cell r="B104" t="str">
            <v>NA</v>
          </cell>
        </row>
        <row r="105">
          <cell r="A105" t="str">
            <v>PETROLEUM HYDROCARBONS Aromatics C11 to C22</v>
          </cell>
          <cell r="B105" t="str">
            <v>NA</v>
          </cell>
        </row>
        <row r="106">
          <cell r="A106" t="str">
            <v>PHENANTHRENE</v>
          </cell>
          <cell r="B106" t="str">
            <v>85-01-8</v>
          </cell>
          <cell r="C106">
            <v>1</v>
          </cell>
          <cell r="D106">
            <v>0.66</v>
          </cell>
          <cell r="E106" t="str">
            <v>10b</v>
          </cell>
        </row>
        <row r="107">
          <cell r="A107" t="str">
            <v>PHENOL</v>
          </cell>
          <cell r="B107" t="str">
            <v>108-95-2</v>
          </cell>
          <cell r="C107">
            <v>10</v>
          </cell>
          <cell r="D107">
            <v>0.66</v>
          </cell>
          <cell r="E107" t="str">
            <v>10b</v>
          </cell>
        </row>
        <row r="108">
          <cell r="A108" t="str">
            <v>POLYCHLORINATED BIPHENYLS (PCBs)</v>
          </cell>
          <cell r="B108" t="str">
            <v>1336-36-3</v>
          </cell>
          <cell r="C108">
            <v>0.32500000000000001</v>
          </cell>
          <cell r="D108">
            <v>4.3549999999999998E-2</v>
          </cell>
          <cell r="E108" t="str">
            <v>10b</v>
          </cell>
        </row>
        <row r="109">
          <cell r="A109" t="str">
            <v>PYRENE</v>
          </cell>
          <cell r="B109" t="str">
            <v>129-00-0</v>
          </cell>
          <cell r="C109">
            <v>0.5</v>
          </cell>
          <cell r="D109">
            <v>0.66</v>
          </cell>
          <cell r="E109" t="str">
            <v>10b</v>
          </cell>
        </row>
        <row r="110">
          <cell r="A110" t="str">
            <v>RDX</v>
          </cell>
          <cell r="B110" t="str">
            <v>121-82-4</v>
          </cell>
          <cell r="C110">
            <v>0.84</v>
          </cell>
          <cell r="D110">
            <v>1</v>
          </cell>
        </row>
        <row r="111">
          <cell r="A111" t="str">
            <v>SELENIUM</v>
          </cell>
          <cell r="B111" t="str">
            <v>7782-49-2</v>
          </cell>
          <cell r="C111">
            <v>50</v>
          </cell>
          <cell r="D111">
            <v>15</v>
          </cell>
          <cell r="E111" t="str">
            <v>10a</v>
          </cell>
        </row>
        <row r="112">
          <cell r="A112" t="str">
            <v>SILVER</v>
          </cell>
          <cell r="B112" t="str">
            <v>7440-22-4</v>
          </cell>
          <cell r="C112">
            <v>7</v>
          </cell>
          <cell r="D112">
            <v>1.4</v>
          </cell>
          <cell r="E112" t="str">
            <v>10a</v>
          </cell>
        </row>
        <row r="113">
          <cell r="A113" t="str">
            <v>STYRENE</v>
          </cell>
          <cell r="B113" t="str">
            <v>100-42-5</v>
          </cell>
          <cell r="C113">
            <v>0.3</v>
          </cell>
          <cell r="D113">
            <v>0.1</v>
          </cell>
          <cell r="E113" t="str">
            <v>10b</v>
          </cell>
        </row>
        <row r="114">
          <cell r="A114" t="str">
            <v>TCDD, 2,3,7,8-  (equivalents)</v>
          </cell>
          <cell r="B114" t="str">
            <v>1746-01-6</v>
          </cell>
          <cell r="C114">
            <v>1.0000000000000001E-5</v>
          </cell>
          <cell r="D114">
            <v>9.9999999999999995E-7</v>
          </cell>
          <cell r="E114" t="str">
            <v>10c</v>
          </cell>
        </row>
        <row r="115">
          <cell r="A115" t="str">
            <v>TETRACHLOROETHANE, 1,1,1,2-</v>
          </cell>
          <cell r="B115" t="str">
            <v>630-20-6</v>
          </cell>
          <cell r="C115">
            <v>5</v>
          </cell>
          <cell r="D115">
            <v>0.1</v>
          </cell>
          <cell r="E115" t="str">
            <v>10b</v>
          </cell>
        </row>
        <row r="116">
          <cell r="A116" t="str">
            <v>TETRACHLOROETHANE, 1,1,2,2-</v>
          </cell>
          <cell r="B116" t="str">
            <v>79-34-5</v>
          </cell>
          <cell r="C116">
            <v>2</v>
          </cell>
          <cell r="D116">
            <v>5.0000000000000001E-3</v>
          </cell>
          <cell r="E116" t="str">
            <v>10b</v>
          </cell>
        </row>
        <row r="117">
          <cell r="A117" t="str">
            <v>TETRACHLOROETHYLENE</v>
          </cell>
          <cell r="B117" t="str">
            <v>127-18-4</v>
          </cell>
          <cell r="C117">
            <v>1.5</v>
          </cell>
          <cell r="D117">
            <v>0.1</v>
          </cell>
          <cell r="E117" t="str">
            <v>10b</v>
          </cell>
        </row>
        <row r="118">
          <cell r="A118" t="str">
            <v>THALLIUM</v>
          </cell>
          <cell r="B118" t="str">
            <v>7440-28-0</v>
          </cell>
          <cell r="C118">
            <v>40</v>
          </cell>
          <cell r="D118">
            <v>8</v>
          </cell>
          <cell r="E118" t="str">
            <v>10a</v>
          </cell>
        </row>
        <row r="119">
          <cell r="A119" t="str">
            <v>TOLUENE</v>
          </cell>
          <cell r="B119" t="str">
            <v>108-88-3</v>
          </cell>
          <cell r="C119">
            <v>0.5</v>
          </cell>
          <cell r="D119">
            <v>0.1</v>
          </cell>
          <cell r="E119" t="str">
            <v>10b</v>
          </cell>
        </row>
        <row r="120">
          <cell r="A120" t="str">
            <v>TRICHLOROBENZENE, 1,2,4-</v>
          </cell>
          <cell r="B120" t="str">
            <v>120-82-1</v>
          </cell>
          <cell r="C120">
            <v>1</v>
          </cell>
          <cell r="D120">
            <v>0.1</v>
          </cell>
          <cell r="E120" t="str">
            <v>10b</v>
          </cell>
        </row>
        <row r="121">
          <cell r="A121" t="str">
            <v>TRICHLOROETHANE, 1,1,1-</v>
          </cell>
          <cell r="B121" t="str">
            <v>71-55-6</v>
          </cell>
          <cell r="C121">
            <v>1.5</v>
          </cell>
          <cell r="D121">
            <v>0.1</v>
          </cell>
          <cell r="E121" t="str">
            <v>10b</v>
          </cell>
        </row>
        <row r="122">
          <cell r="A122" t="str">
            <v>TRICHLOROETHANE, 1,1,2-</v>
          </cell>
          <cell r="B122" t="str">
            <v xml:space="preserve">79-00-5 </v>
          </cell>
          <cell r="C122">
            <v>0.5</v>
          </cell>
          <cell r="D122">
            <v>0.1</v>
          </cell>
          <cell r="E122" t="str">
            <v>10b</v>
          </cell>
        </row>
        <row r="123">
          <cell r="A123" t="str">
            <v>TRICHLOROETHYLENE</v>
          </cell>
          <cell r="B123" t="str">
            <v>79-01-6</v>
          </cell>
          <cell r="C123">
            <v>2</v>
          </cell>
          <cell r="D123">
            <v>5.0000000000000001E-3</v>
          </cell>
          <cell r="E123" t="str">
            <v>10b</v>
          </cell>
        </row>
        <row r="124">
          <cell r="A124" t="str">
            <v>TRICHLOROPHENOL, 2,4,5-</v>
          </cell>
          <cell r="B124" t="str">
            <v>95-95-4</v>
          </cell>
          <cell r="C124">
            <v>10</v>
          </cell>
          <cell r="D124">
            <v>0.66</v>
          </cell>
          <cell r="E124" t="str">
            <v>10b</v>
          </cell>
        </row>
        <row r="125">
          <cell r="A125" t="str">
            <v>TRICHLOROPHENOL 2,4,6-</v>
          </cell>
          <cell r="B125" t="str">
            <v>88-06-2</v>
          </cell>
          <cell r="C125">
            <v>10</v>
          </cell>
          <cell r="D125">
            <v>0.66</v>
          </cell>
          <cell r="E125" t="str">
            <v>10b</v>
          </cell>
        </row>
      </sheetData>
      <sheetData sheetId="4">
        <row r="2">
          <cell r="B2" t="str">
            <v>Body Weight Calculations:</v>
          </cell>
          <cell r="M2" t="str">
            <v>NHANES</v>
          </cell>
          <cell r="N2" t="str">
            <v>Weight</v>
          </cell>
        </row>
        <row r="3">
          <cell r="M3" t="str">
            <v xml:space="preserve"> age</v>
          </cell>
          <cell r="N3" t="str">
            <v>kg</v>
          </cell>
        </row>
        <row r="4">
          <cell r="B4" t="str">
            <v>Age (years)</v>
          </cell>
          <cell r="C4" t="str">
            <v>50th Percentile</v>
          </cell>
          <cell r="M4" t="str">
            <v>0-2m</v>
          </cell>
          <cell r="N4">
            <v>4.9000000000000004</v>
          </cell>
        </row>
        <row r="5">
          <cell r="C5" t="str">
            <v>Body Weight</v>
          </cell>
          <cell r="M5" t="str">
            <v>3-5m</v>
          </cell>
          <cell r="N5">
            <v>6.6</v>
          </cell>
        </row>
        <row r="6">
          <cell r="C6" t="str">
            <v>Females</v>
          </cell>
          <cell r="D6" t="str">
            <v>number of</v>
          </cell>
          <cell r="M6" t="str">
            <v>6-8m</v>
          </cell>
          <cell r="N6">
            <v>8</v>
          </cell>
        </row>
        <row r="7">
          <cell r="C7" t="str">
            <v>kg</v>
          </cell>
          <cell r="D7" t="str">
            <v>years</v>
          </cell>
          <cell r="M7" t="str">
            <v>9-11m</v>
          </cell>
          <cell r="N7">
            <v>9</v>
          </cell>
        </row>
        <row r="8">
          <cell r="B8" t="str">
            <v>0&lt;1</v>
          </cell>
          <cell r="C8">
            <v>7.125</v>
          </cell>
          <cell r="D8">
            <v>1</v>
          </cell>
          <cell r="M8" t="str">
            <v>1 yr</v>
          </cell>
          <cell r="N8">
            <v>10.9</v>
          </cell>
        </row>
        <row r="9">
          <cell r="B9" t="str">
            <v>1&lt;2</v>
          </cell>
          <cell r="C9">
            <v>12</v>
          </cell>
          <cell r="D9">
            <v>1</v>
          </cell>
          <cell r="H9" t="str">
            <v>Mutagen Averages</v>
          </cell>
          <cell r="M9">
            <v>2</v>
          </cell>
          <cell r="N9">
            <v>13.1</v>
          </cell>
        </row>
        <row r="10">
          <cell r="B10" t="str">
            <v>2&lt;3</v>
          </cell>
          <cell r="C10">
            <v>14.3</v>
          </cell>
          <cell r="D10">
            <v>1</v>
          </cell>
          <cell r="H10" t="str">
            <v>Age</v>
          </cell>
          <cell r="M10">
            <v>3</v>
          </cell>
          <cell r="N10">
            <v>15.5</v>
          </cell>
        </row>
        <row r="11">
          <cell r="B11" t="str">
            <v>3&lt;4</v>
          </cell>
          <cell r="C11">
            <v>16.5</v>
          </cell>
          <cell r="D11">
            <v>1</v>
          </cell>
          <cell r="H11" t="str">
            <v>0&lt;2:</v>
          </cell>
          <cell r="I11">
            <v>9.5625</v>
          </cell>
          <cell r="J11" t="str">
            <v>kg</v>
          </cell>
          <cell r="M11">
            <v>4</v>
          </cell>
          <cell r="N11">
            <v>17.5</v>
          </cell>
        </row>
        <row r="12">
          <cell r="B12" t="str">
            <v>4&lt;5</v>
          </cell>
          <cell r="C12">
            <v>18.55</v>
          </cell>
          <cell r="D12">
            <v>1</v>
          </cell>
          <cell r="E12" t="str">
            <v>GW Average</v>
          </cell>
          <cell r="M12">
            <v>5</v>
          </cell>
          <cell r="N12">
            <v>19.600000000000001</v>
          </cell>
        </row>
        <row r="13">
          <cell r="B13" t="str">
            <v>5&lt;6</v>
          </cell>
          <cell r="C13">
            <v>20.85</v>
          </cell>
          <cell r="D13">
            <v>1</v>
          </cell>
          <cell r="E13" t="str">
            <v>0&lt;7:</v>
          </cell>
          <cell r="F13">
            <v>16.175000000000001</v>
          </cell>
          <cell r="G13" t="str">
            <v>kg</v>
          </cell>
          <cell r="M13">
            <v>6</v>
          </cell>
          <cell r="N13">
            <v>22.1</v>
          </cell>
        </row>
        <row r="14">
          <cell r="B14" t="str">
            <v>6&lt;7</v>
          </cell>
          <cell r="C14">
            <v>23.9</v>
          </cell>
          <cell r="D14">
            <v>1</v>
          </cell>
          <cell r="E14" t="str">
            <v>Soil Average</v>
          </cell>
          <cell r="H14" t="str">
            <v>2&lt;6:</v>
          </cell>
          <cell r="I14">
            <v>17.55</v>
          </cell>
          <cell r="J14" t="str">
            <v>kg</v>
          </cell>
          <cell r="M14">
            <v>7</v>
          </cell>
          <cell r="N14">
            <v>25.7</v>
          </cell>
          <cell r="P14" t="str">
            <v>Age 1-6</v>
          </cell>
        </row>
        <row r="15">
          <cell r="B15" t="str">
            <v>7&lt;8</v>
          </cell>
          <cell r="C15">
            <v>26.95</v>
          </cell>
          <cell r="D15">
            <v>1</v>
          </cell>
          <cell r="E15" t="str">
            <v>1&lt;8:</v>
          </cell>
          <cell r="F15">
            <v>19.007142857142856</v>
          </cell>
          <cell r="G15" t="str">
            <v>kg</v>
          </cell>
          <cell r="M15">
            <v>8</v>
          </cell>
          <cell r="N15">
            <v>28.2</v>
          </cell>
          <cell r="P15">
            <v>16.45</v>
          </cell>
        </row>
        <row r="16">
          <cell r="B16" t="str">
            <v>8&lt;9</v>
          </cell>
          <cell r="C16">
            <v>31.1</v>
          </cell>
          <cell r="D16">
            <v>1</v>
          </cell>
          <cell r="M16">
            <v>9</v>
          </cell>
          <cell r="N16">
            <v>34</v>
          </cell>
        </row>
        <row r="17">
          <cell r="B17" t="str">
            <v>9&lt;10</v>
          </cell>
          <cell r="C17">
            <v>37.25</v>
          </cell>
          <cell r="D17">
            <v>1</v>
          </cell>
          <cell r="H17" t="str">
            <v>6&lt;16:</v>
          </cell>
          <cell r="I17">
            <v>43.204999999999998</v>
          </cell>
          <cell r="J17" t="str">
            <v>kg</v>
          </cell>
          <cell r="M17">
            <v>10</v>
          </cell>
          <cell r="N17">
            <v>40.5</v>
          </cell>
        </row>
        <row r="18">
          <cell r="B18" t="str">
            <v>10&lt;11</v>
          </cell>
          <cell r="C18">
            <v>43.9</v>
          </cell>
          <cell r="D18">
            <v>1</v>
          </cell>
          <cell r="M18">
            <v>11</v>
          </cell>
          <cell r="N18">
            <v>47.3</v>
          </cell>
        </row>
        <row r="19">
          <cell r="B19" t="str">
            <v>11&lt;12</v>
          </cell>
          <cell r="C19">
            <v>48.4</v>
          </cell>
          <cell r="D19">
            <v>1</v>
          </cell>
          <cell r="E19" t="str">
            <v>GW Average</v>
          </cell>
          <cell r="M19">
            <v>12</v>
          </cell>
          <cell r="N19">
            <v>49.5</v>
          </cell>
        </row>
        <row r="20">
          <cell r="B20" t="str">
            <v>12&lt;13</v>
          </cell>
          <cell r="C20">
            <v>51.95</v>
          </cell>
          <cell r="D20">
            <v>1</v>
          </cell>
          <cell r="E20" t="str">
            <v>7&lt;14:</v>
          </cell>
          <cell r="F20">
            <v>41.99285714285714</v>
          </cell>
          <cell r="G20" t="str">
            <v>kg</v>
          </cell>
          <cell r="M20">
            <v>13</v>
          </cell>
          <cell r="N20">
            <v>54.4</v>
          </cell>
        </row>
        <row r="21">
          <cell r="B21" t="str">
            <v>13&lt;14</v>
          </cell>
          <cell r="C21">
            <v>54.4</v>
          </cell>
          <cell r="D21">
            <v>1</v>
          </cell>
          <cell r="E21" t="str">
            <v>Soil Average</v>
          </cell>
          <cell r="M21">
            <v>14</v>
          </cell>
          <cell r="N21">
            <v>54.4</v>
          </cell>
        </row>
        <row r="22">
          <cell r="B22" t="str">
            <v>14&lt;15</v>
          </cell>
          <cell r="C22">
            <v>56</v>
          </cell>
          <cell r="D22">
            <v>1</v>
          </cell>
          <cell r="E22" t="str">
            <v>8&lt;15:</v>
          </cell>
          <cell r="F22">
            <v>46.142857142857146</v>
          </cell>
          <cell r="G22" t="str">
            <v>kg</v>
          </cell>
          <cell r="M22">
            <v>15</v>
          </cell>
          <cell r="N22">
            <v>57.6</v>
          </cell>
        </row>
        <row r="23">
          <cell r="B23" t="str">
            <v>15&lt;16</v>
          </cell>
          <cell r="C23">
            <v>58.2</v>
          </cell>
          <cell r="D23">
            <v>1</v>
          </cell>
          <cell r="M23">
            <v>16</v>
          </cell>
          <cell r="N23">
            <v>58.8</v>
          </cell>
        </row>
        <row r="24">
          <cell r="B24" t="str">
            <v>16&lt;17</v>
          </cell>
          <cell r="C24">
            <v>59.7</v>
          </cell>
          <cell r="D24">
            <v>1</v>
          </cell>
          <cell r="M24">
            <v>17</v>
          </cell>
          <cell r="N24">
            <v>60.6</v>
          </cell>
        </row>
        <row r="25">
          <cell r="B25" t="str">
            <v>17&lt;18</v>
          </cell>
          <cell r="C25">
            <v>61.8</v>
          </cell>
          <cell r="D25">
            <v>1</v>
          </cell>
          <cell r="M25">
            <v>18</v>
          </cell>
          <cell r="N25">
            <v>63</v>
          </cell>
        </row>
        <row r="26">
          <cell r="B26" t="str">
            <v>18&lt;19</v>
          </cell>
          <cell r="C26">
            <v>63</v>
          </cell>
          <cell r="D26">
            <v>1</v>
          </cell>
          <cell r="M26">
            <v>19</v>
          </cell>
          <cell r="N26">
            <v>63</v>
          </cell>
        </row>
        <row r="27">
          <cell r="B27" t="str">
            <v>19&lt;20</v>
          </cell>
          <cell r="C27">
            <v>64.150000000000006</v>
          </cell>
          <cell r="D27">
            <v>1</v>
          </cell>
          <cell r="M27" t="str">
            <v>20-29</v>
          </cell>
          <cell r="N27">
            <v>65.3</v>
          </cell>
        </row>
        <row r="28">
          <cell r="B28" t="str">
            <v>20&lt;21</v>
          </cell>
          <cell r="C28">
            <v>65.3</v>
          </cell>
          <cell r="D28">
            <v>1</v>
          </cell>
          <cell r="M28" t="str">
            <v>30-39</v>
          </cell>
          <cell r="N28">
            <v>70.2</v>
          </cell>
        </row>
        <row r="29">
          <cell r="B29" t="str">
            <v>21&lt;22</v>
          </cell>
          <cell r="C29">
            <v>65.3</v>
          </cell>
          <cell r="D29">
            <v>1</v>
          </cell>
          <cell r="M29" t="str">
            <v>40-49</v>
          </cell>
          <cell r="N29">
            <v>72.900000000000006</v>
          </cell>
        </row>
        <row r="30">
          <cell r="B30" t="str">
            <v>22&lt;23</v>
          </cell>
          <cell r="C30">
            <v>65.3</v>
          </cell>
          <cell r="D30">
            <v>1</v>
          </cell>
          <cell r="E30" t="str">
            <v>GW Average</v>
          </cell>
        </row>
        <row r="31">
          <cell r="B31" t="str">
            <v>23&lt;24</v>
          </cell>
          <cell r="C31">
            <v>65.3</v>
          </cell>
          <cell r="D31">
            <v>1</v>
          </cell>
          <cell r="E31" t="str">
            <v>17&lt;24:</v>
          </cell>
          <cell r="F31">
            <v>64.307142857142864</v>
          </cell>
          <cell r="G31" t="str">
            <v>kg</v>
          </cell>
        </row>
        <row r="32">
          <cell r="B32" t="str">
            <v>24&lt;25</v>
          </cell>
          <cell r="C32">
            <v>65.3</v>
          </cell>
          <cell r="D32">
            <v>1</v>
          </cell>
          <cell r="E32" t="str">
            <v>Soil Average</v>
          </cell>
        </row>
        <row r="33">
          <cell r="B33" t="str">
            <v>25&lt;26</v>
          </cell>
          <cell r="C33">
            <v>65.3</v>
          </cell>
          <cell r="D33">
            <v>1</v>
          </cell>
          <cell r="E33" t="str">
            <v>18&lt;25:</v>
          </cell>
          <cell r="F33">
            <v>64.807142857142864</v>
          </cell>
          <cell r="G33" t="str">
            <v>kg</v>
          </cell>
        </row>
        <row r="34">
          <cell r="B34" t="str">
            <v>26&lt;27</v>
          </cell>
          <cell r="C34">
            <v>65.3</v>
          </cell>
          <cell r="D34">
            <v>1</v>
          </cell>
        </row>
        <row r="35">
          <cell r="B35" t="str">
            <v>27&lt;28</v>
          </cell>
          <cell r="C35">
            <v>65.3</v>
          </cell>
          <cell r="D35">
            <v>1</v>
          </cell>
          <cell r="E35" t="str">
            <v>GW Average</v>
          </cell>
        </row>
        <row r="36">
          <cell r="B36" t="str">
            <v>28&lt;29</v>
          </cell>
          <cell r="C36">
            <v>65.3</v>
          </cell>
          <cell r="D36">
            <v>1</v>
          </cell>
          <cell r="E36" t="str">
            <v>14&lt;30:</v>
          </cell>
          <cell r="F36">
            <v>63.49062499999998</v>
          </cell>
          <cell r="G36" t="str">
            <v>kg</v>
          </cell>
          <cell r="R36" t="str">
            <v xml:space="preserve"> </v>
          </cell>
        </row>
        <row r="37">
          <cell r="B37" t="str">
            <v>29&lt;30</v>
          </cell>
          <cell r="C37">
            <v>65.3</v>
          </cell>
          <cell r="D37">
            <v>1</v>
          </cell>
          <cell r="E37" t="str">
            <v>Soil Average</v>
          </cell>
        </row>
        <row r="38">
          <cell r="B38" t="str">
            <v>30&lt;31</v>
          </cell>
          <cell r="C38">
            <v>70.2</v>
          </cell>
          <cell r="D38">
            <v>1</v>
          </cell>
          <cell r="E38" t="str">
            <v>15&lt;31:</v>
          </cell>
          <cell r="F38">
            <v>64.378124999999983</v>
          </cell>
          <cell r="G38" t="str">
            <v>kg</v>
          </cell>
          <cell r="H38" t="str">
            <v>16&lt;31:</v>
          </cell>
          <cell r="I38">
            <v>64.789999999999992</v>
          </cell>
          <cell r="J38" t="str">
            <v>kg</v>
          </cell>
        </row>
        <row r="39">
          <cell r="B39" t="str">
            <v>31&lt;32</v>
          </cell>
          <cell r="C39">
            <v>70.2</v>
          </cell>
          <cell r="D39">
            <v>1</v>
          </cell>
        </row>
        <row r="40">
          <cell r="B40" t="str">
            <v>32&lt;33</v>
          </cell>
          <cell r="C40">
            <v>70.2</v>
          </cell>
          <cell r="D40">
            <v>1</v>
          </cell>
        </row>
        <row r="41">
          <cell r="B41" t="str">
            <v>33&lt;34</v>
          </cell>
          <cell r="C41">
            <v>70.2</v>
          </cell>
          <cell r="D41">
            <v>1</v>
          </cell>
        </row>
        <row r="42">
          <cell r="B42" t="str">
            <v>34&lt;35</v>
          </cell>
          <cell r="C42">
            <v>70.2</v>
          </cell>
          <cell r="D42">
            <v>1</v>
          </cell>
        </row>
        <row r="43">
          <cell r="B43" t="str">
            <v>35&lt;36</v>
          </cell>
          <cell r="C43">
            <v>70.2</v>
          </cell>
          <cell r="D43">
            <v>1</v>
          </cell>
        </row>
        <row r="44">
          <cell r="B44" t="str">
            <v>36&lt;37</v>
          </cell>
          <cell r="C44">
            <v>70.2</v>
          </cell>
          <cell r="D44">
            <v>1</v>
          </cell>
        </row>
        <row r="45">
          <cell r="B45" t="str">
            <v>37&lt;38</v>
          </cell>
          <cell r="C45">
            <v>70.2</v>
          </cell>
          <cell r="D45">
            <v>1</v>
          </cell>
        </row>
        <row r="46">
          <cell r="B46" t="str">
            <v>38&lt;39</v>
          </cell>
          <cell r="C46">
            <v>70.2</v>
          </cell>
          <cell r="D46">
            <v>1</v>
          </cell>
        </row>
        <row r="47">
          <cell r="B47" t="str">
            <v>39&lt;40</v>
          </cell>
          <cell r="C47">
            <v>70.2</v>
          </cell>
          <cell r="D47">
            <v>1</v>
          </cell>
        </row>
        <row r="48">
          <cell r="B48" t="str">
            <v>40&lt;41</v>
          </cell>
          <cell r="C48">
            <v>72.900000000000006</v>
          </cell>
          <cell r="D48">
            <v>1</v>
          </cell>
        </row>
        <row r="49">
          <cell r="B49" t="str">
            <v>41&lt;42</v>
          </cell>
          <cell r="C49">
            <v>72.900000000000006</v>
          </cell>
          <cell r="D49">
            <v>1</v>
          </cell>
        </row>
        <row r="50">
          <cell r="B50" t="str">
            <v>42&lt;43</v>
          </cell>
          <cell r="C50">
            <v>72.900000000000006</v>
          </cell>
          <cell r="D50">
            <v>1</v>
          </cell>
        </row>
        <row r="51">
          <cell r="B51" t="str">
            <v>43&lt;44</v>
          </cell>
          <cell r="C51">
            <v>72.900000000000006</v>
          </cell>
          <cell r="D51">
            <v>1</v>
          </cell>
          <cell r="E51" t="str">
            <v>Average</v>
          </cell>
        </row>
        <row r="52">
          <cell r="B52" t="str">
            <v>44&lt;45</v>
          </cell>
          <cell r="C52">
            <v>72.900000000000006</v>
          </cell>
          <cell r="D52">
            <v>1</v>
          </cell>
          <cell r="E52" t="str">
            <v>18&lt;45:</v>
          </cell>
          <cell r="F52">
            <v>68.394444444444474</v>
          </cell>
          <cell r="G52" t="str">
            <v>kg</v>
          </cell>
        </row>
      </sheetData>
      <sheetData sheetId="5">
        <row r="2">
          <cell r="A2" t="str">
            <v>For Soil Exposures</v>
          </cell>
          <cell r="E2" t="str">
            <v xml:space="preserve"> </v>
          </cell>
        </row>
        <row r="3">
          <cell r="B3" t="str">
            <v>AGE</v>
          </cell>
          <cell r="C3" t="str">
            <v>Total SA repr by body part (unitless)</v>
          </cell>
          <cell r="H3" t="str">
            <v>Total Body SA</v>
          </cell>
          <cell r="I3" t="str">
            <v>SA by body part (m2)</v>
          </cell>
          <cell r="N3" t="str">
            <v xml:space="preserve">Total Exposed SA </v>
          </cell>
        </row>
        <row r="4">
          <cell r="C4" t="str">
            <v>Head</v>
          </cell>
          <cell r="D4" t="str">
            <v>Forearms</v>
          </cell>
          <cell r="E4" t="str">
            <v>Hands</v>
          </cell>
          <cell r="F4" t="str">
            <v>Lower
Legs</v>
          </cell>
          <cell r="G4" t="str">
            <v>Feet</v>
          </cell>
          <cell r="H4" t="str">
            <v>m2</v>
          </cell>
          <cell r="I4" t="str">
            <v>Head</v>
          </cell>
          <cell r="J4" t="str">
            <v>Forearms</v>
          </cell>
          <cell r="K4" t="str">
            <v>Hands</v>
          </cell>
          <cell r="L4" t="str">
            <v>Lower 
Legs</v>
          </cell>
          <cell r="M4" t="str">
            <v>Feet</v>
          </cell>
          <cell r="N4" t="str">
            <v>(m2)</v>
          </cell>
          <cell r="O4" t="str">
            <v>(cm2)</v>
          </cell>
        </row>
        <row r="5">
          <cell r="A5" t="str">
            <v>EFH 2011</v>
          </cell>
          <cell r="B5" t="str">
            <v>0&lt;1</v>
          </cell>
          <cell r="C5">
            <v>0.182</v>
          </cell>
          <cell r="D5">
            <v>6.4390000000000003E-2</v>
          </cell>
          <cell r="E5">
            <v>5.2999999999999999E-2</v>
          </cell>
          <cell r="F5">
            <v>8.2400000000000001E-2</v>
          </cell>
          <cell r="G5">
            <v>6.5000000000000002E-2</v>
          </cell>
          <cell r="H5">
            <v>0.39</v>
          </cell>
          <cell r="I5">
            <v>7.0980000000000001E-2</v>
          </cell>
          <cell r="J5">
            <v>2.5112100000000002E-2</v>
          </cell>
          <cell r="K5">
            <v>2.0670000000000001E-2</v>
          </cell>
          <cell r="L5">
            <v>3.2136000000000005E-2</v>
          </cell>
          <cell r="M5">
            <v>2.5350000000000001E-2</v>
          </cell>
          <cell r="N5">
            <v>0.17424810000000002</v>
          </cell>
          <cell r="O5">
            <v>1742.4810000000002</v>
          </cell>
        </row>
        <row r="6">
          <cell r="B6" t="str">
            <v>1&lt;2</v>
          </cell>
          <cell r="C6">
            <v>0.16500000000000001</v>
          </cell>
          <cell r="D6">
            <v>6.1100000000000002E-2</v>
          </cell>
          <cell r="E6">
            <v>5.7000000000000002E-2</v>
          </cell>
          <cell r="F6">
            <v>9.240000000000001E-2</v>
          </cell>
          <cell r="G6">
            <v>6.3E-2</v>
          </cell>
          <cell r="H6">
            <v>0.52</v>
          </cell>
          <cell r="I6">
            <v>8.5800000000000001E-2</v>
          </cell>
          <cell r="J6">
            <v>3.1772000000000002E-2</v>
          </cell>
          <cell r="K6">
            <v>2.9640000000000003E-2</v>
          </cell>
          <cell r="L6">
            <v>4.8048000000000007E-2</v>
          </cell>
          <cell r="M6">
            <v>3.2760000000000004E-2</v>
          </cell>
          <cell r="N6">
            <v>0.22802000000000003</v>
          </cell>
          <cell r="O6">
            <v>2280.2000000000003</v>
          </cell>
        </row>
        <row r="7">
          <cell r="A7" t="str">
            <v>Boniol</v>
          </cell>
          <cell r="B7" t="str">
            <v>2&lt;3</v>
          </cell>
          <cell r="C7">
            <v>8.4000000000000005E-2</v>
          </cell>
          <cell r="D7">
            <v>5.6000000000000001E-2</v>
          </cell>
          <cell r="E7">
            <v>4.8000000000000001E-2</v>
          </cell>
          <cell r="F7">
            <v>0.112</v>
          </cell>
          <cell r="G7">
            <v>0.06</v>
          </cell>
          <cell r="H7">
            <v>0.59</v>
          </cell>
          <cell r="I7">
            <v>4.956E-2</v>
          </cell>
          <cell r="J7">
            <v>3.304E-2</v>
          </cell>
          <cell r="K7">
            <v>2.8319999999999998E-2</v>
          </cell>
          <cell r="L7">
            <v>6.608E-2</v>
          </cell>
          <cell r="M7">
            <v>3.5399999999999994E-2</v>
          </cell>
          <cell r="N7">
            <v>0.21239999999999998</v>
          </cell>
          <cell r="O7">
            <v>2124</v>
          </cell>
        </row>
        <row r="8">
          <cell r="B8" t="str">
            <v>3&lt;4</v>
          </cell>
          <cell r="C8">
            <v>8.4000000000000005E-2</v>
          </cell>
          <cell r="D8">
            <v>5.6000000000000001E-2</v>
          </cell>
          <cell r="E8">
            <v>4.8000000000000001E-2</v>
          </cell>
          <cell r="F8">
            <v>0.112</v>
          </cell>
          <cell r="G8">
            <v>0.06</v>
          </cell>
          <cell r="H8">
            <v>0.67515463917525786</v>
          </cell>
          <cell r="I8">
            <v>5.6712989690721666E-2</v>
          </cell>
          <cell r="J8">
            <v>3.7808659793814439E-2</v>
          </cell>
          <cell r="K8">
            <v>3.2407422680412377E-2</v>
          </cell>
          <cell r="L8">
            <v>7.5617319587628878E-2</v>
          </cell>
          <cell r="M8">
            <v>4.0509278350515474E-2</v>
          </cell>
          <cell r="N8">
            <v>0.24305567010309281</v>
          </cell>
          <cell r="O8">
            <v>2430.5567010309283</v>
          </cell>
        </row>
        <row r="9">
          <cell r="B9" t="str">
            <v>4&lt;5</v>
          </cell>
          <cell r="C9">
            <v>7.8E-2</v>
          </cell>
          <cell r="D9">
            <v>5.5E-2</v>
          </cell>
          <cell r="E9">
            <v>4.9000000000000002E-2</v>
          </cell>
          <cell r="F9">
            <v>0.104</v>
          </cell>
          <cell r="G9">
            <v>6.3E-2</v>
          </cell>
          <cell r="H9">
            <v>0.73445173383317719</v>
          </cell>
          <cell r="I9">
            <v>5.7287235238987821E-2</v>
          </cell>
          <cell r="J9">
            <v>4.0394845360824744E-2</v>
          </cell>
          <cell r="K9">
            <v>3.5988134957825685E-2</v>
          </cell>
          <cell r="L9">
            <v>7.6382980318650429E-2</v>
          </cell>
          <cell r="M9">
            <v>4.627045923149016E-2</v>
          </cell>
          <cell r="N9">
            <v>0.25632365510777883</v>
          </cell>
          <cell r="O9">
            <v>2563.2365510777881</v>
          </cell>
        </row>
        <row r="10">
          <cell r="B10" t="str">
            <v>5&lt;6</v>
          </cell>
          <cell r="C10">
            <v>7.8E-2</v>
          </cell>
          <cell r="D10">
            <v>5.5E-2</v>
          </cell>
          <cell r="E10">
            <v>4.9000000000000002E-2</v>
          </cell>
          <cell r="F10">
            <v>0.104</v>
          </cell>
          <cell r="G10">
            <v>6.3E-2</v>
          </cell>
          <cell r="H10">
            <v>0.81039362699156525</v>
          </cell>
          <cell r="I10">
            <v>6.3210702905342087E-2</v>
          </cell>
          <cell r="J10">
            <v>4.457164948453609E-2</v>
          </cell>
          <cell r="K10">
            <v>3.9709287722586702E-2</v>
          </cell>
          <cell r="L10">
            <v>8.4280937207122777E-2</v>
          </cell>
          <cell r="M10">
            <v>5.1054798500468609E-2</v>
          </cell>
          <cell r="N10">
            <v>0.28282737582005629</v>
          </cell>
          <cell r="O10">
            <v>2828.273758200563</v>
          </cell>
        </row>
        <row r="11">
          <cell r="B11" t="str">
            <v>6&lt;7</v>
          </cell>
          <cell r="C11">
            <v>6.9000000000000006E-2</v>
          </cell>
          <cell r="D11">
            <v>5.2999999999999999E-2</v>
          </cell>
          <cell r="E11">
            <v>4.9000000000000002E-2</v>
          </cell>
          <cell r="F11">
            <v>0.114</v>
          </cell>
          <cell r="G11">
            <v>6.6000000000000003E-2</v>
          </cell>
          <cell r="H11">
            <v>0.87847695390781566</v>
          </cell>
          <cell r="I11">
            <v>6.0614909819639289E-2</v>
          </cell>
          <cell r="J11">
            <v>4.6559278557114225E-2</v>
          </cell>
          <cell r="K11">
            <v>4.3045370741482972E-2</v>
          </cell>
          <cell r="L11">
            <v>0.10014637274549099</v>
          </cell>
          <cell r="M11">
            <v>5.7979478957915838E-2</v>
          </cell>
          <cell r="N11">
            <v>0.3083454108216433</v>
          </cell>
          <cell r="O11">
            <v>3083.4541082164328</v>
          </cell>
        </row>
        <row r="12">
          <cell r="B12" t="str">
            <v>7&lt;8</v>
          </cell>
          <cell r="C12">
            <v>6.9000000000000006E-2</v>
          </cell>
          <cell r="D12">
            <v>5.2999999999999999E-2</v>
          </cell>
          <cell r="E12">
            <v>4.9000000000000002E-2</v>
          </cell>
          <cell r="F12">
            <v>0.114</v>
          </cell>
          <cell r="G12">
            <v>6.6000000000000003E-2</v>
          </cell>
          <cell r="H12">
            <v>0.95559118236472951</v>
          </cell>
          <cell r="I12">
            <v>6.5935791583166342E-2</v>
          </cell>
          <cell r="J12">
            <v>5.0646332665330661E-2</v>
          </cell>
          <cell r="K12">
            <v>4.6823967935871749E-2</v>
          </cell>
          <cell r="L12">
            <v>0.10893739478957917</v>
          </cell>
          <cell r="M12">
            <v>6.306901803607215E-2</v>
          </cell>
          <cell r="N12">
            <v>0.33541250501002007</v>
          </cell>
          <cell r="O12">
            <v>3354.1250501002005</v>
          </cell>
        </row>
        <row r="13">
          <cell r="B13" t="str">
            <v>8&lt;9</v>
          </cell>
          <cell r="C13">
            <v>6.0999999999999999E-2</v>
          </cell>
          <cell r="D13">
            <v>5.5E-2</v>
          </cell>
          <cell r="E13">
            <v>4.7E-2</v>
          </cell>
          <cell r="F13">
            <v>0.113</v>
          </cell>
          <cell r="G13">
            <v>6.5000000000000002E-2</v>
          </cell>
          <cell r="H13">
            <v>1.0420841683366733</v>
          </cell>
          <cell r="I13">
            <v>6.3567134268537065E-2</v>
          </cell>
          <cell r="J13">
            <v>5.7314629258517033E-2</v>
          </cell>
          <cell r="K13">
            <v>4.8977955911823641E-2</v>
          </cell>
          <cell r="L13">
            <v>0.11775551102204408</v>
          </cell>
          <cell r="M13">
            <v>6.7735470941883771E-2</v>
          </cell>
          <cell r="N13">
            <v>0.35535070140280556</v>
          </cell>
          <cell r="O13">
            <v>3553.5070140280554</v>
          </cell>
        </row>
        <row r="14">
          <cell r="B14" t="str">
            <v>9&lt;10</v>
          </cell>
          <cell r="C14">
            <v>6.0999999999999999E-2</v>
          </cell>
          <cell r="D14">
            <v>5.5E-2</v>
          </cell>
          <cell r="E14">
            <v>4.7E-2</v>
          </cell>
          <cell r="F14">
            <v>0.113</v>
          </cell>
          <cell r="G14">
            <v>6.5000000000000002E-2</v>
          </cell>
          <cell r="H14">
            <v>1.1046092184368739</v>
          </cell>
          <cell r="I14">
            <v>6.7381162324649302E-2</v>
          </cell>
          <cell r="J14">
            <v>6.0753507014028062E-2</v>
          </cell>
          <cell r="K14">
            <v>5.191663326653307E-2</v>
          </cell>
          <cell r="L14">
            <v>0.12482084168336675</v>
          </cell>
          <cell r="M14">
            <v>7.1799599198396805E-2</v>
          </cell>
          <cell r="N14">
            <v>0.37667174348697396</v>
          </cell>
          <cell r="O14">
            <v>3766.7174348697395</v>
          </cell>
        </row>
        <row r="15">
          <cell r="B15" t="str">
            <v>10&lt;11</v>
          </cell>
          <cell r="C15">
            <v>5.2999999999999999E-2</v>
          </cell>
          <cell r="D15">
            <v>5.2999999999999999E-2</v>
          </cell>
          <cell r="E15">
            <v>4.4999999999999998E-2</v>
          </cell>
          <cell r="F15">
            <v>0.122</v>
          </cell>
          <cell r="G15">
            <v>6.7000000000000004E-2</v>
          </cell>
          <cell r="H15">
            <v>1.2192384769539077</v>
          </cell>
          <cell r="I15">
            <v>6.4619639278557114E-2</v>
          </cell>
          <cell r="J15">
            <v>6.4619639278557114E-2</v>
          </cell>
          <cell r="K15">
            <v>5.4865731462925844E-2</v>
          </cell>
          <cell r="L15">
            <v>0.14874709418837676</v>
          </cell>
          <cell r="M15">
            <v>8.1688977955911818E-2</v>
          </cell>
          <cell r="N15">
            <v>0.41454108216432861</v>
          </cell>
          <cell r="O15">
            <v>4145.410821643286</v>
          </cell>
        </row>
        <row r="16">
          <cell r="B16" t="str">
            <v>11&lt;12</v>
          </cell>
          <cell r="C16">
            <v>5.2999999999999999E-2</v>
          </cell>
          <cell r="D16">
            <v>5.2999999999999999E-2</v>
          </cell>
          <cell r="E16">
            <v>4.4999999999999998E-2</v>
          </cell>
          <cell r="F16">
            <v>0.122</v>
          </cell>
          <cell r="G16">
            <v>6.7000000000000004E-2</v>
          </cell>
          <cell r="H16">
            <v>1.3801369863013699</v>
          </cell>
          <cell r="I16">
            <v>7.31472602739726E-2</v>
          </cell>
          <cell r="J16">
            <v>7.31472602739726E-2</v>
          </cell>
          <cell r="K16">
            <v>6.2106164383561646E-2</v>
          </cell>
          <cell r="L16">
            <v>0.16837671232876714</v>
          </cell>
          <cell r="M16">
            <v>9.2469178082191794E-2</v>
          </cell>
          <cell r="N16">
            <v>0.46924657534246578</v>
          </cell>
          <cell r="O16">
            <v>4692.465753424658</v>
          </cell>
        </row>
        <row r="17">
          <cell r="B17" t="str">
            <v>12&lt;13</v>
          </cell>
          <cell r="C17">
            <v>4.8000000000000001E-2</v>
          </cell>
          <cell r="D17">
            <v>5.5E-2</v>
          </cell>
          <cell r="E17">
            <v>4.4999999999999998E-2</v>
          </cell>
          <cell r="F17">
            <v>0.125</v>
          </cell>
          <cell r="G17">
            <v>6.5000000000000002E-2</v>
          </cell>
          <cell r="H17">
            <v>1.4863013698630136</v>
          </cell>
          <cell r="I17">
            <v>7.134246575342465E-2</v>
          </cell>
          <cell r="J17">
            <v>8.1746575342465752E-2</v>
          </cell>
          <cell r="K17">
            <v>6.6883561643835618E-2</v>
          </cell>
          <cell r="L17">
            <v>0.18578767123287671</v>
          </cell>
          <cell r="M17">
            <v>9.6609589041095886E-2</v>
          </cell>
          <cell r="N17">
            <v>0.50236986301369857</v>
          </cell>
          <cell r="O17">
            <v>5023.6986301369861</v>
          </cell>
        </row>
        <row r="18">
          <cell r="B18" t="str">
            <v>13&lt;14</v>
          </cell>
          <cell r="C18">
            <v>4.8000000000000001E-2</v>
          </cell>
          <cell r="D18">
            <v>5.5E-2</v>
          </cell>
          <cell r="E18">
            <v>4.4999999999999998E-2</v>
          </cell>
          <cell r="F18">
            <v>0.125</v>
          </cell>
          <cell r="G18">
            <v>6.5000000000000002E-2</v>
          </cell>
          <cell r="H18">
            <v>1.5712328767123289</v>
          </cell>
          <cell r="I18">
            <v>7.5419178082191785E-2</v>
          </cell>
          <cell r="J18">
            <v>8.6417808219178091E-2</v>
          </cell>
          <cell r="K18">
            <v>7.0705479452054798E-2</v>
          </cell>
          <cell r="L18">
            <v>0.19640410958904111</v>
          </cell>
          <cell r="M18">
            <v>0.10213013698630138</v>
          </cell>
          <cell r="N18">
            <v>0.53107671232876719</v>
          </cell>
          <cell r="O18">
            <v>5310.7671232876719</v>
          </cell>
        </row>
        <row r="19">
          <cell r="B19" t="str">
            <v>14&lt;15</v>
          </cell>
          <cell r="C19">
            <v>4.4999999999999998E-2</v>
          </cell>
          <cell r="D19">
            <v>5.2999999999999999E-2</v>
          </cell>
          <cell r="E19">
            <v>4.2000000000000003E-2</v>
          </cell>
          <cell r="F19">
            <v>0.121</v>
          </cell>
          <cell r="G19">
            <v>6.0999999999999999E-2</v>
          </cell>
          <cell r="H19">
            <v>1.6455479452054795</v>
          </cell>
          <cell r="I19">
            <v>7.4049657534246582E-2</v>
          </cell>
          <cell r="J19">
            <v>8.7214041095890413E-2</v>
          </cell>
          <cell r="K19">
            <v>6.9113013698630141E-2</v>
          </cell>
          <cell r="L19">
            <v>0.19911130136986302</v>
          </cell>
          <cell r="M19">
            <v>0.10037842465753424</v>
          </cell>
          <cell r="N19">
            <v>0.52986643835616443</v>
          </cell>
          <cell r="O19">
            <v>5298.6643835616442</v>
          </cell>
        </row>
        <row r="20">
          <cell r="B20" t="str">
            <v>15&lt;16</v>
          </cell>
          <cell r="C20">
            <v>4.4999999999999998E-2</v>
          </cell>
          <cell r="D20">
            <v>5.2999999999999999E-2</v>
          </cell>
          <cell r="E20">
            <v>4.2000000000000003E-2</v>
          </cell>
          <cell r="F20">
            <v>0.121</v>
          </cell>
          <cell r="G20">
            <v>6.0999999999999999E-2</v>
          </cell>
          <cell r="H20">
            <v>1.6667808219178084</v>
          </cell>
          <cell r="I20">
            <v>7.5005136986301374E-2</v>
          </cell>
          <cell r="J20">
            <v>8.833938356164385E-2</v>
          </cell>
          <cell r="K20">
            <v>7.0004794520547961E-2</v>
          </cell>
          <cell r="L20">
            <v>0.20168047945205481</v>
          </cell>
          <cell r="M20">
            <v>0.10167363013698631</v>
          </cell>
          <cell r="N20">
            <v>0.53670342465753429</v>
          </cell>
          <cell r="O20">
            <v>5367.0342465753429</v>
          </cell>
        </row>
        <row r="21">
          <cell r="B21" t="str">
            <v>16&lt;17</v>
          </cell>
          <cell r="C21">
            <v>4.2999999999999997E-2</v>
          </cell>
          <cell r="D21">
            <v>5.0999999999999997E-2</v>
          </cell>
          <cell r="E21">
            <v>4.3999999999999997E-2</v>
          </cell>
          <cell r="F21">
            <v>0.11899999999999999</v>
          </cell>
          <cell r="G21">
            <v>6.0999999999999999E-2</v>
          </cell>
          <cell r="H21">
            <v>1.6289156626506027</v>
          </cell>
          <cell r="I21">
            <v>7.0043373493975908E-2</v>
          </cell>
          <cell r="J21">
            <v>8.3074698795180729E-2</v>
          </cell>
          <cell r="K21">
            <v>7.1672289156626517E-2</v>
          </cell>
          <cell r="L21">
            <v>0.19384096385542171</v>
          </cell>
          <cell r="M21">
            <v>9.936385542168677E-2</v>
          </cell>
          <cell r="N21">
            <v>0.51799518072289163</v>
          </cell>
          <cell r="O21">
            <v>5179.9518072289166</v>
          </cell>
        </row>
        <row r="22">
          <cell r="B22" t="str">
            <v>17&lt;18</v>
          </cell>
          <cell r="C22">
            <v>4.2999999999999997E-2</v>
          </cell>
          <cell r="D22">
            <v>5.0999999999999997E-2</v>
          </cell>
          <cell r="E22">
            <v>4.3999999999999997E-2</v>
          </cell>
          <cell r="F22">
            <v>0.11899999999999999</v>
          </cell>
          <cell r="G22">
            <v>6.0999999999999999E-2</v>
          </cell>
          <cell r="H22">
            <v>1.6594578313253014</v>
          </cell>
          <cell r="I22">
            <v>7.135668674698796E-2</v>
          </cell>
          <cell r="J22">
            <v>8.4632349397590373E-2</v>
          </cell>
          <cell r="K22">
            <v>7.3016144578313263E-2</v>
          </cell>
          <cell r="L22">
            <v>0.19747548192771086</v>
          </cell>
          <cell r="M22">
            <v>0.10122692771084339</v>
          </cell>
          <cell r="N22">
            <v>0.52770759036144588</v>
          </cell>
          <cell r="O22">
            <v>5277.0759036144591</v>
          </cell>
        </row>
        <row r="23">
          <cell r="B23" t="str">
            <v>Adult</v>
          </cell>
          <cell r="C23">
            <v>6.2E-2</v>
          </cell>
          <cell r="D23">
            <v>6.0159999999999998E-2</v>
          </cell>
          <cell r="E23">
            <v>4.8000000000000001E-2</v>
          </cell>
          <cell r="F23">
            <v>0.12920000000000001</v>
          </cell>
          <cell r="G23">
            <v>6.6000000000000003E-2</v>
          </cell>
          <cell r="H23">
            <v>1.7205421686746991</v>
          </cell>
          <cell r="I23">
            <v>0.10667361445783134</v>
          </cell>
          <cell r="J23">
            <v>0.10350781686746989</v>
          </cell>
          <cell r="K23">
            <v>8.258602409638556E-2</v>
          </cell>
          <cell r="L23">
            <v>0.22229404819277115</v>
          </cell>
          <cell r="M23">
            <v>0.11355578313253015</v>
          </cell>
          <cell r="N23">
            <v>0.62861728674698802</v>
          </cell>
          <cell r="O23">
            <v>6286.1728674698807</v>
          </cell>
        </row>
        <row r="24">
          <cell r="A24" t="str">
            <v>Yellow are from USEPA Exposure Factors Handbook 2011 Table 7-2 (USEPA 1985 for first two years), other ages based on adjustments in Boniol found in Table 7-8</v>
          </cell>
        </row>
        <row r="25">
          <cell r="A25" t="str">
            <v xml:space="preserve">Mean % of Male and female children from USEPA because not broken out, female for USEPA adults, female from Boniol  </v>
          </cell>
        </row>
        <row r="26">
          <cell r="A26" t="str">
            <v>For USEPA forearms is arms times .47,  per reported conversations between VT and USEPA Region 1 risk assessors, for all Boniol is "lower arms",</v>
          </cell>
        </row>
        <row r="27">
          <cell r="A27" t="str">
            <v>For USEPA Lower legs is legs times .40 per same reported USEPA conversations above, for Boniol use "legs", as they had "legs" and "thighs" separate and "legs" were smaller, assume lower legs for legs.</v>
          </cell>
        </row>
        <row r="29">
          <cell r="A29" t="str">
            <v>Calcuations for getting yearly estimates from the 2011 EFH tables</v>
          </cell>
        </row>
        <row r="30">
          <cell r="I30" t="str">
            <v>2011 Data by age bin</v>
          </cell>
        </row>
        <row r="31">
          <cell r="I31" t="str">
            <v xml:space="preserve">EFH, 2011 Table 7-11 p. 7-42 </v>
          </cell>
        </row>
        <row r="33">
          <cell r="G33" t="str">
            <v>AGE</v>
          </cell>
          <cell r="I33" t="str">
            <v>TOTAL BODY SA (m2)</v>
          </cell>
        </row>
        <row r="34">
          <cell r="G34" t="str">
            <v xml:space="preserve"> EHF, 2011</v>
          </cell>
          <cell r="H34" t="str">
            <v>m2</v>
          </cell>
          <cell r="I34" t="str">
            <v>years</v>
          </cell>
          <cell r="J34" t="str">
            <v>wtd by 
time</v>
          </cell>
          <cell r="O34" t="str">
            <v xml:space="preserve">Updated Values </v>
          </cell>
        </row>
        <row r="35">
          <cell r="C35" t="str">
            <v>1997 Data by Year</v>
          </cell>
          <cell r="G35" t="str">
            <v>0&lt;1m</v>
          </cell>
          <cell r="H35">
            <v>0.28000000000000003</v>
          </cell>
          <cell r="I35">
            <v>8.3333333333333329E-2</v>
          </cell>
          <cell r="J35">
            <v>2.3333333333333334E-2</v>
          </cell>
          <cell r="M35" t="str">
            <v xml:space="preserve"> </v>
          </cell>
          <cell r="O35" t="str">
            <v>for Use in This Method 1 Suite</v>
          </cell>
        </row>
        <row r="36">
          <cell r="B36" t="str">
            <v>EFH, 97 Tables 6-7 (child),  6-2 (18+)</v>
          </cell>
          <cell r="G36" t="str">
            <v>1&lt;3m</v>
          </cell>
          <cell r="H36">
            <v>0.31</v>
          </cell>
          <cell r="I36">
            <v>0.16666666666666666</v>
          </cell>
          <cell r="J36">
            <v>5.1666666666666666E-2</v>
          </cell>
        </row>
        <row r="37">
          <cell r="G37" t="str">
            <v>3&lt;6m</v>
          </cell>
          <cell r="H37">
            <v>0.38</v>
          </cell>
          <cell r="I37">
            <v>0.25</v>
          </cell>
          <cell r="J37">
            <v>9.5000000000000001E-2</v>
          </cell>
          <cell r="O37" t="str">
            <v>For Soil</v>
          </cell>
          <cell r="P37" t="str">
            <v>For GW</v>
          </cell>
        </row>
        <row r="38">
          <cell r="B38" t="str">
            <v>Female</v>
          </cell>
          <cell r="C38" t="str">
            <v>Total Body SA m2</v>
          </cell>
          <cell r="G38" t="str">
            <v>6&lt;12m</v>
          </cell>
          <cell r="H38">
            <v>0.44</v>
          </cell>
          <cell r="I38">
            <v>0.5</v>
          </cell>
          <cell r="J38">
            <v>0.22</v>
          </cell>
          <cell r="N38" t="str">
            <v xml:space="preserve">1997 
SA Adjusted </v>
          </cell>
          <cell r="O38" t="str">
            <v>Updated</v>
          </cell>
          <cell r="P38" t="str">
            <v>Updated</v>
          </cell>
        </row>
        <row r="39">
          <cell r="B39" t="str">
            <v>AGE</v>
          </cell>
          <cell r="G39" t="str">
            <v>above time weighted summed to get 0&lt;1yr below</v>
          </cell>
          <cell r="L39" t="str">
            <v>% Diff btwn</v>
          </cell>
          <cell r="M39" t="str">
            <v>AGE</v>
          </cell>
          <cell r="N39" t="str">
            <v>by 2011
 % Diff</v>
          </cell>
          <cell r="O39" t="str">
            <v>Total SA
m2</v>
          </cell>
          <cell r="P39" t="str">
            <v>Total SA 
cm2</v>
          </cell>
        </row>
        <row r="40">
          <cell r="A40" t="str">
            <v>no data,</v>
          </cell>
          <cell r="B40" t="str">
            <v>0&lt;1</v>
          </cell>
          <cell r="C40">
            <v>0.57899999999999996</v>
          </cell>
          <cell r="G40" t="str">
            <v>0&lt;1</v>
          </cell>
          <cell r="J40">
            <v>0.39</v>
          </cell>
          <cell r="K40" t="str">
            <v>0&lt;1 yr</v>
          </cell>
          <cell r="L40" t="str">
            <v>1997 &amp; 2011</v>
          </cell>
          <cell r="M40" t="str">
            <v>0&lt;1</v>
          </cell>
          <cell r="O40">
            <v>0.39</v>
          </cell>
          <cell r="P40">
            <v>3900</v>
          </cell>
        </row>
        <row r="41">
          <cell r="A41" t="str">
            <v>use 2&lt;3</v>
          </cell>
          <cell r="B41" t="str">
            <v>1&lt;2</v>
          </cell>
          <cell r="C41">
            <v>0.57899999999999996</v>
          </cell>
          <cell r="G41" t="str">
            <v>1&lt;2</v>
          </cell>
          <cell r="H41">
            <v>0.52</v>
          </cell>
          <cell r="I41">
            <v>1</v>
          </cell>
          <cell r="J41">
            <v>0.52</v>
          </cell>
          <cell r="K41" t="str">
            <v>1&lt;2 yr</v>
          </cell>
          <cell r="M41" t="str">
            <v>1&lt;2</v>
          </cell>
          <cell r="O41">
            <v>0.52</v>
          </cell>
          <cell r="P41">
            <v>5200</v>
          </cell>
          <cell r="Q41" t="str">
            <v>Ave 0&lt;2:</v>
          </cell>
          <cell r="R41">
            <v>4550</v>
          </cell>
        </row>
        <row r="42">
          <cell r="B42" t="str">
            <v>2&lt;3</v>
          </cell>
          <cell r="C42">
            <v>0.57899999999999996</v>
          </cell>
          <cell r="G42" t="str">
            <v>2&lt;3</v>
          </cell>
          <cell r="H42">
            <v>0.59</v>
          </cell>
          <cell r="I42">
            <v>1</v>
          </cell>
          <cell r="J42">
            <v>0.59</v>
          </cell>
          <cell r="K42" t="str">
            <v>2&lt;3 yr</v>
          </cell>
          <cell r="M42" t="str">
            <v>2&lt;3</v>
          </cell>
          <cell r="O42">
            <v>0.59</v>
          </cell>
          <cell r="P42">
            <v>5900</v>
          </cell>
        </row>
        <row r="43">
          <cell r="B43" t="str">
            <v>3&lt;4</v>
          </cell>
          <cell r="C43">
            <v>0.64900000000000002</v>
          </cell>
          <cell r="D43" t="str">
            <v>3-&lt;6 yr</v>
          </cell>
          <cell r="E43">
            <v>0.71133333333333326</v>
          </cell>
          <cell r="G43" t="str">
            <v>3&lt;6</v>
          </cell>
          <cell r="I43">
            <v>3</v>
          </cell>
          <cell r="J43">
            <v>0.74</v>
          </cell>
          <cell r="K43" t="str">
            <v>3&lt;6 yr</v>
          </cell>
          <cell r="L43">
            <v>4.0299906279287816</v>
          </cell>
          <cell r="M43" t="str">
            <v>3&lt;4</v>
          </cell>
          <cell r="N43">
            <v>0.67515463917525786</v>
          </cell>
          <cell r="O43">
            <v>0.67515463917525786</v>
          </cell>
          <cell r="P43">
            <v>6751.5463917525785</v>
          </cell>
        </row>
        <row r="44">
          <cell r="B44" t="str">
            <v>4&lt;5</v>
          </cell>
          <cell r="C44">
            <v>0.70599999999999996</v>
          </cell>
          <cell r="M44" t="str">
            <v>4&lt;5</v>
          </cell>
          <cell r="N44">
            <v>0.73445173383317719</v>
          </cell>
          <cell r="O44">
            <v>0.73445173383317719</v>
          </cell>
          <cell r="P44">
            <v>7344.5173383317715</v>
          </cell>
        </row>
        <row r="45">
          <cell r="B45" t="str">
            <v>5&lt;6</v>
          </cell>
          <cell r="C45">
            <v>0.77900000000000003</v>
          </cell>
          <cell r="M45" t="str">
            <v>5&lt;6</v>
          </cell>
          <cell r="N45">
            <v>0.81039362699156525</v>
          </cell>
          <cell r="O45">
            <v>0.81039362699156525</v>
          </cell>
          <cell r="P45">
            <v>8103.9362699156527</v>
          </cell>
          <cell r="Q45" t="str">
            <v>Ave 2&lt;6:</v>
          </cell>
          <cell r="R45">
            <v>7025</v>
          </cell>
        </row>
        <row r="46">
          <cell r="B46" t="str">
            <v>6&lt;7</v>
          </cell>
          <cell r="C46">
            <v>0.84299999999999997</v>
          </cell>
          <cell r="D46" t="str">
            <v>6-&lt;11yr</v>
          </cell>
          <cell r="E46">
            <v>0.998</v>
          </cell>
          <cell r="G46" t="str">
            <v>6&lt;11</v>
          </cell>
          <cell r="I46">
            <v>5</v>
          </cell>
          <cell r="J46">
            <v>1.04</v>
          </cell>
          <cell r="K46" t="str">
            <v>6&lt;11yr</v>
          </cell>
          <cell r="L46">
            <v>4.2084168336673384</v>
          </cell>
          <cell r="M46" t="str">
            <v>6&lt;7</v>
          </cell>
          <cell r="N46">
            <v>0.87847695390781566</v>
          </cell>
          <cell r="O46">
            <v>0.87847695390781566</v>
          </cell>
          <cell r="P46">
            <v>8784.7695390781573</v>
          </cell>
        </row>
        <row r="47">
          <cell r="B47" t="str">
            <v>7&lt;8</v>
          </cell>
          <cell r="C47">
            <v>0.91700000000000004</v>
          </cell>
          <cell r="M47" t="str">
            <v>7&lt;8</v>
          </cell>
          <cell r="N47">
            <v>0.95559118236472951</v>
          </cell>
          <cell r="O47">
            <v>0.95559118236472951</v>
          </cell>
          <cell r="P47">
            <v>9555.911823647295</v>
          </cell>
          <cell r="Q47" t="str">
            <v>Ave 0&lt;7:</v>
          </cell>
          <cell r="R47">
            <v>6569.2527912968799</v>
          </cell>
        </row>
        <row r="48">
          <cell r="B48" t="str">
            <v>8&lt;9</v>
          </cell>
          <cell r="C48">
            <v>1</v>
          </cell>
          <cell r="M48" t="str">
            <v>8&lt;9</v>
          </cell>
          <cell r="N48">
            <v>1.0420841683366733</v>
          </cell>
          <cell r="O48">
            <v>1.0420841683366733</v>
          </cell>
          <cell r="P48">
            <v>10420.841683366732</v>
          </cell>
        </row>
        <row r="49">
          <cell r="B49" t="str">
            <v>9&lt;10</v>
          </cell>
          <cell r="C49">
            <v>1.06</v>
          </cell>
          <cell r="M49" t="str">
            <v>9&lt;10</v>
          </cell>
          <cell r="N49">
            <v>1.1046092184368739</v>
          </cell>
          <cell r="O49">
            <v>1.1046092184368739</v>
          </cell>
          <cell r="P49">
            <v>11046.092184368739</v>
          </cell>
        </row>
        <row r="50">
          <cell r="B50" t="str">
            <v>10&lt;11</v>
          </cell>
          <cell r="C50">
            <v>1.17</v>
          </cell>
          <cell r="M50" t="str">
            <v>10&lt;11</v>
          </cell>
          <cell r="N50">
            <v>1.2192384769539077</v>
          </cell>
          <cell r="O50">
            <v>1.2192384769539077</v>
          </cell>
          <cell r="P50">
            <v>12192.384769539078</v>
          </cell>
        </row>
        <row r="51">
          <cell r="B51" t="str">
            <v>11&lt;12</v>
          </cell>
          <cell r="C51">
            <v>1.3</v>
          </cell>
          <cell r="D51" t="str">
            <v>11-&lt;16 yr</v>
          </cell>
          <cell r="E51">
            <v>1.46</v>
          </cell>
          <cell r="G51" t="str">
            <v>11&lt;16</v>
          </cell>
          <cell r="I51">
            <v>5</v>
          </cell>
          <cell r="J51">
            <v>1.55</v>
          </cell>
          <cell r="K51" t="str">
            <v>11&lt;16 yr</v>
          </cell>
          <cell r="L51">
            <v>6.1643835616438407</v>
          </cell>
          <cell r="M51" t="str">
            <v>11&lt;12</v>
          </cell>
          <cell r="N51">
            <v>1.3801369863013699</v>
          </cell>
          <cell r="O51">
            <v>1.3801369863013699</v>
          </cell>
          <cell r="P51">
            <v>13801.369863013699</v>
          </cell>
        </row>
        <row r="52">
          <cell r="B52" t="str">
            <v>12&lt;13</v>
          </cell>
          <cell r="C52">
            <v>1.4</v>
          </cell>
          <cell r="M52" t="str">
            <v>12&lt;13</v>
          </cell>
          <cell r="N52">
            <v>1.4863013698630136</v>
          </cell>
          <cell r="O52">
            <v>1.4863013698630136</v>
          </cell>
          <cell r="P52">
            <v>14863.013698630137</v>
          </cell>
          <cell r="Q52" t="str">
            <v>Ave 6&lt;16:</v>
          </cell>
          <cell r="R52">
            <v>12950</v>
          </cell>
        </row>
        <row r="53">
          <cell r="B53" t="str">
            <v>13&lt;14</v>
          </cell>
          <cell r="C53">
            <v>1.48</v>
          </cell>
          <cell r="M53" t="str">
            <v>13&lt;14</v>
          </cell>
          <cell r="N53">
            <v>1.5712328767123289</v>
          </cell>
          <cell r="O53">
            <v>1.5712328767123289</v>
          </cell>
          <cell r="P53">
            <v>15712.328767123288</v>
          </cell>
        </row>
        <row r="54">
          <cell r="B54" t="str">
            <v>14&lt;15</v>
          </cell>
          <cell r="C54">
            <v>1.55</v>
          </cell>
          <cell r="M54" t="str">
            <v>14&lt;15</v>
          </cell>
          <cell r="N54">
            <v>1.6455479452054795</v>
          </cell>
          <cell r="O54">
            <v>1.6455479452054795</v>
          </cell>
          <cell r="P54">
            <v>16455.479452054795</v>
          </cell>
          <cell r="Q54" t="str">
            <v>Ave 7&lt;14:</v>
          </cell>
          <cell r="R54">
            <v>12513.13468424128</v>
          </cell>
        </row>
        <row r="55">
          <cell r="B55" t="str">
            <v>15&lt;16</v>
          </cell>
          <cell r="C55">
            <v>1.57</v>
          </cell>
          <cell r="M55" t="str">
            <v>15&lt;16</v>
          </cell>
          <cell r="N55">
            <v>1.6667808219178084</v>
          </cell>
          <cell r="O55">
            <v>1.6667808219178084</v>
          </cell>
          <cell r="P55">
            <v>16667.808219178085</v>
          </cell>
        </row>
        <row r="56">
          <cell r="B56" t="str">
            <v>16&lt;17</v>
          </cell>
          <cell r="C56">
            <v>1.6</v>
          </cell>
          <cell r="D56" t="str">
            <v>16-&lt;21 yr</v>
          </cell>
          <cell r="E56">
            <v>1.6599999999999997</v>
          </cell>
          <cell r="G56" t="str">
            <v>16&lt;21</v>
          </cell>
          <cell r="I56">
            <v>5</v>
          </cell>
          <cell r="J56">
            <v>1.69</v>
          </cell>
          <cell r="K56" t="str">
            <v>16&lt;21 yr</v>
          </cell>
          <cell r="L56">
            <v>1.807228915662666</v>
          </cell>
          <cell r="M56" t="str">
            <v>16&lt;17</v>
          </cell>
          <cell r="N56">
            <v>1.6289156626506027</v>
          </cell>
          <cell r="O56">
            <v>1.6289156626506027</v>
          </cell>
          <cell r="P56">
            <v>16289.156626506026</v>
          </cell>
        </row>
        <row r="57">
          <cell r="B57" t="str">
            <v>17&lt;18</v>
          </cell>
          <cell r="C57">
            <v>1.63</v>
          </cell>
          <cell r="M57" t="str">
            <v>17&lt;18</v>
          </cell>
          <cell r="N57">
            <v>1.6594578313253014</v>
          </cell>
          <cell r="O57">
            <v>1.6594578313253014</v>
          </cell>
          <cell r="P57">
            <v>16594.578313253016</v>
          </cell>
        </row>
        <row r="58">
          <cell r="B58" t="str">
            <v>18&lt;19</v>
          </cell>
          <cell r="C58">
            <v>1.69</v>
          </cell>
          <cell r="G58" t="str">
            <v>Adult</v>
          </cell>
          <cell r="H58" t="str">
            <v xml:space="preserve">From Table 7-13 </v>
          </cell>
          <cell r="J58">
            <v>1.82</v>
          </cell>
          <cell r="M58" t="str">
            <v>18&lt;19</v>
          </cell>
          <cell r="N58">
            <v>1.7205421686746991</v>
          </cell>
          <cell r="O58">
            <v>1.7205421686746991</v>
          </cell>
          <cell r="P58">
            <v>17205.421686746991</v>
          </cell>
        </row>
        <row r="59">
          <cell r="B59" t="str">
            <v>19&lt;20</v>
          </cell>
          <cell r="C59">
            <v>1.69</v>
          </cell>
          <cell r="H59" t="str">
            <v>p 7-45 (50th percentile Adult female 21 and older)</v>
          </cell>
          <cell r="M59" t="str">
            <v>19&lt;20</v>
          </cell>
          <cell r="N59">
            <v>1.7205421686746991</v>
          </cell>
          <cell r="O59">
            <v>1.7205421686746991</v>
          </cell>
          <cell r="P59">
            <v>17205.421686746991</v>
          </cell>
          <cell r="Q59" t="str">
            <v>Ave 16&lt;30:</v>
          </cell>
          <cell r="R59">
            <v>17735.714285714286</v>
          </cell>
        </row>
        <row r="60">
          <cell r="B60" t="str">
            <v>20&lt;21</v>
          </cell>
          <cell r="C60">
            <v>1.69</v>
          </cell>
          <cell r="M60" t="str">
            <v>20&lt;21</v>
          </cell>
          <cell r="N60">
            <v>1.7205421686746991</v>
          </cell>
          <cell r="O60">
            <v>1.7205421686746991</v>
          </cell>
          <cell r="P60">
            <v>17205.421686746991</v>
          </cell>
        </row>
        <row r="61">
          <cell r="M61" t="str">
            <v>ADULT</v>
          </cell>
          <cell r="O61">
            <v>1.82</v>
          </cell>
          <cell r="P61">
            <v>18200</v>
          </cell>
          <cell r="Q61" t="str">
            <v>Ave 14&lt;30:</v>
          </cell>
          <cell r="R61">
            <v>17588.955479452055</v>
          </cell>
        </row>
        <row r="70">
          <cell r="M70" t="str">
            <v xml:space="preserve"> </v>
          </cell>
        </row>
      </sheetData>
      <sheetData sheetId="6">
        <row r="1">
          <cell r="A1" t="str">
            <v>References for the Derivation of the MCP Standards</v>
          </cell>
        </row>
        <row r="4">
          <cell r="A4" t="str">
            <v>Reference #</v>
          </cell>
          <cell r="B4" t="str">
            <v>Description</v>
          </cell>
        </row>
        <row r="5">
          <cell r="B5" t="str">
            <v>Toxicity Values</v>
          </cell>
        </row>
        <row r="6">
          <cell r="A6">
            <v>1</v>
          </cell>
          <cell r="B6" t="str">
            <v>USEPA, Integrated Risk Information System (IRIS).</v>
          </cell>
        </row>
        <row r="7">
          <cell r="A7" t="str">
            <v>1a</v>
          </cell>
          <cell r="B7" t="str">
            <v>The oral cancer slope factor for a mix of 2,4- and 2,6- Dinitrotoluene (from IRIS) has been</v>
          </cell>
        </row>
        <row r="8">
          <cell r="B8" t="str">
            <v>used as the cancer slope factor equivalent for pure 2,4-Dinitrotoluene.</v>
          </cell>
        </row>
        <row r="9">
          <cell r="A9" t="str">
            <v>1b</v>
          </cell>
          <cell r="B9" t="str">
            <v>The chronic oral RfD for 1,2-Dichlorobenzene has been used as the chronic oral RfD equivalent for 1,3-Dichlorobenzene and 1,4-Dichlorobenzene.</v>
          </cell>
        </row>
        <row r="10">
          <cell r="A10" t="str">
            <v>1c</v>
          </cell>
          <cell r="B10" t="str">
            <v>IRIS lists two oral RfDs for cadmium, one for food and one for water exposure.  The more conservative is used.</v>
          </cell>
        </row>
        <row r="11">
          <cell r="A11" t="str">
            <v>1d</v>
          </cell>
          <cell r="B11" t="str">
            <v>The chronic oral RfD (from IRIS) has been used here as a subchronic oral RfD equivalent.</v>
          </cell>
        </row>
        <row r="12">
          <cell r="A12" t="str">
            <v>1e</v>
          </cell>
          <cell r="B12" t="str">
            <v xml:space="preserve">The IRIS Oral Cancer Slope Factor and Inhalation Unit Risk for benzo(a)pyrene is the basis for the Oral Cancer Slope Factors and Inhalation Unit Risks applied to the seven PAH compounds which are </v>
          </cell>
        </row>
        <row r="13">
          <cell r="B13" t="str">
            <v>designated as category A, B1, B2 or C carcinogens. The values are adjusted by Relative Potency Factors.</v>
          </cell>
        </row>
        <row r="14">
          <cell r="A14" t="str">
            <v>1f</v>
          </cell>
          <cell r="B14" t="str">
            <v>This value was withdrawn from IRIS. MassDEP continues to use it pending new toxicity information.</v>
          </cell>
        </row>
        <row r="15">
          <cell r="A15" t="str">
            <v>1g</v>
          </cell>
          <cell r="B15" t="str">
            <v>The chronic oral Reference Dose for DDT has been adopted for DDD and DDE as well.</v>
          </cell>
        </row>
        <row r="16">
          <cell r="A16" t="str">
            <v>1h</v>
          </cell>
          <cell r="B16" t="str">
            <v>The IRIS chronic RfC for Cr VI was used for CR III.</v>
          </cell>
        </row>
        <row r="17">
          <cell r="A17" t="str">
            <v>1i</v>
          </cell>
          <cell r="B17" t="str">
            <v>The subchronic RfD is based upon the subchronic toxicity data that is the basis of the chronic RfD presented in the IRIS file.</v>
          </cell>
        </row>
        <row r="18">
          <cell r="A18" t="str">
            <v>1j</v>
          </cell>
          <cell r="B18" t="str">
            <v>The subchronic RfC is set equal to the chronic RfC based on information in the IRIS file.</v>
          </cell>
        </row>
        <row r="19">
          <cell r="A19" t="str">
            <v>1k</v>
          </cell>
          <cell r="B19" t="str">
            <v>The subchronic RfC is based upon the subchronic toxicity data that is the basis of the chronic RfC presented in the IRIS file.</v>
          </cell>
        </row>
        <row r="20">
          <cell r="A20" t="str">
            <v>1l</v>
          </cell>
          <cell r="B20" t="str">
            <v xml:space="preserve">This value is presented in IRIS as the Oral Cancer Slope Factor that would result from including leukemia data in the development of the value. </v>
          </cell>
        </row>
        <row r="21">
          <cell r="A21" t="str">
            <v>1m</v>
          </cell>
          <cell r="B21" t="str">
            <v>The chronic and subchronic RfCs for 1,4-Dichlorobenze are used for 1,2- and 1,3- Dichlorobenzene.</v>
          </cell>
        </row>
        <row r="22">
          <cell r="A22" t="str">
            <v>1n</v>
          </cell>
          <cell r="B22" t="str">
            <v>USEPA Health Advisory https://www.epa.gov/ground-water-and-drinking-water/supporting-documents-drinking-water-health-advisories-pfoa-and-pfos</v>
          </cell>
        </row>
        <row r="24">
          <cell r="A24">
            <v>2</v>
          </cell>
          <cell r="B24" t="str">
            <v xml:space="preserve">USEPA Health Effects Assessment Summary Tables (HEAST), Annual FY-1996.  </v>
          </cell>
        </row>
        <row r="25">
          <cell r="A25" t="str">
            <v>2a</v>
          </cell>
          <cell r="B25" t="str">
            <v>This subchronic oral RfD (from HEAST) for 1,2-Dichlorobenzene has been used as the</v>
          </cell>
        </row>
        <row r="26">
          <cell r="A26" t="str">
            <v xml:space="preserve"> </v>
          </cell>
          <cell r="B26" t="str">
            <v xml:space="preserve">subchronic oral RfD equivalent for 1,3- and 1,4- Dichlorobenzene. </v>
          </cell>
        </row>
        <row r="27">
          <cell r="A27" t="str">
            <v>2b</v>
          </cell>
          <cell r="B27" t="str">
            <v>The subchronic RfC is based upon the subchronic toxicity data that is the basis of the chronic RfC presented in HEAST.</v>
          </cell>
        </row>
        <row r="28">
          <cell r="A28" t="str">
            <v>2c</v>
          </cell>
          <cell r="B28" t="str">
            <v xml:space="preserve">This Cancer Slope Factor or Unit Risk was taken from a fact sheet distributed by the USEPA Superfund Health Risk Technical Support Center at </v>
          </cell>
        </row>
        <row r="29">
          <cell r="B29" t="str">
            <v>ECAO-Cincinnati, current as of September 2, 1992.</v>
          </cell>
        </row>
        <row r="30">
          <cell r="A30" t="str">
            <v>2d</v>
          </cell>
          <cell r="B30" t="str">
            <v>This value has been withdrawn from HEAST, MassDEP continues to use it pending new information.</v>
          </cell>
        </row>
        <row r="31">
          <cell r="A31" t="str">
            <v>2e</v>
          </cell>
          <cell r="B31" t="str">
            <v>From Table 2 of HEAST. Values in Table 2 were calculated by an alternative method.</v>
          </cell>
        </row>
        <row r="32">
          <cell r="A32" t="str">
            <v>2f</v>
          </cell>
          <cell r="B32" t="str">
            <v>The chronic Reference Concentration for 1,2-dichlorobenzene has been used for 1,3 dichlorobenzene.</v>
          </cell>
        </row>
        <row r="33">
          <cell r="A33" t="str">
            <v>2g</v>
          </cell>
          <cell r="B33" t="str">
            <v>The subchronic oral RfD for DDT has been adopted for DDE and DDD as well.</v>
          </cell>
        </row>
        <row r="35">
          <cell r="A35">
            <v>3</v>
          </cell>
          <cell r="B35" t="str">
            <v>MassDEP Chemical Health Effects Assessment Methodology and Method to Derive Allowable Ambient Limits (CHEM/AAL)</v>
          </cell>
        </row>
        <row r="36">
          <cell r="B36" t="str">
            <v>http://www.mass.gov/dep/toxics/stypes/telaal.htm</v>
          </cell>
        </row>
        <row r="37">
          <cell r="A37" t="str">
            <v>3a</v>
          </cell>
          <cell r="B37" t="str">
            <v xml:space="preserve">MassDEP Methodology for Updating Air Guidelines: Allowable Ambient Limits (AALs) and Threshold Effects Exposure Limits (TELs) (MassDEP 2011). </v>
          </cell>
        </row>
        <row r="38">
          <cell r="B38" t="str">
            <v>More info on the MassDEP Amibient Air Toxics Guidelines webpage. (http://www.mass.gov/eea/agencies/massdep/toxics/sources/air-guideline-values.html)</v>
          </cell>
        </row>
        <row r="40">
          <cell r="A40">
            <v>4</v>
          </cell>
          <cell r="B40" t="str">
            <v xml:space="preserve">Developed for the Risk Assessment ShortForm - Residential Scenario (MassDEP, 1992) by MassDEP staff.  Documentation of this value may be found </v>
          </cell>
        </row>
        <row r="41">
          <cell r="B41" t="str">
            <v>in Appendix D of that document.</v>
          </cell>
        </row>
        <row r="43">
          <cell r="A43" t="str">
            <v>5a</v>
          </cell>
          <cell r="B43" t="str">
            <v>The chronic and subchronic RfDs for MTBE were developed by MassDEP ORS Air/Water Toxics staff. See http://www.mass.gov/dep/water/drinking/standards/mtbe.htm</v>
          </cell>
        </row>
        <row r="44">
          <cell r="A44" t="str">
            <v>5b</v>
          </cell>
          <cell r="B44" t="str">
            <v xml:space="preserve">The RfCs for silver, thallium, and zinc were developed by MassDEP ORS Air/Water Toxics staff. </v>
          </cell>
        </row>
        <row r="45">
          <cell r="A45" t="str">
            <v>5c</v>
          </cell>
          <cell r="B45" t="str">
            <v xml:space="preserve">Final Updated Petroleum Hydrocarbon Fraction Toxicity Values for the VPH/EPH/APH Methodology. </v>
          </cell>
        </row>
        <row r="46">
          <cell r="B46" t="str">
            <v>See: http://www.mass.gov/dep/cleanup/laws/tphtox03.doc</v>
          </cell>
        </row>
        <row r="47">
          <cell r="A47" t="str">
            <v>5d</v>
          </cell>
          <cell r="B47" t="str">
            <v>Toxicity values for PAHs are consistent with the approach presented in "Updated Petroleum Hydrocarbon Fraction Toxicity Values for the VPH/EPH/APH Methodology" MassDEP 2003 and</v>
          </cell>
        </row>
        <row r="48">
          <cell r="B48" t="str">
            <v xml:space="preserve">"Characterizing Risks Posed by Petroleum Contaminated Sites" MassDEP 2002. </v>
          </cell>
        </row>
        <row r="49">
          <cell r="A49" t="str">
            <v>5e</v>
          </cell>
          <cell r="B49" t="str">
            <v>MassDEP (2006)  Perchlorate Toxicological Profile And Health Assessment. (http://www.mass.gov/dep/toxics/perchlorate-toxicity-061206.pdf)</v>
          </cell>
        </row>
        <row r="51">
          <cell r="A51" t="str">
            <v>5h</v>
          </cell>
          <cell r="B51" t="str">
            <v xml:space="preserve">Developed by MassDEP ORS in 2013, adopted in by MassDEP in January 2014. </v>
          </cell>
        </row>
        <row r="52">
          <cell r="B52" t="str">
            <v>"Tetrachloroethylene (Perchloroethylene) Inhalation Unit Risk Value" 2014. http://www.mass.gov/eea/agencies/massdep/toxics/sources/tetrachloroethylene-pce.html</v>
          </cell>
        </row>
        <row r="53">
          <cell r="A53" t="str">
            <v>5i</v>
          </cell>
          <cell r="B53" t="str">
            <v>MassDEP ORS 2018 - background documentation for the PFAS ORSGL.</v>
          </cell>
        </row>
        <row r="55">
          <cell r="A55">
            <v>6</v>
          </cell>
          <cell r="B55" t="str">
            <v xml:space="preserve">PPRTVs </v>
          </cell>
        </row>
        <row r="56">
          <cell r="A56" t="str">
            <v>6a</v>
          </cell>
          <cell r="B56" t="str">
            <v>The chronic values is set equal to the PPRTV subchronic value.</v>
          </cell>
        </row>
        <row r="57">
          <cell r="A57" t="str">
            <v>6b</v>
          </cell>
          <cell r="B57" t="str">
            <v>Value used in USEPA Drinking Water Program and cited in PPRTV documentation.</v>
          </cell>
        </row>
        <row r="58">
          <cell r="A58" t="str">
            <v>6c</v>
          </cell>
          <cell r="B58" t="str">
            <v>PPRTV Screening Value</v>
          </cell>
        </row>
        <row r="59">
          <cell r="A59" t="str">
            <v>6d</v>
          </cell>
          <cell r="B59" t="str">
            <v>This subchronic value is from the subchronic study on which the chronic RfD is based.</v>
          </cell>
        </row>
        <row r="61">
          <cell r="A61" t="str">
            <v>7a</v>
          </cell>
          <cell r="B61" t="str">
            <v>Conversion of the oral Cancer Slope Factor to the inhalation Unit Risk, using the equation:  Slope Factor x Ventilation Rate x Constant / Body Weight</v>
          </cell>
        </row>
        <row r="62">
          <cell r="B62" t="str">
            <v>(CSF x V x C)/BW  =  (CSF x 20 m3/day x 0.001 mg/µg) / 70 kg</v>
          </cell>
        </row>
        <row r="63">
          <cell r="A63" t="str">
            <v>7b</v>
          </cell>
          <cell r="B63" t="str">
            <v>Conversion of the oral Reference Dose to a Reference Concentration, using the equation:  RfD x BW / Ventilation Rate</v>
          </cell>
        </row>
        <row r="64">
          <cell r="B64" t="str">
            <v>RfC= (RfD x 70 kg) /  20 m3/day</v>
          </cell>
        </row>
        <row r="65">
          <cell r="A65" t="str">
            <v>7c</v>
          </cell>
          <cell r="B65" t="str">
            <v>The Subchronic Inhalation Reference Concentration for this chemical is taken to be equal to the chronic value, absent clear chemical-specific information justifying a higher value..</v>
          </cell>
        </row>
        <row r="68">
          <cell r="B68" t="str">
            <v>RAFs</v>
          </cell>
        </row>
        <row r="69">
          <cell r="A69">
            <v>9</v>
          </cell>
          <cell r="B69" t="str">
            <v xml:space="preserve">MassDEP 2012 RAF Review. Unless specified otherwise, due to data limitations and consistent with the approach in Ontario Ministry of the Environment (2011 - for full reference </v>
          </cell>
        </row>
        <row r="70">
          <cell r="B70" t="str">
            <v xml:space="preserve">see note 48e), a default RAF of 1 was chosen for all organic compounds for oral ingestion of contaminated soil and water. </v>
          </cell>
        </row>
        <row r="71">
          <cell r="A71" t="str">
            <v>9a</v>
          </cell>
          <cell r="B71" t="str">
            <v xml:space="preserve">MassDEP 2012 RAF Review - Dermal RAFs for dioxins, furans, and PCBs consider data presented in:  Brewster DW, Banks YB, Clark AM and Birbaum LS. (1998).   </v>
          </cell>
        </row>
        <row r="72">
          <cell r="B72" t="str">
            <v>Comparative Dermal Absorption of 2,3,7,8-Tetrachlorodibenzo-p-dioxin and Three Polychlorinated Dibenzofurans. Toxicol Appl Pharacol 97(1):156-166.</v>
          </cell>
        </row>
        <row r="73">
          <cell r="B73" t="str">
            <v xml:space="preserve">Mayes BA, Brown GL, Mondello FJ, Holtzclaw KW, Hamilton SB, Ramsey AA. (2002).Dermal Absorption in Rhesus Monkeys of Polychlorinated Biphenyls from Soil Contaminated With </v>
          </cell>
        </row>
        <row r="74">
          <cell r="B74" t="str">
            <v>Aroclor 1260. Regul Toxicol Pharmacol 35(3):289-295.</v>
          </cell>
        </row>
        <row r="75">
          <cell r="B75" t="str">
            <v xml:space="preserve">Roy TA, Hammerstron AK and Schaum J. (2008). Percutaneous Absorption of 2,3,7,8-Tetrachlorodibenzo-p-dioxin (TCDD) from Soil. J. Toxicol Environ Health, </v>
          </cell>
        </row>
        <row r="76">
          <cell r="B76" t="str">
            <v>Part A: Current Issues: 1509-1515.</v>
          </cell>
        </row>
        <row r="77">
          <cell r="B77" t="str">
            <v xml:space="preserve">Wester RC, Maibach HI, Sedik L, Melendres J, and Wade M. (1993). Percutaneous Absorption of PCBs from Soil: In-vivo Rhesus Monkey, In-vitro Human Skin, and Binding to </v>
          </cell>
        </row>
        <row r="78">
          <cell r="B78" t="str">
            <v>Powered Human Stratum Corneum. J. Toxicol. Environ. Health 39:375-382.</v>
          </cell>
        </row>
        <row r="79">
          <cell r="B79" t="str">
            <v>Absorption of these compounds from soil with high to low organic content has been reported to range from less than 1% to over 10%. In light of the variability in the reported</v>
          </cell>
        </row>
        <row r="80">
          <cell r="B80" t="str">
            <v>dermal absorption values and study characteristics, a default value of 0.1 was selected, which is toward the high end of the reported values.</v>
          </cell>
        </row>
        <row r="81">
          <cell r="A81" t="str">
            <v>9b</v>
          </cell>
          <cell r="B81" t="str">
            <v xml:space="preserve">MassDEP 2012 RAF Review - RAFs for phenols consider data presented in Baranowska-Dutkiewicz, B. (1981) Skin absorption of phenol from aqueous </v>
          </cell>
        </row>
        <row r="82">
          <cell r="B82" t="str">
            <v xml:space="preserve">solutions in men.  Int. Arch. Environ. Health 49:99-104 </v>
          </cell>
        </row>
        <row r="83">
          <cell r="A83" t="str">
            <v>9c</v>
          </cell>
          <cell r="B83" t="str">
            <v>MassDEP 2012 RAF Review - Pentachlorophenol RAFs consider data presented in Baranowska-Dutkiewicz 1981 (see note 48b), OME 2011 (see note 48e), and USEPA 2004 (see note 48a).</v>
          </cell>
        </row>
        <row r="84">
          <cell r="A84" t="str">
            <v>9d</v>
          </cell>
          <cell r="B84" t="str">
            <v xml:space="preserve">MassDEP 2012 RAF Review - Based on Magee B, Andersen P and Burmaster. (1996). Absorption Adjustment Factor (AAF) Distributions for Polycyclic Aromatic Hydrocarbons (PAHs). </v>
          </cell>
        </row>
        <row r="85">
          <cell r="B85" t="str">
            <v>Human and Ecological Risk Assessment 2:841-873.</v>
          </cell>
        </row>
        <row r="86">
          <cell r="A86" t="str">
            <v>9e</v>
          </cell>
          <cell r="B86" t="str">
            <v xml:space="preserve">MassDEP 2012 RAF Review - Based on Ontario Ministry of the Environment (2011). Rationale for the Development of Soil and Ground Water Standards for Use at Contaminated Sites in </v>
          </cell>
        </row>
        <row r="87">
          <cell r="B87" t="str">
            <v>Ontario (April 15, 2011, Standards Development Branch, Ontario Ministry of the Environment (see Section 2.6, Development of Relative Absorption Factors, pp 61-67 and Table 2.35b</v>
          </cell>
        </row>
        <row r="88">
          <cell r="B88" t="str">
            <v xml:space="preserve"> Estimation of  Dermal Relative Absorption Factors (RAFs) PP 120- 141) http://www.ene.gov.on.ca/environment/en/resources/STDPROD_081485.html; Accessed March 22, 2012.</v>
          </cell>
        </row>
        <row r="89">
          <cell r="A89" t="str">
            <v>9f</v>
          </cell>
          <cell r="B89" t="str">
            <v xml:space="preserve">MassDEP 2012 RAF Review - Based on USEPA (2004). Risk Assessment Guidance for Superfund Volume 1: Human Health Evaluation Manual Part E, </v>
          </cell>
        </row>
        <row r="90">
          <cell r="B90" t="str">
            <v xml:space="preserve">Supplemental Guidance for Dermal Risk Assessment. </v>
          </cell>
        </row>
        <row r="91">
          <cell r="A91" t="str">
            <v>9g</v>
          </cell>
          <cell r="B91" t="str">
            <v xml:space="preserve">MassDEP 2013 - Consistent with information in the IRIS file, an RAF of .5 is used for Cadmium to adjust the water reference dose for soil. </v>
          </cell>
        </row>
        <row r="92">
          <cell r="A92" t="str">
            <v>9h</v>
          </cell>
          <cell r="B92" t="str">
            <v xml:space="preserve">MassDEP 2012, in keeping with values developed for the Risk Assessment ShortForm - Residential Scenario (MassDEP, 1992) by MassDEP staff.  Documentation of this value </v>
          </cell>
        </row>
        <row r="93">
          <cell r="B93" t="str">
            <v>is located in Appendix D of that document.</v>
          </cell>
        </row>
        <row r="95">
          <cell r="B95" t="str">
            <v>PQLs</v>
          </cell>
        </row>
        <row r="96">
          <cell r="A96" t="str">
            <v>10a</v>
          </cell>
          <cell r="B96" t="str">
            <v>PQLs from the Guide to Environmental Analytical Methods, Robert E. Wagner, editor; Genium Publishing Corporation, Schenectady, NY; 1992.</v>
          </cell>
        </row>
        <row r="97">
          <cell r="A97" t="str">
            <v>10b</v>
          </cell>
          <cell r="B97" t="str">
            <v>PQLs from USEPA Test Methods for Evaluating Solid Waste, SW-846, Third Edition (Revision O), November 1986.</v>
          </cell>
        </row>
        <row r="98">
          <cell r="A98" t="str">
            <v>10c</v>
          </cell>
          <cell r="B98" t="str">
            <v>PQL from USEPA Method 1613.</v>
          </cell>
        </row>
        <row r="99">
          <cell r="A99" t="str">
            <v>10d</v>
          </cell>
          <cell r="B99" t="str">
            <v>PQL from Standard Methods for the Examination of Water and Wastewater, 17th edition; Water Environment Federation.</v>
          </cell>
        </row>
        <row r="100">
          <cell r="A100" t="str">
            <v>10e</v>
          </cell>
          <cell r="B100" t="str">
            <v xml:space="preserve">The PQL for 1,4 Dioxane is cited in the documentation for the Massachusetts Drinking Water Guideline for 1,4-dioxane and is the LCMRL (Lowest Concentration Minimum Reporting Level) .  </v>
          </cell>
        </row>
        <row r="101">
          <cell r="B101" t="str">
            <v xml:space="preserve">Set in 2012 when the ORSGL was changed. Note that US EPA has replaced the term PQL (practical Quantitation Limit) with LCMRL.  </v>
          </cell>
        </row>
        <row r="102">
          <cell r="B102" t="str">
            <v>Analytical Methods that can achieve this concentration are U.S.EPA Method 522, Modified SW-846 8260 SIM, and Modified SW-846 8270 SIM.</v>
          </cell>
        </row>
        <row r="103">
          <cell r="B103" t="str">
            <v>See http://www.mass.gov/dep/water/drinking/standards/14dioxan.htm</v>
          </cell>
        </row>
        <row r="104">
          <cell r="A104" t="str">
            <v>10f</v>
          </cell>
          <cell r="B104" t="str">
            <v>The PQL for Perchlorate is cited in the documentation for the Massachusetts Drinking Water Guidelines and is based on U.S. EPA Method 314.0, revision 1.0 (U.S. EPA, 1999b)</v>
          </cell>
        </row>
        <row r="105">
          <cell r="B105" t="str">
            <v>See http://www.mass.gov/dep/water/drinking/standards/perchlor.htm</v>
          </cell>
        </row>
        <row r="106">
          <cell r="A106" t="str">
            <v>10g</v>
          </cell>
          <cell r="B106" t="str">
            <v>PQL from MassDEP WSC Memorandum #99-145 "PRESERVATION TECHNIQUES FOR VOLATILE ORGANIC COMPOUND (VOC) SOIL SAMPLE ANALYSES"</v>
          </cell>
        </row>
        <row r="107">
          <cell r="B107" t="str">
            <v>using methanol preservation techniques.</v>
          </cell>
        </row>
        <row r="108">
          <cell r="A108" t="str">
            <v>10h</v>
          </cell>
          <cell r="B108" t="str">
            <v>Reporting Limit (RL) from MassDEP Wall Experiment Station recommendation.</v>
          </cell>
        </row>
        <row r="110">
          <cell r="B110" t="str">
            <v>Chemical Characteristics and Physical Constants</v>
          </cell>
        </row>
        <row r="111">
          <cell r="A111">
            <v>11</v>
          </cell>
          <cell r="B111" t="str">
            <v>Chemical constants from United States Environmental Protection Agency (USEPA), 1986.  "Superfund Public Health Evaluation Manual";  U.S. Environmental Protection Agency;</v>
          </cell>
        </row>
        <row r="112">
          <cell r="B112" t="str">
            <v>Office of Emergency and Remedial Response, EPA/540/1-86/060 (OSWER Directive 9285.4-1); Washington, D.C., Oct</v>
          </cell>
        </row>
        <row r="114">
          <cell r="A114">
            <v>12</v>
          </cell>
          <cell r="B114" t="str">
            <v>Chemical and physical constants from U.S. Department of Defense, 1989</v>
          </cell>
        </row>
        <row r="116">
          <cell r="A116">
            <v>13</v>
          </cell>
          <cell r="B116" t="str">
            <v xml:space="preserve">Chemical and physical constants from ATSDR,  Toxicological Profiles for specific chemicals. Agency for Toxic Substances and Disease Registry, U.S. Public Health Service.  </v>
          </cell>
        </row>
        <row r="118">
          <cell r="A118">
            <v>14</v>
          </cell>
          <cell r="B118" t="str">
            <v>Log Kow based on USEPA Draft Health Advisory for Methyl t-Butyl Ether, 1989.</v>
          </cell>
        </row>
        <row r="120">
          <cell r="A120">
            <v>15</v>
          </cell>
          <cell r="B120" t="str">
            <v>Molecular Weights from Risk Reduction Engineering Laboratory (RREL) Treatability Database, Version 4.0.</v>
          </cell>
        </row>
        <row r="122">
          <cell r="A122">
            <v>16</v>
          </cell>
          <cell r="B122" t="str">
            <v>OSHA  Documentation of TLV -TWA</v>
          </cell>
        </row>
        <row r="124">
          <cell r="A124">
            <v>17</v>
          </cell>
          <cell r="B124" t="str">
            <v>Chemical Constants from USEPA Soil Screening (SSL) Guidance:  Technical Background Document, EPA/540/R95/128, May 1996</v>
          </cell>
        </row>
        <row r="125">
          <cell r="A125" t="str">
            <v>17a</v>
          </cell>
          <cell r="B125" t="str">
            <v>Measured Koc (from the SSL Guidance), Table 39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CP%20Toxicity_022020.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56"/>
  <sheetViews>
    <sheetView showGridLines="0" tabSelected="1" zoomScaleNormal="100" workbookViewId="0"/>
  </sheetViews>
  <sheetFormatPr defaultRowHeight="12.5" x14ac:dyDescent="0.25"/>
  <cols>
    <col min="1" max="1" width="4.453125" customWidth="1"/>
    <col min="2" max="2" width="6.6328125" customWidth="1"/>
    <col min="3" max="3" width="3.08984375" customWidth="1"/>
    <col min="4" max="4" width="20.36328125" customWidth="1"/>
    <col min="5" max="5" width="66.81640625" customWidth="1"/>
    <col min="6" max="6" width="1.6328125" customWidth="1"/>
    <col min="7" max="7" width="4.6328125" customWidth="1"/>
  </cols>
  <sheetData>
    <row r="1" spans="1:23" ht="13" thickTop="1" x14ac:dyDescent="0.25">
      <c r="A1" s="23"/>
      <c r="B1" s="277"/>
      <c r="C1" s="278"/>
      <c r="D1" s="278"/>
      <c r="E1" s="278"/>
      <c r="F1" s="278"/>
      <c r="G1" s="279"/>
      <c r="H1" s="23"/>
      <c r="I1" s="23"/>
      <c r="J1" s="23"/>
      <c r="K1" s="23"/>
      <c r="L1" s="23"/>
      <c r="M1" s="23"/>
      <c r="N1" s="23"/>
      <c r="O1" s="23"/>
      <c r="P1" s="23"/>
      <c r="Q1" s="23"/>
      <c r="R1" s="23"/>
      <c r="S1" s="23"/>
      <c r="T1" s="23"/>
      <c r="U1" s="23"/>
      <c r="V1" s="23"/>
      <c r="W1" s="23"/>
    </row>
    <row r="2" spans="1:23" ht="15.5" x14ac:dyDescent="0.35">
      <c r="A2" s="23"/>
      <c r="B2" s="292" t="s">
        <v>419</v>
      </c>
      <c r="C2" s="293"/>
      <c r="D2" s="293"/>
      <c r="E2" s="293"/>
      <c r="F2" s="293"/>
      <c r="G2" s="294"/>
      <c r="H2" s="23"/>
      <c r="I2" s="23"/>
      <c r="J2" s="23"/>
      <c r="K2" s="23"/>
      <c r="L2" s="23"/>
      <c r="M2" s="23"/>
      <c r="N2" s="23"/>
      <c r="O2" s="23"/>
      <c r="P2" s="23"/>
      <c r="Q2" s="23"/>
      <c r="R2" s="23"/>
      <c r="S2" s="23"/>
      <c r="T2" s="23"/>
      <c r="U2" s="23"/>
      <c r="V2" s="23"/>
      <c r="W2" s="23"/>
    </row>
    <row r="3" spans="1:23" ht="15.5" x14ac:dyDescent="0.35">
      <c r="A3" s="23"/>
      <c r="B3" s="241"/>
      <c r="C3" s="20"/>
      <c r="D3" s="243"/>
      <c r="E3" s="20"/>
      <c r="F3" s="20"/>
      <c r="G3" s="242"/>
      <c r="H3" s="23"/>
      <c r="I3" s="23"/>
      <c r="J3" s="23"/>
      <c r="K3" s="23"/>
      <c r="L3" s="23"/>
      <c r="M3" s="23"/>
      <c r="N3" s="23"/>
      <c r="O3" s="23"/>
      <c r="P3" s="23"/>
      <c r="Q3" s="23"/>
      <c r="R3" s="23"/>
      <c r="S3" s="23"/>
      <c r="T3" s="23"/>
      <c r="U3" s="23"/>
      <c r="V3" s="23"/>
      <c r="W3" s="23"/>
    </row>
    <row r="4" spans="1:23" x14ac:dyDescent="0.25">
      <c r="A4" s="23"/>
      <c r="B4" s="241"/>
      <c r="C4" s="20"/>
      <c r="D4" s="20"/>
      <c r="E4" s="20"/>
      <c r="F4" s="20"/>
      <c r="G4" s="242"/>
      <c r="H4" s="23"/>
      <c r="I4" s="23"/>
      <c r="J4" s="23"/>
      <c r="K4" s="23"/>
      <c r="L4" s="23"/>
      <c r="M4" s="23"/>
      <c r="N4" s="23"/>
      <c r="O4" s="23"/>
      <c r="P4" s="23"/>
      <c r="Q4" s="23"/>
      <c r="R4" s="23"/>
      <c r="S4" s="23"/>
      <c r="T4" s="23"/>
      <c r="U4" s="23"/>
      <c r="V4" s="23"/>
      <c r="W4" s="23"/>
    </row>
    <row r="5" spans="1:23" ht="13" x14ac:dyDescent="0.3">
      <c r="A5" s="23"/>
      <c r="B5" s="244"/>
      <c r="C5" s="20"/>
      <c r="D5" s="20" t="s">
        <v>365</v>
      </c>
      <c r="E5" s="20"/>
      <c r="F5" s="20"/>
      <c r="G5" s="242"/>
      <c r="H5" s="23"/>
      <c r="I5" s="23"/>
      <c r="J5" s="23"/>
      <c r="K5" s="23"/>
      <c r="L5" s="23"/>
      <c r="M5" s="23"/>
      <c r="N5" s="23"/>
      <c r="O5" s="23"/>
      <c r="P5" s="23"/>
      <c r="Q5" s="23"/>
      <c r="R5" s="23"/>
      <c r="S5" s="23"/>
      <c r="T5" s="23"/>
      <c r="U5" s="23"/>
      <c r="V5" s="23"/>
      <c r="W5" s="23"/>
    </row>
    <row r="6" spans="1:23" x14ac:dyDescent="0.25">
      <c r="A6" s="23"/>
      <c r="B6" s="241"/>
      <c r="C6" s="20"/>
      <c r="D6" s="20"/>
      <c r="E6" s="20"/>
      <c r="F6" s="20"/>
      <c r="G6" s="242"/>
      <c r="H6" s="23"/>
      <c r="I6" s="23"/>
      <c r="J6" s="23"/>
      <c r="K6" s="23"/>
      <c r="L6" s="23"/>
      <c r="M6" s="23"/>
      <c r="N6" s="23"/>
      <c r="O6" s="23"/>
      <c r="P6" s="23"/>
      <c r="Q6" s="23"/>
      <c r="R6" s="23"/>
      <c r="S6" s="23"/>
      <c r="T6" s="23"/>
      <c r="U6" s="23"/>
      <c r="V6" s="23"/>
      <c r="W6" s="23"/>
    </row>
    <row r="7" spans="1:23" ht="13.5" thickBot="1" x14ac:dyDescent="0.35">
      <c r="A7" s="23"/>
      <c r="B7" s="245"/>
      <c r="C7" s="18"/>
      <c r="D7" s="19" t="s">
        <v>366</v>
      </c>
      <c r="E7" s="19" t="s">
        <v>367</v>
      </c>
      <c r="F7" s="20"/>
      <c r="G7" s="242"/>
      <c r="H7" s="23"/>
      <c r="I7" s="23"/>
      <c r="J7" s="23"/>
      <c r="K7" s="23"/>
      <c r="L7" s="23"/>
      <c r="M7" s="23"/>
      <c r="N7" s="23"/>
      <c r="O7" s="23"/>
      <c r="P7" s="23"/>
      <c r="Q7" s="23"/>
      <c r="R7" s="23"/>
      <c r="S7" s="23"/>
      <c r="T7" s="23"/>
      <c r="U7" s="23"/>
      <c r="V7" s="23"/>
      <c r="W7" s="23"/>
    </row>
    <row r="8" spans="1:23" x14ac:dyDescent="0.25">
      <c r="A8" s="23"/>
      <c r="B8" s="241"/>
      <c r="C8" s="20"/>
      <c r="D8" s="20"/>
      <c r="E8" s="20"/>
      <c r="F8" s="20"/>
      <c r="G8" s="242"/>
      <c r="H8" s="23"/>
      <c r="I8" s="23"/>
      <c r="J8" s="23"/>
      <c r="K8" s="23"/>
      <c r="L8" s="23"/>
      <c r="M8" s="23"/>
      <c r="N8" s="23"/>
      <c r="O8" s="23"/>
      <c r="P8" s="23"/>
      <c r="Q8" s="23"/>
      <c r="R8" s="23"/>
      <c r="S8" s="23"/>
      <c r="T8" s="23"/>
      <c r="U8" s="23"/>
      <c r="V8" s="23"/>
      <c r="W8" s="23"/>
    </row>
    <row r="9" spans="1:23" x14ac:dyDescent="0.25">
      <c r="A9" s="23"/>
      <c r="B9" s="241"/>
      <c r="C9" s="246"/>
      <c r="D9" s="280" t="s">
        <v>368</v>
      </c>
      <c r="E9" s="248" t="s">
        <v>369</v>
      </c>
      <c r="F9" s="20"/>
      <c r="G9" s="242"/>
      <c r="H9" s="23"/>
      <c r="I9" s="23"/>
      <c r="J9" s="23"/>
      <c r="K9" s="23"/>
      <c r="L9" s="23"/>
      <c r="M9" s="23"/>
      <c r="N9" s="23"/>
      <c r="O9" s="23"/>
      <c r="P9" s="23"/>
      <c r="Q9" s="23"/>
      <c r="R9" s="23"/>
      <c r="S9" s="23"/>
      <c r="T9" s="23"/>
      <c r="U9" s="23"/>
      <c r="V9" s="23"/>
      <c r="W9" s="23"/>
    </row>
    <row r="10" spans="1:23" x14ac:dyDescent="0.25">
      <c r="A10" s="23"/>
      <c r="B10" s="241"/>
      <c r="C10" s="20"/>
      <c r="D10" s="20"/>
      <c r="E10" s="248"/>
      <c r="F10" s="20"/>
      <c r="G10" s="242"/>
      <c r="H10" s="23"/>
      <c r="I10" s="23"/>
      <c r="J10" s="23"/>
      <c r="K10" s="23"/>
      <c r="L10" s="23"/>
      <c r="M10" s="23"/>
      <c r="N10" s="23"/>
      <c r="O10" s="23"/>
      <c r="P10" s="23"/>
      <c r="Q10" s="23"/>
      <c r="R10" s="23"/>
      <c r="S10" s="23"/>
      <c r="T10" s="23"/>
      <c r="U10" s="23"/>
      <c r="V10" s="23"/>
      <c r="W10" s="23"/>
    </row>
    <row r="11" spans="1:23" x14ac:dyDescent="0.25">
      <c r="A11" s="23"/>
      <c r="B11" s="241"/>
      <c r="C11" s="246"/>
      <c r="D11" s="281" t="s">
        <v>376</v>
      </c>
      <c r="E11" s="248" t="s">
        <v>382</v>
      </c>
      <c r="F11" s="20"/>
      <c r="G11" s="242"/>
      <c r="H11" s="23"/>
      <c r="I11" s="23"/>
      <c r="J11" s="23"/>
      <c r="K11" s="23"/>
      <c r="L11" s="23"/>
      <c r="M11" s="23"/>
      <c r="N11" s="23"/>
      <c r="O11" s="23"/>
      <c r="P11" s="23"/>
      <c r="Q11" s="23"/>
      <c r="R11" s="23"/>
      <c r="S11" s="23"/>
      <c r="T11" s="23"/>
      <c r="U11" s="23"/>
      <c r="V11" s="23"/>
      <c r="W11" s="23"/>
    </row>
    <row r="12" spans="1:23" x14ac:dyDescent="0.25">
      <c r="A12" s="23"/>
      <c r="B12" s="241"/>
      <c r="C12" s="20"/>
      <c r="D12" s="20"/>
      <c r="E12" s="248"/>
      <c r="F12" s="20"/>
      <c r="G12" s="242"/>
      <c r="H12" s="23"/>
      <c r="I12" s="23"/>
      <c r="J12" s="23"/>
      <c r="K12" s="23"/>
      <c r="L12" s="23"/>
      <c r="M12" s="23"/>
      <c r="N12" s="23"/>
      <c r="O12" s="23"/>
      <c r="P12" s="23"/>
      <c r="Q12" s="23"/>
      <c r="R12" s="23"/>
      <c r="S12" s="23"/>
      <c r="T12" s="23"/>
      <c r="U12" s="23"/>
      <c r="V12" s="23"/>
      <c r="W12" s="23"/>
    </row>
    <row r="13" spans="1:23" x14ac:dyDescent="0.25">
      <c r="A13" s="23"/>
      <c r="B13" s="241"/>
      <c r="C13" s="246"/>
      <c r="D13" s="281" t="s">
        <v>377</v>
      </c>
      <c r="E13" s="248" t="s">
        <v>383</v>
      </c>
      <c r="F13" s="20"/>
      <c r="G13" s="242"/>
      <c r="H13" s="23"/>
      <c r="I13" s="23"/>
      <c r="J13" s="23"/>
      <c r="K13" s="23"/>
      <c r="L13" s="23"/>
      <c r="M13" s="23"/>
      <c r="N13" s="23"/>
      <c r="O13" s="23"/>
      <c r="P13" s="23"/>
      <c r="Q13" s="23"/>
      <c r="R13" s="23"/>
      <c r="S13" s="23"/>
      <c r="T13" s="23"/>
      <c r="U13" s="23"/>
      <c r="V13" s="23"/>
      <c r="W13" s="23"/>
    </row>
    <row r="14" spans="1:23" x14ac:dyDescent="0.25">
      <c r="A14" s="23"/>
      <c r="B14" s="241"/>
      <c r="C14" s="20"/>
      <c r="D14" s="20"/>
      <c r="E14" s="248"/>
      <c r="F14" s="20"/>
      <c r="G14" s="242"/>
      <c r="H14" s="23"/>
      <c r="I14" s="23"/>
      <c r="J14" s="23"/>
      <c r="K14" s="23"/>
      <c r="L14" s="23"/>
      <c r="M14" s="23"/>
      <c r="N14" s="23"/>
      <c r="O14" s="23"/>
      <c r="P14" s="23"/>
      <c r="Q14" s="23"/>
      <c r="R14" s="23"/>
      <c r="S14" s="23"/>
      <c r="T14" s="23"/>
      <c r="U14" s="23"/>
      <c r="V14" s="23"/>
      <c r="W14" s="23"/>
    </row>
    <row r="15" spans="1:23" x14ac:dyDescent="0.25">
      <c r="A15" s="23"/>
      <c r="B15" s="241"/>
      <c r="C15" s="249"/>
      <c r="D15" s="281" t="s">
        <v>378</v>
      </c>
      <c r="E15" s="248" t="s">
        <v>384</v>
      </c>
      <c r="F15" s="20"/>
      <c r="G15" s="242"/>
      <c r="H15" s="23"/>
      <c r="I15" s="23"/>
      <c r="J15" s="23"/>
      <c r="K15" s="23"/>
      <c r="L15" s="23"/>
      <c r="M15" s="23"/>
      <c r="N15" s="23"/>
      <c r="O15" s="23"/>
      <c r="P15" s="23"/>
      <c r="Q15" s="23"/>
      <c r="R15" s="23"/>
      <c r="S15" s="23"/>
      <c r="T15" s="23"/>
      <c r="U15" s="23"/>
      <c r="V15" s="23"/>
      <c r="W15" s="23"/>
    </row>
    <row r="16" spans="1:23" x14ac:dyDescent="0.25">
      <c r="A16" s="23"/>
      <c r="B16" s="241"/>
      <c r="C16" s="250"/>
      <c r="D16" s="20"/>
      <c r="E16" s="248"/>
      <c r="F16" s="20"/>
      <c r="G16" s="242"/>
      <c r="H16" s="23"/>
      <c r="I16" s="23"/>
      <c r="J16" s="23"/>
      <c r="K16" s="23"/>
      <c r="L16" s="23"/>
      <c r="M16" s="23"/>
      <c r="N16" s="23"/>
      <c r="O16" s="23"/>
      <c r="P16" s="23"/>
      <c r="Q16" s="23"/>
      <c r="R16" s="23"/>
      <c r="S16" s="23"/>
      <c r="T16" s="23"/>
      <c r="U16" s="23"/>
      <c r="V16" s="23"/>
      <c r="W16" s="23"/>
    </row>
    <row r="17" spans="1:23" x14ac:dyDescent="0.25">
      <c r="A17" s="23"/>
      <c r="B17" s="241"/>
      <c r="C17" s="250"/>
      <c r="D17" s="281" t="s">
        <v>379</v>
      </c>
      <c r="E17" s="248" t="s">
        <v>385</v>
      </c>
      <c r="F17" s="20"/>
      <c r="G17" s="242"/>
      <c r="H17" s="23"/>
      <c r="I17" s="23"/>
      <c r="J17" s="23"/>
      <c r="K17" s="23"/>
      <c r="L17" s="23"/>
      <c r="M17" s="23"/>
      <c r="N17" s="23"/>
      <c r="O17" s="23"/>
      <c r="P17" s="23"/>
      <c r="Q17" s="23"/>
      <c r="R17" s="23"/>
      <c r="S17" s="23"/>
      <c r="T17" s="23"/>
      <c r="U17" s="23"/>
      <c r="V17" s="23"/>
      <c r="W17" s="23"/>
    </row>
    <row r="18" spans="1:23" x14ac:dyDescent="0.25">
      <c r="A18" s="23"/>
      <c r="B18" s="241"/>
      <c r="C18" s="250"/>
      <c r="D18" s="20"/>
      <c r="E18" s="248"/>
      <c r="F18" s="20"/>
      <c r="G18" s="242"/>
      <c r="H18" s="23"/>
      <c r="I18" s="23"/>
      <c r="J18" s="23"/>
      <c r="K18" s="23"/>
      <c r="L18" s="23"/>
      <c r="M18" s="23"/>
      <c r="N18" s="23"/>
      <c r="O18" s="23"/>
      <c r="P18" s="23"/>
      <c r="Q18" s="23"/>
      <c r="R18" s="23"/>
      <c r="S18" s="23"/>
      <c r="T18" s="23"/>
      <c r="U18" s="23"/>
      <c r="V18" s="23"/>
      <c r="W18" s="23"/>
    </row>
    <row r="19" spans="1:23" x14ac:dyDescent="0.25">
      <c r="A19" s="23"/>
      <c r="B19" s="241"/>
      <c r="C19" s="250"/>
      <c r="D19" s="281" t="s">
        <v>380</v>
      </c>
      <c r="E19" s="248" t="s">
        <v>386</v>
      </c>
      <c r="F19" s="20"/>
      <c r="G19" s="242"/>
      <c r="H19" s="23"/>
      <c r="I19" s="23"/>
      <c r="J19" s="23"/>
      <c r="K19" s="23"/>
      <c r="L19" s="23"/>
      <c r="M19" s="23"/>
      <c r="N19" s="23"/>
      <c r="O19" s="23"/>
      <c r="P19" s="23"/>
      <c r="Q19" s="23"/>
      <c r="R19" s="23"/>
      <c r="S19" s="23"/>
      <c r="T19" s="23"/>
      <c r="U19" s="23"/>
      <c r="V19" s="23"/>
      <c r="W19" s="23"/>
    </row>
    <row r="20" spans="1:23" ht="13" x14ac:dyDescent="0.3">
      <c r="A20" s="23"/>
      <c r="B20" s="241"/>
      <c r="C20" s="251"/>
      <c r="D20" s="247"/>
      <c r="E20" s="248"/>
      <c r="F20" s="20"/>
      <c r="G20" s="242"/>
      <c r="H20" s="23"/>
      <c r="I20" s="23"/>
      <c r="J20" s="23"/>
      <c r="K20" s="23"/>
      <c r="L20" s="23"/>
      <c r="M20" s="23"/>
      <c r="N20" s="23"/>
      <c r="O20" s="23"/>
      <c r="P20" s="23"/>
      <c r="Q20" s="23"/>
      <c r="R20" s="23"/>
      <c r="S20" s="23"/>
      <c r="T20" s="23"/>
      <c r="U20" s="23"/>
      <c r="V20" s="23"/>
      <c r="W20" s="23"/>
    </row>
    <row r="21" spans="1:23" ht="13" x14ac:dyDescent="0.3">
      <c r="A21" s="23"/>
      <c r="B21" s="241"/>
      <c r="C21" s="250"/>
      <c r="D21" s="247"/>
      <c r="E21" s="248"/>
      <c r="F21" s="20"/>
      <c r="G21" s="242"/>
      <c r="H21" s="23"/>
      <c r="I21" s="23"/>
      <c r="J21" s="23"/>
      <c r="K21" s="23"/>
      <c r="L21" s="23"/>
      <c r="M21" s="23"/>
      <c r="N21" s="23"/>
      <c r="O21" s="23"/>
      <c r="P21" s="23"/>
      <c r="Q21" s="23"/>
      <c r="R21" s="23"/>
      <c r="S21" s="23"/>
      <c r="T21" s="23"/>
      <c r="U21" s="23"/>
      <c r="V21" s="23"/>
      <c r="W21" s="23"/>
    </row>
    <row r="22" spans="1:23" ht="13" x14ac:dyDescent="0.3">
      <c r="A22" s="23"/>
      <c r="B22" s="241"/>
      <c r="C22" s="250" t="s">
        <v>370</v>
      </c>
      <c r="D22" s="247"/>
      <c r="E22" s="248"/>
      <c r="F22" s="20"/>
      <c r="G22" s="242"/>
      <c r="H22" s="23"/>
      <c r="I22" s="23"/>
      <c r="J22" s="23"/>
      <c r="K22" s="23"/>
      <c r="L22" s="23"/>
      <c r="M22" s="23"/>
      <c r="N22" s="23"/>
      <c r="O22" s="23"/>
      <c r="P22" s="23"/>
      <c r="Q22" s="23"/>
      <c r="R22" s="23"/>
      <c r="S22" s="23"/>
      <c r="T22" s="23"/>
      <c r="U22" s="23"/>
      <c r="V22" s="23"/>
      <c r="W22" s="23"/>
    </row>
    <row r="23" spans="1:23" ht="13" x14ac:dyDescent="0.3">
      <c r="A23" s="23"/>
      <c r="B23" s="241"/>
      <c r="C23" s="250" t="s">
        <v>371</v>
      </c>
      <c r="D23" s="247"/>
      <c r="E23" s="248"/>
      <c r="F23" s="20"/>
      <c r="G23" s="242"/>
      <c r="H23" s="23"/>
      <c r="I23" s="23"/>
      <c r="J23" s="23"/>
      <c r="K23" s="23"/>
      <c r="L23" s="23"/>
      <c r="M23" s="23"/>
      <c r="N23" s="23"/>
      <c r="O23" s="23"/>
      <c r="P23" s="23"/>
      <c r="Q23" s="23"/>
      <c r="R23" s="23"/>
      <c r="S23" s="23"/>
      <c r="T23" s="23"/>
      <c r="U23" s="23"/>
      <c r="V23" s="23"/>
      <c r="W23" s="23"/>
    </row>
    <row r="24" spans="1:23" ht="13" x14ac:dyDescent="0.3">
      <c r="A24" s="23"/>
      <c r="B24" s="241"/>
      <c r="C24" s="250" t="s">
        <v>420</v>
      </c>
      <c r="D24" s="247"/>
      <c r="E24" s="248"/>
      <c r="F24" s="20"/>
      <c r="G24" s="242"/>
      <c r="H24" s="23"/>
      <c r="I24" s="23"/>
      <c r="J24" s="23"/>
      <c r="K24" s="23"/>
      <c r="L24" s="23"/>
      <c r="M24" s="23"/>
      <c r="N24" s="23"/>
      <c r="O24" s="23"/>
      <c r="P24" s="23"/>
      <c r="Q24" s="23"/>
      <c r="R24" s="23"/>
      <c r="S24" s="23"/>
      <c r="T24" s="23"/>
      <c r="U24" s="23"/>
      <c r="V24" s="23"/>
      <c r="W24" s="23"/>
    </row>
    <row r="25" spans="1:23" ht="13" x14ac:dyDescent="0.3">
      <c r="A25" s="23"/>
      <c r="B25" s="241"/>
      <c r="C25" s="250"/>
      <c r="D25" s="247"/>
      <c r="E25" s="248"/>
      <c r="F25" s="20"/>
      <c r="G25" s="242"/>
      <c r="H25" s="23"/>
      <c r="I25" s="23"/>
      <c r="J25" s="23"/>
      <c r="K25" s="23"/>
      <c r="L25" s="23"/>
      <c r="M25" s="23"/>
      <c r="N25" s="23"/>
      <c r="O25" s="23"/>
      <c r="P25" s="23"/>
      <c r="Q25" s="23"/>
      <c r="R25" s="23"/>
      <c r="S25" s="23"/>
      <c r="T25" s="23"/>
      <c r="U25" s="23"/>
      <c r="V25" s="23"/>
      <c r="W25" s="23"/>
    </row>
    <row r="26" spans="1:23" ht="13" x14ac:dyDescent="0.3">
      <c r="A26" s="23"/>
      <c r="B26" s="241"/>
      <c r="C26" s="250"/>
      <c r="D26" s="252" t="s">
        <v>387</v>
      </c>
      <c r="E26" s="248" t="s">
        <v>372</v>
      </c>
      <c r="F26" s="20"/>
      <c r="G26" s="242"/>
      <c r="H26" s="23"/>
      <c r="I26" s="23"/>
      <c r="J26" s="23"/>
      <c r="K26" s="23"/>
      <c r="L26" s="23"/>
      <c r="M26" s="23"/>
      <c r="N26" s="23"/>
      <c r="O26" s="23"/>
      <c r="P26" s="23"/>
      <c r="Q26" s="23"/>
      <c r="R26" s="23"/>
      <c r="S26" s="23"/>
      <c r="T26" s="23"/>
      <c r="U26" s="23"/>
      <c r="V26" s="23"/>
      <c r="W26" s="23"/>
    </row>
    <row r="27" spans="1:23" ht="13.5" thickBot="1" x14ac:dyDescent="0.35">
      <c r="A27" s="23"/>
      <c r="B27" s="241"/>
      <c r="C27" s="21"/>
      <c r="D27" s="19"/>
      <c r="E27" s="22"/>
      <c r="F27" s="20"/>
      <c r="G27" s="242"/>
      <c r="H27" s="23"/>
      <c r="I27" s="23"/>
      <c r="J27" s="23"/>
      <c r="K27" s="23"/>
      <c r="L27" s="23"/>
      <c r="M27" s="23"/>
      <c r="N27" s="23"/>
      <c r="O27" s="23"/>
      <c r="P27" s="23"/>
      <c r="Q27" s="23"/>
      <c r="R27" s="23"/>
      <c r="S27" s="23"/>
      <c r="T27" s="23"/>
      <c r="U27" s="23"/>
      <c r="V27" s="23"/>
      <c r="W27" s="23"/>
    </row>
    <row r="28" spans="1:23" x14ac:dyDescent="0.25">
      <c r="A28" s="23"/>
      <c r="B28" s="241"/>
      <c r="C28" s="20"/>
      <c r="D28" s="20"/>
      <c r="E28" s="20"/>
      <c r="F28" s="20"/>
      <c r="G28" s="242"/>
      <c r="H28" s="23"/>
      <c r="I28" s="23"/>
      <c r="J28" s="23"/>
      <c r="K28" s="23"/>
      <c r="L28" s="23"/>
      <c r="M28" s="23"/>
      <c r="N28" s="23"/>
      <c r="O28" s="23"/>
      <c r="P28" s="23"/>
      <c r="Q28" s="23"/>
      <c r="R28" s="23"/>
      <c r="S28" s="23"/>
      <c r="T28" s="23"/>
      <c r="U28" s="23"/>
      <c r="V28" s="23"/>
      <c r="W28" s="23"/>
    </row>
    <row r="29" spans="1:23" s="273" customFormat="1" ht="13" x14ac:dyDescent="0.25">
      <c r="A29" s="269"/>
      <c r="B29" s="241"/>
      <c r="C29" s="270"/>
      <c r="D29" s="271"/>
      <c r="E29" s="272"/>
      <c r="F29" s="276"/>
      <c r="G29" s="242"/>
      <c r="H29" s="269"/>
      <c r="I29" s="269"/>
      <c r="J29" s="269"/>
      <c r="K29" s="269"/>
      <c r="L29" s="269"/>
      <c r="M29" s="269"/>
      <c r="N29" s="269"/>
      <c r="O29" s="269"/>
      <c r="P29" s="269"/>
      <c r="Q29" s="269"/>
      <c r="R29" s="269"/>
      <c r="S29" s="23"/>
      <c r="T29" s="23"/>
      <c r="U29" s="23"/>
      <c r="V29" s="23"/>
      <c r="W29" s="23"/>
    </row>
    <row r="30" spans="1:23" s="275" customFormat="1" ht="23.4" customHeight="1" x14ac:dyDescent="0.25">
      <c r="A30" s="274"/>
      <c r="B30" s="241"/>
      <c r="C30" s="291" t="s">
        <v>425</v>
      </c>
      <c r="D30" s="291"/>
      <c r="E30" s="291"/>
      <c r="F30" s="276"/>
      <c r="G30" s="242"/>
      <c r="H30" s="274"/>
      <c r="I30" s="274"/>
      <c r="J30" s="274"/>
      <c r="K30" s="274"/>
      <c r="L30" s="274"/>
      <c r="M30" s="274"/>
      <c r="N30" s="274"/>
      <c r="O30" s="274"/>
      <c r="P30" s="274"/>
      <c r="Q30" s="274"/>
      <c r="R30" s="274"/>
      <c r="S30" s="23"/>
      <c r="T30" s="23"/>
      <c r="U30" s="23"/>
      <c r="V30" s="23"/>
      <c r="W30" s="23"/>
    </row>
    <row r="31" spans="1:23" ht="13" thickBot="1" x14ac:dyDescent="0.3">
      <c r="A31" s="23"/>
      <c r="B31" s="241"/>
      <c r="C31" s="20"/>
      <c r="D31" s="20"/>
      <c r="E31" s="20"/>
      <c r="F31" s="20"/>
      <c r="G31" s="242"/>
      <c r="H31" s="23"/>
      <c r="I31" s="23"/>
      <c r="J31" s="23"/>
      <c r="K31" s="23"/>
      <c r="L31" s="23"/>
      <c r="M31" s="23"/>
      <c r="N31" s="23"/>
      <c r="O31" s="23"/>
      <c r="P31" s="23"/>
      <c r="Q31" s="23"/>
      <c r="R31" s="23"/>
      <c r="S31" s="23"/>
      <c r="T31" s="23"/>
      <c r="U31" s="23"/>
      <c r="V31" s="23"/>
      <c r="W31" s="23"/>
    </row>
    <row r="32" spans="1:23" x14ac:dyDescent="0.25">
      <c r="A32" s="23"/>
      <c r="B32" s="241"/>
      <c r="C32" s="106"/>
      <c r="D32" s="103" t="s">
        <v>373</v>
      </c>
      <c r="E32" s="107"/>
      <c r="F32" s="276"/>
      <c r="G32" s="242"/>
      <c r="H32" s="23"/>
      <c r="I32" s="23"/>
      <c r="J32" s="23"/>
      <c r="K32" s="23"/>
      <c r="L32" s="23"/>
      <c r="M32" s="23"/>
      <c r="N32" s="23"/>
      <c r="O32" s="23"/>
      <c r="P32" s="23"/>
      <c r="Q32" s="23"/>
      <c r="R32" s="23"/>
      <c r="S32" s="23"/>
      <c r="T32" s="23"/>
      <c r="U32" s="23"/>
      <c r="V32" s="23"/>
      <c r="W32" s="23"/>
    </row>
    <row r="33" spans="1:23" x14ac:dyDescent="0.25">
      <c r="A33" s="23"/>
      <c r="B33" s="241"/>
      <c r="C33" s="108"/>
      <c r="D33" s="104"/>
      <c r="E33" s="109"/>
      <c r="F33" s="276"/>
      <c r="G33" s="242"/>
      <c r="H33" s="23"/>
      <c r="I33" s="23"/>
      <c r="J33" s="23"/>
      <c r="K33" s="23"/>
      <c r="L33" s="23"/>
      <c r="M33" s="23"/>
      <c r="N33" s="23"/>
      <c r="O33" s="23"/>
      <c r="P33" s="23"/>
      <c r="Q33" s="23"/>
      <c r="R33" s="23"/>
      <c r="S33" s="23"/>
      <c r="T33" s="23"/>
      <c r="U33" s="23"/>
      <c r="V33" s="23"/>
      <c r="W33" s="23"/>
    </row>
    <row r="34" spans="1:23" ht="15.5" x14ac:dyDescent="0.35">
      <c r="A34" s="23"/>
      <c r="B34" s="241"/>
      <c r="C34" s="108"/>
      <c r="D34" s="290" t="s">
        <v>421</v>
      </c>
      <c r="E34" s="109"/>
      <c r="F34" s="276"/>
      <c r="G34" s="242"/>
      <c r="H34" s="23"/>
      <c r="I34" s="23"/>
      <c r="J34" s="23"/>
      <c r="K34" s="23"/>
      <c r="L34" s="23"/>
      <c r="M34" s="23"/>
      <c r="N34" s="23"/>
      <c r="O34" s="23"/>
      <c r="P34" s="23"/>
      <c r="Q34" s="23"/>
      <c r="R34" s="23"/>
      <c r="S34" s="23"/>
      <c r="T34" s="23"/>
      <c r="U34" s="23"/>
      <c r="V34" s="23"/>
      <c r="W34" s="23"/>
    </row>
    <row r="35" spans="1:23" x14ac:dyDescent="0.25">
      <c r="A35" s="23"/>
      <c r="B35" s="241"/>
      <c r="C35" s="108"/>
      <c r="D35" s="104" t="s">
        <v>374</v>
      </c>
      <c r="E35" s="109"/>
      <c r="F35" s="276"/>
      <c r="G35" s="242"/>
      <c r="H35" s="23"/>
      <c r="I35" s="23"/>
      <c r="J35" s="23"/>
      <c r="K35" s="23"/>
      <c r="L35" s="23"/>
      <c r="M35" s="23"/>
      <c r="N35" s="23"/>
      <c r="O35" s="23"/>
      <c r="P35" s="23"/>
      <c r="Q35" s="23"/>
      <c r="R35" s="23"/>
      <c r="S35" s="23"/>
      <c r="T35" s="23"/>
      <c r="U35" s="23"/>
      <c r="V35" s="23"/>
      <c r="W35" s="23"/>
    </row>
    <row r="36" spans="1:23" x14ac:dyDescent="0.25">
      <c r="A36" s="23"/>
      <c r="B36" s="241"/>
      <c r="C36" s="108"/>
      <c r="D36" s="104" t="s">
        <v>375</v>
      </c>
      <c r="E36" s="109"/>
      <c r="F36" s="276"/>
      <c r="G36" s="242"/>
      <c r="H36" s="23"/>
      <c r="I36" s="23"/>
      <c r="J36" s="23"/>
      <c r="K36" s="23"/>
      <c r="L36" s="23"/>
      <c r="M36" s="23"/>
      <c r="N36" s="23"/>
      <c r="O36" s="23"/>
      <c r="P36" s="23"/>
      <c r="Q36" s="23"/>
      <c r="R36" s="23"/>
      <c r="S36" s="23"/>
      <c r="T36" s="23"/>
      <c r="U36" s="23"/>
      <c r="V36" s="23"/>
      <c r="W36" s="23"/>
    </row>
    <row r="37" spans="1:23" x14ac:dyDescent="0.25">
      <c r="A37" s="23"/>
      <c r="B37" s="241"/>
      <c r="C37" s="108"/>
      <c r="D37" s="104" t="s">
        <v>422</v>
      </c>
      <c r="E37" s="109"/>
      <c r="F37" s="276"/>
      <c r="G37" s="242"/>
      <c r="H37" s="23"/>
      <c r="I37" s="23"/>
      <c r="J37" s="23"/>
      <c r="K37" s="23"/>
      <c r="L37" s="23"/>
      <c r="M37" s="23"/>
      <c r="N37" s="23"/>
      <c r="O37" s="23"/>
      <c r="P37" s="23"/>
      <c r="Q37" s="23"/>
      <c r="R37" s="23"/>
      <c r="S37" s="23"/>
      <c r="T37" s="23"/>
      <c r="U37" s="23"/>
      <c r="V37" s="23"/>
      <c r="W37" s="23"/>
    </row>
    <row r="38" spans="1:23" x14ac:dyDescent="0.25">
      <c r="A38" s="23"/>
      <c r="B38" s="241"/>
      <c r="C38" s="108"/>
      <c r="D38" s="104" t="s">
        <v>423</v>
      </c>
      <c r="E38" s="109"/>
      <c r="F38" s="276"/>
      <c r="G38" s="242"/>
      <c r="H38" s="23"/>
      <c r="I38" s="23"/>
      <c r="J38" s="23"/>
      <c r="K38" s="23"/>
      <c r="L38" s="23"/>
      <c r="M38" s="23"/>
      <c r="N38" s="23"/>
      <c r="O38" s="23"/>
      <c r="P38" s="23"/>
      <c r="Q38" s="23"/>
      <c r="R38" s="23"/>
      <c r="S38" s="23"/>
      <c r="T38" s="23"/>
      <c r="U38" s="23"/>
      <c r="V38" s="23"/>
      <c r="W38" s="23"/>
    </row>
    <row r="39" spans="1:23" x14ac:dyDescent="0.25">
      <c r="A39" s="23"/>
      <c r="B39" s="241"/>
      <c r="C39" s="108"/>
      <c r="D39" s="104" t="s">
        <v>424</v>
      </c>
      <c r="E39" s="109"/>
      <c r="F39" s="276"/>
      <c r="G39" s="242"/>
      <c r="H39" s="23"/>
      <c r="I39" s="23"/>
      <c r="J39" s="23"/>
      <c r="K39" s="23"/>
      <c r="L39" s="23"/>
      <c r="M39" s="23"/>
      <c r="N39" s="23"/>
      <c r="O39" s="23"/>
      <c r="P39" s="23"/>
      <c r="Q39" s="23"/>
      <c r="R39" s="23"/>
      <c r="S39" s="23"/>
      <c r="T39" s="23"/>
      <c r="U39" s="23"/>
      <c r="V39" s="23"/>
      <c r="W39" s="23"/>
    </row>
    <row r="40" spans="1:23" x14ac:dyDescent="0.25">
      <c r="A40" s="23"/>
      <c r="B40" s="241"/>
      <c r="C40" s="108"/>
      <c r="D40" s="104"/>
      <c r="E40" s="109"/>
      <c r="F40" s="276"/>
      <c r="G40" s="242"/>
      <c r="H40" s="23"/>
      <c r="I40" s="23"/>
      <c r="J40" s="23"/>
      <c r="K40" s="23"/>
      <c r="L40" s="23"/>
      <c r="M40" s="23"/>
      <c r="N40" s="23"/>
      <c r="O40" s="23"/>
      <c r="P40" s="23"/>
      <c r="Q40" s="23"/>
      <c r="R40" s="23"/>
      <c r="S40" s="23"/>
      <c r="T40" s="23"/>
      <c r="U40" s="23"/>
      <c r="V40" s="23"/>
      <c r="W40" s="23"/>
    </row>
    <row r="41" spans="1:23" x14ac:dyDescent="0.25">
      <c r="A41" s="23"/>
      <c r="B41" s="241"/>
      <c r="C41" s="108"/>
      <c r="D41" s="104"/>
      <c r="E41" s="289" t="str">
        <f>[1]Introduction!$E$51</f>
        <v>Method-1 Spreadsheets Version March 2024</v>
      </c>
      <c r="F41" s="276"/>
      <c r="G41" s="242"/>
      <c r="H41" s="23"/>
      <c r="I41" s="23"/>
      <c r="J41" s="23"/>
      <c r="K41" s="23"/>
      <c r="L41" s="23"/>
      <c r="M41" s="23"/>
      <c r="N41" s="23"/>
      <c r="O41" s="23"/>
      <c r="P41" s="23"/>
      <c r="Q41" s="23"/>
      <c r="R41" s="23"/>
      <c r="S41" s="23"/>
      <c r="T41" s="23"/>
      <c r="U41" s="23"/>
      <c r="V41" s="23"/>
      <c r="W41" s="23"/>
    </row>
    <row r="42" spans="1:23" ht="13" thickBot="1" x14ac:dyDescent="0.3">
      <c r="A42" s="23"/>
      <c r="B42" s="241"/>
      <c r="C42" s="110"/>
      <c r="D42" s="105"/>
      <c r="E42" s="111"/>
      <c r="F42" s="276"/>
      <c r="G42" s="242"/>
      <c r="H42" s="23"/>
      <c r="I42" s="23"/>
      <c r="J42" s="23"/>
      <c r="K42" s="23"/>
      <c r="L42" s="23"/>
      <c r="M42" s="23"/>
      <c r="N42" s="23"/>
      <c r="O42" s="23"/>
      <c r="P42" s="23"/>
      <c r="Q42" s="23"/>
      <c r="R42" s="23"/>
      <c r="S42" s="23"/>
      <c r="T42" s="23"/>
      <c r="U42" s="23"/>
      <c r="V42" s="23"/>
      <c r="W42" s="23"/>
    </row>
    <row r="43" spans="1:23" ht="13" thickBot="1" x14ac:dyDescent="0.3">
      <c r="A43" s="23"/>
      <c r="B43" s="253"/>
      <c r="C43" s="254"/>
      <c r="D43" s="254"/>
      <c r="E43" s="254"/>
      <c r="F43" s="254"/>
      <c r="G43" s="255"/>
      <c r="H43" s="23"/>
      <c r="I43" s="23"/>
      <c r="J43" s="23"/>
      <c r="K43" s="23"/>
      <c r="L43" s="23"/>
      <c r="M43" s="23"/>
      <c r="N43" s="23"/>
      <c r="O43" s="23"/>
      <c r="P43" s="23"/>
      <c r="Q43" s="23"/>
      <c r="R43" s="23"/>
      <c r="S43" s="23"/>
      <c r="T43" s="23"/>
      <c r="U43" s="23"/>
      <c r="V43" s="23"/>
      <c r="W43" s="23"/>
    </row>
    <row r="44" spans="1:23" ht="13" thickTop="1" x14ac:dyDescent="0.25">
      <c r="A44" s="23"/>
      <c r="B44" s="23"/>
      <c r="C44" s="23"/>
      <c r="D44" s="23"/>
      <c r="E44" s="23"/>
      <c r="F44" s="23"/>
      <c r="G44" s="23"/>
      <c r="H44" s="23"/>
      <c r="I44" s="23"/>
      <c r="J44" s="23"/>
      <c r="K44" s="23"/>
      <c r="L44" s="23"/>
      <c r="M44" s="23"/>
      <c r="N44" s="23"/>
      <c r="O44" s="23"/>
      <c r="P44" s="23"/>
      <c r="Q44" s="23"/>
      <c r="R44" s="23"/>
      <c r="S44" s="23"/>
      <c r="T44" s="23"/>
      <c r="U44" s="23"/>
      <c r="V44" s="23"/>
      <c r="W44" s="23"/>
    </row>
    <row r="45" spans="1:23" x14ac:dyDescent="0.25">
      <c r="A45" s="23"/>
      <c r="B45" s="23"/>
      <c r="C45" s="23"/>
      <c r="D45" s="23"/>
      <c r="E45" s="23"/>
      <c r="F45" s="23"/>
      <c r="G45" s="23"/>
      <c r="H45" s="23"/>
      <c r="I45" s="23"/>
      <c r="J45" s="23"/>
      <c r="K45" s="23"/>
      <c r="L45" s="23"/>
      <c r="M45" s="23"/>
      <c r="N45" s="23"/>
      <c r="O45" s="23"/>
      <c r="P45" s="23"/>
      <c r="Q45" s="23"/>
      <c r="R45" s="23"/>
      <c r="S45" s="23"/>
      <c r="T45" s="23"/>
      <c r="U45" s="23"/>
      <c r="V45" s="23"/>
      <c r="W45" s="23"/>
    </row>
    <row r="46" spans="1:23" x14ac:dyDescent="0.25">
      <c r="A46" s="23"/>
      <c r="B46" s="23"/>
      <c r="C46" s="23"/>
      <c r="D46" s="23"/>
      <c r="E46" s="23"/>
      <c r="F46" s="23"/>
      <c r="G46" s="23"/>
      <c r="H46" s="23"/>
      <c r="I46" s="23"/>
      <c r="J46" s="23"/>
      <c r="K46" s="23"/>
      <c r="L46" s="23"/>
      <c r="M46" s="23"/>
      <c r="N46" s="23"/>
      <c r="O46" s="23"/>
      <c r="P46" s="23"/>
      <c r="Q46" s="23"/>
      <c r="R46" s="23"/>
      <c r="S46" s="23"/>
      <c r="T46" s="23"/>
      <c r="U46" s="23"/>
      <c r="V46" s="23"/>
      <c r="W46" s="23"/>
    </row>
    <row r="47" spans="1:23" x14ac:dyDescent="0.25">
      <c r="A47" s="23"/>
      <c r="B47" s="23"/>
      <c r="C47" s="23"/>
      <c r="D47" s="23"/>
      <c r="E47" s="23"/>
      <c r="F47" s="23"/>
      <c r="G47" s="23"/>
      <c r="H47" s="23"/>
      <c r="I47" s="23"/>
      <c r="J47" s="23"/>
      <c r="K47" s="23"/>
      <c r="L47" s="23"/>
      <c r="M47" s="23"/>
      <c r="N47" s="23"/>
      <c r="O47" s="23"/>
      <c r="P47" s="23"/>
      <c r="Q47" s="23"/>
      <c r="R47" s="23"/>
      <c r="S47" s="23"/>
      <c r="T47" s="23"/>
      <c r="U47" s="23"/>
      <c r="V47" s="23"/>
      <c r="W47" s="23"/>
    </row>
    <row r="48" spans="1:23" x14ac:dyDescent="0.25">
      <c r="A48" s="23"/>
      <c r="B48" s="23"/>
      <c r="C48" s="23"/>
      <c r="D48" s="23"/>
      <c r="E48" s="23"/>
      <c r="F48" s="23"/>
      <c r="G48" s="23"/>
      <c r="H48" s="23"/>
      <c r="I48" s="23"/>
      <c r="J48" s="23"/>
      <c r="K48" s="23"/>
      <c r="L48" s="23"/>
      <c r="M48" s="23"/>
      <c r="N48" s="23"/>
      <c r="O48" s="23"/>
      <c r="P48" s="23"/>
      <c r="Q48" s="23"/>
      <c r="R48" s="23"/>
      <c r="S48" s="23"/>
      <c r="T48" s="23"/>
      <c r="U48" s="23"/>
      <c r="V48" s="23"/>
      <c r="W48" s="23"/>
    </row>
    <row r="49" spans="1:23" x14ac:dyDescent="0.25">
      <c r="A49" s="23"/>
      <c r="B49" s="23"/>
      <c r="C49" s="23"/>
      <c r="D49" s="23"/>
      <c r="E49" s="23"/>
      <c r="F49" s="23"/>
      <c r="G49" s="23"/>
      <c r="H49" s="23"/>
      <c r="I49" s="23"/>
      <c r="J49" s="23"/>
      <c r="K49" s="23"/>
      <c r="L49" s="23"/>
      <c r="M49" s="23"/>
      <c r="N49" s="23"/>
      <c r="O49" s="23"/>
      <c r="P49" s="23"/>
      <c r="Q49" s="23"/>
      <c r="R49" s="23"/>
      <c r="S49" s="23"/>
      <c r="T49" s="23"/>
      <c r="U49" s="23"/>
      <c r="V49" s="23"/>
      <c r="W49" s="23"/>
    </row>
    <row r="50" spans="1:23" x14ac:dyDescent="0.25">
      <c r="A50" s="23"/>
      <c r="B50" s="23"/>
      <c r="C50" s="23"/>
      <c r="D50" s="23"/>
      <c r="E50" s="23"/>
      <c r="F50" s="23"/>
      <c r="G50" s="23"/>
      <c r="H50" s="23"/>
      <c r="I50" s="23"/>
      <c r="J50" s="23"/>
      <c r="K50" s="23"/>
      <c r="L50" s="23"/>
      <c r="M50" s="23"/>
      <c r="N50" s="23"/>
      <c r="O50" s="23"/>
      <c r="P50" s="23"/>
      <c r="Q50" s="23"/>
      <c r="R50" s="23"/>
      <c r="S50" s="23"/>
      <c r="T50" s="23"/>
      <c r="U50" s="23"/>
      <c r="V50" s="23"/>
      <c r="W50" s="23"/>
    </row>
    <row r="51" spans="1:23" x14ac:dyDescent="0.25">
      <c r="A51" s="23"/>
      <c r="B51" s="23"/>
      <c r="C51" s="23"/>
      <c r="D51" s="23"/>
      <c r="E51" s="23"/>
      <c r="F51" s="23"/>
      <c r="G51" s="23"/>
      <c r="H51" s="23"/>
      <c r="I51" s="23"/>
      <c r="J51" s="23"/>
      <c r="K51" s="23"/>
      <c r="L51" s="23"/>
      <c r="M51" s="23"/>
      <c r="N51" s="23"/>
      <c r="O51" s="23"/>
      <c r="P51" s="23"/>
      <c r="Q51" s="23"/>
      <c r="R51" s="23"/>
      <c r="S51" s="23"/>
      <c r="T51" s="23"/>
      <c r="U51" s="23"/>
      <c r="V51" s="23"/>
      <c r="W51" s="23"/>
    </row>
    <row r="52" spans="1:23" x14ac:dyDescent="0.25">
      <c r="A52" s="23"/>
      <c r="B52" s="23"/>
      <c r="C52" s="23"/>
      <c r="D52" s="23"/>
      <c r="E52" s="23"/>
      <c r="F52" s="23"/>
      <c r="G52" s="23"/>
      <c r="H52" s="23"/>
      <c r="I52" s="23"/>
      <c r="J52" s="23"/>
      <c r="K52" s="23"/>
      <c r="L52" s="23"/>
      <c r="M52" s="23"/>
      <c r="N52" s="23"/>
      <c r="O52" s="23"/>
      <c r="P52" s="23"/>
      <c r="Q52" s="23"/>
      <c r="R52" s="23"/>
      <c r="S52" s="23"/>
      <c r="T52" s="23"/>
      <c r="U52" s="23"/>
      <c r="V52" s="23"/>
      <c r="W52" s="23"/>
    </row>
    <row r="53" spans="1:23" x14ac:dyDescent="0.25">
      <c r="A53" s="23"/>
      <c r="B53" s="23"/>
      <c r="C53" s="23"/>
      <c r="D53" s="23"/>
      <c r="E53" s="23"/>
      <c r="F53" s="23"/>
      <c r="G53" s="23"/>
      <c r="H53" s="23"/>
      <c r="I53" s="23"/>
      <c r="J53" s="23"/>
      <c r="K53" s="23"/>
      <c r="L53" s="23"/>
      <c r="M53" s="23"/>
      <c r="N53" s="23"/>
      <c r="O53" s="23"/>
      <c r="P53" s="23"/>
      <c r="Q53" s="23"/>
      <c r="R53" s="23"/>
      <c r="S53" s="23"/>
      <c r="T53" s="23"/>
      <c r="U53" s="23"/>
      <c r="V53" s="23"/>
      <c r="W53" s="23"/>
    </row>
    <row r="54" spans="1:23" x14ac:dyDescent="0.25">
      <c r="A54" s="23"/>
      <c r="B54" s="23"/>
      <c r="C54" s="23"/>
      <c r="D54" s="23"/>
      <c r="E54" s="23"/>
      <c r="F54" s="23"/>
      <c r="G54" s="23"/>
      <c r="H54" s="23"/>
      <c r="I54" s="23"/>
      <c r="J54" s="23"/>
      <c r="K54" s="23"/>
      <c r="L54" s="23"/>
      <c r="M54" s="23"/>
      <c r="N54" s="23"/>
      <c r="O54" s="23"/>
      <c r="P54" s="23"/>
      <c r="Q54" s="23"/>
      <c r="R54" s="23"/>
      <c r="S54" s="23"/>
      <c r="T54" s="23"/>
      <c r="U54" s="23"/>
      <c r="V54" s="23"/>
      <c r="W54" s="23"/>
    </row>
    <row r="55" spans="1:23" x14ac:dyDescent="0.25">
      <c r="A55" s="23"/>
      <c r="B55" s="23"/>
      <c r="C55" s="23"/>
      <c r="D55" s="23"/>
      <c r="E55" s="23"/>
      <c r="F55" s="23"/>
      <c r="G55" s="23"/>
      <c r="H55" s="23"/>
      <c r="I55" s="23"/>
      <c r="J55" s="23"/>
      <c r="K55" s="23"/>
      <c r="L55" s="23"/>
      <c r="M55" s="23"/>
      <c r="N55" s="23"/>
      <c r="O55" s="23"/>
      <c r="P55" s="23"/>
      <c r="Q55" s="23"/>
      <c r="R55" s="23"/>
      <c r="S55" s="23"/>
      <c r="T55" s="23"/>
      <c r="U55" s="23"/>
      <c r="V55" s="23"/>
      <c r="W55" s="23"/>
    </row>
    <row r="56" spans="1:23" x14ac:dyDescent="0.25">
      <c r="A56" s="23"/>
      <c r="B56" s="23"/>
      <c r="C56" s="23"/>
      <c r="D56" s="23"/>
      <c r="E56" s="23"/>
      <c r="F56" s="23"/>
      <c r="G56" s="23"/>
      <c r="H56" s="23"/>
      <c r="I56" s="23"/>
      <c r="J56" s="23"/>
      <c r="K56" s="23"/>
      <c r="L56" s="23"/>
      <c r="M56" s="23"/>
      <c r="N56" s="23"/>
      <c r="O56" s="23"/>
      <c r="P56" s="23"/>
      <c r="Q56" s="23"/>
      <c r="R56" s="23"/>
      <c r="S56" s="23"/>
      <c r="T56" s="23"/>
      <c r="U56" s="23"/>
      <c r="V56" s="23"/>
      <c r="W56" s="23"/>
    </row>
  </sheetData>
  <sheetProtection sheet="1" objects="1" scenarios="1"/>
  <mergeCells count="2">
    <mergeCell ref="C30:E30"/>
    <mergeCell ref="B2:G2"/>
  </mergeCells>
  <phoneticPr fontId="0" type="noConversion"/>
  <hyperlinks>
    <hyperlink ref="D11" location="DATENTER!A1" display="DATAENTER" xr:uid="{00000000-0004-0000-0000-000000000000}"/>
    <hyperlink ref="D13" location="SiteCalcs!A1" display="SiteCalcs" xr:uid="{00000000-0004-0000-0000-000001000000}"/>
    <hyperlink ref="D15" location="ChemCalcs!A1" display="ChemCalcs" xr:uid="{00000000-0004-0000-0000-000002000000}"/>
    <hyperlink ref="D17" location="ChemProps!A1" display="ChemProps" xr:uid="{00000000-0004-0000-0000-000003000000}"/>
    <hyperlink ref="D19" location="SoilProp!A1" display="SoilProp" xr:uid="{00000000-0004-0000-0000-000004000000}"/>
    <hyperlink ref="D26" r:id="rId1" xr:uid="{00000000-0004-0000-0000-000005000000}"/>
  </hyperlinks>
  <printOptions horizontalCentered="1"/>
  <pageMargins left="0.75" right="0.75" top="1" bottom="1" header="0.5" footer="0.4"/>
  <pageSetup scale="85" orientation="portrait" horizontalDpi="1200" verticalDpi="1200" r:id="rId2"/>
  <headerFooter>
    <oddHeader>&amp;C&amp;"Arial,Bold"MCP Numerical Standards Derivation</oddHeader>
    <oddFooter>&amp;L&amp;8MassDEP&amp;C&amp;8 2024&amp;R&amp;8Workbook: &amp;F
Sheet: &amp;A
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X98"/>
  <sheetViews>
    <sheetView showGridLines="0" zoomScaleNormal="100" zoomScaleSheetLayoutView="100" workbookViewId="0"/>
  </sheetViews>
  <sheetFormatPr defaultColWidth="9.08984375" defaultRowHeight="13" x14ac:dyDescent="0.3"/>
  <cols>
    <col min="1" max="1" width="9.08984375" style="1"/>
    <col min="2" max="2" width="14" style="1" customWidth="1"/>
    <col min="3" max="3" width="15.08984375" style="1" customWidth="1"/>
    <col min="4" max="4" width="14.453125" style="1" customWidth="1"/>
    <col min="5" max="5" width="14.90625" style="1" bestFit="1" customWidth="1"/>
    <col min="6" max="6" width="11.6328125" style="1" bestFit="1" customWidth="1"/>
    <col min="7" max="7" width="10" style="1" bestFit="1" customWidth="1"/>
    <col min="8" max="8" width="12.453125" style="1" bestFit="1" customWidth="1"/>
    <col min="9" max="9" width="13.6328125" style="1" customWidth="1"/>
    <col min="10" max="10" width="16.36328125" style="1" customWidth="1"/>
    <col min="11" max="11" width="11.54296875" style="1" bestFit="1" customWidth="1"/>
    <col min="12" max="12" width="13.6328125" style="1" customWidth="1"/>
    <col min="13" max="13" width="13.54296875" style="1" customWidth="1"/>
    <col min="14" max="15" width="9.36328125" style="1" customWidth="1"/>
    <col min="16" max="16" width="13.54296875" style="1" customWidth="1"/>
    <col min="17" max="18" width="9.36328125" style="1" customWidth="1"/>
    <col min="19" max="19" width="13.54296875" style="1" customWidth="1"/>
    <col min="20" max="21" width="10" style="1" customWidth="1"/>
    <col min="22" max="22" width="8.54296875" style="1" customWidth="1"/>
    <col min="23" max="23" width="10.54296875" style="1" customWidth="1"/>
    <col min="24" max="24" width="10" style="1" customWidth="1"/>
    <col min="25" max="25" width="6.6328125" style="1" customWidth="1"/>
    <col min="26" max="26" width="9.08984375" style="6"/>
    <col min="27" max="27" width="10" style="1" customWidth="1"/>
    <col min="28" max="28" width="9" style="1" customWidth="1"/>
    <col min="29" max="29" width="10.90625" style="1" customWidth="1"/>
    <col min="30" max="30" width="10.36328125" style="1" customWidth="1"/>
    <col min="31" max="31" width="10" style="1" customWidth="1"/>
    <col min="32" max="32" width="8.54296875" style="1" customWidth="1"/>
    <col min="33" max="33" width="10" style="1" customWidth="1"/>
    <col min="34" max="34" width="11.54296875" style="1" customWidth="1"/>
    <col min="35" max="35" width="13.6328125" style="1" customWidth="1"/>
    <col min="36" max="36" width="11.54296875" style="1" customWidth="1"/>
    <col min="37" max="37" width="10.453125" style="1" customWidth="1"/>
    <col min="38" max="38" width="11" style="1" customWidth="1"/>
    <col min="39" max="39" width="9.08984375" style="1"/>
    <col min="40" max="40" width="8.6328125" style="1" customWidth="1"/>
    <col min="41" max="41" width="5.54296875" style="1" customWidth="1"/>
    <col min="42" max="42" width="5.54296875" style="4" customWidth="1"/>
    <col min="43" max="43" width="4.54296875" style="8" customWidth="1"/>
    <col min="44" max="44" width="5.54296875" style="1" customWidth="1"/>
    <col min="45" max="45" width="4.54296875" style="8" customWidth="1"/>
    <col min="46" max="46" width="5.54296875" style="8" customWidth="1"/>
    <col min="47" max="47" width="6.54296875" style="4" customWidth="1"/>
    <col min="48" max="49" width="7.54296875" style="1" customWidth="1"/>
    <col min="50" max="50" width="4.08984375" style="1" customWidth="1"/>
    <col min="51" max="53" width="5.54296875" style="1" customWidth="1"/>
    <col min="54" max="54" width="9.08984375" style="1"/>
    <col min="55" max="55" width="9" style="1" customWidth="1"/>
    <col min="56" max="56" width="24.453125" style="1" customWidth="1"/>
    <col min="57" max="57" width="10" style="1" customWidth="1"/>
    <col min="58" max="59" width="9.08984375" style="1"/>
    <col min="60" max="60" width="10.453125" style="1" customWidth="1"/>
    <col min="61" max="61" width="11.453125" style="1" customWidth="1"/>
    <col min="62" max="62" width="12" style="1" customWidth="1"/>
    <col min="63" max="63" width="11.453125" style="1" customWidth="1"/>
    <col min="64" max="64" width="7.36328125" style="1" customWidth="1"/>
    <col min="65" max="65" width="11.453125" style="1" customWidth="1"/>
    <col min="66" max="66" width="13.453125" style="1" customWidth="1"/>
    <col min="67" max="67" width="8.6328125" style="1" customWidth="1"/>
    <col min="68" max="69" width="10" style="1" customWidth="1"/>
    <col min="70" max="16384" width="9.08984375" style="1"/>
  </cols>
  <sheetData>
    <row r="1" spans="1:47" ht="18.5" thickTop="1" x14ac:dyDescent="0.4">
      <c r="A1" s="24"/>
      <c r="B1" s="211" t="s">
        <v>361</v>
      </c>
      <c r="C1" s="212"/>
      <c r="D1" s="212"/>
      <c r="E1" s="213" t="s">
        <v>340</v>
      </c>
      <c r="F1" s="212"/>
      <c r="G1" s="212"/>
      <c r="H1" s="214"/>
      <c r="I1" s="24"/>
      <c r="J1" s="24"/>
      <c r="K1" s="24"/>
      <c r="L1" s="24"/>
      <c r="M1" s="24"/>
      <c r="N1" s="24"/>
      <c r="O1" s="24"/>
      <c r="P1" s="24"/>
      <c r="Q1" s="24"/>
    </row>
    <row r="2" spans="1:47" x14ac:dyDescent="0.3">
      <c r="A2" s="24"/>
      <c r="B2" s="215"/>
      <c r="C2" s="48"/>
      <c r="D2" s="48"/>
      <c r="E2" s="48"/>
      <c r="F2" s="48"/>
      <c r="G2" s="48"/>
      <c r="H2" s="216"/>
      <c r="I2" s="24"/>
      <c r="J2" s="24"/>
      <c r="K2" s="24"/>
      <c r="L2" s="24"/>
      <c r="M2" s="24"/>
      <c r="N2" s="24"/>
      <c r="O2" s="24"/>
      <c r="P2" s="24"/>
      <c r="Q2" s="24"/>
    </row>
    <row r="3" spans="1:47" ht="15.5" x14ac:dyDescent="0.35">
      <c r="A3" s="24"/>
      <c r="B3" s="217" t="s">
        <v>341</v>
      </c>
      <c r="C3" s="48"/>
      <c r="D3" s="48"/>
      <c r="E3" s="48"/>
      <c r="F3" s="48"/>
      <c r="G3" s="48"/>
      <c r="H3" s="216"/>
      <c r="I3" s="24"/>
      <c r="J3" s="24"/>
      <c r="K3" s="24"/>
      <c r="L3" s="24"/>
      <c r="M3" s="24"/>
      <c r="N3" s="24"/>
      <c r="O3" s="24"/>
      <c r="P3" s="24"/>
      <c r="Q3" s="24"/>
    </row>
    <row r="4" spans="1:47" x14ac:dyDescent="0.3">
      <c r="A4" s="24"/>
      <c r="B4" s="218"/>
      <c r="C4" s="48"/>
      <c r="D4" s="48"/>
      <c r="E4" s="48"/>
      <c r="F4" s="48"/>
      <c r="G4" s="48"/>
      <c r="H4" s="216"/>
      <c r="I4" s="24"/>
      <c r="J4" s="24"/>
      <c r="K4" s="24"/>
      <c r="L4" s="24"/>
      <c r="M4" s="24"/>
      <c r="N4" s="24"/>
      <c r="O4" s="24"/>
      <c r="P4" s="24"/>
      <c r="Q4" s="24"/>
    </row>
    <row r="5" spans="1:47" x14ac:dyDescent="0.3">
      <c r="A5" s="209" t="s">
        <v>208</v>
      </c>
      <c r="B5" s="219" t="s">
        <v>1</v>
      </c>
      <c r="C5" s="220" t="s">
        <v>1</v>
      </c>
      <c r="D5" s="220" t="s">
        <v>1</v>
      </c>
      <c r="E5" s="48"/>
      <c r="F5" s="48"/>
      <c r="G5" s="48"/>
      <c r="H5" s="216"/>
      <c r="I5" s="24"/>
      <c r="J5" s="24"/>
      <c r="K5" s="24"/>
      <c r="L5" s="24"/>
      <c r="M5" s="24"/>
      <c r="N5" s="24"/>
      <c r="O5" s="24"/>
      <c r="P5" s="24"/>
      <c r="Q5" s="24"/>
    </row>
    <row r="6" spans="1:47" x14ac:dyDescent="0.3">
      <c r="A6" s="210" t="s">
        <v>209</v>
      </c>
      <c r="B6" s="221" t="s">
        <v>3</v>
      </c>
      <c r="C6" s="31"/>
      <c r="D6" s="30"/>
      <c r="E6" s="48"/>
      <c r="F6" s="48"/>
      <c r="G6" s="48"/>
      <c r="H6" s="216"/>
      <c r="I6" s="24"/>
      <c r="J6" s="24"/>
      <c r="K6" s="24"/>
      <c r="L6" s="24"/>
      <c r="M6" s="24"/>
      <c r="N6" s="24"/>
      <c r="O6" s="24"/>
      <c r="P6" s="24"/>
      <c r="Q6" s="24"/>
    </row>
    <row r="7" spans="1:47" x14ac:dyDescent="0.3">
      <c r="A7" s="24"/>
      <c r="B7" s="221" t="s">
        <v>6</v>
      </c>
      <c r="C7" s="31"/>
      <c r="D7" s="30" t="s">
        <v>5</v>
      </c>
      <c r="E7" s="48"/>
      <c r="F7" s="48"/>
      <c r="G7" s="48"/>
      <c r="H7" s="216"/>
      <c r="I7" s="24"/>
      <c r="J7" s="24"/>
      <c r="K7" s="24"/>
      <c r="L7" s="24"/>
      <c r="M7" s="24"/>
      <c r="N7" s="24"/>
      <c r="O7" s="24"/>
      <c r="P7" s="24"/>
      <c r="Q7" s="24"/>
    </row>
    <row r="8" spans="1:47" x14ac:dyDescent="0.3">
      <c r="A8" s="24"/>
      <c r="B8" s="221" t="s">
        <v>11</v>
      </c>
      <c r="C8" s="31" t="s">
        <v>3</v>
      </c>
      <c r="D8" s="31" t="s">
        <v>10</v>
      </c>
      <c r="E8" s="48"/>
      <c r="F8" s="48"/>
      <c r="G8" s="48"/>
      <c r="H8" s="216"/>
      <c r="I8" s="24"/>
      <c r="J8" s="24"/>
      <c r="K8" s="24"/>
      <c r="L8" s="24"/>
      <c r="M8" s="24"/>
      <c r="N8" s="24"/>
      <c r="O8" s="24"/>
      <c r="P8" s="24"/>
      <c r="Q8" s="24"/>
    </row>
    <row r="9" spans="1:47" x14ac:dyDescent="0.3">
      <c r="A9" s="24"/>
      <c r="B9" s="221" t="s">
        <v>14</v>
      </c>
      <c r="C9" s="30" t="s">
        <v>6</v>
      </c>
      <c r="D9" s="30" t="s">
        <v>2</v>
      </c>
      <c r="E9" s="48"/>
      <c r="F9" s="48"/>
      <c r="G9" s="48"/>
      <c r="H9" s="216"/>
      <c r="I9" s="24"/>
      <c r="J9" s="24"/>
      <c r="K9" s="24"/>
      <c r="L9" s="24"/>
      <c r="M9" s="24"/>
      <c r="N9" s="24"/>
      <c r="O9" s="24"/>
      <c r="P9" s="24"/>
      <c r="Q9" s="24"/>
    </row>
    <row r="10" spans="1:47" x14ac:dyDescent="0.3">
      <c r="A10" s="24"/>
      <c r="B10" s="221" t="s">
        <v>21</v>
      </c>
      <c r="C10" s="30" t="s">
        <v>22</v>
      </c>
      <c r="D10" s="30" t="s">
        <v>20</v>
      </c>
      <c r="E10" s="48"/>
      <c r="F10" s="48"/>
      <c r="G10" s="48"/>
      <c r="H10" s="216"/>
      <c r="I10" s="24"/>
      <c r="J10" s="24"/>
      <c r="K10" s="24"/>
      <c r="L10" s="24"/>
      <c r="M10" s="24"/>
      <c r="N10" s="24"/>
      <c r="O10" s="24"/>
      <c r="P10" s="24"/>
      <c r="Q10" s="24"/>
    </row>
    <row r="11" spans="1:47" ht="15" x14ac:dyDescent="0.4">
      <c r="A11" s="24"/>
      <c r="B11" s="221" t="s">
        <v>29</v>
      </c>
      <c r="C11" s="30" t="s">
        <v>30</v>
      </c>
      <c r="D11" s="30" t="s">
        <v>28</v>
      </c>
      <c r="E11" s="48"/>
      <c r="F11" s="48"/>
      <c r="G11" s="48"/>
      <c r="H11" s="216"/>
      <c r="I11" s="24"/>
      <c r="J11" s="24"/>
      <c r="K11" s="24"/>
      <c r="L11" s="24"/>
      <c r="M11" s="24"/>
      <c r="N11" s="24"/>
      <c r="O11" s="24"/>
      <c r="P11" s="24"/>
      <c r="Q11" s="24"/>
    </row>
    <row r="12" spans="1:47" ht="15" thickBot="1" x14ac:dyDescent="0.35">
      <c r="A12" s="24"/>
      <c r="B12" s="222" t="s">
        <v>37</v>
      </c>
      <c r="C12" s="32" t="s">
        <v>37</v>
      </c>
      <c r="D12" s="32" t="s">
        <v>36</v>
      </c>
      <c r="E12" s="48"/>
      <c r="F12" s="48"/>
      <c r="G12" s="48"/>
      <c r="H12" s="216"/>
      <c r="I12" s="24"/>
      <c r="J12" s="24"/>
      <c r="K12" s="24"/>
      <c r="L12" s="24"/>
      <c r="M12" s="24"/>
      <c r="N12" s="24"/>
      <c r="O12" s="24"/>
      <c r="P12" s="24"/>
      <c r="Q12" s="24"/>
    </row>
    <row r="13" spans="1:47" ht="13.5" thickTop="1" x14ac:dyDescent="0.3">
      <c r="A13" s="24"/>
      <c r="B13" s="215"/>
      <c r="C13" s="48"/>
      <c r="D13" s="48"/>
      <c r="E13" s="48"/>
      <c r="F13" s="48"/>
      <c r="G13" s="48"/>
      <c r="H13" s="216"/>
      <c r="I13" s="24"/>
      <c r="J13" s="24"/>
      <c r="K13" s="24"/>
      <c r="L13" s="24"/>
      <c r="M13" s="24"/>
      <c r="N13" s="24"/>
      <c r="O13" s="24"/>
      <c r="P13" s="24"/>
      <c r="Q13" s="24"/>
    </row>
    <row r="14" spans="1:47" x14ac:dyDescent="0.3">
      <c r="A14" s="24"/>
      <c r="B14" s="223">
        <v>183</v>
      </c>
      <c r="C14" s="58">
        <v>213</v>
      </c>
      <c r="D14" s="58">
        <v>10</v>
      </c>
      <c r="E14" s="48"/>
      <c r="F14" s="48"/>
      <c r="G14" s="48"/>
      <c r="H14" s="216"/>
      <c r="I14" s="24"/>
      <c r="J14" s="24"/>
      <c r="K14" s="24"/>
      <c r="L14" s="24"/>
      <c r="M14" s="24"/>
      <c r="N14" s="24"/>
      <c r="O14" s="24"/>
      <c r="P14" s="24"/>
      <c r="Q14" s="24"/>
      <c r="AP14" s="1"/>
      <c r="AQ14" s="1"/>
      <c r="AS14" s="1"/>
      <c r="AT14" s="1"/>
      <c r="AU14" s="1"/>
    </row>
    <row r="15" spans="1:47" x14ac:dyDescent="0.3">
      <c r="A15" s="24"/>
      <c r="B15" s="224"/>
      <c r="C15" s="48"/>
      <c r="D15" s="48"/>
      <c r="E15" s="48"/>
      <c r="F15" s="48"/>
      <c r="G15" s="48"/>
      <c r="H15" s="216"/>
      <c r="I15" s="24"/>
      <c r="J15" s="24"/>
      <c r="K15" s="24"/>
      <c r="L15" s="24"/>
      <c r="M15" s="24"/>
      <c r="N15" s="24"/>
      <c r="O15" s="24"/>
      <c r="P15" s="24"/>
      <c r="Q15" s="24"/>
      <c r="AP15" s="1"/>
      <c r="AQ15" s="1"/>
      <c r="AS15" s="1"/>
      <c r="AT15" s="1"/>
      <c r="AU15" s="1"/>
    </row>
    <row r="16" spans="1:47" x14ac:dyDescent="0.3">
      <c r="A16" s="24"/>
      <c r="B16" s="224"/>
      <c r="C16" s="48"/>
      <c r="D16" s="48"/>
      <c r="E16" s="48"/>
      <c r="F16" s="48"/>
      <c r="G16" s="48"/>
      <c r="H16" s="216"/>
      <c r="I16" s="24"/>
      <c r="J16" s="24"/>
      <c r="K16" s="24"/>
      <c r="L16" s="24"/>
      <c r="M16" s="24"/>
      <c r="N16" s="24"/>
      <c r="O16" s="24"/>
      <c r="P16" s="24"/>
      <c r="Q16" s="24"/>
      <c r="AP16" s="1"/>
      <c r="AQ16" s="1"/>
      <c r="AS16" s="1"/>
      <c r="AT16" s="1"/>
      <c r="AU16" s="1"/>
    </row>
    <row r="17" spans="1:47" ht="15.5" x14ac:dyDescent="0.3">
      <c r="A17" s="24"/>
      <c r="B17" s="225" t="s">
        <v>342</v>
      </c>
      <c r="C17" s="48"/>
      <c r="D17" s="48"/>
      <c r="E17" s="48"/>
      <c r="F17" s="48"/>
      <c r="G17" s="48"/>
      <c r="H17" s="216"/>
      <c r="I17" s="24"/>
      <c r="J17" s="24"/>
      <c r="K17" s="24"/>
      <c r="L17" s="24"/>
      <c r="M17" s="24"/>
      <c r="N17" s="24"/>
      <c r="O17" s="24"/>
      <c r="P17" s="24"/>
      <c r="Q17" s="24"/>
      <c r="AP17" s="1"/>
      <c r="AQ17" s="1"/>
      <c r="AS17" s="1"/>
      <c r="AT17" s="1"/>
      <c r="AU17" s="1"/>
    </row>
    <row r="18" spans="1:47" ht="13.5" thickBot="1" x14ac:dyDescent="0.35">
      <c r="A18" s="24"/>
      <c r="B18" s="224"/>
      <c r="C18" s="48"/>
      <c r="D18" s="48"/>
      <c r="E18" s="48"/>
      <c r="F18" s="48"/>
      <c r="G18" s="48"/>
      <c r="H18" s="216"/>
      <c r="I18" s="24"/>
      <c r="J18" s="24"/>
      <c r="K18" s="24"/>
      <c r="L18" s="24"/>
      <c r="M18" s="24"/>
      <c r="N18" s="24"/>
      <c r="O18" s="24"/>
      <c r="P18" s="24"/>
      <c r="Q18" s="24"/>
      <c r="AP18" s="1"/>
      <c r="AQ18" s="1"/>
      <c r="AS18" s="1"/>
      <c r="AT18" s="1"/>
      <c r="AU18" s="1"/>
    </row>
    <row r="19" spans="1:47" x14ac:dyDescent="0.3">
      <c r="A19" s="209" t="s">
        <v>208</v>
      </c>
      <c r="B19" s="226" t="s">
        <v>1</v>
      </c>
      <c r="C19" s="35" t="s">
        <v>1</v>
      </c>
      <c r="D19" s="36" t="s">
        <v>1</v>
      </c>
      <c r="E19" s="220" t="s">
        <v>1</v>
      </c>
      <c r="F19" s="220" t="s">
        <v>1</v>
      </c>
      <c r="G19" s="48"/>
      <c r="H19" s="216"/>
      <c r="I19" s="24"/>
      <c r="J19" s="24"/>
      <c r="K19" s="24"/>
      <c r="L19" s="24"/>
      <c r="M19" s="24"/>
      <c r="N19" s="24"/>
      <c r="O19" s="24"/>
      <c r="P19" s="24"/>
      <c r="Q19" s="24"/>
      <c r="R19" s="5"/>
      <c r="U19" s="15"/>
      <c r="W19" s="6"/>
      <c r="Z19" s="1"/>
      <c r="AM19" s="4"/>
      <c r="AN19" s="8"/>
      <c r="AP19" s="8"/>
      <c r="AR19" s="4"/>
      <c r="AS19" s="1"/>
      <c r="AT19" s="1"/>
      <c r="AU19" s="1"/>
    </row>
    <row r="20" spans="1:47" ht="15.5" thickBot="1" x14ac:dyDescent="0.45">
      <c r="A20" s="210" t="s">
        <v>209</v>
      </c>
      <c r="B20" s="227" t="s">
        <v>343</v>
      </c>
      <c r="C20" s="37"/>
      <c r="D20" s="38"/>
      <c r="E20" s="30"/>
      <c r="F20" s="30"/>
      <c r="G20" s="48"/>
      <c r="H20" s="216"/>
      <c r="I20" s="24"/>
      <c r="J20" s="24"/>
      <c r="K20" s="24"/>
      <c r="L20" s="24"/>
      <c r="M20" s="24"/>
      <c r="N20" s="24"/>
      <c r="O20" s="24"/>
      <c r="P20" s="24"/>
      <c r="Q20" s="24"/>
      <c r="U20" s="6"/>
      <c r="W20" s="6"/>
      <c r="Z20" s="1"/>
      <c r="AL20" s="3"/>
      <c r="AM20" s="2"/>
      <c r="AN20" s="7"/>
      <c r="AP20" s="8"/>
      <c r="AR20" s="4"/>
      <c r="AS20" s="1"/>
      <c r="AT20" s="1"/>
      <c r="AU20" s="1"/>
    </row>
    <row r="21" spans="1:47" x14ac:dyDescent="0.3">
      <c r="A21" s="24"/>
      <c r="B21" s="215"/>
      <c r="C21" s="30" t="s">
        <v>7</v>
      </c>
      <c r="D21" s="40" t="s">
        <v>7</v>
      </c>
      <c r="E21" s="31"/>
      <c r="F21" s="31"/>
      <c r="G21" s="48"/>
      <c r="H21" s="216"/>
      <c r="I21" s="24"/>
      <c r="J21" s="24"/>
      <c r="K21" s="24"/>
      <c r="L21" s="24"/>
      <c r="M21" s="24"/>
      <c r="N21" s="24"/>
      <c r="O21" s="24"/>
      <c r="P21" s="24"/>
      <c r="Q21" s="24"/>
      <c r="W21" s="6"/>
      <c r="Z21" s="1"/>
      <c r="AM21" s="4"/>
      <c r="AN21" s="8"/>
      <c r="AP21" s="8"/>
      <c r="AR21" s="4"/>
      <c r="AS21" s="1"/>
      <c r="AT21" s="1"/>
      <c r="AU21" s="1"/>
    </row>
    <row r="22" spans="1:47" x14ac:dyDescent="0.3">
      <c r="A22" s="24"/>
      <c r="B22" s="221" t="s">
        <v>7</v>
      </c>
      <c r="C22" s="31" t="s">
        <v>12</v>
      </c>
      <c r="D22" s="41" t="s">
        <v>12</v>
      </c>
      <c r="E22" s="30" t="s">
        <v>4</v>
      </c>
      <c r="F22" s="30"/>
      <c r="G22" s="48"/>
      <c r="H22" s="216"/>
      <c r="I22" s="24"/>
      <c r="J22" s="24"/>
      <c r="K22" s="24"/>
      <c r="L22" s="24"/>
      <c r="M22" s="24"/>
      <c r="N22" s="24"/>
      <c r="O22" s="24"/>
      <c r="P22" s="24"/>
      <c r="Q22" s="24"/>
      <c r="W22" s="6"/>
      <c r="Z22" s="1"/>
      <c r="AM22" s="4"/>
      <c r="AN22" s="8"/>
      <c r="AP22" s="8"/>
      <c r="AR22" s="4"/>
      <c r="AS22" s="1"/>
      <c r="AT22" s="1"/>
      <c r="AU22" s="1"/>
    </row>
    <row r="23" spans="1:47" x14ac:dyDescent="0.3">
      <c r="A23" s="24"/>
      <c r="B23" s="228" t="s">
        <v>12</v>
      </c>
      <c r="C23" s="30" t="s">
        <v>15</v>
      </c>
      <c r="D23" s="40" t="s">
        <v>16</v>
      </c>
      <c r="E23" s="30" t="s">
        <v>17</v>
      </c>
      <c r="F23" s="30" t="s">
        <v>13</v>
      </c>
      <c r="G23" s="48"/>
      <c r="H23" s="216"/>
      <c r="I23" s="24"/>
      <c r="J23" s="24"/>
      <c r="K23" s="24"/>
      <c r="L23" s="24"/>
      <c r="M23" s="24"/>
      <c r="N23" s="24"/>
      <c r="O23" s="24"/>
      <c r="P23" s="24"/>
      <c r="Q23" s="24"/>
      <c r="W23" s="6"/>
      <c r="Z23" s="1"/>
      <c r="AM23" s="4"/>
      <c r="AN23" s="8"/>
      <c r="AP23" s="8"/>
      <c r="AR23" s="4"/>
      <c r="AS23" s="1"/>
      <c r="AT23" s="1"/>
      <c r="AU23" s="1"/>
    </row>
    <row r="24" spans="1:47" x14ac:dyDescent="0.3">
      <c r="A24" s="24"/>
      <c r="B24" s="221" t="s">
        <v>23</v>
      </c>
      <c r="C24" s="31" t="s">
        <v>24</v>
      </c>
      <c r="D24" s="41" t="s">
        <v>24</v>
      </c>
      <c r="E24" s="30" t="s">
        <v>25</v>
      </c>
      <c r="F24" s="31" t="s">
        <v>18</v>
      </c>
      <c r="G24" s="48"/>
      <c r="H24" s="216"/>
      <c r="I24" s="24"/>
      <c r="J24" s="24"/>
      <c r="K24" s="24"/>
      <c r="L24" s="24"/>
      <c r="M24" s="24"/>
      <c r="N24" s="24"/>
      <c r="O24" s="24"/>
      <c r="P24" s="24"/>
      <c r="Q24" s="24"/>
      <c r="W24" s="6"/>
      <c r="Z24" s="1"/>
      <c r="AM24" s="4"/>
      <c r="AN24" s="8"/>
      <c r="AP24" s="8"/>
      <c r="AR24" s="4"/>
      <c r="AS24" s="1"/>
      <c r="AT24" s="1"/>
      <c r="AU24" s="1"/>
    </row>
    <row r="25" spans="1:47" ht="15" x14ac:dyDescent="0.4">
      <c r="A25" s="24"/>
      <c r="B25" s="221" t="s">
        <v>31</v>
      </c>
      <c r="C25" s="30" t="s">
        <v>32</v>
      </c>
      <c r="D25" s="40" t="s">
        <v>33</v>
      </c>
      <c r="E25" s="31" t="s">
        <v>34</v>
      </c>
      <c r="F25" s="31" t="s">
        <v>25</v>
      </c>
      <c r="G25" s="48"/>
      <c r="H25" s="216"/>
      <c r="I25" s="24"/>
      <c r="J25" s="24"/>
      <c r="K25" s="24"/>
      <c r="L25" s="24"/>
      <c r="M25" s="24"/>
      <c r="N25" s="24"/>
      <c r="O25" s="24"/>
      <c r="P25" s="24"/>
      <c r="Q25" s="24"/>
      <c r="W25" s="6"/>
      <c r="Z25" s="1"/>
      <c r="AM25" s="4"/>
      <c r="AN25" s="8"/>
      <c r="AP25" s="8"/>
      <c r="AR25" s="4"/>
      <c r="AS25" s="1"/>
      <c r="AT25" s="1"/>
      <c r="AU25" s="1"/>
    </row>
    <row r="26" spans="1:47" ht="13.5" thickBot="1" x14ac:dyDescent="0.35">
      <c r="A26" s="24"/>
      <c r="B26" s="222" t="s">
        <v>37</v>
      </c>
      <c r="C26" s="32" t="s">
        <v>37</v>
      </c>
      <c r="D26" s="42" t="s">
        <v>37</v>
      </c>
      <c r="E26" s="32" t="s">
        <v>344</v>
      </c>
      <c r="F26" s="32" t="s">
        <v>38</v>
      </c>
      <c r="G26" s="48"/>
      <c r="H26" s="216"/>
      <c r="I26" s="24"/>
      <c r="J26" s="24"/>
      <c r="K26" s="24"/>
      <c r="L26" s="24"/>
      <c r="M26" s="24"/>
      <c r="N26" s="24"/>
      <c r="O26" s="24"/>
      <c r="P26" s="24"/>
      <c r="Q26" s="24"/>
      <c r="W26" s="6"/>
      <c r="Z26" s="1"/>
      <c r="AM26" s="4"/>
      <c r="AN26" s="8"/>
      <c r="AP26" s="8"/>
      <c r="AR26" s="4"/>
      <c r="AS26" s="1"/>
      <c r="AT26" s="1"/>
      <c r="AU26" s="1"/>
    </row>
    <row r="27" spans="1:47" ht="13.5" thickTop="1" x14ac:dyDescent="0.3">
      <c r="A27" s="24"/>
      <c r="B27" s="215"/>
      <c r="C27" s="48"/>
      <c r="D27" s="43"/>
      <c r="E27" s="48"/>
      <c r="F27" s="48"/>
      <c r="G27" s="48"/>
      <c r="H27" s="216"/>
      <c r="I27" s="24"/>
      <c r="J27" s="24"/>
      <c r="K27" s="24"/>
      <c r="L27" s="24"/>
      <c r="M27" s="24"/>
      <c r="N27" s="24"/>
      <c r="O27" s="24"/>
      <c r="P27" s="24"/>
      <c r="Q27" s="24"/>
      <c r="W27" s="6"/>
      <c r="Z27" s="1"/>
      <c r="AM27" s="4"/>
      <c r="AN27" s="8"/>
      <c r="AP27" s="8"/>
      <c r="AR27" s="4"/>
      <c r="AS27" s="1"/>
      <c r="AT27" s="1"/>
      <c r="AU27" s="1"/>
    </row>
    <row r="28" spans="1:47" ht="13.5" thickBot="1" x14ac:dyDescent="0.35">
      <c r="A28" s="24"/>
      <c r="B28" s="229">
        <v>213</v>
      </c>
      <c r="C28" s="60">
        <v>0</v>
      </c>
      <c r="D28" s="61">
        <v>0</v>
      </c>
      <c r="E28" s="58" t="s">
        <v>154</v>
      </c>
      <c r="F28" s="58" t="s">
        <v>109</v>
      </c>
      <c r="G28" s="48"/>
      <c r="H28" s="216"/>
      <c r="I28" s="24"/>
      <c r="J28" s="24"/>
      <c r="K28" s="24"/>
      <c r="L28" s="24"/>
      <c r="M28" s="24"/>
      <c r="N28" s="24"/>
      <c r="O28" s="24"/>
      <c r="P28" s="24"/>
      <c r="Q28" s="24"/>
      <c r="W28" s="6"/>
      <c r="Z28" s="1"/>
      <c r="AM28" s="4"/>
      <c r="AN28" s="8"/>
      <c r="AP28" s="8"/>
      <c r="AR28" s="4"/>
      <c r="AS28" s="1"/>
      <c r="AT28" s="1"/>
      <c r="AU28" s="1"/>
    </row>
    <row r="29" spans="1:47" x14ac:dyDescent="0.3">
      <c r="A29" s="24"/>
      <c r="B29" s="230"/>
      <c r="C29" s="44"/>
      <c r="D29" s="44"/>
      <c r="E29" s="44"/>
      <c r="F29" s="44"/>
      <c r="G29" s="44"/>
      <c r="H29" s="231"/>
      <c r="I29" s="25"/>
      <c r="J29" s="25"/>
      <c r="K29" s="24"/>
      <c r="L29" s="26"/>
      <c r="M29" s="24"/>
      <c r="N29" s="24"/>
      <c r="O29" s="24"/>
      <c r="P29" s="24"/>
      <c r="Q29" s="24"/>
    </row>
    <row r="30" spans="1:47" x14ac:dyDescent="0.3">
      <c r="A30" s="209" t="s">
        <v>208</v>
      </c>
      <c r="B30" s="295" t="s">
        <v>357</v>
      </c>
      <c r="C30" s="45"/>
      <c r="D30" s="45"/>
      <c r="E30" s="45"/>
      <c r="F30" s="45"/>
      <c r="G30" s="45"/>
      <c r="H30" s="232"/>
      <c r="I30" s="27"/>
      <c r="J30" s="27"/>
      <c r="K30" s="24"/>
      <c r="L30" s="24"/>
      <c r="M30" s="24"/>
      <c r="N30" s="24"/>
      <c r="O30" s="24"/>
      <c r="P30" s="24"/>
      <c r="Q30" s="24"/>
    </row>
    <row r="31" spans="1:47" ht="13.5" thickBot="1" x14ac:dyDescent="0.35">
      <c r="A31" s="210" t="s">
        <v>209</v>
      </c>
      <c r="B31" s="296"/>
      <c r="C31" s="45"/>
      <c r="D31" s="45"/>
      <c r="E31" s="45"/>
      <c r="F31" s="45"/>
      <c r="G31" s="45"/>
      <c r="H31" s="232"/>
      <c r="I31" s="27"/>
      <c r="J31" s="27"/>
      <c r="K31" s="24"/>
      <c r="L31" s="24"/>
      <c r="M31" s="24"/>
      <c r="N31" s="24"/>
      <c r="O31" s="24"/>
      <c r="P31" s="24"/>
      <c r="Q31" s="24"/>
    </row>
    <row r="32" spans="1:47" x14ac:dyDescent="0.3">
      <c r="A32" s="24"/>
      <c r="B32" s="296"/>
      <c r="C32" s="34" t="s">
        <v>1</v>
      </c>
      <c r="D32" s="46"/>
      <c r="E32" s="36" t="s">
        <v>1</v>
      </c>
      <c r="F32" s="220" t="s">
        <v>1</v>
      </c>
      <c r="G32" s="220" t="s">
        <v>1</v>
      </c>
      <c r="H32" s="233" t="s">
        <v>1</v>
      </c>
      <c r="I32" s="24"/>
      <c r="J32" s="24"/>
      <c r="K32" s="24"/>
      <c r="L32" s="24"/>
      <c r="M32" s="24"/>
      <c r="N32" s="24"/>
      <c r="O32" s="24"/>
      <c r="P32" s="24"/>
      <c r="Q32" s="24"/>
    </row>
    <row r="33" spans="1:50" x14ac:dyDescent="0.3">
      <c r="A33" s="24"/>
      <c r="B33" s="296"/>
      <c r="C33" s="47" t="s">
        <v>4</v>
      </c>
      <c r="D33" s="48"/>
      <c r="E33" s="41"/>
      <c r="F33" s="45"/>
      <c r="G33" s="45"/>
      <c r="H33" s="232"/>
      <c r="I33" s="24"/>
      <c r="J33" s="24"/>
      <c r="K33" s="24"/>
      <c r="L33" s="24"/>
      <c r="M33" s="24"/>
      <c r="N33" s="24"/>
      <c r="O33" s="24"/>
      <c r="P33" s="24"/>
      <c r="Q33" s="24"/>
    </row>
    <row r="34" spans="1:50" x14ac:dyDescent="0.3">
      <c r="A34" s="24"/>
      <c r="B34" s="296"/>
      <c r="C34" s="47" t="s">
        <v>8</v>
      </c>
      <c r="D34" s="48"/>
      <c r="E34" s="41" t="s">
        <v>9</v>
      </c>
      <c r="F34" s="48"/>
      <c r="G34" s="48"/>
      <c r="H34" s="216"/>
      <c r="I34" s="24"/>
      <c r="J34" s="24"/>
      <c r="K34" s="24"/>
      <c r="L34" s="24"/>
      <c r="M34" s="24"/>
      <c r="N34" s="24"/>
      <c r="O34" s="24"/>
      <c r="P34" s="24"/>
      <c r="Q34" s="24"/>
      <c r="Z34" s="1"/>
      <c r="AC34" s="6"/>
      <c r="AP34" s="1"/>
      <c r="AQ34" s="1"/>
      <c r="AS34" s="4"/>
      <c r="AU34" s="1"/>
      <c r="AV34" s="8"/>
      <c r="AW34" s="8"/>
      <c r="AX34" s="4"/>
    </row>
    <row r="35" spans="1:50" x14ac:dyDescent="0.3">
      <c r="A35" s="24"/>
      <c r="B35" s="296"/>
      <c r="C35" s="47" t="s">
        <v>13</v>
      </c>
      <c r="D35" s="48"/>
      <c r="E35" s="41" t="s">
        <v>8</v>
      </c>
      <c r="F35" s="30" t="s">
        <v>44</v>
      </c>
      <c r="G35" s="30" t="s">
        <v>44</v>
      </c>
      <c r="H35" s="234" t="s">
        <v>44</v>
      </c>
      <c r="I35" s="24"/>
      <c r="J35" s="24"/>
      <c r="K35" s="24"/>
      <c r="L35" s="24"/>
      <c r="M35" s="24"/>
      <c r="N35" s="24"/>
      <c r="O35" s="24"/>
      <c r="P35" s="24"/>
      <c r="Q35" s="24"/>
      <c r="Z35" s="1"/>
      <c r="AC35" s="6"/>
      <c r="AP35" s="1"/>
      <c r="AQ35" s="1"/>
      <c r="AS35" s="4"/>
      <c r="AU35" s="1"/>
      <c r="AV35" s="8"/>
      <c r="AW35" s="8"/>
      <c r="AX35" s="4"/>
    </row>
    <row r="36" spans="1:50" x14ac:dyDescent="0.3">
      <c r="A36" s="24"/>
      <c r="B36" s="296"/>
      <c r="C36" s="47" t="s">
        <v>18</v>
      </c>
      <c r="D36" s="48"/>
      <c r="E36" s="41" t="s">
        <v>19</v>
      </c>
      <c r="F36" s="30" t="s">
        <v>47</v>
      </c>
      <c r="G36" s="30" t="s">
        <v>48</v>
      </c>
      <c r="H36" s="234" t="s">
        <v>49</v>
      </c>
      <c r="I36" s="24"/>
      <c r="J36" s="24"/>
      <c r="K36" s="24"/>
      <c r="L36" s="24"/>
      <c r="M36" s="24"/>
      <c r="N36" s="24"/>
      <c r="O36" s="24"/>
      <c r="P36" s="24"/>
      <c r="Q36" s="24"/>
      <c r="Z36" s="1"/>
      <c r="AC36" s="6"/>
      <c r="AP36" s="1"/>
      <c r="AQ36" s="1"/>
      <c r="AS36" s="4"/>
      <c r="AU36" s="1"/>
      <c r="AV36" s="8"/>
      <c r="AW36" s="8"/>
      <c r="AX36" s="4"/>
    </row>
    <row r="37" spans="1:50" x14ac:dyDescent="0.3">
      <c r="A37" s="24"/>
      <c r="B37" s="296"/>
      <c r="C37" s="47" t="s">
        <v>26</v>
      </c>
      <c r="D37" s="49" t="s">
        <v>0</v>
      </c>
      <c r="E37" s="41" t="s">
        <v>27</v>
      </c>
      <c r="F37" s="30" t="s">
        <v>50</v>
      </c>
      <c r="G37" s="30" t="s">
        <v>51</v>
      </c>
      <c r="H37" s="234" t="s">
        <v>51</v>
      </c>
      <c r="I37" s="24"/>
      <c r="J37" s="24"/>
      <c r="K37" s="24"/>
      <c r="L37" s="24"/>
      <c r="M37" s="24"/>
      <c r="N37" s="24"/>
      <c r="O37" s="24"/>
      <c r="P37" s="24"/>
      <c r="Q37" s="24"/>
      <c r="Z37" s="1"/>
      <c r="AC37" s="6"/>
      <c r="AP37" s="1"/>
      <c r="AQ37" s="1"/>
      <c r="AS37" s="4"/>
      <c r="AU37" s="1"/>
      <c r="AV37" s="8"/>
      <c r="AW37" s="8"/>
      <c r="AX37" s="4"/>
    </row>
    <row r="38" spans="1:50" ht="15.5" x14ac:dyDescent="0.4">
      <c r="A38" s="24"/>
      <c r="B38" s="296"/>
      <c r="C38" s="47" t="s">
        <v>19</v>
      </c>
      <c r="D38" s="48"/>
      <c r="E38" s="41" t="s">
        <v>35</v>
      </c>
      <c r="F38" s="50" t="s">
        <v>52</v>
      </c>
      <c r="G38" s="30" t="s">
        <v>53</v>
      </c>
      <c r="H38" s="235" t="s">
        <v>54</v>
      </c>
      <c r="I38" s="24"/>
      <c r="J38" s="24"/>
      <c r="K38" s="24"/>
      <c r="L38" s="24"/>
      <c r="M38" s="24"/>
      <c r="N38" s="24"/>
      <c r="O38" s="24"/>
      <c r="P38" s="24"/>
      <c r="Q38" s="24"/>
      <c r="Z38" s="1"/>
      <c r="AC38" s="6"/>
      <c r="AP38" s="1"/>
      <c r="AQ38" s="1"/>
      <c r="AS38" s="4"/>
      <c r="AU38" s="1"/>
      <c r="AV38" s="8"/>
      <c r="AW38" s="8"/>
      <c r="AX38" s="4"/>
    </row>
    <row r="39" spans="1:50" ht="15" thickBot="1" x14ac:dyDescent="0.35">
      <c r="A39" s="24"/>
      <c r="B39" s="296"/>
      <c r="C39" s="51" t="s">
        <v>39</v>
      </c>
      <c r="D39" s="48"/>
      <c r="E39" s="52" t="s">
        <v>40</v>
      </c>
      <c r="F39" s="32" t="s">
        <v>61</v>
      </c>
      <c r="G39" s="32" t="s">
        <v>62</v>
      </c>
      <c r="H39" s="236" t="s">
        <v>63</v>
      </c>
      <c r="I39" s="24"/>
      <c r="J39" s="24"/>
      <c r="K39" s="24"/>
      <c r="L39" s="24"/>
      <c r="M39" s="24"/>
      <c r="N39" s="24"/>
      <c r="O39" s="24"/>
      <c r="P39" s="24"/>
      <c r="Q39" s="24"/>
      <c r="Z39" s="1"/>
      <c r="AC39" s="6"/>
      <c r="AP39" s="1"/>
      <c r="AQ39" s="1"/>
      <c r="AS39" s="4"/>
      <c r="AU39" s="1"/>
      <c r="AV39" s="8"/>
      <c r="AW39" s="8"/>
      <c r="AX39" s="4"/>
    </row>
    <row r="40" spans="1:50" ht="13.5" thickTop="1" x14ac:dyDescent="0.3">
      <c r="A40" s="24"/>
      <c r="B40" s="296"/>
      <c r="C40" s="39"/>
      <c r="D40" s="48"/>
      <c r="E40" s="43"/>
      <c r="F40" s="48"/>
      <c r="G40" s="48"/>
      <c r="H40" s="216"/>
      <c r="I40" s="24"/>
      <c r="J40" s="24"/>
      <c r="K40" s="24"/>
      <c r="L40" s="24"/>
      <c r="M40" s="24"/>
      <c r="N40" s="24"/>
      <c r="O40" s="24"/>
      <c r="P40" s="24"/>
      <c r="Q40" s="24"/>
      <c r="Z40" s="1"/>
      <c r="AC40" s="6"/>
      <c r="AP40" s="1"/>
      <c r="AQ40" s="1"/>
      <c r="AS40" s="4"/>
      <c r="AU40" s="1"/>
      <c r="AV40" s="8"/>
      <c r="AW40" s="8"/>
      <c r="AX40" s="4"/>
    </row>
    <row r="41" spans="1:50" ht="13.5" thickBot="1" x14ac:dyDescent="0.35">
      <c r="A41" s="24"/>
      <c r="B41" s="215"/>
      <c r="C41" s="59" t="s">
        <v>109</v>
      </c>
      <c r="D41" s="53"/>
      <c r="E41" s="62"/>
      <c r="F41" s="58">
        <v>1.5</v>
      </c>
      <c r="G41" s="63">
        <v>0.43</v>
      </c>
      <c r="H41" s="237">
        <v>0.06</v>
      </c>
      <c r="I41" s="24"/>
      <c r="J41" s="24"/>
      <c r="K41" s="24"/>
      <c r="L41" s="24"/>
      <c r="M41" s="24"/>
      <c r="N41" s="24"/>
      <c r="O41" s="24"/>
      <c r="P41" s="24"/>
      <c r="Q41" s="24"/>
      <c r="Z41" s="1"/>
      <c r="AC41" s="6"/>
      <c r="AP41" s="1"/>
      <c r="AQ41" s="1"/>
      <c r="AS41" s="4"/>
      <c r="AU41" s="1"/>
      <c r="AV41" s="8"/>
      <c r="AW41" s="8"/>
      <c r="AX41" s="4"/>
    </row>
    <row r="42" spans="1:50" x14ac:dyDescent="0.3">
      <c r="A42" s="24"/>
      <c r="B42" s="215"/>
      <c r="C42" s="48"/>
      <c r="D42" s="48"/>
      <c r="E42" s="48"/>
      <c r="F42" s="48"/>
      <c r="G42" s="48"/>
      <c r="H42" s="216"/>
      <c r="I42" s="24"/>
      <c r="J42" s="24"/>
      <c r="K42" s="24"/>
      <c r="L42" s="24"/>
      <c r="M42" s="24"/>
      <c r="N42" s="24"/>
      <c r="O42" s="24"/>
      <c r="P42" s="24"/>
      <c r="Q42" s="24"/>
    </row>
    <row r="43" spans="1:50" x14ac:dyDescent="0.3">
      <c r="A43" s="209" t="s">
        <v>208</v>
      </c>
      <c r="B43" s="295" t="s">
        <v>358</v>
      </c>
      <c r="C43" s="48"/>
      <c r="D43" s="48"/>
      <c r="E43" s="48"/>
      <c r="F43" s="48"/>
      <c r="G43" s="48"/>
      <c r="H43" s="216"/>
      <c r="I43" s="24"/>
      <c r="J43" s="24"/>
      <c r="K43" s="24"/>
      <c r="L43" s="24"/>
      <c r="M43" s="24"/>
      <c r="N43" s="24"/>
      <c r="O43" s="24"/>
      <c r="P43" s="24"/>
      <c r="Q43" s="24"/>
    </row>
    <row r="44" spans="1:50" x14ac:dyDescent="0.3">
      <c r="A44" s="210" t="s">
        <v>209</v>
      </c>
      <c r="B44" s="296"/>
      <c r="C44" s="48"/>
      <c r="D44" s="48"/>
      <c r="E44" s="48"/>
      <c r="F44" s="48"/>
      <c r="G44" s="48"/>
      <c r="H44" s="216"/>
      <c r="I44" s="24"/>
      <c r="J44" s="24"/>
      <c r="K44" s="24"/>
      <c r="L44" s="24"/>
      <c r="M44" s="24"/>
      <c r="N44" s="24"/>
      <c r="O44" s="24"/>
      <c r="P44" s="24"/>
      <c r="Q44" s="24"/>
    </row>
    <row r="45" spans="1:50" x14ac:dyDescent="0.3">
      <c r="A45" s="24"/>
      <c r="B45" s="296"/>
      <c r="C45" s="220" t="s">
        <v>1</v>
      </c>
      <c r="D45" s="220" t="s">
        <v>1</v>
      </c>
      <c r="E45" s="220" t="s">
        <v>1</v>
      </c>
      <c r="F45" s="48"/>
      <c r="G45" s="48"/>
      <c r="H45" s="216"/>
      <c r="I45" s="24"/>
      <c r="J45" s="24"/>
      <c r="K45" s="24"/>
      <c r="L45" s="24"/>
      <c r="M45" s="24"/>
      <c r="N45" s="24"/>
      <c r="O45" s="24"/>
      <c r="P45" s="24"/>
      <c r="Q45" s="24"/>
    </row>
    <row r="46" spans="1:50" x14ac:dyDescent="0.3">
      <c r="A46" s="24"/>
      <c r="B46" s="296"/>
      <c r="C46" s="48"/>
      <c r="D46" s="48"/>
      <c r="E46" s="48"/>
      <c r="F46" s="48"/>
      <c r="G46" s="48"/>
      <c r="H46" s="216"/>
      <c r="I46" s="24"/>
      <c r="J46" s="24"/>
      <c r="K46" s="24"/>
      <c r="L46" s="24"/>
      <c r="M46" s="24"/>
      <c r="N46" s="24"/>
      <c r="O46" s="24"/>
      <c r="P46" s="24"/>
      <c r="Q46" s="24"/>
    </row>
    <row r="47" spans="1:50" x14ac:dyDescent="0.3">
      <c r="A47" s="24"/>
      <c r="B47" s="296"/>
      <c r="C47" s="30" t="s">
        <v>45</v>
      </c>
      <c r="D47" s="30" t="s">
        <v>45</v>
      </c>
      <c r="E47" s="30" t="s">
        <v>45</v>
      </c>
      <c r="F47" s="48"/>
      <c r="G47" s="48"/>
      <c r="H47" s="216"/>
      <c r="I47" s="24"/>
      <c r="J47" s="24"/>
      <c r="K47" s="24"/>
      <c r="L47" s="24"/>
      <c r="M47" s="24"/>
      <c r="N47" s="24"/>
      <c r="O47" s="24"/>
      <c r="P47" s="24"/>
      <c r="Q47" s="24"/>
    </row>
    <row r="48" spans="1:50" x14ac:dyDescent="0.3">
      <c r="A48" s="24"/>
      <c r="B48" s="296"/>
      <c r="C48" s="30" t="s">
        <v>47</v>
      </c>
      <c r="D48" s="30" t="s">
        <v>48</v>
      </c>
      <c r="E48" s="30" t="s">
        <v>49</v>
      </c>
      <c r="F48" s="48"/>
      <c r="G48" s="48"/>
      <c r="H48" s="216"/>
      <c r="I48" s="24"/>
      <c r="J48" s="24"/>
      <c r="K48" s="24"/>
      <c r="L48" s="24"/>
      <c r="M48" s="24"/>
      <c r="N48" s="24"/>
      <c r="O48" s="24"/>
      <c r="P48" s="24"/>
      <c r="Q48" s="24"/>
    </row>
    <row r="49" spans="1:17" x14ac:dyDescent="0.3">
      <c r="A49" s="24"/>
      <c r="B49" s="296"/>
      <c r="C49" s="30" t="s">
        <v>50</v>
      </c>
      <c r="D49" s="30" t="s">
        <v>51</v>
      </c>
      <c r="E49" s="30" t="s">
        <v>51</v>
      </c>
      <c r="F49" s="48"/>
      <c r="G49" s="48"/>
      <c r="H49" s="216"/>
      <c r="I49" s="24"/>
      <c r="J49" s="24"/>
      <c r="K49" s="24"/>
      <c r="L49" s="24"/>
      <c r="M49" s="24"/>
      <c r="N49" s="24"/>
      <c r="O49" s="24"/>
      <c r="P49" s="24"/>
      <c r="Q49" s="24"/>
    </row>
    <row r="50" spans="1:17" ht="15.5" x14ac:dyDescent="0.4">
      <c r="A50" s="24"/>
      <c r="B50" s="296"/>
      <c r="C50" s="50" t="s">
        <v>55</v>
      </c>
      <c r="D50" s="30" t="s">
        <v>56</v>
      </c>
      <c r="E50" s="50" t="s">
        <v>57</v>
      </c>
      <c r="F50" s="48"/>
      <c r="G50" s="48"/>
      <c r="H50" s="216"/>
      <c r="I50" s="24"/>
      <c r="J50" s="24"/>
      <c r="K50" s="24"/>
      <c r="L50" s="24"/>
      <c r="M50" s="24"/>
      <c r="N50" s="24"/>
      <c r="O50" s="24"/>
      <c r="P50" s="24"/>
      <c r="Q50" s="24"/>
    </row>
    <row r="51" spans="1:17" ht="15" thickBot="1" x14ac:dyDescent="0.35">
      <c r="A51" s="24"/>
      <c r="B51" s="296"/>
      <c r="C51" s="32" t="s">
        <v>61</v>
      </c>
      <c r="D51" s="32" t="s">
        <v>62</v>
      </c>
      <c r="E51" s="32" t="s">
        <v>63</v>
      </c>
      <c r="F51" s="48"/>
      <c r="G51" s="48"/>
      <c r="H51" s="216"/>
      <c r="I51" s="24"/>
      <c r="J51" s="24"/>
      <c r="K51" s="24"/>
      <c r="L51" s="24"/>
      <c r="M51" s="24"/>
      <c r="N51" s="24"/>
      <c r="O51" s="24"/>
      <c r="P51" s="24"/>
      <c r="Q51" s="24"/>
    </row>
    <row r="52" spans="1:17" ht="13.5" thickTop="1" x14ac:dyDescent="0.3">
      <c r="A52" s="24"/>
      <c r="B52" s="296"/>
      <c r="C52" s="48"/>
      <c r="D52" s="48"/>
      <c r="E52" s="48"/>
      <c r="F52" s="48"/>
      <c r="G52" s="48"/>
      <c r="H52" s="216"/>
      <c r="I52" s="24"/>
      <c r="J52" s="24"/>
      <c r="K52" s="24"/>
      <c r="L52" s="24"/>
      <c r="M52" s="24"/>
      <c r="N52" s="24"/>
      <c r="O52" s="24"/>
      <c r="P52" s="24"/>
      <c r="Q52" s="24"/>
    </row>
    <row r="53" spans="1:17" x14ac:dyDescent="0.3">
      <c r="A53" s="24"/>
      <c r="B53" s="296"/>
      <c r="C53" s="58">
        <v>1.5</v>
      </c>
      <c r="D53" s="63">
        <v>0.43</v>
      </c>
      <c r="E53" s="63">
        <v>0.06</v>
      </c>
      <c r="F53" s="48"/>
      <c r="G53" s="48"/>
      <c r="H53" s="216"/>
      <c r="I53" s="24"/>
      <c r="J53" s="24"/>
      <c r="K53" s="24"/>
      <c r="L53" s="24"/>
      <c r="M53" s="24"/>
      <c r="N53" s="24"/>
      <c r="O53" s="24"/>
      <c r="P53" s="24"/>
      <c r="Q53" s="24"/>
    </row>
    <row r="54" spans="1:17" x14ac:dyDescent="0.3">
      <c r="A54" s="24"/>
      <c r="B54" s="215"/>
      <c r="C54" s="33"/>
      <c r="D54" s="30"/>
      <c r="E54" s="30"/>
      <c r="F54" s="48"/>
      <c r="G54" s="48"/>
      <c r="H54" s="216"/>
      <c r="I54" s="24"/>
      <c r="J54" s="24"/>
      <c r="K54" s="24"/>
      <c r="L54" s="24"/>
      <c r="M54" s="24"/>
      <c r="N54" s="24"/>
      <c r="O54" s="24"/>
      <c r="P54" s="24"/>
      <c r="Q54" s="24"/>
    </row>
    <row r="55" spans="1:17" x14ac:dyDescent="0.3">
      <c r="A55" s="209" t="s">
        <v>208</v>
      </c>
      <c r="B55" s="295" t="s">
        <v>359</v>
      </c>
      <c r="C55" s="30"/>
      <c r="D55" s="30"/>
      <c r="E55" s="48"/>
      <c r="F55" s="48"/>
      <c r="G55" s="48"/>
      <c r="H55" s="216"/>
      <c r="I55" s="24"/>
      <c r="J55" s="24"/>
      <c r="K55" s="24"/>
      <c r="L55" s="24"/>
      <c r="M55" s="24"/>
      <c r="N55" s="24"/>
      <c r="O55" s="24"/>
      <c r="P55" s="24"/>
      <c r="Q55" s="24"/>
    </row>
    <row r="56" spans="1:17" x14ac:dyDescent="0.3">
      <c r="A56" s="210" t="s">
        <v>209</v>
      </c>
      <c r="B56" s="296"/>
      <c r="C56" s="30"/>
      <c r="D56" s="30"/>
      <c r="E56" s="48"/>
      <c r="F56" s="48"/>
      <c r="G56" s="48"/>
      <c r="H56" s="216"/>
      <c r="I56" s="24"/>
      <c r="J56" s="24"/>
      <c r="K56" s="24"/>
      <c r="L56" s="24"/>
      <c r="M56" s="24"/>
      <c r="N56" s="24"/>
      <c r="O56" s="24"/>
      <c r="P56" s="24"/>
      <c r="Q56" s="24"/>
    </row>
    <row r="57" spans="1:17" x14ac:dyDescent="0.3">
      <c r="A57" s="24"/>
      <c r="B57" s="296"/>
      <c r="C57" s="220" t="s">
        <v>1</v>
      </c>
      <c r="D57" s="220" t="s">
        <v>1</v>
      </c>
      <c r="E57" s="220" t="s">
        <v>1</v>
      </c>
      <c r="F57" s="48"/>
      <c r="G57" s="48"/>
      <c r="H57" s="216"/>
      <c r="I57" s="24"/>
      <c r="J57" s="24"/>
      <c r="K57" s="24"/>
      <c r="L57" s="24"/>
      <c r="M57" s="24"/>
      <c r="N57" s="24"/>
      <c r="O57" s="24"/>
      <c r="P57" s="24"/>
      <c r="Q57" s="24"/>
    </row>
    <row r="58" spans="1:17" x14ac:dyDescent="0.3">
      <c r="A58" s="24"/>
      <c r="B58" s="296"/>
      <c r="C58" s="48"/>
      <c r="D58" s="48"/>
      <c r="E58" s="48"/>
      <c r="F58" s="48"/>
      <c r="G58" s="48"/>
      <c r="H58" s="216"/>
      <c r="I58" s="24"/>
      <c r="J58" s="24"/>
      <c r="K58" s="24"/>
      <c r="L58" s="24"/>
      <c r="M58" s="24"/>
      <c r="N58" s="24"/>
      <c r="O58" s="24"/>
      <c r="P58" s="24"/>
      <c r="Q58" s="24"/>
    </row>
    <row r="59" spans="1:17" x14ac:dyDescent="0.3">
      <c r="A59" s="24"/>
      <c r="B59" s="296"/>
      <c r="C59" s="30" t="s">
        <v>46</v>
      </c>
      <c r="D59" s="30" t="s">
        <v>46</v>
      </c>
      <c r="E59" s="30" t="s">
        <v>46</v>
      </c>
      <c r="F59" s="48"/>
      <c r="G59" s="48"/>
      <c r="H59" s="216"/>
      <c r="I59" s="24"/>
      <c r="J59" s="24"/>
      <c r="K59" s="24"/>
      <c r="L59" s="24"/>
      <c r="M59" s="24"/>
      <c r="N59" s="24"/>
      <c r="O59" s="24"/>
      <c r="P59" s="24"/>
      <c r="Q59" s="24"/>
    </row>
    <row r="60" spans="1:17" x14ac:dyDescent="0.3">
      <c r="A60" s="24"/>
      <c r="B60" s="296"/>
      <c r="C60" s="30" t="s">
        <v>47</v>
      </c>
      <c r="D60" s="30" t="s">
        <v>48</v>
      </c>
      <c r="E60" s="30" t="s">
        <v>49</v>
      </c>
      <c r="F60" s="48"/>
      <c r="G60" s="48"/>
      <c r="H60" s="216"/>
      <c r="I60" s="24"/>
      <c r="J60" s="24"/>
      <c r="K60" s="24"/>
      <c r="L60" s="24"/>
      <c r="M60" s="24"/>
      <c r="N60" s="24"/>
      <c r="O60" s="24"/>
      <c r="P60" s="24"/>
      <c r="Q60" s="24"/>
    </row>
    <row r="61" spans="1:17" x14ac:dyDescent="0.3">
      <c r="A61" s="24"/>
      <c r="B61" s="296"/>
      <c r="C61" s="30" t="s">
        <v>50</v>
      </c>
      <c r="D61" s="30" t="s">
        <v>51</v>
      </c>
      <c r="E61" s="30" t="s">
        <v>51</v>
      </c>
      <c r="F61" s="48"/>
      <c r="G61" s="48"/>
      <c r="H61" s="216"/>
      <c r="I61" s="24"/>
      <c r="J61" s="24"/>
      <c r="K61" s="24"/>
      <c r="L61" s="24"/>
      <c r="M61" s="24"/>
      <c r="N61" s="24"/>
      <c r="O61" s="24"/>
      <c r="P61" s="24"/>
      <c r="Q61" s="24"/>
    </row>
    <row r="62" spans="1:17" ht="15.5" x14ac:dyDescent="0.4">
      <c r="A62" s="24"/>
      <c r="B62" s="296"/>
      <c r="C62" s="50" t="s">
        <v>58</v>
      </c>
      <c r="D62" s="30" t="s">
        <v>59</v>
      </c>
      <c r="E62" s="50" t="s">
        <v>60</v>
      </c>
      <c r="F62" s="48"/>
      <c r="G62" s="48"/>
      <c r="H62" s="216"/>
      <c r="I62" s="24"/>
      <c r="J62" s="24"/>
      <c r="K62" s="24"/>
      <c r="L62" s="24"/>
      <c r="M62" s="24"/>
      <c r="N62" s="24"/>
      <c r="O62" s="24"/>
      <c r="P62" s="24"/>
      <c r="Q62" s="24"/>
    </row>
    <row r="63" spans="1:17" ht="15" thickBot="1" x14ac:dyDescent="0.35">
      <c r="A63" s="24"/>
      <c r="B63" s="296"/>
      <c r="C63" s="32" t="s">
        <v>61</v>
      </c>
      <c r="D63" s="32" t="s">
        <v>62</v>
      </c>
      <c r="E63" s="32" t="s">
        <v>63</v>
      </c>
      <c r="F63" s="48"/>
      <c r="G63" s="48"/>
      <c r="H63" s="216"/>
      <c r="I63" s="24"/>
      <c r="J63" s="24"/>
      <c r="K63" s="24"/>
      <c r="L63" s="24"/>
      <c r="M63" s="24"/>
      <c r="N63" s="24"/>
      <c r="O63" s="24"/>
      <c r="P63" s="24"/>
      <c r="Q63" s="24"/>
    </row>
    <row r="64" spans="1:17" ht="13.5" thickTop="1" x14ac:dyDescent="0.3">
      <c r="A64" s="24"/>
      <c r="B64" s="296"/>
      <c r="C64" s="48"/>
      <c r="D64" s="48"/>
      <c r="E64" s="48"/>
      <c r="F64" s="48"/>
      <c r="G64" s="48"/>
      <c r="H64" s="216"/>
      <c r="I64" s="24"/>
      <c r="J64" s="24"/>
      <c r="K64" s="24"/>
      <c r="L64" s="24"/>
      <c r="M64" s="24"/>
      <c r="N64" s="24"/>
      <c r="O64" s="24"/>
      <c r="P64" s="24"/>
      <c r="Q64" s="24"/>
    </row>
    <row r="65" spans="1:17" x14ac:dyDescent="0.3">
      <c r="A65" s="24"/>
      <c r="B65" s="296"/>
      <c r="C65" s="58">
        <v>1.5</v>
      </c>
      <c r="D65" s="63">
        <v>0.43</v>
      </c>
      <c r="E65" s="63">
        <v>0.06</v>
      </c>
      <c r="F65" s="48"/>
      <c r="G65" s="48"/>
      <c r="H65" s="216"/>
      <c r="I65" s="24"/>
      <c r="J65" s="24"/>
      <c r="K65" s="24"/>
      <c r="L65" s="24"/>
      <c r="M65" s="24"/>
      <c r="N65" s="24"/>
      <c r="O65" s="24"/>
      <c r="P65" s="24"/>
      <c r="Q65" s="24"/>
    </row>
    <row r="66" spans="1:17" x14ac:dyDescent="0.3">
      <c r="A66" s="24"/>
      <c r="B66" s="224"/>
      <c r="C66" s="30"/>
      <c r="D66" s="30"/>
      <c r="E66" s="48"/>
      <c r="F66" s="48"/>
      <c r="G66" s="48"/>
      <c r="H66" s="216"/>
      <c r="I66" s="24"/>
      <c r="J66" s="24"/>
      <c r="K66" s="24"/>
      <c r="L66" s="24"/>
      <c r="M66" s="24"/>
      <c r="N66" s="24"/>
      <c r="O66" s="24"/>
      <c r="P66" s="24"/>
      <c r="Q66" s="24"/>
    </row>
    <row r="67" spans="1:17" x14ac:dyDescent="0.3">
      <c r="A67" s="24"/>
      <c r="B67" s="224"/>
      <c r="C67" s="30"/>
      <c r="D67" s="30"/>
      <c r="E67" s="48"/>
      <c r="F67" s="48"/>
      <c r="G67" s="48"/>
      <c r="H67" s="216"/>
      <c r="I67" s="24"/>
      <c r="J67" s="24"/>
      <c r="K67" s="24"/>
      <c r="L67" s="24"/>
      <c r="M67" s="24"/>
      <c r="N67" s="24"/>
      <c r="O67" s="24"/>
      <c r="P67" s="24"/>
      <c r="Q67" s="24"/>
    </row>
    <row r="68" spans="1:17" ht="15.5" x14ac:dyDescent="0.3">
      <c r="A68" s="24"/>
      <c r="B68" s="238" t="s">
        <v>360</v>
      </c>
      <c r="C68" s="30"/>
      <c r="D68" s="30"/>
      <c r="E68" s="48"/>
      <c r="F68" s="48"/>
      <c r="G68" s="48"/>
      <c r="H68" s="216"/>
      <c r="I68" s="24"/>
      <c r="J68" s="24"/>
      <c r="K68" s="24"/>
      <c r="L68" s="24"/>
      <c r="M68" s="24"/>
      <c r="N68" s="24"/>
      <c r="O68" s="24"/>
      <c r="P68" s="24"/>
      <c r="Q68" s="24"/>
    </row>
    <row r="69" spans="1:17" x14ac:dyDescent="0.3">
      <c r="A69" s="24"/>
      <c r="B69" s="224"/>
      <c r="C69" s="30"/>
      <c r="D69" s="30"/>
      <c r="E69" s="48"/>
      <c r="F69" s="48"/>
      <c r="G69" s="48"/>
      <c r="H69" s="216"/>
      <c r="I69" s="24"/>
      <c r="J69" s="24"/>
      <c r="K69" s="24"/>
      <c r="L69" s="24"/>
      <c r="M69" s="24"/>
      <c r="N69" s="24"/>
      <c r="O69" s="24"/>
      <c r="P69" s="24"/>
      <c r="Q69" s="24"/>
    </row>
    <row r="70" spans="1:17" x14ac:dyDescent="0.3">
      <c r="A70" s="24"/>
      <c r="B70" s="219" t="s">
        <v>1</v>
      </c>
      <c r="C70" s="220" t="s">
        <v>1</v>
      </c>
      <c r="D70" s="220" t="s">
        <v>1</v>
      </c>
      <c r="E70" s="220" t="s">
        <v>1</v>
      </c>
      <c r="F70" s="220" t="s">
        <v>1</v>
      </c>
      <c r="G70" s="220" t="s">
        <v>1</v>
      </c>
      <c r="H70" s="233" t="s">
        <v>1</v>
      </c>
      <c r="I70" s="24"/>
      <c r="J70" s="24"/>
      <c r="K70" s="24"/>
      <c r="L70" s="24"/>
      <c r="M70" s="24"/>
      <c r="N70" s="24"/>
      <c r="O70" s="24"/>
      <c r="P70" s="24"/>
      <c r="Q70" s="24"/>
    </row>
    <row r="71" spans="1:17" x14ac:dyDescent="0.3">
      <c r="A71" s="209" t="s">
        <v>208</v>
      </c>
      <c r="B71" s="239" t="s">
        <v>64</v>
      </c>
      <c r="C71" s="30"/>
      <c r="D71" s="30" t="s">
        <v>64</v>
      </c>
      <c r="E71" s="30" t="s">
        <v>64</v>
      </c>
      <c r="F71" s="30"/>
      <c r="G71" s="31"/>
      <c r="H71" s="234"/>
      <c r="I71" s="24"/>
      <c r="J71" s="24"/>
      <c r="K71" s="24"/>
      <c r="L71" s="24"/>
      <c r="M71" s="24"/>
      <c r="N71" s="24"/>
      <c r="O71" s="24"/>
      <c r="P71" s="24"/>
      <c r="Q71" s="24"/>
    </row>
    <row r="72" spans="1:17" x14ac:dyDescent="0.3">
      <c r="A72" s="210" t="s">
        <v>209</v>
      </c>
      <c r="B72" s="239" t="s">
        <v>65</v>
      </c>
      <c r="C72" s="30" t="s">
        <v>66</v>
      </c>
      <c r="D72" s="30" t="s">
        <v>65</v>
      </c>
      <c r="E72" s="30" t="s">
        <v>65</v>
      </c>
      <c r="F72" s="30" t="s">
        <v>64</v>
      </c>
      <c r="G72" s="31" t="s">
        <v>67</v>
      </c>
      <c r="H72" s="234" t="s">
        <v>68</v>
      </c>
      <c r="I72" s="24"/>
      <c r="J72" s="24"/>
      <c r="K72" s="24"/>
      <c r="L72" s="24"/>
      <c r="M72" s="24"/>
      <c r="N72" s="24"/>
      <c r="O72" s="24"/>
      <c r="P72" s="24"/>
      <c r="Q72" s="24"/>
    </row>
    <row r="73" spans="1:17" x14ac:dyDescent="0.3">
      <c r="A73" s="24"/>
      <c r="B73" s="239" t="s">
        <v>69</v>
      </c>
      <c r="C73" s="30" t="s">
        <v>70</v>
      </c>
      <c r="D73" s="30" t="s">
        <v>69</v>
      </c>
      <c r="E73" s="30" t="s">
        <v>69</v>
      </c>
      <c r="F73" s="30" t="s">
        <v>65</v>
      </c>
      <c r="G73" s="31" t="s">
        <v>71</v>
      </c>
      <c r="H73" s="234" t="s">
        <v>72</v>
      </c>
      <c r="I73" s="24"/>
      <c r="J73" s="24"/>
      <c r="K73" s="24"/>
      <c r="L73" s="24"/>
      <c r="M73" s="24"/>
      <c r="N73" s="24"/>
      <c r="O73" s="24"/>
      <c r="P73" s="24"/>
      <c r="Q73" s="24"/>
    </row>
    <row r="74" spans="1:17" x14ac:dyDescent="0.3">
      <c r="A74" s="24"/>
      <c r="B74" s="239" t="s">
        <v>73</v>
      </c>
      <c r="C74" s="30" t="s">
        <v>74</v>
      </c>
      <c r="D74" s="30" t="s">
        <v>75</v>
      </c>
      <c r="E74" s="30" t="s">
        <v>76</v>
      </c>
      <c r="F74" s="30" t="s">
        <v>77</v>
      </c>
      <c r="G74" s="31" t="s">
        <v>76</v>
      </c>
      <c r="H74" s="234" t="s">
        <v>78</v>
      </c>
      <c r="I74" s="24"/>
      <c r="J74" s="24"/>
      <c r="K74" s="24"/>
      <c r="L74" s="24"/>
      <c r="M74" s="24"/>
      <c r="N74" s="24"/>
      <c r="O74" s="24"/>
      <c r="P74" s="24"/>
      <c r="Q74" s="24"/>
    </row>
    <row r="75" spans="1:17" ht="15" x14ac:dyDescent="0.4">
      <c r="A75" s="24"/>
      <c r="B75" s="239" t="s">
        <v>79</v>
      </c>
      <c r="C75" s="50" t="s">
        <v>80</v>
      </c>
      <c r="D75" s="30" t="s">
        <v>81</v>
      </c>
      <c r="E75" s="30" t="s">
        <v>82</v>
      </c>
      <c r="F75" s="30" t="s">
        <v>83</v>
      </c>
      <c r="G75" s="31" t="s">
        <v>84</v>
      </c>
      <c r="H75" s="234" t="s">
        <v>85</v>
      </c>
      <c r="I75" s="24"/>
      <c r="J75" s="24"/>
      <c r="K75" s="24"/>
      <c r="L75" s="24"/>
      <c r="M75" s="24"/>
      <c r="N75" s="24"/>
      <c r="O75" s="24"/>
      <c r="P75" s="24"/>
      <c r="Q75" s="24"/>
    </row>
    <row r="76" spans="1:17" ht="15" thickBot="1" x14ac:dyDescent="0.35">
      <c r="A76" s="24"/>
      <c r="B76" s="240" t="s">
        <v>37</v>
      </c>
      <c r="C76" s="32" t="s">
        <v>86</v>
      </c>
      <c r="D76" s="32" t="s">
        <v>37</v>
      </c>
      <c r="E76" s="32" t="s">
        <v>37</v>
      </c>
      <c r="F76" s="32" t="s">
        <v>37</v>
      </c>
      <c r="G76" s="55" t="s">
        <v>37</v>
      </c>
      <c r="H76" s="236" t="s">
        <v>87</v>
      </c>
      <c r="I76" s="24"/>
      <c r="J76" s="24"/>
      <c r="K76" s="24"/>
      <c r="L76" s="24"/>
      <c r="M76" s="24"/>
      <c r="N76" s="24"/>
      <c r="O76" s="24"/>
      <c r="P76" s="24"/>
      <c r="Q76" s="24"/>
    </row>
    <row r="77" spans="1:17" ht="13.5" thickTop="1" x14ac:dyDescent="0.3">
      <c r="A77" s="24"/>
      <c r="B77" s="215"/>
      <c r="C77" s="48"/>
      <c r="D77" s="48"/>
      <c r="E77" s="48"/>
      <c r="F77" s="48"/>
      <c r="G77" s="48"/>
      <c r="H77" s="216"/>
      <c r="I77" s="24"/>
      <c r="J77" s="24"/>
      <c r="K77" s="24"/>
      <c r="L77" s="24"/>
      <c r="M77" s="24"/>
      <c r="N77" s="24"/>
      <c r="O77" s="24"/>
      <c r="P77" s="24"/>
      <c r="Q77" s="24"/>
    </row>
    <row r="78" spans="1:17" ht="13.5" thickBot="1" x14ac:dyDescent="0.35">
      <c r="A78" s="24"/>
      <c r="B78" s="262">
        <v>15</v>
      </c>
      <c r="C78" s="263">
        <v>40</v>
      </c>
      <c r="D78" s="263">
        <v>961</v>
      </c>
      <c r="E78" s="263">
        <v>961</v>
      </c>
      <c r="F78" s="263">
        <v>488</v>
      </c>
      <c r="G78" s="264">
        <v>0.1</v>
      </c>
      <c r="H78" s="265">
        <v>0.45</v>
      </c>
      <c r="I78" s="24"/>
      <c r="J78" s="24"/>
      <c r="K78" s="24"/>
      <c r="L78" s="24"/>
      <c r="M78" s="24"/>
      <c r="N78" s="24"/>
      <c r="O78" s="24"/>
      <c r="P78" s="24"/>
      <c r="Q78" s="24"/>
    </row>
    <row r="79" spans="1:17" ht="13.5" thickTop="1" x14ac:dyDescent="0.3">
      <c r="A79" s="24"/>
      <c r="B79" s="24"/>
      <c r="C79" s="24"/>
      <c r="D79" s="24"/>
      <c r="E79" s="24"/>
      <c r="F79" s="24"/>
      <c r="G79" s="24"/>
      <c r="H79" s="24"/>
      <c r="I79" s="24"/>
      <c r="J79" s="24"/>
      <c r="K79" s="24"/>
      <c r="L79" s="24"/>
      <c r="M79" s="24"/>
      <c r="N79" s="24"/>
      <c r="O79" s="24"/>
      <c r="P79" s="24"/>
      <c r="Q79" s="24"/>
    </row>
    <row r="80" spans="1:17" x14ac:dyDescent="0.3">
      <c r="A80" s="29" t="s">
        <v>210</v>
      </c>
      <c r="B80" s="24"/>
      <c r="C80" s="24"/>
      <c r="D80" s="24"/>
      <c r="E80" s="24"/>
      <c r="F80" s="28"/>
      <c r="G80" s="28"/>
      <c r="H80" s="24"/>
      <c r="I80" s="24"/>
      <c r="J80" s="24"/>
      <c r="K80" s="24"/>
      <c r="L80" s="24"/>
      <c r="M80" s="24"/>
      <c r="N80" s="24"/>
      <c r="O80" s="24"/>
      <c r="P80" s="24"/>
      <c r="Q80" s="24"/>
    </row>
    <row r="81" spans="1:17" x14ac:dyDescent="0.3">
      <c r="A81" s="24"/>
      <c r="B81" s="24"/>
      <c r="C81" s="24"/>
      <c r="D81" s="24"/>
      <c r="E81" s="24"/>
      <c r="F81" s="24"/>
      <c r="G81" s="24"/>
      <c r="H81" s="24"/>
      <c r="I81" s="24"/>
      <c r="J81" s="24"/>
      <c r="K81" s="24"/>
      <c r="L81" s="24"/>
      <c r="M81" s="24"/>
      <c r="N81" s="24"/>
      <c r="O81" s="24"/>
      <c r="P81" s="24"/>
      <c r="Q81" s="24"/>
    </row>
    <row r="82" spans="1:17" x14ac:dyDescent="0.3">
      <c r="A82" s="24"/>
      <c r="B82" s="24"/>
      <c r="C82" s="24"/>
      <c r="D82" s="24"/>
      <c r="E82" s="24"/>
      <c r="F82" s="24"/>
      <c r="G82" s="24"/>
      <c r="H82" s="24"/>
      <c r="I82" s="24"/>
      <c r="J82" s="24"/>
      <c r="K82" s="24"/>
      <c r="L82" s="24"/>
      <c r="M82" s="24"/>
      <c r="N82" s="24"/>
      <c r="O82" s="24"/>
      <c r="P82" s="24"/>
      <c r="Q82" s="24"/>
    </row>
    <row r="83" spans="1:17" x14ac:dyDescent="0.3">
      <c r="A83" s="24"/>
      <c r="B83" s="24"/>
      <c r="C83" s="24"/>
      <c r="D83" s="24"/>
      <c r="E83" s="24"/>
      <c r="F83" s="24"/>
      <c r="G83" s="24"/>
      <c r="H83" s="24"/>
      <c r="I83" s="24"/>
      <c r="J83" s="24"/>
      <c r="K83" s="24"/>
      <c r="L83" s="24"/>
      <c r="M83" s="24"/>
      <c r="N83" s="24"/>
      <c r="O83" s="24"/>
      <c r="P83" s="24"/>
      <c r="Q83" s="24"/>
    </row>
    <row r="84" spans="1:17" x14ac:dyDescent="0.3">
      <c r="A84" s="24"/>
      <c r="B84" s="24"/>
      <c r="C84" s="24"/>
      <c r="D84" s="24"/>
      <c r="E84" s="24"/>
      <c r="F84" s="24"/>
      <c r="G84" s="24"/>
      <c r="H84" s="24"/>
      <c r="I84" s="24"/>
      <c r="J84" s="24"/>
      <c r="K84" s="24"/>
      <c r="L84" s="24"/>
      <c r="M84" s="24"/>
      <c r="N84" s="24"/>
      <c r="O84" s="24"/>
      <c r="P84" s="24"/>
      <c r="Q84" s="24"/>
    </row>
    <row r="85" spans="1:17" x14ac:dyDescent="0.3">
      <c r="A85" s="24"/>
      <c r="B85" s="24"/>
      <c r="C85" s="24"/>
      <c r="D85" s="24"/>
      <c r="E85" s="24"/>
      <c r="F85" s="24"/>
      <c r="G85" s="24"/>
      <c r="H85" s="24"/>
      <c r="I85" s="24"/>
      <c r="J85" s="24"/>
      <c r="K85" s="24"/>
      <c r="L85" s="24"/>
      <c r="M85" s="24"/>
      <c r="N85" s="24"/>
      <c r="O85" s="24"/>
      <c r="P85" s="24"/>
      <c r="Q85" s="24"/>
    </row>
    <row r="86" spans="1:17" x14ac:dyDescent="0.3">
      <c r="A86" s="24"/>
      <c r="B86" s="24"/>
      <c r="C86" s="24"/>
      <c r="D86" s="24"/>
      <c r="E86" s="24"/>
      <c r="F86" s="24"/>
      <c r="G86" s="24"/>
      <c r="H86" s="24"/>
      <c r="I86" s="24"/>
      <c r="J86" s="24"/>
      <c r="K86" s="24"/>
      <c r="L86" s="24"/>
      <c r="M86" s="24"/>
      <c r="N86" s="24"/>
      <c r="O86" s="24"/>
      <c r="P86" s="24"/>
      <c r="Q86" s="24"/>
    </row>
    <row r="87" spans="1:17" x14ac:dyDescent="0.3">
      <c r="A87" s="24"/>
      <c r="B87" s="24"/>
      <c r="C87" s="24"/>
      <c r="D87" s="24"/>
      <c r="E87" s="24"/>
      <c r="F87" s="24"/>
      <c r="G87" s="24"/>
      <c r="H87" s="24"/>
      <c r="I87" s="24"/>
      <c r="J87" s="24"/>
      <c r="K87" s="24"/>
      <c r="L87" s="24"/>
      <c r="M87" s="24"/>
      <c r="N87" s="24"/>
      <c r="O87" s="24"/>
      <c r="P87" s="24"/>
      <c r="Q87" s="24"/>
    </row>
    <row r="88" spans="1:17" x14ac:dyDescent="0.3">
      <c r="A88" s="24"/>
      <c r="B88" s="24"/>
      <c r="C88" s="24"/>
      <c r="D88" s="24"/>
      <c r="E88" s="24"/>
      <c r="F88" s="24"/>
      <c r="G88" s="24"/>
      <c r="H88" s="24"/>
      <c r="I88" s="24"/>
      <c r="J88" s="24"/>
      <c r="K88" s="24"/>
      <c r="L88" s="24"/>
      <c r="M88" s="24"/>
      <c r="N88" s="24"/>
      <c r="O88" s="24"/>
      <c r="P88" s="24"/>
      <c r="Q88" s="24"/>
    </row>
    <row r="89" spans="1:17" x14ac:dyDescent="0.3">
      <c r="A89" s="24"/>
      <c r="B89" s="24"/>
      <c r="C89" s="24"/>
      <c r="D89" s="24"/>
      <c r="E89" s="24"/>
      <c r="F89" s="24"/>
      <c r="G89" s="24"/>
      <c r="H89" s="24"/>
      <c r="I89" s="24"/>
      <c r="J89" s="24"/>
      <c r="K89" s="24"/>
      <c r="L89" s="24"/>
      <c r="M89" s="24"/>
      <c r="N89" s="24"/>
      <c r="O89" s="24"/>
      <c r="P89" s="24"/>
      <c r="Q89" s="24"/>
    </row>
    <row r="90" spans="1:17" x14ac:dyDescent="0.3">
      <c r="A90" s="24"/>
      <c r="B90" s="24"/>
      <c r="C90" s="24"/>
      <c r="D90" s="24"/>
      <c r="E90" s="24"/>
      <c r="F90" s="24"/>
      <c r="G90" s="24"/>
      <c r="H90" s="24"/>
      <c r="I90" s="24"/>
      <c r="J90" s="24"/>
      <c r="K90" s="24"/>
      <c r="L90" s="24"/>
      <c r="M90" s="24"/>
      <c r="N90" s="24"/>
      <c r="O90" s="24"/>
      <c r="P90" s="24"/>
      <c r="Q90" s="24"/>
    </row>
    <row r="91" spans="1:17" x14ac:dyDescent="0.3">
      <c r="A91" s="24"/>
      <c r="B91" s="24"/>
      <c r="C91" s="24"/>
      <c r="D91" s="24"/>
      <c r="E91" s="24"/>
      <c r="F91" s="24"/>
      <c r="G91" s="24"/>
      <c r="H91" s="24"/>
      <c r="I91" s="24"/>
      <c r="J91" s="24"/>
      <c r="K91" s="24"/>
      <c r="L91" s="24"/>
      <c r="M91" s="24"/>
      <c r="N91" s="24"/>
      <c r="O91" s="24"/>
      <c r="P91" s="24"/>
      <c r="Q91" s="24"/>
    </row>
    <row r="92" spans="1:17" x14ac:dyDescent="0.3">
      <c r="A92" s="24"/>
      <c r="B92" s="24"/>
      <c r="C92" s="24"/>
      <c r="D92" s="24"/>
      <c r="E92" s="24"/>
      <c r="F92" s="24"/>
      <c r="G92" s="24"/>
      <c r="H92" s="24"/>
      <c r="I92" s="24"/>
      <c r="J92" s="24"/>
      <c r="K92" s="24"/>
      <c r="L92" s="24"/>
      <c r="M92" s="24"/>
      <c r="N92" s="24"/>
      <c r="O92" s="24"/>
      <c r="P92" s="24"/>
      <c r="Q92" s="24"/>
    </row>
    <row r="93" spans="1:17" x14ac:dyDescent="0.3">
      <c r="A93" s="24"/>
      <c r="B93" s="24"/>
      <c r="C93" s="24"/>
      <c r="D93" s="24"/>
      <c r="E93" s="24"/>
      <c r="F93" s="24"/>
      <c r="G93" s="24"/>
      <c r="H93" s="24"/>
      <c r="I93" s="24"/>
      <c r="J93" s="24"/>
      <c r="K93" s="24"/>
      <c r="L93" s="24"/>
      <c r="M93" s="24"/>
      <c r="N93" s="24"/>
      <c r="O93" s="24"/>
      <c r="P93" s="24"/>
      <c r="Q93" s="24"/>
    </row>
    <row r="94" spans="1:17" x14ac:dyDescent="0.3">
      <c r="A94" s="24"/>
      <c r="B94" s="24"/>
      <c r="C94" s="24"/>
      <c r="D94" s="24"/>
      <c r="E94" s="24"/>
      <c r="F94" s="24"/>
      <c r="G94" s="24"/>
      <c r="H94" s="24"/>
      <c r="I94" s="24"/>
      <c r="J94" s="24"/>
      <c r="K94" s="24"/>
      <c r="L94" s="24"/>
      <c r="M94" s="24"/>
      <c r="N94" s="24"/>
      <c r="O94" s="24"/>
      <c r="P94" s="24"/>
      <c r="Q94" s="24"/>
    </row>
    <row r="95" spans="1:17" x14ac:dyDescent="0.3">
      <c r="A95" s="24"/>
      <c r="B95" s="24"/>
      <c r="C95" s="24"/>
      <c r="D95" s="24"/>
      <c r="E95" s="24"/>
      <c r="F95" s="24"/>
      <c r="G95" s="24"/>
      <c r="H95" s="24"/>
      <c r="I95" s="24"/>
      <c r="J95" s="24"/>
      <c r="K95" s="24"/>
      <c r="L95" s="24"/>
      <c r="M95" s="24"/>
      <c r="N95" s="24"/>
      <c r="O95" s="24"/>
      <c r="P95" s="24"/>
      <c r="Q95" s="24"/>
    </row>
    <row r="96" spans="1:17" x14ac:dyDescent="0.3">
      <c r="A96" s="24"/>
      <c r="B96" s="24"/>
      <c r="C96" s="24"/>
      <c r="D96" s="24"/>
      <c r="E96" s="24"/>
      <c r="F96" s="24"/>
      <c r="G96" s="24"/>
      <c r="H96" s="24"/>
      <c r="I96" s="24"/>
      <c r="J96" s="24"/>
      <c r="K96" s="24"/>
      <c r="L96" s="24"/>
      <c r="M96" s="24"/>
      <c r="N96" s="24"/>
      <c r="O96" s="24"/>
      <c r="P96" s="24"/>
      <c r="Q96" s="24"/>
    </row>
    <row r="97" spans="1:17" x14ac:dyDescent="0.3">
      <c r="A97" s="24"/>
      <c r="B97" s="24"/>
      <c r="C97" s="24"/>
      <c r="D97" s="24"/>
      <c r="E97" s="24"/>
      <c r="F97" s="24"/>
      <c r="G97" s="24"/>
      <c r="H97" s="24"/>
      <c r="I97" s="24"/>
      <c r="J97" s="24"/>
      <c r="K97" s="24"/>
      <c r="L97" s="24"/>
      <c r="M97" s="24"/>
      <c r="N97" s="24"/>
      <c r="O97" s="24"/>
      <c r="P97" s="24"/>
      <c r="Q97" s="24"/>
    </row>
    <row r="98" spans="1:17" x14ac:dyDescent="0.3">
      <c r="A98" s="24"/>
      <c r="B98" s="24"/>
      <c r="C98" s="24"/>
      <c r="D98" s="24"/>
      <c r="E98" s="24"/>
      <c r="F98" s="24"/>
      <c r="G98" s="24"/>
      <c r="H98" s="24"/>
      <c r="I98" s="24"/>
      <c r="J98" s="24"/>
      <c r="K98" s="24"/>
      <c r="L98" s="24"/>
      <c r="M98" s="24"/>
      <c r="N98" s="24"/>
      <c r="O98" s="24"/>
      <c r="P98" s="24"/>
      <c r="Q98" s="24"/>
    </row>
  </sheetData>
  <sheetProtection sheet="1" objects="1" scenarios="1"/>
  <mergeCells count="3">
    <mergeCell ref="B43:B53"/>
    <mergeCell ref="B55:B65"/>
    <mergeCell ref="B30:B40"/>
  </mergeCells>
  <phoneticPr fontId="0" type="noConversion"/>
  <printOptions horizontalCentered="1" gridLinesSet="0"/>
  <pageMargins left="0.5" right="0.5" top="0.75" bottom="1" header="0.4" footer="0.4"/>
  <pageSetup paperSize="5" scale="82" orientation="portrait" horizontalDpi="1200" verticalDpi="1200" r:id="rId1"/>
  <headerFooter>
    <oddHeader>&amp;CMCP Numerical Standards Derivation</oddHeader>
    <oddFooter>&amp;L&amp;8MassDEP&amp;C&amp;8 2024&amp;R&amp;8Workbook: &amp;F
Sheet: &amp;A
Page &amp;P of &amp;N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50"/>
  <sheetViews>
    <sheetView zoomScaleNormal="100" workbookViewId="0">
      <selection activeCell="A3" sqref="A3"/>
    </sheetView>
  </sheetViews>
  <sheetFormatPr defaultRowHeight="12.5" x14ac:dyDescent="0.25"/>
  <cols>
    <col min="1" max="1" width="11.1796875" customWidth="1"/>
    <col min="2" max="2" width="12" bestFit="1" customWidth="1"/>
    <col min="3" max="3" width="9.90625" bestFit="1" customWidth="1"/>
    <col min="4" max="5" width="12.08984375" bestFit="1" customWidth="1"/>
    <col min="6" max="6" width="13.90625" bestFit="1" customWidth="1"/>
    <col min="7" max="7" width="9.08984375" customWidth="1"/>
    <col min="8" max="8" width="11.90625" bestFit="1" customWidth="1"/>
    <col min="9" max="9" width="9.90625" bestFit="1" customWidth="1"/>
    <col min="10" max="10" width="10.90625" bestFit="1" customWidth="1"/>
    <col min="11" max="11" width="6.1796875" bestFit="1" customWidth="1"/>
    <col min="12" max="13" width="8.6328125" bestFit="1" customWidth="1"/>
    <col min="14" max="14" width="3.54296875" customWidth="1"/>
  </cols>
  <sheetData>
    <row r="1" spans="1:20" ht="17.5" x14ac:dyDescent="0.35">
      <c r="A1" s="64" t="s">
        <v>334</v>
      </c>
      <c r="B1" s="9"/>
      <c r="C1" s="9"/>
      <c r="D1" s="9"/>
      <c r="E1" s="9"/>
      <c r="F1" s="9"/>
      <c r="G1" s="9"/>
      <c r="H1" s="9"/>
      <c r="I1" s="9"/>
      <c r="J1" s="9"/>
      <c r="K1" s="9"/>
      <c r="L1" s="9"/>
      <c r="M1" s="9"/>
      <c r="N1" s="9"/>
      <c r="O1" s="23"/>
      <c r="P1" s="23"/>
      <c r="Q1" s="23"/>
      <c r="R1" s="23"/>
      <c r="S1" s="23"/>
      <c r="T1" s="23"/>
    </row>
    <row r="2" spans="1:20" x14ac:dyDescent="0.25">
      <c r="A2" s="9" t="s">
        <v>335</v>
      </c>
      <c r="B2" s="9"/>
      <c r="C2" s="9"/>
      <c r="D2" s="9"/>
      <c r="E2" s="9"/>
      <c r="F2" s="9"/>
      <c r="G2" s="9"/>
      <c r="H2" s="9"/>
      <c r="I2" s="9"/>
      <c r="J2" s="9"/>
      <c r="K2" s="9"/>
      <c r="L2" s="9"/>
      <c r="M2" s="9"/>
      <c r="N2" s="9"/>
      <c r="O2" s="23"/>
      <c r="P2" s="23"/>
      <c r="Q2" s="23"/>
      <c r="R2" s="23"/>
      <c r="S2" s="23"/>
      <c r="T2" s="23"/>
    </row>
    <row r="3" spans="1:20" x14ac:dyDescent="0.25">
      <c r="A3" s="9"/>
      <c r="B3" s="9"/>
      <c r="C3" s="9"/>
      <c r="D3" s="9"/>
      <c r="E3" s="9"/>
      <c r="F3" s="9"/>
      <c r="G3" s="9"/>
      <c r="H3" s="9"/>
      <c r="I3" s="9"/>
      <c r="J3" s="9"/>
      <c r="K3" s="9"/>
      <c r="L3" s="9"/>
      <c r="M3" s="9"/>
      <c r="N3" s="9"/>
      <c r="O3" s="23"/>
      <c r="P3" s="23"/>
      <c r="Q3" s="23"/>
      <c r="R3" s="23"/>
      <c r="S3" s="23"/>
      <c r="T3" s="23"/>
    </row>
    <row r="4" spans="1:20" ht="13" x14ac:dyDescent="0.3">
      <c r="A4" s="9"/>
      <c r="B4" s="9"/>
      <c r="C4" s="9"/>
      <c r="D4" s="9"/>
      <c r="E4" s="30" t="s">
        <v>148</v>
      </c>
      <c r="F4" s="9"/>
      <c r="G4" s="9"/>
      <c r="H4" s="9"/>
      <c r="I4" s="30"/>
      <c r="J4" s="9"/>
      <c r="K4" s="65"/>
      <c r="L4" s="30"/>
      <c r="M4" s="9"/>
      <c r="N4" s="9"/>
      <c r="O4" s="23"/>
      <c r="P4" s="23"/>
      <c r="Q4" s="23"/>
      <c r="R4" s="23"/>
      <c r="S4" s="23"/>
      <c r="T4" s="23"/>
    </row>
    <row r="5" spans="1:20" ht="13" x14ac:dyDescent="0.3">
      <c r="A5" s="9" t="s">
        <v>337</v>
      </c>
      <c r="B5" s="31"/>
      <c r="C5" s="30" t="s">
        <v>115</v>
      </c>
      <c r="D5" s="30"/>
      <c r="E5" s="30" t="s">
        <v>149</v>
      </c>
      <c r="F5" s="65" t="s">
        <v>150</v>
      </c>
      <c r="G5" s="30" t="s">
        <v>151</v>
      </c>
      <c r="H5" s="66" t="s">
        <v>153</v>
      </c>
      <c r="I5" s="9"/>
      <c r="J5" s="9"/>
      <c r="K5" s="9"/>
      <c r="L5" s="65" t="s">
        <v>5</v>
      </c>
      <c r="M5" s="9"/>
      <c r="N5" s="9"/>
      <c r="O5" s="23"/>
      <c r="P5" s="23"/>
      <c r="Q5" s="23"/>
      <c r="R5" s="23"/>
      <c r="S5" s="23"/>
      <c r="T5" s="23"/>
    </row>
    <row r="6" spans="1:20" ht="13" x14ac:dyDescent="0.3">
      <c r="A6" s="9" t="s">
        <v>338</v>
      </c>
      <c r="B6" s="30" t="s">
        <v>116</v>
      </c>
      <c r="C6" s="30" t="s">
        <v>121</v>
      </c>
      <c r="D6" s="30" t="s">
        <v>155</v>
      </c>
      <c r="E6" s="30" t="s">
        <v>65</v>
      </c>
      <c r="F6" s="65" t="s">
        <v>156</v>
      </c>
      <c r="G6" s="30" t="s">
        <v>157</v>
      </c>
      <c r="H6" s="66" t="s">
        <v>159</v>
      </c>
      <c r="I6" s="30" t="s">
        <v>160</v>
      </c>
      <c r="J6" s="30" t="s">
        <v>180</v>
      </c>
      <c r="K6" s="9"/>
      <c r="L6" s="65" t="s">
        <v>181</v>
      </c>
      <c r="M6" s="9"/>
      <c r="N6" s="9"/>
      <c r="O6" s="23"/>
      <c r="P6" s="23"/>
      <c r="Q6" s="23"/>
      <c r="R6" s="23"/>
      <c r="S6" s="23"/>
      <c r="T6" s="23"/>
    </row>
    <row r="7" spans="1:20" ht="13" x14ac:dyDescent="0.3">
      <c r="A7" s="56" t="s">
        <v>208</v>
      </c>
      <c r="B7" s="30" t="s">
        <v>122</v>
      </c>
      <c r="C7" s="30" t="s">
        <v>129</v>
      </c>
      <c r="D7" s="30" t="s">
        <v>161</v>
      </c>
      <c r="E7" s="30" t="s">
        <v>162</v>
      </c>
      <c r="F7" s="65" t="s">
        <v>163</v>
      </c>
      <c r="G7" s="30" t="s">
        <v>162</v>
      </c>
      <c r="H7" s="65" t="s">
        <v>165</v>
      </c>
      <c r="I7" s="30" t="s">
        <v>167</v>
      </c>
      <c r="J7" s="30" t="s">
        <v>167</v>
      </c>
      <c r="K7" s="67" t="s">
        <v>151</v>
      </c>
      <c r="L7" s="65" t="s">
        <v>184</v>
      </c>
      <c r="M7" s="65" t="s">
        <v>148</v>
      </c>
      <c r="N7" s="9"/>
      <c r="O7" s="23"/>
      <c r="P7" s="23"/>
      <c r="Q7" s="23"/>
      <c r="R7" s="23"/>
      <c r="S7" s="23"/>
      <c r="T7" s="23"/>
    </row>
    <row r="8" spans="1:20" ht="13" x14ac:dyDescent="0.3">
      <c r="A8" s="57" t="s">
        <v>209</v>
      </c>
      <c r="B8" s="30" t="s">
        <v>130</v>
      </c>
      <c r="C8" s="30" t="s">
        <v>133</v>
      </c>
      <c r="D8" s="30" t="s">
        <v>78</v>
      </c>
      <c r="E8" s="30" t="s">
        <v>168</v>
      </c>
      <c r="F8" s="65" t="s">
        <v>169</v>
      </c>
      <c r="G8" s="30" t="s">
        <v>168</v>
      </c>
      <c r="H8" s="66" t="s">
        <v>20</v>
      </c>
      <c r="I8" s="30" t="s">
        <v>75</v>
      </c>
      <c r="J8" s="30" t="s">
        <v>75</v>
      </c>
      <c r="K8" s="67" t="s">
        <v>186</v>
      </c>
      <c r="L8" s="65" t="s">
        <v>187</v>
      </c>
      <c r="M8" s="65" t="s">
        <v>188</v>
      </c>
      <c r="N8" s="9"/>
      <c r="O8" s="23"/>
      <c r="P8" s="23"/>
      <c r="Q8" s="23"/>
      <c r="R8" s="23"/>
      <c r="S8" s="23"/>
      <c r="T8" s="23"/>
    </row>
    <row r="9" spans="1:20" ht="15" x14ac:dyDescent="0.4">
      <c r="A9" s="9"/>
      <c r="B9" s="30" t="s">
        <v>134</v>
      </c>
      <c r="C9" s="30" t="s">
        <v>146</v>
      </c>
      <c r="D9" s="30" t="s">
        <v>170</v>
      </c>
      <c r="E9" s="65" t="s">
        <v>171</v>
      </c>
      <c r="F9" s="68" t="s">
        <v>172</v>
      </c>
      <c r="G9" s="30" t="s">
        <v>173</v>
      </c>
      <c r="H9" s="50" t="s">
        <v>174</v>
      </c>
      <c r="I9" s="30" t="s">
        <v>175</v>
      </c>
      <c r="J9" s="30" t="s">
        <v>189</v>
      </c>
      <c r="K9" s="67" t="s">
        <v>190</v>
      </c>
      <c r="L9" s="65" t="s">
        <v>191</v>
      </c>
      <c r="M9" s="65" t="s">
        <v>192</v>
      </c>
      <c r="N9" s="9"/>
      <c r="O9" s="23"/>
      <c r="P9" s="23"/>
      <c r="Q9" s="23"/>
      <c r="R9" s="23"/>
      <c r="S9" s="23"/>
      <c r="T9" s="23"/>
    </row>
    <row r="10" spans="1:20" ht="15" thickBot="1" x14ac:dyDescent="0.35">
      <c r="A10" s="9"/>
      <c r="B10" s="69" t="s">
        <v>37</v>
      </c>
      <c r="C10" s="69" t="s">
        <v>37</v>
      </c>
      <c r="D10" s="69" t="s">
        <v>176</v>
      </c>
      <c r="E10" s="70" t="s">
        <v>40</v>
      </c>
      <c r="F10" s="70" t="s">
        <v>62</v>
      </c>
      <c r="G10" s="69" t="s">
        <v>37</v>
      </c>
      <c r="H10" s="70" t="s">
        <v>177</v>
      </c>
      <c r="I10" s="69" t="s">
        <v>37</v>
      </c>
      <c r="J10" s="69" t="s">
        <v>37</v>
      </c>
      <c r="K10" s="71" t="s">
        <v>37</v>
      </c>
      <c r="L10" s="70" t="s">
        <v>176</v>
      </c>
      <c r="M10" s="70" t="s">
        <v>40</v>
      </c>
      <c r="N10" s="9"/>
      <c r="O10" s="23"/>
      <c r="P10" s="23"/>
      <c r="Q10" s="23"/>
      <c r="R10" s="23"/>
      <c r="S10" s="23"/>
      <c r="T10" s="23"/>
    </row>
    <row r="11" spans="1:20" ht="13" x14ac:dyDescent="0.3">
      <c r="A11" s="9"/>
      <c r="B11" s="78">
        <f>IF(DATENTER!C14-DATENTER!B14&lt;=0,1,DATENTER!C14-DATENTER!B14)</f>
        <v>30</v>
      </c>
      <c r="C11" s="79">
        <f>(2*DATENTER!D78)+(2*DATENTER!E78)</f>
        <v>3844</v>
      </c>
      <c r="D11" s="80">
        <f>(DATENTER!D78*DATENTER!E78*DATENTER!F78*DATENTER!H78)*1/(60*60)</f>
        <v>56334.780999999995</v>
      </c>
      <c r="E11" s="80">
        <f>IF(DATENTER!B14&gt;DATENTER!B78,(DATENTER!D78*DATENTER!E78)+(2*(DATENTER!B14*DATENTER!D78))+(2*(DATENTER!B14*DATENTER!E78)),(DATENTER!D78*DATENTER!E78))</f>
        <v>1626973</v>
      </c>
      <c r="F11" s="80">
        <f>(2*(DATENTER!D78*DATENTER!G78)+2*(DATENTER!E78*DATENTER!G78))/E11</f>
        <v>2.3626698168930895E-4</v>
      </c>
      <c r="G11" s="78">
        <f>DATENTER!B14</f>
        <v>183</v>
      </c>
      <c r="H11" s="81">
        <f>0.00018*((DATENTER!D14+273.15)/298.15)^0.5</f>
        <v>1.7541364830806429E-4</v>
      </c>
      <c r="I11" s="78">
        <f>IF(DATENTER!C14-DATENTER!B14&lt;=0,1,DATENTER!C14-DATENTER!B14)</f>
        <v>30</v>
      </c>
      <c r="J11" s="78">
        <f>SiteCalcs!G11</f>
        <v>183</v>
      </c>
      <c r="K11" s="82">
        <f>SiteCalcs!F11*(SiteCalcs!E11/SiteCalcs!C11)</f>
        <v>0.10000000000000002</v>
      </c>
      <c r="L11" s="81">
        <f>(2*PI()*DATENTER!C78*SiteCalcs!F28*SiteCalcs!C11)/(SiteCalcs!H11*LN(2*SiteCalcs!G11/SiteCalcs!K11))</f>
        <v>65.724095622668372</v>
      </c>
      <c r="M11" s="80">
        <f>SiteCalcs!E11*SiteCalcs!F11</f>
        <v>384.40000000000003</v>
      </c>
      <c r="N11" s="9"/>
      <c r="O11" s="23"/>
      <c r="P11" s="23"/>
      <c r="Q11" s="23"/>
      <c r="R11" s="23"/>
      <c r="S11" s="23"/>
      <c r="T11" s="23"/>
    </row>
    <row r="12" spans="1:20" x14ac:dyDescent="0.25">
      <c r="A12" s="9"/>
      <c r="B12" s="9"/>
      <c r="C12" s="9"/>
      <c r="D12" s="9"/>
      <c r="E12" s="9"/>
      <c r="F12" s="9"/>
      <c r="G12" s="9"/>
      <c r="H12" s="9"/>
      <c r="I12" s="9"/>
      <c r="J12" s="9"/>
      <c r="K12" s="9"/>
      <c r="L12" s="9"/>
      <c r="M12" s="9"/>
      <c r="N12" s="9"/>
      <c r="O12" s="23"/>
      <c r="P12" s="23"/>
      <c r="Q12" s="23"/>
      <c r="R12" s="23"/>
      <c r="S12" s="23"/>
      <c r="T12" s="23"/>
    </row>
    <row r="13" spans="1:20" ht="13" x14ac:dyDescent="0.3">
      <c r="A13" s="9" t="s">
        <v>336</v>
      </c>
      <c r="B13" s="9"/>
      <c r="C13" s="30" t="s">
        <v>112</v>
      </c>
      <c r="D13" s="66" t="s">
        <v>113</v>
      </c>
      <c r="E13" s="30" t="s">
        <v>114</v>
      </c>
      <c r="F13" s="9"/>
      <c r="G13" s="9"/>
      <c r="H13" s="9"/>
      <c r="I13" s="9"/>
      <c r="J13" s="9"/>
      <c r="K13" s="9"/>
      <c r="L13" s="9"/>
      <c r="M13" s="9"/>
      <c r="N13" s="9"/>
      <c r="O13" s="23"/>
      <c r="P13" s="23"/>
      <c r="Q13" s="23"/>
      <c r="R13" s="23"/>
      <c r="S13" s="23"/>
      <c r="T13" s="23"/>
    </row>
    <row r="14" spans="1:20" ht="13" x14ac:dyDescent="0.3">
      <c r="A14" s="56" t="s">
        <v>208</v>
      </c>
      <c r="B14" s="54" t="s">
        <v>119</v>
      </c>
      <c r="C14" s="30" t="s">
        <v>120</v>
      </c>
      <c r="D14" s="66" t="s">
        <v>120</v>
      </c>
      <c r="E14" s="30" t="s">
        <v>120</v>
      </c>
      <c r="F14" s="9"/>
      <c r="G14" s="9"/>
      <c r="H14" s="9"/>
      <c r="I14" s="9"/>
      <c r="J14" s="9"/>
      <c r="K14" s="9"/>
      <c r="L14" s="9"/>
      <c r="M14" s="9"/>
      <c r="N14" s="9"/>
      <c r="O14" s="23"/>
      <c r="P14" s="23"/>
      <c r="Q14" s="23"/>
      <c r="R14" s="23"/>
      <c r="S14" s="23"/>
      <c r="T14" s="23"/>
    </row>
    <row r="15" spans="1:20" ht="13" x14ac:dyDescent="0.3">
      <c r="A15" s="57" t="s">
        <v>209</v>
      </c>
      <c r="B15" s="54" t="s">
        <v>128</v>
      </c>
      <c r="C15" s="30" t="s">
        <v>128</v>
      </c>
      <c r="D15" s="66" t="s">
        <v>128</v>
      </c>
      <c r="E15" s="30" t="s">
        <v>128</v>
      </c>
      <c r="F15" s="9"/>
      <c r="G15" s="9"/>
      <c r="H15" s="9"/>
      <c r="I15" s="9"/>
      <c r="J15" s="9"/>
      <c r="K15" s="9"/>
      <c r="L15" s="9"/>
      <c r="M15" s="9"/>
      <c r="N15" s="9"/>
      <c r="O15" s="23"/>
      <c r="P15" s="23"/>
      <c r="Q15" s="23"/>
      <c r="R15" s="23"/>
      <c r="S15" s="23"/>
      <c r="T15" s="23"/>
    </row>
    <row r="16" spans="1:20" ht="13" x14ac:dyDescent="0.3">
      <c r="A16" s="9"/>
      <c r="B16" s="54" t="s">
        <v>132</v>
      </c>
      <c r="C16" s="30" t="s">
        <v>132</v>
      </c>
      <c r="D16" s="30" t="s">
        <v>132</v>
      </c>
      <c r="E16" s="30" t="s">
        <v>132</v>
      </c>
      <c r="F16" s="9"/>
      <c r="G16" s="9"/>
      <c r="H16" s="9"/>
      <c r="I16" s="9"/>
      <c r="J16" s="9"/>
      <c r="K16" s="9"/>
      <c r="L16" s="9"/>
      <c r="M16" s="9"/>
      <c r="N16" s="9"/>
      <c r="O16" s="23"/>
      <c r="P16" s="23"/>
      <c r="Q16" s="23"/>
      <c r="R16" s="23"/>
      <c r="S16" s="23"/>
      <c r="T16" s="23"/>
    </row>
    <row r="17" spans="1:20" ht="15" x14ac:dyDescent="0.4">
      <c r="A17" s="9"/>
      <c r="B17" s="54" t="s">
        <v>142</v>
      </c>
      <c r="C17" s="30" t="s">
        <v>143</v>
      </c>
      <c r="D17" s="72" t="s">
        <v>144</v>
      </c>
      <c r="E17" s="50" t="s">
        <v>145</v>
      </c>
      <c r="F17" s="9"/>
      <c r="G17" s="9"/>
      <c r="H17" s="9"/>
      <c r="I17" s="9"/>
      <c r="J17" s="9"/>
      <c r="K17" s="9"/>
      <c r="L17" s="9"/>
      <c r="M17" s="9"/>
      <c r="N17" s="9"/>
      <c r="O17" s="23"/>
      <c r="P17" s="23"/>
      <c r="Q17" s="23"/>
      <c r="R17" s="23"/>
      <c r="S17" s="23"/>
      <c r="T17" s="23"/>
    </row>
    <row r="18" spans="1:20" ht="15" thickBot="1" x14ac:dyDescent="0.35">
      <c r="A18" s="9"/>
      <c r="B18" s="73" t="s">
        <v>37</v>
      </c>
      <c r="C18" s="69" t="s">
        <v>63</v>
      </c>
      <c r="D18" s="74" t="s">
        <v>63</v>
      </c>
      <c r="E18" s="69" t="s">
        <v>63</v>
      </c>
      <c r="F18" s="9"/>
      <c r="G18" s="9"/>
      <c r="H18" s="9"/>
      <c r="I18" s="9"/>
      <c r="J18" s="9"/>
      <c r="K18" s="9"/>
      <c r="L18" s="9"/>
      <c r="M18" s="9"/>
      <c r="N18" s="9"/>
      <c r="O18" s="23"/>
      <c r="P18" s="23"/>
      <c r="Q18" s="23"/>
      <c r="R18" s="23"/>
      <c r="S18" s="23"/>
      <c r="T18" s="23"/>
    </row>
    <row r="19" spans="1:20" ht="13" x14ac:dyDescent="0.3">
      <c r="A19" s="9"/>
      <c r="B19" s="83">
        <f>0.15/(VLOOKUP(DATENTER!F28,SoilProp!B3:I14,8)*0.2)</f>
        <v>17.045454545454543</v>
      </c>
      <c r="C19" s="84">
        <f>IF(DATENTER!E28="A",DATENTER!G41,IF(DATENTER!E28="B",DATENTER!D53,DATENTER!D65))</f>
        <v>0.43</v>
      </c>
      <c r="D19" s="85">
        <f>C19-E19</f>
        <v>0.17674188741255253</v>
      </c>
      <c r="E19" s="86">
        <f>VLOOKUP(DATENTER!F28,SoilProp!B3:I14,7)+((VLOOKUP(DATENTER!F28,SoilProp!B3:I14,6)-VLOOKUP(DATENTER!F28,SoilProp!B3:I14,7))/(2^VLOOKUP(DATENTER!F28,SoilProp!B3:I14,5)))</f>
        <v>0.25325811258744746</v>
      </c>
      <c r="F19" s="9"/>
      <c r="G19" s="9"/>
      <c r="H19" s="9"/>
      <c r="I19" s="9"/>
      <c r="J19" s="9"/>
      <c r="K19" s="9"/>
      <c r="L19" s="9"/>
      <c r="M19" s="9"/>
      <c r="N19" s="9"/>
      <c r="O19" s="23"/>
      <c r="P19" s="23"/>
      <c r="Q19" s="23"/>
      <c r="R19" s="23"/>
      <c r="S19" s="23"/>
      <c r="T19" s="23"/>
    </row>
    <row r="20" spans="1:20" x14ac:dyDescent="0.25">
      <c r="A20" s="9"/>
      <c r="B20" s="9"/>
      <c r="C20" s="9"/>
      <c r="D20" s="9"/>
      <c r="E20" s="9"/>
      <c r="F20" s="9"/>
      <c r="G20" s="9"/>
      <c r="H20" s="9"/>
      <c r="I20" s="9"/>
      <c r="J20" s="9"/>
      <c r="K20" s="9"/>
      <c r="L20" s="9"/>
      <c r="M20" s="9"/>
      <c r="N20" s="9"/>
      <c r="O20" s="23"/>
      <c r="P20" s="23"/>
      <c r="Q20" s="23"/>
      <c r="R20" s="23"/>
      <c r="S20" s="23"/>
      <c r="T20" s="23"/>
    </row>
    <row r="21" spans="1:20" x14ac:dyDescent="0.25">
      <c r="A21" s="9"/>
      <c r="B21" s="9"/>
      <c r="C21" s="9"/>
      <c r="D21" s="9"/>
      <c r="E21" s="9"/>
      <c r="F21" s="9"/>
      <c r="G21" s="9"/>
      <c r="H21" s="9"/>
      <c r="I21" s="9"/>
      <c r="J21" s="9"/>
      <c r="K21" s="9"/>
      <c r="L21" s="9"/>
      <c r="M21" s="9"/>
      <c r="N21" s="9"/>
      <c r="O21" s="23"/>
      <c r="P21" s="23"/>
      <c r="Q21" s="23"/>
      <c r="R21" s="23"/>
      <c r="S21" s="23"/>
      <c r="T21" s="23"/>
    </row>
    <row r="22" spans="1:20" ht="13" x14ac:dyDescent="0.3">
      <c r="A22" s="9" t="s">
        <v>4</v>
      </c>
      <c r="B22" s="66" t="s">
        <v>44</v>
      </c>
      <c r="C22" s="75" t="s">
        <v>44</v>
      </c>
      <c r="D22" s="75" t="s">
        <v>44</v>
      </c>
      <c r="E22" s="75" t="s">
        <v>44</v>
      </c>
      <c r="F22" s="75" t="s">
        <v>44</v>
      </c>
      <c r="G22" s="9"/>
      <c r="H22" s="66" t="s">
        <v>45</v>
      </c>
      <c r="I22" s="9"/>
      <c r="J22" s="66" t="s">
        <v>46</v>
      </c>
      <c r="K22" s="9"/>
      <c r="L22" s="9"/>
      <c r="M22" s="9"/>
      <c r="N22" s="9"/>
      <c r="O22" s="23"/>
      <c r="P22" s="23"/>
      <c r="Q22" s="23"/>
      <c r="R22" s="23"/>
      <c r="S22" s="23"/>
      <c r="T22" s="23"/>
    </row>
    <row r="23" spans="1:20" ht="13" x14ac:dyDescent="0.3">
      <c r="A23" s="9" t="s">
        <v>339</v>
      </c>
      <c r="B23" s="66" t="s">
        <v>117</v>
      </c>
      <c r="C23" s="75" t="s">
        <v>118</v>
      </c>
      <c r="D23" s="75" t="s">
        <v>117</v>
      </c>
      <c r="E23" s="31" t="s">
        <v>117</v>
      </c>
      <c r="F23" s="31" t="s">
        <v>117</v>
      </c>
      <c r="G23" s="9"/>
      <c r="H23" s="66" t="s">
        <v>117</v>
      </c>
      <c r="I23" s="9"/>
      <c r="J23" s="66" t="s">
        <v>117</v>
      </c>
      <c r="K23" s="9"/>
      <c r="L23" s="9"/>
      <c r="M23" s="9"/>
      <c r="N23" s="9"/>
      <c r="O23" s="23"/>
      <c r="P23" s="23"/>
      <c r="Q23" s="23"/>
      <c r="R23" s="23"/>
      <c r="S23" s="23"/>
      <c r="T23" s="23"/>
    </row>
    <row r="24" spans="1:20" ht="13" x14ac:dyDescent="0.3">
      <c r="A24" s="9"/>
      <c r="B24" s="66" t="s">
        <v>123</v>
      </c>
      <c r="C24" s="75" t="s">
        <v>124</v>
      </c>
      <c r="D24" s="75" t="s">
        <v>125</v>
      </c>
      <c r="E24" s="75" t="s">
        <v>126</v>
      </c>
      <c r="F24" s="65" t="s">
        <v>127</v>
      </c>
      <c r="G24" s="9"/>
      <c r="H24" s="66" t="s">
        <v>123</v>
      </c>
      <c r="I24" s="9"/>
      <c r="J24" s="66" t="s">
        <v>123</v>
      </c>
      <c r="K24" s="9"/>
      <c r="L24" s="9"/>
      <c r="M24" s="9"/>
      <c r="N24" s="9"/>
      <c r="O24" s="23"/>
      <c r="P24" s="23"/>
      <c r="Q24" s="23"/>
      <c r="R24" s="23"/>
      <c r="S24" s="23"/>
      <c r="T24" s="23"/>
    </row>
    <row r="25" spans="1:20" ht="13" x14ac:dyDescent="0.3">
      <c r="A25" s="9"/>
      <c r="B25" s="66" t="s">
        <v>51</v>
      </c>
      <c r="C25" s="75" t="s">
        <v>131</v>
      </c>
      <c r="D25" s="75" t="s">
        <v>27</v>
      </c>
      <c r="E25" s="75" t="s">
        <v>27</v>
      </c>
      <c r="F25" s="65" t="s">
        <v>27</v>
      </c>
      <c r="G25" s="9"/>
      <c r="H25" s="66" t="s">
        <v>51</v>
      </c>
      <c r="I25" s="9"/>
      <c r="J25" s="66" t="s">
        <v>51</v>
      </c>
      <c r="K25" s="9"/>
      <c r="L25" s="9"/>
      <c r="M25" s="9"/>
      <c r="N25" s="9"/>
      <c r="O25" s="23"/>
      <c r="P25" s="23"/>
      <c r="Q25" s="23"/>
      <c r="R25" s="23"/>
      <c r="S25" s="23"/>
      <c r="T25" s="23"/>
    </row>
    <row r="26" spans="1:20" ht="15.5" x14ac:dyDescent="0.4">
      <c r="A26" s="9"/>
      <c r="B26" s="50" t="s">
        <v>135</v>
      </c>
      <c r="C26" s="75" t="s">
        <v>138</v>
      </c>
      <c r="D26" s="75" t="s">
        <v>139</v>
      </c>
      <c r="E26" s="75" t="s">
        <v>140</v>
      </c>
      <c r="F26" s="65" t="s">
        <v>141</v>
      </c>
      <c r="G26" s="9"/>
      <c r="H26" s="50" t="s">
        <v>136</v>
      </c>
      <c r="I26" s="9"/>
      <c r="J26" s="50" t="s">
        <v>137</v>
      </c>
      <c r="K26" s="9"/>
      <c r="L26" s="9"/>
      <c r="M26" s="9"/>
      <c r="N26" s="9"/>
      <c r="O26" s="23"/>
      <c r="P26" s="23"/>
      <c r="Q26" s="23"/>
      <c r="R26" s="23"/>
      <c r="S26" s="23"/>
      <c r="T26" s="23"/>
    </row>
    <row r="27" spans="1:20" ht="15" thickBot="1" x14ac:dyDescent="0.35">
      <c r="A27" s="9"/>
      <c r="B27" s="69" t="s">
        <v>63</v>
      </c>
      <c r="C27" s="76" t="s">
        <v>147</v>
      </c>
      <c r="D27" s="70" t="s">
        <v>40</v>
      </c>
      <c r="E27" s="70" t="s">
        <v>40</v>
      </c>
      <c r="F27" s="70" t="s">
        <v>40</v>
      </c>
      <c r="G27" s="9"/>
      <c r="H27" s="69" t="s">
        <v>63</v>
      </c>
      <c r="I27" s="9"/>
      <c r="J27" s="69" t="s">
        <v>63</v>
      </c>
      <c r="K27" s="9"/>
      <c r="L27" s="9"/>
      <c r="M27" s="9"/>
      <c r="N27" s="9"/>
      <c r="O27" s="23"/>
      <c r="P27" s="23"/>
      <c r="Q27" s="23"/>
      <c r="R27" s="23"/>
      <c r="S27" s="23"/>
      <c r="T27" s="23"/>
    </row>
    <row r="28" spans="1:20" ht="13" x14ac:dyDescent="0.3">
      <c r="A28" s="9"/>
      <c r="B28" s="85">
        <f>IF(OR(DATENTER!F41="",DATENTER!G41="",DATENTER!H41=""),"ERROR",DATENTER!G41-DATENTER!H41)</f>
        <v>0.37</v>
      </c>
      <c r="C28" s="85">
        <f>(DATENTER!H41-VLOOKUP(DATENTER!C41,SoilProp!B3:I14,7))/(DATENTER!G41-VLOOKUP(DATENTER!C41,SoilProp!B3:I14,7))</f>
        <v>1.8567639257294429E-2</v>
      </c>
      <c r="D28" s="87">
        <f>((VLOOKUP(DATENTER!C41,SoilProp!B3:I14,2)*(1/3600)*(0.01307*((DATENTER!D14+273.15)/(283.15))^0.5))/(0.999*980.665))</f>
        <v>9.9242454231727398E-8</v>
      </c>
      <c r="E28" s="86">
        <f>(1-C28)^0.5*(1-C28^(1/VLOOKUP(DATENTER!C41,SoilProp!B3:I14,5)))^(2*VLOOKUP(DATENTER!C41,SoilProp!B3:I14,5))</f>
        <v>0.98663703269960712</v>
      </c>
      <c r="F28" s="80">
        <f>IF(AND(DATENTER!C41&gt;0,DATENTER!E41&gt;0),"ERROR",IF(DATENTER!E41&gt;0,DATENTER!E41,D28*E28))</f>
        <v>9.7916280561018083E-8</v>
      </c>
      <c r="G28" s="9"/>
      <c r="H28" s="85">
        <f>IF(OR(DATENTER!C53="",DATENTER!D53="",DATENTER!E53=""),"ERROR",DATENTER!D53-DATENTER!E53)</f>
        <v>0.37</v>
      </c>
      <c r="I28" s="9"/>
      <c r="J28" s="85">
        <f>IF(OR(DATENTER!C65="",DATENTER!D65="",DATENTER!E65=""),"ERROR",DATENTER!D65-DATENTER!E65)</f>
        <v>0.37</v>
      </c>
      <c r="K28" s="9"/>
      <c r="L28" s="9"/>
      <c r="M28" s="9"/>
      <c r="N28" s="9"/>
      <c r="O28" s="23"/>
      <c r="P28" s="23"/>
      <c r="Q28" s="23"/>
      <c r="R28" s="23"/>
      <c r="S28" s="23"/>
      <c r="T28" s="23"/>
    </row>
    <row r="29" spans="1:20" ht="13" x14ac:dyDescent="0.3">
      <c r="A29" s="77" t="s">
        <v>210</v>
      </c>
      <c r="B29" s="9"/>
      <c r="C29" s="9"/>
      <c r="D29" s="9"/>
      <c r="E29" s="9"/>
      <c r="F29" s="9"/>
      <c r="G29" s="9"/>
      <c r="H29" s="9"/>
      <c r="I29" s="9"/>
      <c r="J29" s="9"/>
      <c r="K29" s="9"/>
      <c r="L29" s="9"/>
      <c r="M29" s="9"/>
      <c r="N29" s="9"/>
      <c r="O29" s="23"/>
      <c r="P29" s="23"/>
      <c r="Q29" s="23"/>
      <c r="R29" s="23"/>
      <c r="S29" s="23"/>
      <c r="T29" s="23"/>
    </row>
    <row r="30" spans="1:20" x14ac:dyDescent="0.25">
      <c r="A30" s="23"/>
      <c r="B30" s="23"/>
      <c r="C30" s="23"/>
      <c r="D30" s="23"/>
      <c r="E30" s="23"/>
      <c r="F30" s="23"/>
      <c r="G30" s="23"/>
      <c r="H30" s="23"/>
      <c r="I30" s="23"/>
      <c r="J30" s="23"/>
      <c r="K30" s="23"/>
      <c r="L30" s="23"/>
      <c r="M30" s="23"/>
      <c r="N30" s="23"/>
      <c r="O30" s="23"/>
      <c r="P30" s="23"/>
      <c r="Q30" s="23"/>
      <c r="R30" s="23"/>
      <c r="S30" s="23"/>
      <c r="T30" s="23"/>
    </row>
    <row r="31" spans="1:20" x14ac:dyDescent="0.25">
      <c r="A31" s="23"/>
      <c r="B31" s="23"/>
      <c r="C31" s="23"/>
      <c r="D31" s="23"/>
      <c r="E31" s="23"/>
      <c r="F31" s="23"/>
      <c r="G31" s="23"/>
      <c r="H31" s="23"/>
      <c r="I31" s="23"/>
      <c r="J31" s="23"/>
      <c r="K31" s="23"/>
      <c r="L31" s="23"/>
      <c r="M31" s="23"/>
      <c r="N31" s="23"/>
      <c r="O31" s="23"/>
      <c r="P31" s="23"/>
      <c r="Q31" s="23"/>
      <c r="R31" s="23"/>
      <c r="S31" s="23"/>
      <c r="T31" s="23"/>
    </row>
    <row r="32" spans="1:20" x14ac:dyDescent="0.25">
      <c r="A32" s="23"/>
      <c r="B32" s="23"/>
      <c r="C32" s="23"/>
      <c r="D32" s="23"/>
      <c r="E32" s="23"/>
      <c r="F32" s="23"/>
      <c r="G32" s="23"/>
      <c r="H32" s="23"/>
      <c r="I32" s="23"/>
      <c r="J32" s="23"/>
      <c r="K32" s="23"/>
      <c r="L32" s="23"/>
      <c r="M32" s="23"/>
      <c r="N32" s="23"/>
      <c r="O32" s="23"/>
      <c r="P32" s="23"/>
      <c r="Q32" s="23"/>
      <c r="R32" s="23"/>
      <c r="S32" s="23"/>
      <c r="T32" s="23"/>
    </row>
    <row r="33" spans="1:20" x14ac:dyDescent="0.25">
      <c r="A33" s="23"/>
      <c r="B33" s="23"/>
      <c r="C33" s="23"/>
      <c r="D33" s="23"/>
      <c r="E33" s="23"/>
      <c r="F33" s="23"/>
      <c r="G33" s="23"/>
      <c r="H33" s="23"/>
      <c r="I33" s="23"/>
      <c r="J33" s="23"/>
      <c r="K33" s="23"/>
      <c r="L33" s="23"/>
      <c r="M33" s="23"/>
      <c r="N33" s="23"/>
      <c r="O33" s="23"/>
      <c r="P33" s="23"/>
      <c r="Q33" s="23"/>
      <c r="R33" s="23"/>
      <c r="S33" s="23"/>
      <c r="T33" s="23"/>
    </row>
    <row r="34" spans="1:20" x14ac:dyDescent="0.25">
      <c r="A34" s="23"/>
      <c r="B34" s="23"/>
      <c r="C34" s="23"/>
      <c r="D34" s="23"/>
      <c r="E34" s="23"/>
      <c r="F34" s="23"/>
      <c r="G34" s="23"/>
      <c r="H34" s="23"/>
      <c r="I34" s="23"/>
      <c r="J34" s="23"/>
      <c r="K34" s="23"/>
      <c r="L34" s="23"/>
      <c r="M34" s="23"/>
      <c r="N34" s="23"/>
      <c r="O34" s="23"/>
      <c r="P34" s="23"/>
      <c r="Q34" s="23"/>
      <c r="R34" s="23"/>
      <c r="S34" s="23"/>
      <c r="T34" s="23"/>
    </row>
    <row r="35" spans="1:20" x14ac:dyDescent="0.25">
      <c r="A35" s="23"/>
      <c r="B35" s="23"/>
      <c r="C35" s="23"/>
      <c r="D35" s="23"/>
      <c r="E35" s="23"/>
      <c r="F35" s="23"/>
      <c r="G35" s="23"/>
      <c r="H35" s="23"/>
      <c r="I35" s="23"/>
      <c r="J35" s="23"/>
      <c r="K35" s="23"/>
      <c r="L35" s="23"/>
      <c r="M35" s="23"/>
      <c r="N35" s="23"/>
      <c r="O35" s="23"/>
      <c r="P35" s="23"/>
      <c r="Q35" s="23"/>
      <c r="R35" s="23"/>
      <c r="S35" s="23"/>
      <c r="T35" s="23"/>
    </row>
    <row r="36" spans="1:20" x14ac:dyDescent="0.25">
      <c r="A36" s="23"/>
      <c r="B36" s="23"/>
      <c r="C36" s="23"/>
      <c r="D36" s="23"/>
      <c r="E36" s="23"/>
      <c r="F36" s="23"/>
      <c r="G36" s="23"/>
      <c r="H36" s="23"/>
      <c r="I36" s="23"/>
      <c r="J36" s="23"/>
      <c r="K36" s="23"/>
      <c r="L36" s="23"/>
      <c r="M36" s="23"/>
      <c r="N36" s="23"/>
      <c r="O36" s="23"/>
      <c r="P36" s="23"/>
      <c r="Q36" s="23"/>
      <c r="R36" s="23"/>
      <c r="S36" s="23"/>
      <c r="T36" s="23"/>
    </row>
    <row r="37" spans="1:20" x14ac:dyDescent="0.25">
      <c r="A37" s="23"/>
      <c r="B37" s="23"/>
      <c r="C37" s="23"/>
      <c r="D37" s="23"/>
      <c r="E37" s="23"/>
      <c r="F37" s="23"/>
      <c r="G37" s="23"/>
      <c r="H37" s="23"/>
      <c r="I37" s="23"/>
      <c r="J37" s="23"/>
      <c r="K37" s="23"/>
      <c r="L37" s="23"/>
      <c r="M37" s="23"/>
      <c r="N37" s="23"/>
      <c r="O37" s="23"/>
      <c r="P37" s="23"/>
      <c r="Q37" s="23"/>
      <c r="R37" s="23"/>
      <c r="S37" s="23"/>
      <c r="T37" s="23"/>
    </row>
    <row r="38" spans="1:20" x14ac:dyDescent="0.25">
      <c r="A38" s="23"/>
      <c r="B38" s="23"/>
      <c r="C38" s="23"/>
      <c r="D38" s="23"/>
      <c r="E38" s="23"/>
      <c r="F38" s="23"/>
      <c r="G38" s="23"/>
      <c r="H38" s="23"/>
      <c r="I38" s="23"/>
      <c r="J38" s="23"/>
      <c r="K38" s="23"/>
      <c r="L38" s="23"/>
      <c r="M38" s="23"/>
      <c r="N38" s="23"/>
      <c r="O38" s="23"/>
      <c r="P38" s="23"/>
      <c r="Q38" s="23"/>
      <c r="R38" s="23"/>
      <c r="S38" s="23"/>
      <c r="T38" s="23"/>
    </row>
    <row r="39" spans="1:20" x14ac:dyDescent="0.25">
      <c r="A39" s="23"/>
      <c r="B39" s="23"/>
      <c r="C39" s="23"/>
      <c r="D39" s="23"/>
      <c r="E39" s="23"/>
      <c r="F39" s="23"/>
      <c r="G39" s="23"/>
      <c r="H39" s="23"/>
      <c r="I39" s="23"/>
      <c r="J39" s="23"/>
      <c r="K39" s="23"/>
      <c r="L39" s="23"/>
      <c r="M39" s="23"/>
      <c r="N39" s="23"/>
      <c r="O39" s="23"/>
      <c r="P39" s="23"/>
      <c r="Q39" s="23"/>
      <c r="R39" s="23"/>
      <c r="S39" s="23"/>
      <c r="T39" s="23"/>
    </row>
    <row r="40" spans="1:20" x14ac:dyDescent="0.25">
      <c r="A40" s="23"/>
      <c r="B40" s="23"/>
      <c r="C40" s="23"/>
      <c r="D40" s="23"/>
      <c r="E40" s="23"/>
      <c r="F40" s="23"/>
      <c r="G40" s="23"/>
      <c r="H40" s="23"/>
      <c r="I40" s="23"/>
      <c r="J40" s="23"/>
      <c r="K40" s="23"/>
      <c r="L40" s="23"/>
      <c r="M40" s="23"/>
      <c r="N40" s="23"/>
      <c r="O40" s="23"/>
      <c r="P40" s="23"/>
      <c r="Q40" s="23"/>
      <c r="R40" s="23"/>
      <c r="S40" s="23"/>
      <c r="T40" s="23"/>
    </row>
    <row r="41" spans="1:20" x14ac:dyDescent="0.25">
      <c r="A41" s="23"/>
      <c r="B41" s="23"/>
      <c r="C41" s="23"/>
      <c r="D41" s="23"/>
      <c r="E41" s="23"/>
      <c r="F41" s="23"/>
      <c r="G41" s="23"/>
      <c r="H41" s="23"/>
      <c r="I41" s="23"/>
      <c r="J41" s="23"/>
      <c r="K41" s="23"/>
      <c r="L41" s="23"/>
      <c r="M41" s="23"/>
      <c r="N41" s="23"/>
      <c r="O41" s="23"/>
      <c r="P41" s="23"/>
      <c r="Q41" s="23"/>
      <c r="R41" s="23"/>
      <c r="S41" s="23"/>
      <c r="T41" s="23"/>
    </row>
    <row r="42" spans="1:20" x14ac:dyDescent="0.25">
      <c r="A42" s="23"/>
      <c r="B42" s="23"/>
      <c r="C42" s="23"/>
      <c r="D42" s="23"/>
      <c r="E42" s="23"/>
      <c r="F42" s="23"/>
      <c r="G42" s="23"/>
      <c r="H42" s="23"/>
      <c r="I42" s="23"/>
      <c r="J42" s="23"/>
      <c r="K42" s="23"/>
      <c r="L42" s="23"/>
      <c r="M42" s="23"/>
      <c r="N42" s="23"/>
      <c r="O42" s="23"/>
      <c r="P42" s="23"/>
      <c r="Q42" s="23"/>
      <c r="R42" s="23"/>
      <c r="S42" s="23"/>
      <c r="T42" s="23"/>
    </row>
    <row r="43" spans="1:20" x14ac:dyDescent="0.25">
      <c r="A43" s="23"/>
      <c r="B43" s="23"/>
      <c r="C43" s="23"/>
      <c r="D43" s="23"/>
      <c r="E43" s="23"/>
      <c r="F43" s="23"/>
      <c r="G43" s="23"/>
      <c r="H43" s="23"/>
      <c r="I43" s="23"/>
      <c r="J43" s="23"/>
      <c r="K43" s="23"/>
      <c r="L43" s="23"/>
      <c r="M43" s="23"/>
      <c r="N43" s="23"/>
      <c r="O43" s="23"/>
      <c r="P43" s="23"/>
      <c r="Q43" s="23"/>
      <c r="R43" s="23"/>
      <c r="S43" s="23"/>
      <c r="T43" s="23"/>
    </row>
    <row r="44" spans="1:20" x14ac:dyDescent="0.25">
      <c r="A44" s="23"/>
      <c r="B44" s="23"/>
      <c r="C44" s="23"/>
      <c r="D44" s="23"/>
      <c r="E44" s="23"/>
      <c r="F44" s="23"/>
      <c r="G44" s="23"/>
      <c r="H44" s="23"/>
      <c r="I44" s="23"/>
      <c r="J44" s="23"/>
      <c r="K44" s="23"/>
      <c r="L44" s="23"/>
      <c r="M44" s="23"/>
      <c r="N44" s="23"/>
      <c r="O44" s="23"/>
      <c r="P44" s="23"/>
      <c r="Q44" s="23"/>
      <c r="R44" s="23"/>
      <c r="S44" s="23"/>
      <c r="T44" s="23"/>
    </row>
    <row r="45" spans="1:20" x14ac:dyDescent="0.25">
      <c r="A45" s="23"/>
      <c r="B45" s="23"/>
      <c r="C45" s="23"/>
      <c r="D45" s="23"/>
      <c r="E45" s="23"/>
      <c r="F45" s="23"/>
      <c r="G45" s="23"/>
      <c r="H45" s="23"/>
      <c r="I45" s="23"/>
      <c r="J45" s="23"/>
      <c r="K45" s="23"/>
      <c r="L45" s="23"/>
      <c r="M45" s="23"/>
      <c r="N45" s="23"/>
      <c r="O45" s="23"/>
      <c r="P45" s="23"/>
      <c r="Q45" s="23"/>
      <c r="R45" s="23"/>
      <c r="S45" s="23"/>
      <c r="T45" s="23"/>
    </row>
    <row r="46" spans="1:20" x14ac:dyDescent="0.25">
      <c r="A46" s="23"/>
      <c r="B46" s="23"/>
      <c r="C46" s="23"/>
      <c r="D46" s="23"/>
      <c r="E46" s="23"/>
      <c r="F46" s="23"/>
      <c r="G46" s="23"/>
      <c r="H46" s="23"/>
      <c r="I46" s="23"/>
      <c r="J46" s="23"/>
      <c r="K46" s="23"/>
      <c r="L46" s="23"/>
      <c r="M46" s="23"/>
      <c r="N46" s="23"/>
      <c r="O46" s="23"/>
      <c r="P46" s="23"/>
      <c r="Q46" s="23"/>
      <c r="R46" s="23"/>
      <c r="S46" s="23"/>
      <c r="T46" s="23"/>
    </row>
    <row r="47" spans="1:20" x14ac:dyDescent="0.25">
      <c r="A47" s="23"/>
      <c r="B47" s="23"/>
      <c r="C47" s="23"/>
      <c r="D47" s="23"/>
      <c r="E47" s="23"/>
      <c r="F47" s="23"/>
      <c r="G47" s="23"/>
      <c r="H47" s="23"/>
      <c r="I47" s="23"/>
      <c r="J47" s="23"/>
      <c r="K47" s="23"/>
      <c r="L47" s="23"/>
      <c r="M47" s="23"/>
      <c r="N47" s="23"/>
      <c r="O47" s="23"/>
      <c r="P47" s="23"/>
      <c r="Q47" s="23"/>
      <c r="R47" s="23"/>
      <c r="S47" s="23"/>
      <c r="T47" s="23"/>
    </row>
    <row r="48" spans="1:20" x14ac:dyDescent="0.25">
      <c r="A48" s="23"/>
      <c r="B48" s="23"/>
      <c r="C48" s="23"/>
      <c r="D48" s="23"/>
      <c r="E48" s="23"/>
      <c r="F48" s="23"/>
      <c r="G48" s="23"/>
      <c r="H48" s="23"/>
      <c r="I48" s="23"/>
      <c r="J48" s="23"/>
      <c r="K48" s="23"/>
      <c r="L48" s="23"/>
      <c r="M48" s="23"/>
      <c r="N48" s="23"/>
      <c r="O48" s="23"/>
      <c r="P48" s="23"/>
      <c r="Q48" s="23"/>
      <c r="R48" s="23"/>
      <c r="S48" s="23"/>
      <c r="T48" s="23"/>
    </row>
    <row r="49" spans="1:20" x14ac:dyDescent="0.25">
      <c r="A49" s="23"/>
      <c r="B49" s="23"/>
      <c r="C49" s="23"/>
      <c r="D49" s="23"/>
      <c r="E49" s="23"/>
      <c r="F49" s="23"/>
      <c r="G49" s="23"/>
      <c r="H49" s="23"/>
      <c r="I49" s="23"/>
      <c r="J49" s="23"/>
      <c r="K49" s="23"/>
      <c r="L49" s="23"/>
      <c r="M49" s="23"/>
      <c r="N49" s="23"/>
      <c r="O49" s="23"/>
      <c r="P49" s="23"/>
      <c r="Q49" s="23"/>
      <c r="R49" s="23"/>
      <c r="S49" s="23"/>
      <c r="T49" s="23"/>
    </row>
    <row r="50" spans="1:20" x14ac:dyDescent="0.25">
      <c r="A50" s="23"/>
      <c r="B50" s="23"/>
      <c r="C50" s="23"/>
      <c r="D50" s="23"/>
      <c r="E50" s="23"/>
      <c r="F50" s="23"/>
      <c r="G50" s="23"/>
      <c r="H50" s="23"/>
      <c r="I50" s="23"/>
      <c r="J50" s="23"/>
      <c r="K50" s="23"/>
      <c r="L50" s="23"/>
      <c r="M50" s="23"/>
      <c r="N50" s="23"/>
      <c r="O50" s="23"/>
      <c r="P50" s="23"/>
      <c r="Q50" s="23"/>
      <c r="R50" s="23"/>
      <c r="S50" s="23"/>
      <c r="T50" s="23"/>
    </row>
  </sheetData>
  <sheetProtection sheet="1" objects="1" scenarios="1"/>
  <phoneticPr fontId="0" type="noConversion"/>
  <printOptions horizontalCentered="1"/>
  <pageMargins left="0.5" right="0.5" top="1" bottom="1" header="0.5" footer="0.5"/>
  <pageSetup scale="90" orientation="landscape" horizontalDpi="1200" verticalDpi="1200" r:id="rId1"/>
  <headerFooter>
    <oddHeader>&amp;CMCP Numerical Standards Derivation</oddHeader>
    <oddFooter>&amp;L&amp;8MassDEP&amp;C&amp;8 2024&amp;R&amp;8Workbook: &amp;F
Sheet: &amp;A
Page &amp;P of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59"/>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8.90625" defaultRowHeight="11.5" x14ac:dyDescent="0.25"/>
  <cols>
    <col min="1" max="1" width="35.36328125" style="192" customWidth="1"/>
    <col min="2" max="2" width="15.90625" style="171" bestFit="1" customWidth="1"/>
    <col min="3" max="4" width="15.90625" style="193" bestFit="1" customWidth="1"/>
    <col min="5" max="5" width="10" style="193" bestFit="1" customWidth="1"/>
    <col min="6" max="7" width="10" style="193" hidden="1" customWidth="1"/>
    <col min="8" max="8" width="11.08984375" style="193" bestFit="1" customWidth="1"/>
    <col min="9" max="10" width="10" style="193" bestFit="1" customWidth="1"/>
    <col min="11" max="11" width="10.90625" style="193" customWidth="1"/>
    <col min="12" max="12" width="12.54296875" style="193" bestFit="1" customWidth="1"/>
    <col min="13" max="16384" width="8.90625" style="171"/>
  </cols>
  <sheetData>
    <row r="1" spans="1:12" s="183" customFormat="1" ht="12" thickTop="1" x14ac:dyDescent="0.25">
      <c r="A1" s="196" t="s">
        <v>362</v>
      </c>
      <c r="B1" s="180" t="s">
        <v>90</v>
      </c>
      <c r="C1" s="181" t="s">
        <v>152</v>
      </c>
      <c r="D1" s="181" t="s">
        <v>152</v>
      </c>
      <c r="E1" s="181" t="s">
        <v>44</v>
      </c>
      <c r="F1" s="181" t="s">
        <v>45</v>
      </c>
      <c r="G1" s="181" t="s">
        <v>46</v>
      </c>
      <c r="H1" s="181" t="s">
        <v>327</v>
      </c>
      <c r="I1" s="182" t="s">
        <v>112</v>
      </c>
      <c r="J1" s="181" t="s">
        <v>151</v>
      </c>
      <c r="K1" s="257" t="s">
        <v>178</v>
      </c>
      <c r="L1" s="194" t="s">
        <v>329</v>
      </c>
    </row>
    <row r="2" spans="1:12" x14ac:dyDescent="0.25">
      <c r="A2" s="197" t="s">
        <v>363</v>
      </c>
      <c r="B2" s="184" t="s">
        <v>93</v>
      </c>
      <c r="C2" s="179" t="s">
        <v>158</v>
      </c>
      <c r="D2" s="179" t="s">
        <v>158</v>
      </c>
      <c r="E2" s="179" t="s">
        <v>118</v>
      </c>
      <c r="F2" s="179" t="s">
        <v>118</v>
      </c>
      <c r="G2" s="179" t="s">
        <v>118</v>
      </c>
      <c r="H2" s="179" t="s">
        <v>118</v>
      </c>
      <c r="I2" s="179" t="s">
        <v>118</v>
      </c>
      <c r="J2" s="179" t="s">
        <v>118</v>
      </c>
      <c r="K2" s="258" t="s">
        <v>179</v>
      </c>
      <c r="L2" s="195" t="s">
        <v>183</v>
      </c>
    </row>
    <row r="3" spans="1:12" x14ac:dyDescent="0.25">
      <c r="A3" s="197" t="s">
        <v>364</v>
      </c>
      <c r="B3" s="185" t="s">
        <v>164</v>
      </c>
      <c r="C3" s="179" t="s">
        <v>164</v>
      </c>
      <c r="D3" s="179" t="s">
        <v>164</v>
      </c>
      <c r="E3" s="179" t="s">
        <v>166</v>
      </c>
      <c r="F3" s="179" t="s">
        <v>166</v>
      </c>
      <c r="G3" s="179" t="s">
        <v>166</v>
      </c>
      <c r="H3" s="179" t="s">
        <v>166</v>
      </c>
      <c r="I3" s="179" t="s">
        <v>166</v>
      </c>
      <c r="J3" s="179" t="s">
        <v>166</v>
      </c>
      <c r="K3" s="258" t="s">
        <v>182</v>
      </c>
      <c r="L3" s="195" t="s">
        <v>185</v>
      </c>
    </row>
    <row r="4" spans="1:12" x14ac:dyDescent="0.25">
      <c r="A4" s="198" t="s">
        <v>193</v>
      </c>
      <c r="B4" s="186" t="s">
        <v>20</v>
      </c>
      <c r="C4" s="179" t="s">
        <v>20</v>
      </c>
      <c r="D4" s="179" t="s">
        <v>20</v>
      </c>
      <c r="E4" s="179" t="s">
        <v>106</v>
      </c>
      <c r="F4" s="179" t="s">
        <v>106</v>
      </c>
      <c r="G4" s="179" t="s">
        <v>106</v>
      </c>
      <c r="H4" s="179" t="s">
        <v>106</v>
      </c>
      <c r="I4" s="179" t="s">
        <v>106</v>
      </c>
      <c r="J4" s="179" t="s">
        <v>106</v>
      </c>
      <c r="K4" s="258" t="s">
        <v>328</v>
      </c>
      <c r="L4" s="195" t="s">
        <v>106</v>
      </c>
    </row>
    <row r="5" spans="1:12" ht="14.5" x14ac:dyDescent="0.25">
      <c r="A5" s="163"/>
      <c r="B5" s="186" t="s">
        <v>401</v>
      </c>
      <c r="C5" s="179" t="s">
        <v>402</v>
      </c>
      <c r="D5" s="179" t="s">
        <v>403</v>
      </c>
      <c r="E5" s="179" t="s">
        <v>404</v>
      </c>
      <c r="F5" s="179" t="s">
        <v>405</v>
      </c>
      <c r="G5" s="179" t="s">
        <v>406</v>
      </c>
      <c r="H5" s="179" t="s">
        <v>407</v>
      </c>
      <c r="I5" s="179" t="s">
        <v>408</v>
      </c>
      <c r="J5" s="179" t="s">
        <v>409</v>
      </c>
      <c r="K5" s="258" t="s">
        <v>410</v>
      </c>
      <c r="L5" s="195" t="s">
        <v>193</v>
      </c>
    </row>
    <row r="6" spans="1:12" ht="13.5" x14ac:dyDescent="0.25">
      <c r="A6" s="199" t="s">
        <v>211</v>
      </c>
      <c r="B6" s="184" t="s">
        <v>110</v>
      </c>
      <c r="C6" s="179" t="s">
        <v>411</v>
      </c>
      <c r="D6" s="179" t="s">
        <v>62</v>
      </c>
      <c r="E6" s="179" t="s">
        <v>412</v>
      </c>
      <c r="F6" s="179" t="s">
        <v>412</v>
      </c>
      <c r="G6" s="179" t="s">
        <v>412</v>
      </c>
      <c r="H6" s="179" t="s">
        <v>412</v>
      </c>
      <c r="I6" s="179" t="s">
        <v>412</v>
      </c>
      <c r="J6" s="179" t="s">
        <v>412</v>
      </c>
      <c r="K6" s="258" t="s">
        <v>62</v>
      </c>
      <c r="L6" s="195" t="s">
        <v>62</v>
      </c>
    </row>
    <row r="7" spans="1:12" x14ac:dyDescent="0.25">
      <c r="A7" s="200" t="s">
        <v>212</v>
      </c>
      <c r="B7" s="201">
        <f>IF((VLOOKUP(A7,Props,10,FALSE))=0,0,IF((VLOOKUP(A7,Props,9,FALSE))/(VLOOKUP(A7,Props,10,FALSE))&lt;0.57,(VLOOKUP(A7,Props,8,FALSE))*((1-((DATENTER!$D$14+273.15)/(VLOOKUP(A7,Props,10,FALSE))))/(1-((VLOOKUP(A7,Props,9,FALSE))/(VLOOKUP(A7,Props,10,FALSE)))))^0.3,IF(AND((VLOOKUP(A7,Props,9,FALSE))/(VLOOKUP(A7,Props,10,FALSE))&gt;=0.57,(VLOOKUP(A7,Props,9,FALSE))/(VLOOKUP(A7,Props,10,FALSE))&lt;=0.71),(VLOOKUP(A7,Props,8,FALSE))*((1-((DATENTER!$D$14+273.15)/(VLOOKUP(A7,Props,10,FALSE))))/(1-((VLOOKUP(A7,Props,9,FALSE))/(VLOOKUP(A7,Props,10,FALSE)))))^(0.74*((VLOOKUP(A7,Props,9,FALSE))/(VLOOKUP(A7,Props,10,FALSE)))-0.116),(VLOOKUP(A7,Props,8,FALSE))*((1-((DATENTER!$D$14+273.15)/(VLOOKUP(A7,Props,10,FALSE))))/(1-((VLOOKUP(A7,Props,9,FALSE))/(VLOOKUP(A7,Props,10,FALSE)))))^0.41)))</f>
        <v>16122.529718377613</v>
      </c>
      <c r="C7" s="202">
        <f>EXP(-1*((B7/1.9872)*((1/(DATENTER!$D$14+273.15))-(1/((VLOOKUP(A7,Props,7,FALSE))+273.15)))))*(VLOOKUP(A7,Props,6,FALSE))</f>
        <v>4.352693145823551E-5</v>
      </c>
      <c r="D7" s="202">
        <f>IF(DATENTER!$D$14="",0,C7/(0.00008206*(DATENTER!$D$14+273.15)))</f>
        <v>1.8733113867546694E-3</v>
      </c>
      <c r="E7" s="202">
        <f>IF((VLOOKUP(A7,Props,3,FALSE))=0,0,((VLOOKUP(A7,Props,3,FALSE))*(SiteCalcs!$B$28^3.33/DATENTER!$G$41^2))+(((VLOOKUP(A7,Props,4,FALSE))/ChemCalcs!D7)*(DATENTER!$H$41^3.33/DATENTER!$G$41^2)))</f>
        <v>8.3091382781211968E-3</v>
      </c>
      <c r="F7" s="202">
        <f>IF(DATENTER!$C$28=0,0,(ChemProps!C7*(SiteCalcs!$H$28^3.33/DATENTER!$D$53^2))+((ChemProps!D7/ChemCalcs!D7)*(DATENTER!$E$53^3.33/DATENTER!$D$53^2)))</f>
        <v>0</v>
      </c>
      <c r="G7" s="202">
        <f>IF(DATENTER!$D$28=0,0,(ChemProps!C7*(SiteCalcs!$J$28^3.33/DATENTER!$D$65^2))+((ChemProps!D7/ChemCalcs!D7)*(DATENTER!$E$65^3.33/DATENTER!$D$65^2)))</f>
        <v>0</v>
      </c>
      <c r="H7" s="202">
        <f>IF((VLOOKUP(A7,Props,3,FALSE))=0,0,((VLOOKUP(A7,Props,3,FALSE))*(SiteCalcs!$D$19^3.33/SiteCalcs!$C$19^2))+(((VLOOKUP(A7,Props,4,FALSE))/ChemCalcs!D7)*(SiteCalcs!$E$19^3.33/SiteCalcs!$C$19^2)))</f>
        <v>9.3877065586144741E-4</v>
      </c>
      <c r="I7" s="203">
        <f>IF(AND(E7&gt;0,F7&gt;0,G7&gt;0),SiteCalcs!$B$11/(((IF(SiteCalcs!$B$11=1,1,DATENTER!$B$28-DATENTER!$B$14))/E7)+(DATENTER!$C$28/F7)+((DATENTER!$D$28-SiteCalcs!$B$19)/G7)+(SiteCalcs!$B$19/H7)),IF(AND(E7&gt;0,F7&gt;0,G7=0),SiteCalcs!$B$11/(((IF(SiteCalcs!$B$11=1,1,DATENTER!$B$28-DATENTER!$B$14))/E7)+((DATENTER!$C$28-SiteCalcs!$B$19)/F7)+(SiteCalcs!$B$19/H7)),IF(AND(E7&gt;0,F7=0,G7=0),SiteCalcs!$B$11/(((IF(SiteCalcs!$B$11=1,1,DATENTER!$B$28-DATENTER!$B$14)-SiteCalcs!$B$19)/E7)+(SiteCalcs!$B$19/H7)))))</f>
        <v>1.5215851623094048E-3</v>
      </c>
      <c r="J7" s="202">
        <f>ChemCalcs!E7</f>
        <v>8.3091382781211968E-3</v>
      </c>
      <c r="K7" s="259">
        <f>IF(DATENTER!$B$78="","ERROR",EXP((SiteCalcs!$L$11*DATENTER!$B$78)/(ChemCalcs!J7*SiteCalcs!$M$11)))</f>
        <v>1.1172483623894029E+134</v>
      </c>
      <c r="L7" s="204">
        <f>IF(ISERROR(K7),((ChemCalcs!I7*SiteCalcs!$E$11)/(SiteCalcs!$D$11*SiteCalcs!$B$11))/(((ChemCalcs!I7*SiteCalcs!$E$11)/(SiteCalcs!$L$11*SiteCalcs!$B$11))+1),(((ChemCalcs!I7*SiteCalcs!$E$11)/(SiteCalcs!$D$11*SiteCalcs!$B$11))*EXP((SiteCalcs!$L$11*DATENTER!$B$78)/(ChemCalcs!J7*SiteCalcs!$M$11)))/(EXP((SiteCalcs!$L$11*DATENTER!$B$78)/(ChemCalcs!J7*SiteCalcs!$M$11))+((ChemCalcs!I7*SiteCalcs!$E$11)/(SiteCalcs!$D$11*SiteCalcs!$B$11))+((ChemCalcs!I7*SiteCalcs!$E$11)/(SiteCalcs!$L$11*SiteCalcs!$B$11))*(EXP((SiteCalcs!$L$11*DATENTER!$B$78)/(ChemCalcs!J7*SiteCalcs!$M$11))-1)))</f>
        <v>6.4942366439506858E-4</v>
      </c>
    </row>
    <row r="8" spans="1:12" x14ac:dyDescent="0.25">
      <c r="A8" s="172" t="s">
        <v>213</v>
      </c>
      <c r="B8" s="136">
        <f>IF((VLOOKUP(A8,Props,10,FALSE))=0,0,IF((VLOOKUP(A8,Props,9,FALSE))/(VLOOKUP(A8,Props,10,FALSE))&lt;0.57,(VLOOKUP(A8,Props,8,FALSE))*((1-((DATENTER!$D$14+273.15)/(VLOOKUP(A8,Props,10,FALSE))))/(1-((VLOOKUP(A8,Props,9,FALSE))/(VLOOKUP(A8,Props,10,FALSE)))))^0.3,IF(AND((VLOOKUP(A8,Props,9,FALSE))/(VLOOKUP(A8,Props,10,FALSE))&gt;=0.57,(VLOOKUP(A8,Props,9,FALSE))/(VLOOKUP(A8,Props,10,FALSE))&lt;=0.71),(VLOOKUP(A8,Props,8,FALSE))*((1-((DATENTER!$D$14+273.15)/(VLOOKUP(A8,Props,10,FALSE))))/(1-((VLOOKUP(A8,Props,9,FALSE))/(VLOOKUP(A8,Props,10,FALSE)))))^(0.74*((VLOOKUP(A8,Props,9,FALSE))/(VLOOKUP(A8,Props,10,FALSE)))-0.116),(VLOOKUP(A8,Props,8,FALSE))*((1-((DATENTER!$D$14+273.15)/(VLOOKUP(A8,Props,10,FALSE))))/(1-((VLOOKUP(A8,Props,9,FALSE))/(VLOOKUP(A8,Props,10,FALSE)))))^0.41)))</f>
        <v>16157.78121873797</v>
      </c>
      <c r="C8" s="135">
        <f>EXP(-1*((B8/1.9872)*((1/(DATENTER!$D$14+273.15))-(1/((VLOOKUP(A8,Props,7,FALSE))+273.15)))))*(VLOOKUP(A8,Props,6,FALSE))</f>
        <v>2.6882906164734697E-5</v>
      </c>
      <c r="D8" s="135">
        <f>IF(DATENTER!$D$14="",0,C8/(0.00008206*(DATENTER!$D$14+273.15)))</f>
        <v>1.1569860897677968E-3</v>
      </c>
      <c r="E8" s="135">
        <f>IF((VLOOKUP(A8,Props,3,FALSE))=0,0,((VLOOKUP(A8,Props,3,FALSE))*(SiteCalcs!$B$28^3.33/DATENTER!$G$41^2))+(((VLOOKUP(A8,Props,4,FALSE))/ChemCalcs!D8)*(DATENTER!$H$41^3.33/DATENTER!$G$41^2)))</f>
        <v>8.6652432295230494E-3</v>
      </c>
      <c r="F8" s="135">
        <f>IF(DATENTER!$C$28=0,0,(ChemProps!C8*(SiteCalcs!$H$28^3.33/DATENTER!$D$53^2))+((ChemProps!D8/ChemCalcs!D8)*(DATENTER!$E$53^3.33/DATENTER!$D$53^2)))</f>
        <v>0</v>
      </c>
      <c r="G8" s="135">
        <f>IF(DATENTER!$D$28=0,0,(ChemProps!C8*(SiteCalcs!$J$28^3.33/DATENTER!$D$65^2))+((ChemProps!D8/ChemCalcs!D8)*(DATENTER!$E$65^3.33/DATENTER!$D$65^2)))</f>
        <v>0</v>
      </c>
      <c r="H8" s="135">
        <f>IF((VLOOKUP(A8,Props,3,FALSE))=0,0,((VLOOKUP(A8,Props,3,FALSE))*(SiteCalcs!$D$19^3.33/SiteCalcs!$C$19^2))+(((VLOOKUP(A8,Props,4,FALSE))/ChemCalcs!D8)*(SiteCalcs!$E$19^3.33/SiteCalcs!$C$19^2)))</f>
        <v>1.0811005333265862E-3</v>
      </c>
      <c r="I8" s="205">
        <f>IF(AND(E8&gt;0,F8&gt;0,G8&gt;0),SiteCalcs!$B$11/(((IF(SiteCalcs!$B$11=1,1,DATENTER!$B$28-DATENTER!$B$14))/E8)+(DATENTER!$C$28/F8)+((DATENTER!$D$28-SiteCalcs!$B$19)/G8)+(SiteCalcs!$B$19/H8)),IF(AND(E8&gt;0,F8&gt;0,G8=0),SiteCalcs!$B$11/(((IF(SiteCalcs!$B$11=1,1,DATENTER!$B$28-DATENTER!$B$14))/E8)+((DATENTER!$C$28-SiteCalcs!$B$19)/F8)+(SiteCalcs!$B$19/H8)),IF(AND(E8&gt;0,F8=0,G8=0),SiteCalcs!$B$11/(((IF(SiteCalcs!$B$11=1,1,DATENTER!$B$28-DATENTER!$B$14)-SiteCalcs!$B$19)/E8)+(SiteCalcs!$B$19/H8)))))</f>
        <v>1.7379453529348336E-3</v>
      </c>
      <c r="J8" s="135">
        <f>ChemCalcs!E8</f>
        <v>8.6652432295230494E-3</v>
      </c>
      <c r="K8" s="260">
        <f>IF(DATENTER!$B$78="","ERROR",EXP((SiteCalcs!$L$11*DATENTER!$B$78)/(ChemCalcs!J8*SiteCalcs!$M$11)))</f>
        <v>3.4620721623589244E+128</v>
      </c>
      <c r="L8" s="206">
        <f>IF(ISERROR(K8),((ChemCalcs!I8*SiteCalcs!$E$11)/(SiteCalcs!$D$11*SiteCalcs!$B$11))/(((ChemCalcs!I8*SiteCalcs!$E$11)/(SiteCalcs!$L$11*SiteCalcs!$B$11))+1),(((ChemCalcs!I8*SiteCalcs!$E$11)/(SiteCalcs!$D$11*SiteCalcs!$B$11))*EXP((SiteCalcs!$L$11*DATENTER!$B$78)/(ChemCalcs!J8*SiteCalcs!$M$11)))/(EXP((SiteCalcs!$L$11*DATENTER!$B$78)/(ChemCalcs!J8*SiteCalcs!$M$11))+((ChemCalcs!I8*SiteCalcs!$E$11)/(SiteCalcs!$D$11*SiteCalcs!$B$11))+((ChemCalcs!I8*SiteCalcs!$E$11)/(SiteCalcs!$L$11*SiteCalcs!$B$11))*(EXP((SiteCalcs!$L$11*DATENTER!$B$78)/(ChemCalcs!J8*SiteCalcs!$M$11))-1)))</f>
        <v>6.8736180106105684E-4</v>
      </c>
    </row>
    <row r="9" spans="1:12" x14ac:dyDescent="0.25">
      <c r="A9" s="172" t="s">
        <v>214</v>
      </c>
      <c r="B9" s="136">
        <f>IF((VLOOKUP(A9,Props,10,FALSE))=0,0,IF((VLOOKUP(A9,Props,9,FALSE))/(VLOOKUP(A9,Props,10,FALSE))&lt;0.57,(VLOOKUP(A9,Props,8,FALSE))*((1-((DATENTER!$D$14+273.15)/(VLOOKUP(A9,Props,10,FALSE))))/(1-((VLOOKUP(A9,Props,9,FALSE))/(VLOOKUP(A9,Props,10,FALSE)))))^0.3,IF(AND((VLOOKUP(A9,Props,9,FALSE))/(VLOOKUP(A9,Props,10,FALSE))&gt;=0.57,(VLOOKUP(A9,Props,9,FALSE))/(VLOOKUP(A9,Props,10,FALSE))&lt;=0.71),(VLOOKUP(A9,Props,8,FALSE))*((1-((DATENTER!$D$14+273.15)/(VLOOKUP(A9,Props,10,FALSE))))/(1-((VLOOKUP(A9,Props,9,FALSE))/(VLOOKUP(A9,Props,10,FALSE)))))^(0.74*((VLOOKUP(A9,Props,9,FALSE))/(VLOOKUP(A9,Props,10,FALSE)))-0.116),(VLOOKUP(A9,Props,8,FALSE))*((1-((DATENTER!$D$14+273.15)/(VLOOKUP(A9,Props,10,FALSE))))/(1-((VLOOKUP(A9,Props,9,FALSE))/(VLOOKUP(A9,Props,10,FALSE)))))^0.41)))</f>
        <v>7558.7756462853176</v>
      </c>
      <c r="C9" s="135">
        <f>EXP(-1*((B9/1.9872)*((1/(DATENTER!$D$14+273.15))-(1/((VLOOKUP(A9,Props,7,FALSE))+273.15)))))*(VLOOKUP(A9,Props,6,FALSE))</f>
        <v>2.0196353380511696E-5</v>
      </c>
      <c r="D9" s="135">
        <f>IF(DATENTER!$D$14="",0,C9/(0.00008206*(DATENTER!$D$14+273.15)))</f>
        <v>8.6921033693670437E-4</v>
      </c>
      <c r="E9" s="135">
        <f>IF((VLOOKUP(A9,Props,3,FALSE))=0,0,((VLOOKUP(A9,Props,3,FALSE))*(SiteCalcs!$B$28^3.33/DATENTER!$G$41^2))+(((VLOOKUP(A9,Props,4,FALSE))/ChemCalcs!D9)*(DATENTER!$H$41^3.33/DATENTER!$G$41^2)))</f>
        <v>2.4473944379234874E-2</v>
      </c>
      <c r="F9" s="135">
        <f>IF(DATENTER!$C$28=0,0,(ChemProps!C9*(SiteCalcs!$H$28^3.33/DATENTER!$D$53^2))+((ChemProps!D9/ChemCalcs!D9)*(DATENTER!$E$53^3.33/DATENTER!$D$53^2)))</f>
        <v>0</v>
      </c>
      <c r="G9" s="135">
        <f>IF(DATENTER!$D$28=0,0,(ChemProps!C9*(SiteCalcs!$J$28^3.33/DATENTER!$D$65^2))+((ChemProps!D9/ChemCalcs!D9)*(DATENTER!$E$65^3.33/DATENTER!$D$65^2)))</f>
        <v>0</v>
      </c>
      <c r="H9" s="135">
        <f>IF((VLOOKUP(A9,Props,3,FALSE))=0,0,((VLOOKUP(A9,Props,3,FALSE))*(SiteCalcs!$D$19^3.33/SiteCalcs!$C$19^2))+(((VLOOKUP(A9,Props,4,FALSE))/ChemCalcs!D9)*(SiteCalcs!$E$19^3.33/SiteCalcs!$C$19^2)))</f>
        <v>2.8222326463063501E-3</v>
      </c>
      <c r="I9" s="205">
        <f>IF(AND(E9&gt;0,F9&gt;0,G9&gt;0),SiteCalcs!$B$11/(((IF(SiteCalcs!$B$11=1,1,DATENTER!$B$28-DATENTER!$B$14))/E9)+(DATENTER!$C$28/F9)+((DATENTER!$D$28-SiteCalcs!$B$19)/G9)+(SiteCalcs!$B$19/H9)),IF(AND(E9&gt;0,F9&gt;0,G9=0),SiteCalcs!$B$11/(((IF(SiteCalcs!$B$11=1,1,DATENTER!$B$28-DATENTER!$B$14))/E9)+((DATENTER!$C$28-SiteCalcs!$B$19)/F9)+(SiteCalcs!$B$19/H9)),IF(AND(E9&gt;0,F9=0,G9=0),SiteCalcs!$B$11/(((IF(SiteCalcs!$B$11=1,1,DATENTER!$B$28-DATENTER!$B$14)-SiteCalcs!$B$19)/E9)+(SiteCalcs!$B$19/H9)))))</f>
        <v>4.5668873861800397E-3</v>
      </c>
      <c r="J9" s="135">
        <f>ChemCalcs!E9</f>
        <v>2.4473944379234874E-2</v>
      </c>
      <c r="K9" s="260">
        <f>IF(DATENTER!$B$78="","ERROR",EXP((SiteCalcs!$L$11*DATENTER!$B$78)/(ChemCalcs!J9*SiteCalcs!$M$11)))</f>
        <v>3.2406294597565551E+45</v>
      </c>
      <c r="L9" s="206">
        <f>IF(ISERROR(K9),((ChemCalcs!I9*SiteCalcs!$E$11)/(SiteCalcs!$D$11*SiteCalcs!$B$11))/(((ChemCalcs!I9*SiteCalcs!$E$11)/(SiteCalcs!$L$11*SiteCalcs!$B$11))+1),(((ChemCalcs!I9*SiteCalcs!$E$11)/(SiteCalcs!$D$11*SiteCalcs!$B$11))*EXP((SiteCalcs!$L$11*DATENTER!$B$78)/(ChemCalcs!J9*SiteCalcs!$M$11)))/(EXP((SiteCalcs!$L$11*DATENTER!$B$78)/(ChemCalcs!J9*SiteCalcs!$M$11))+((ChemCalcs!I9*SiteCalcs!$E$11)/(SiteCalcs!$D$11*SiteCalcs!$B$11))+((ChemCalcs!I9*SiteCalcs!$E$11)/(SiteCalcs!$L$11*SiteCalcs!$B$11))*(EXP((SiteCalcs!$L$11*DATENTER!$B$78)/(ChemCalcs!J9*SiteCalcs!$M$11))-1)))</f>
        <v>9.2200199054822101E-4</v>
      </c>
    </row>
    <row r="10" spans="1:12" x14ac:dyDescent="0.25">
      <c r="A10" s="172" t="s">
        <v>215</v>
      </c>
      <c r="B10" s="136">
        <f>IF((VLOOKUP(A10,Props,10,FALSE))=0,0,IF((VLOOKUP(A10,Props,9,FALSE))/(VLOOKUP(A10,Props,10,FALSE))&lt;0.57,(VLOOKUP(A10,Props,8,FALSE))*((1-((DATENTER!$D$14+273.15)/(VLOOKUP(A10,Props,10,FALSE))))/(1-((VLOOKUP(A10,Props,9,FALSE))/(VLOOKUP(A10,Props,10,FALSE)))))^0.3,IF(AND((VLOOKUP(A10,Props,9,FALSE))/(VLOOKUP(A10,Props,10,FALSE))&gt;=0.57,(VLOOKUP(A10,Props,9,FALSE))/(VLOOKUP(A10,Props,10,FALSE))&lt;=0.71),(VLOOKUP(A10,Props,8,FALSE))*((1-((DATENTER!$D$14+273.15)/(VLOOKUP(A10,Props,10,FALSE))))/(1-((VLOOKUP(A10,Props,9,FALSE))/(VLOOKUP(A10,Props,10,FALSE)))))^(0.74*((VLOOKUP(A10,Props,9,FALSE))/(VLOOKUP(A10,Props,10,FALSE)))-0.116),(VLOOKUP(A10,Props,8,FALSE))*((1-((DATENTER!$D$14+273.15)/(VLOOKUP(A10,Props,10,FALSE))))/(1-((VLOOKUP(A10,Props,9,FALSE))/(VLOOKUP(A10,Props,10,FALSE)))))^0.41)))</f>
        <v>18464.141779160233</v>
      </c>
      <c r="C10" s="135">
        <f>EXP(-1*((B10/1.9872)*((1/(DATENTER!$D$14+273.15))-(1/((VLOOKUP(A10,Props,7,FALSE))+273.15)))))*(VLOOKUP(A10,Props,6,FALSE))</f>
        <v>8.442380495963577E-6</v>
      </c>
      <c r="D10" s="135">
        <f>IF(DATENTER!$D$14="",0,C10/(0.00008206*(DATENTER!$D$14+273.15)))</f>
        <v>3.6334303808158267E-4</v>
      </c>
      <c r="E10" s="135">
        <f>IF((VLOOKUP(A10,Props,3,FALSE))=0,0,((VLOOKUP(A10,Props,3,FALSE))*(SiteCalcs!$B$28^3.33/DATENTER!$G$41^2))+(((VLOOKUP(A10,Props,4,FALSE))/ChemCalcs!D10)*(DATENTER!$H$41^3.33/DATENTER!$G$41^2)))</f>
        <v>2.6108211761411608E-3</v>
      </c>
      <c r="F10" s="135">
        <f>IF(DATENTER!$C$28=0,0,(ChemProps!C10*(SiteCalcs!$H$28^3.33/DATENTER!$D$53^2))+((ChemProps!D10/ChemCalcs!D10)*(DATENTER!$E$53^3.33/DATENTER!$D$53^2)))</f>
        <v>0</v>
      </c>
      <c r="G10" s="135">
        <f>IF(DATENTER!$D$28=0,0,(ChemProps!C10*(SiteCalcs!$J$28^3.33/DATENTER!$D$65^2))+((ChemProps!D10/ChemCalcs!D10)*(DATENTER!$E$65^3.33/DATENTER!$D$65^2)))</f>
        <v>0</v>
      </c>
      <c r="H10" s="135">
        <f>IF((VLOOKUP(A10,Props,3,FALSE))=0,0,((VLOOKUP(A10,Props,3,FALSE))*(SiteCalcs!$D$19^3.33/SiteCalcs!$C$19^2))+(((VLOOKUP(A10,Props,4,FALSE))/ChemCalcs!D10)*(SiteCalcs!$E$19^3.33/SiteCalcs!$C$19^2)))</f>
        <v>9.693491386644779E-4</v>
      </c>
      <c r="I10" s="205">
        <f>IF(AND(E10&gt;0,F10&gt;0,G10&gt;0),SiteCalcs!$B$11/(((IF(SiteCalcs!$B$11=1,1,DATENTER!$B$28-DATENTER!$B$14))/E10)+(DATENTER!$C$28/F10)+((DATENTER!$D$28-SiteCalcs!$B$19)/G10)+(SiteCalcs!$B$19/H10)),IF(AND(E10&gt;0,F10&gt;0,G10=0),SiteCalcs!$B$11/(((IF(SiteCalcs!$B$11=1,1,DATENTER!$B$28-DATENTER!$B$14))/E10)+((DATENTER!$C$28-SiteCalcs!$B$19)/F10)+(SiteCalcs!$B$19/H10)),IF(AND(E10&gt;0,F10=0,G10=0),SiteCalcs!$B$11/(((IF(SiteCalcs!$B$11=1,1,DATENTER!$B$28-DATENTER!$B$14)-SiteCalcs!$B$19)/E10)+(SiteCalcs!$B$19/H10)))))</f>
        <v>1.3305953353810207E-3</v>
      </c>
      <c r="J10" s="135">
        <f>ChemCalcs!E10</f>
        <v>2.6108211761411608E-3</v>
      </c>
      <c r="K10" s="260" t="e">
        <f>IF(DATENTER!$B$78="","ERROR",EXP((SiteCalcs!$L$11*DATENTER!$B$78)/(ChemCalcs!J10*SiteCalcs!$M$11)))</f>
        <v>#NUM!</v>
      </c>
      <c r="L10" s="206">
        <f>IF(ISERROR(K10),((ChemCalcs!I10*SiteCalcs!$E$11)/(SiteCalcs!$D$11*SiteCalcs!$B$11))/(((ChemCalcs!I10*SiteCalcs!$E$11)/(SiteCalcs!$L$11*SiteCalcs!$B$11))+1),(((ChemCalcs!I10*SiteCalcs!$E$11)/(SiteCalcs!$D$11*SiteCalcs!$B$11))*EXP((SiteCalcs!$L$11*DATENTER!$B$78)/(ChemCalcs!J10*SiteCalcs!$M$11)))/(EXP((SiteCalcs!$L$11*DATENTER!$B$78)/(ChemCalcs!J10*SiteCalcs!$M$11))+((ChemCalcs!I10*SiteCalcs!$E$11)/(SiteCalcs!$D$11*SiteCalcs!$B$11))+((ChemCalcs!I10*SiteCalcs!$E$11)/(SiteCalcs!$L$11*SiteCalcs!$B$11))*(EXP((SiteCalcs!$L$11*DATENTER!$B$78)/(ChemCalcs!J10*SiteCalcs!$M$11))-1)))</f>
        <v>6.1056856333372616E-4</v>
      </c>
    </row>
    <row r="11" spans="1:12" x14ac:dyDescent="0.25">
      <c r="A11" s="172" t="s">
        <v>216</v>
      </c>
      <c r="B11" s="136">
        <f>IF((VLOOKUP(A11,Props,10,FALSE))=0,0,IF((VLOOKUP(A11,Props,9,FALSE))/(VLOOKUP(A11,Props,10,FALSE))&lt;0.57,(VLOOKUP(A11,Props,8,FALSE))*((1-((DATENTER!$D$14+273.15)/(VLOOKUP(A11,Props,10,FALSE))))/(1-((VLOOKUP(A11,Props,9,FALSE))/(VLOOKUP(A11,Props,10,FALSE)))))^0.3,IF(AND((VLOOKUP(A11,Props,9,FALSE))/(VLOOKUP(A11,Props,10,FALSE))&gt;=0.57,(VLOOKUP(A11,Props,9,FALSE))/(VLOOKUP(A11,Props,10,FALSE))&lt;=0.71),(VLOOKUP(A11,Props,8,FALSE))*((1-((DATENTER!$D$14+273.15)/(VLOOKUP(A11,Props,10,FALSE))))/(1-((VLOOKUP(A11,Props,9,FALSE))/(VLOOKUP(A11,Props,10,FALSE)))))^(0.74*((VLOOKUP(A11,Props,9,FALSE))/(VLOOKUP(A11,Props,10,FALSE)))-0.116),(VLOOKUP(A11,Props,8,FALSE))*((1-((DATENTER!$D$14+273.15)/(VLOOKUP(A11,Props,10,FALSE))))/(1-((VLOOKUP(A11,Props,9,FALSE))/(VLOOKUP(A11,Props,10,FALSE)))))^0.41)))</f>
        <v>18352.651574351337</v>
      </c>
      <c r="C11" s="135">
        <f>EXP(-1*((B11/1.9872)*((1/(DATENTER!$D$14+273.15))-(1/((VLOOKUP(A11,Props,7,FALSE))+273.15)))))*(VLOOKUP(A11,Props,6,FALSE))</f>
        <v>1.0774977036916459E-5</v>
      </c>
      <c r="D11" s="135">
        <f>IF(DATENTER!$D$14="",0,C11/(0.00008206*(DATENTER!$D$14+273.15)))</f>
        <v>4.6373329106930671E-4</v>
      </c>
      <c r="E11" s="135">
        <f>IF((VLOOKUP(A11,Props,3,FALSE))=0,0,((VLOOKUP(A11,Props,3,FALSE))*(SiteCalcs!$B$28^3.33/DATENTER!$G$41^2))+(((VLOOKUP(A11,Props,4,FALSE))/ChemCalcs!D11)*(DATENTER!$H$41^3.33/DATENTER!$G$41^2)))</f>
        <v>6.4009279292398056E-3</v>
      </c>
      <c r="F11" s="135">
        <f>IF(DATENTER!$C$28=0,0,(ChemProps!C11*(SiteCalcs!$H$28^3.33/DATENTER!$D$53^2))+((ChemProps!D11/ChemCalcs!D11)*(DATENTER!$E$53^3.33/DATENTER!$D$53^2)))</f>
        <v>0</v>
      </c>
      <c r="G11" s="135">
        <f>IF(DATENTER!$D$28=0,0,(ChemProps!C11*(SiteCalcs!$J$28^3.33/DATENTER!$D$65^2))+((ChemProps!D11/ChemCalcs!D11)*(DATENTER!$E$65^3.33/DATENTER!$D$65^2)))</f>
        <v>0</v>
      </c>
      <c r="H11" s="135">
        <f>IF((VLOOKUP(A11,Props,3,FALSE))=0,0,((VLOOKUP(A11,Props,3,FALSE))*(SiteCalcs!$D$19^3.33/SiteCalcs!$C$19^2))+(((VLOOKUP(A11,Props,4,FALSE))/ChemCalcs!D11)*(SiteCalcs!$E$19^3.33/SiteCalcs!$C$19^2)))</f>
        <v>1.4780400290406179E-3</v>
      </c>
      <c r="I11" s="205">
        <f>IF(AND(E11&gt;0,F11&gt;0,G11&gt;0),SiteCalcs!$B$11/(((IF(SiteCalcs!$B$11=1,1,DATENTER!$B$28-DATENTER!$B$14))/E11)+(DATENTER!$C$28/F11)+((DATENTER!$D$28-SiteCalcs!$B$19)/G11)+(SiteCalcs!$B$19/H11)),IF(AND(E11&gt;0,F11&gt;0,G11=0),SiteCalcs!$B$11/(((IF(SiteCalcs!$B$11=1,1,DATENTER!$B$28-DATENTER!$B$14))/E11)+((DATENTER!$C$28-SiteCalcs!$B$19)/F11)+(SiteCalcs!$B$19/H11)),IF(AND(E11&gt;0,F11=0,G11=0),SiteCalcs!$B$11/(((IF(SiteCalcs!$B$11=1,1,DATENTER!$B$28-DATENTER!$B$14)-SiteCalcs!$B$19)/E11)+(SiteCalcs!$B$19/H11)))))</f>
        <v>2.2129890068354331E-3</v>
      </c>
      <c r="J11" s="135">
        <f>ChemCalcs!E11</f>
        <v>6.4009279292398056E-3</v>
      </c>
      <c r="K11" s="260">
        <f>IF(DATENTER!$B$78="","ERROR",EXP((SiteCalcs!$L$11*DATENTER!$B$78)/(ChemCalcs!J11*SiteCalcs!$M$11)))</f>
        <v>1.0229775885029053E+174</v>
      </c>
      <c r="L11" s="206">
        <f>IF(ISERROR(K11),((ChemCalcs!I11*SiteCalcs!$E$11)/(SiteCalcs!$D$11*SiteCalcs!$B$11))/(((ChemCalcs!I11*SiteCalcs!$E$11)/(SiteCalcs!$L$11*SiteCalcs!$B$11))+1),(((ChemCalcs!I11*SiteCalcs!$E$11)/(SiteCalcs!$D$11*SiteCalcs!$B$11))*EXP((SiteCalcs!$L$11*DATENTER!$B$78)/(ChemCalcs!J11*SiteCalcs!$M$11)))/(EXP((SiteCalcs!$L$11*DATENTER!$B$78)/(ChemCalcs!J11*SiteCalcs!$M$11))+((ChemCalcs!I11*SiteCalcs!$E$11)/(SiteCalcs!$D$11*SiteCalcs!$B$11))+((ChemCalcs!I11*SiteCalcs!$E$11)/(SiteCalcs!$L$11*SiteCalcs!$B$11))*(EXP((SiteCalcs!$L$11*DATENTER!$B$78)/(ChemCalcs!J11*SiteCalcs!$M$11))-1)))</f>
        <v>7.5384352440639984E-4</v>
      </c>
    </row>
    <row r="12" spans="1:12" x14ac:dyDescent="0.25">
      <c r="A12" s="172" t="s">
        <v>217</v>
      </c>
      <c r="B12" s="136">
        <f>IF((VLOOKUP(A12,Props,10,FALSE))=0,0,IF((VLOOKUP(A12,Props,9,FALSE))/(VLOOKUP(A12,Props,10,FALSE))&lt;0.57,(VLOOKUP(A12,Props,8,FALSE))*((1-((DATENTER!$D$14+273.15)/(VLOOKUP(A12,Props,10,FALSE))))/(1-((VLOOKUP(A12,Props,9,FALSE))/(VLOOKUP(A12,Props,10,FALSE)))))^0.3,IF(AND((VLOOKUP(A12,Props,9,FALSE))/(VLOOKUP(A12,Props,10,FALSE))&gt;=0.57,(VLOOKUP(A12,Props,9,FALSE))/(VLOOKUP(A12,Props,10,FALSE))&lt;=0.71),(VLOOKUP(A12,Props,8,FALSE))*((1-((DATENTER!$D$14+273.15)/(VLOOKUP(A12,Props,10,FALSE))))/(1-((VLOOKUP(A12,Props,9,FALSE))/(VLOOKUP(A12,Props,10,FALSE)))))^(0.74*((VLOOKUP(A12,Props,9,FALSE))/(VLOOKUP(A12,Props,10,FALSE)))-0.116),(VLOOKUP(A12,Props,8,FALSE))*((1-((DATENTER!$D$14+273.15)/(VLOOKUP(A12,Props,10,FALSE))))/(1-((VLOOKUP(A12,Props,9,FALSE))/(VLOOKUP(A12,Props,10,FALSE)))))^0.41)))</f>
        <v>0</v>
      </c>
      <c r="C12" s="135">
        <f>EXP(-1*((B12/1.9872)*((1/(DATENTER!$D$14+273.15))-(1/((VLOOKUP(A12,Props,7,FALSE))+273.15)))))*(VLOOKUP(A12,Props,6,FALSE))</f>
        <v>0</v>
      </c>
      <c r="D12" s="135">
        <f>IF(DATENTER!$D$14="",0,C12/(0.00008206*(DATENTER!$D$14+273.15)))</f>
        <v>0</v>
      </c>
      <c r="E12" s="135">
        <f>IF((VLOOKUP(A12,Props,3,FALSE))=0,0,((VLOOKUP(A12,Props,3,FALSE))*(SiteCalcs!$B$28^3.33/DATENTER!$G$41^2))+(((VLOOKUP(A12,Props,4,FALSE))/ChemCalcs!D12)*(DATENTER!$H$41^3.33/DATENTER!$G$41^2)))</f>
        <v>0</v>
      </c>
      <c r="F12" s="135"/>
      <c r="G12" s="135"/>
      <c r="H12" s="135">
        <f>IF((VLOOKUP(A12,Props,3,FALSE))=0,0,((VLOOKUP(A12,Props,3,FALSE))*(SiteCalcs!$D$19^3.33/SiteCalcs!$C$19^2))+(((VLOOKUP(A12,Props,4,FALSE))/ChemCalcs!D12)*(SiteCalcs!$E$19^3.33/SiteCalcs!$C$19^2)))</f>
        <v>0</v>
      </c>
      <c r="I12" s="205"/>
      <c r="J12" s="135"/>
      <c r="K12" s="260"/>
      <c r="L12" s="206"/>
    </row>
    <row r="13" spans="1:12" x14ac:dyDescent="0.25">
      <c r="A13" s="172" t="s">
        <v>218</v>
      </c>
      <c r="B13" s="136">
        <f>IF((VLOOKUP(A13,Props,10,FALSE))=0,0,IF((VLOOKUP(A13,Props,9,FALSE))/(VLOOKUP(A13,Props,10,FALSE))&lt;0.57,(VLOOKUP(A13,Props,8,FALSE))*((1-((DATENTER!$D$14+273.15)/(VLOOKUP(A13,Props,10,FALSE))))/(1-((VLOOKUP(A13,Props,9,FALSE))/(VLOOKUP(A13,Props,10,FALSE)))))^0.3,IF(AND((VLOOKUP(A13,Props,9,FALSE))/(VLOOKUP(A13,Props,10,FALSE))&gt;=0.57,(VLOOKUP(A13,Props,9,FALSE))/(VLOOKUP(A13,Props,10,FALSE))&lt;=0.71),(VLOOKUP(A13,Props,8,FALSE))*((1-((DATENTER!$D$14+273.15)/(VLOOKUP(A13,Props,10,FALSE))))/(1-((VLOOKUP(A13,Props,9,FALSE))/(VLOOKUP(A13,Props,10,FALSE)))))^(0.74*((VLOOKUP(A13,Props,9,FALSE))/(VLOOKUP(A13,Props,10,FALSE)))-0.116),(VLOOKUP(A13,Props,8,FALSE))*((1-((DATENTER!$D$14+273.15)/(VLOOKUP(A13,Props,10,FALSE))))/(1-((VLOOKUP(A13,Props,9,FALSE))/(VLOOKUP(A13,Props,10,FALSE)))))^0.41)))</f>
        <v>0</v>
      </c>
      <c r="C13" s="135">
        <f>EXP(-1*((B13/1.9872)*((1/(DATENTER!$D$14+273.15))-(1/((VLOOKUP(A13,Props,7,FALSE))+273.15)))))*(VLOOKUP(A13,Props,6,FALSE))</f>
        <v>0</v>
      </c>
      <c r="D13" s="135">
        <f>IF(DATENTER!$D$14="",0,C13/(0.00008206*(DATENTER!$D$14+273.15)))</f>
        <v>0</v>
      </c>
      <c r="E13" s="135">
        <f>IF((VLOOKUP(A13,Props,3,FALSE))=0,0,((VLOOKUP(A13,Props,3,FALSE))*(SiteCalcs!$B$28^3.33/DATENTER!$G$41^2))+(((VLOOKUP(A13,Props,4,FALSE))/ChemCalcs!D13)*(DATENTER!$H$41^3.33/DATENTER!$G$41^2)))</f>
        <v>0</v>
      </c>
      <c r="F13" s="135"/>
      <c r="G13" s="135"/>
      <c r="H13" s="135">
        <f>IF((VLOOKUP(A13,Props,3,FALSE))=0,0,((VLOOKUP(A13,Props,3,FALSE))*(SiteCalcs!$D$19^3.33/SiteCalcs!$C$19^2))+(((VLOOKUP(A13,Props,4,FALSE))/ChemCalcs!D13)*(SiteCalcs!$E$19^3.33/SiteCalcs!$C$19^2)))</f>
        <v>0</v>
      </c>
      <c r="I13" s="205"/>
      <c r="J13" s="135"/>
      <c r="K13" s="260"/>
      <c r="L13" s="206"/>
    </row>
    <row r="14" spans="1:12" x14ac:dyDescent="0.25">
      <c r="A14" s="172" t="s">
        <v>219</v>
      </c>
      <c r="B14" s="136">
        <f>IF((VLOOKUP(A14,Props,10,FALSE))=0,0,IF((VLOOKUP(A14,Props,9,FALSE))/(VLOOKUP(A14,Props,10,FALSE))&lt;0.57,(VLOOKUP(A14,Props,8,FALSE))*((1-((DATENTER!$D$14+273.15)/(VLOOKUP(A14,Props,10,FALSE))))/(1-((VLOOKUP(A14,Props,9,FALSE))/(VLOOKUP(A14,Props,10,FALSE)))))^0.3,IF(AND((VLOOKUP(A14,Props,9,FALSE))/(VLOOKUP(A14,Props,10,FALSE))&gt;=0.57,(VLOOKUP(A14,Props,9,FALSE))/(VLOOKUP(A14,Props,10,FALSE))&lt;=0.71),(VLOOKUP(A14,Props,8,FALSE))*((1-((DATENTER!$D$14+273.15)/(VLOOKUP(A14,Props,10,FALSE))))/(1-((VLOOKUP(A14,Props,9,FALSE))/(VLOOKUP(A14,Props,10,FALSE)))))^(0.74*((VLOOKUP(A14,Props,9,FALSE))/(VLOOKUP(A14,Props,10,FALSE)))-0.116),(VLOOKUP(A14,Props,8,FALSE))*((1-((DATENTER!$D$14+273.15)/(VLOOKUP(A14,Props,10,FALSE))))/(1-((VLOOKUP(A14,Props,9,FALSE))/(VLOOKUP(A14,Props,10,FALSE)))))^0.41)))</f>
        <v>0</v>
      </c>
      <c r="C14" s="135">
        <f>EXP(-1*((B14/1.9872)*((1/(DATENTER!$D$14+273.15))-(1/((VLOOKUP(A14,Props,7,FALSE))+273.15)))))*(VLOOKUP(A14,Props,6,FALSE))</f>
        <v>0</v>
      </c>
      <c r="D14" s="135">
        <f>IF(DATENTER!$D$14="",0,C14/(0.00008206*(DATENTER!$D$14+273.15)))</f>
        <v>0</v>
      </c>
      <c r="E14" s="135">
        <f>IF((VLOOKUP(A14,Props,3,FALSE))=0,0,((VLOOKUP(A14,Props,3,FALSE))*(SiteCalcs!$B$28^3.33/DATENTER!$G$41^2))+(((VLOOKUP(A14,Props,4,FALSE))/ChemCalcs!D14)*(DATENTER!$H$41^3.33/DATENTER!$G$41^2)))</f>
        <v>0</v>
      </c>
      <c r="F14" s="135"/>
      <c r="G14" s="135"/>
      <c r="H14" s="135">
        <f>IF((VLOOKUP(A14,Props,3,FALSE))=0,0,((VLOOKUP(A14,Props,3,FALSE))*(SiteCalcs!$D$19^3.33/SiteCalcs!$C$19^2))+(((VLOOKUP(A14,Props,4,FALSE))/ChemCalcs!D14)*(SiteCalcs!$E$19^3.33/SiteCalcs!$C$19^2)))</f>
        <v>0</v>
      </c>
      <c r="I14" s="205"/>
      <c r="J14" s="135"/>
      <c r="K14" s="260"/>
      <c r="L14" s="206"/>
    </row>
    <row r="15" spans="1:12" x14ac:dyDescent="0.25">
      <c r="A15" s="172" t="s">
        <v>220</v>
      </c>
      <c r="B15" s="136">
        <f>IF((VLOOKUP(A15,Props,10,FALSE))=0,0,IF((VLOOKUP(A15,Props,9,FALSE))/(VLOOKUP(A15,Props,10,FALSE))&lt;0.57,(VLOOKUP(A15,Props,8,FALSE))*((1-((DATENTER!$D$14+273.15)/(VLOOKUP(A15,Props,10,FALSE))))/(1-((VLOOKUP(A15,Props,9,FALSE))/(VLOOKUP(A15,Props,10,FALSE)))))^0.3,IF(AND((VLOOKUP(A15,Props,9,FALSE))/(VLOOKUP(A15,Props,10,FALSE))&gt;=0.57,(VLOOKUP(A15,Props,9,FALSE))/(VLOOKUP(A15,Props,10,FALSE))&lt;=0.71),(VLOOKUP(A15,Props,8,FALSE))*((1-((DATENTER!$D$14+273.15)/(VLOOKUP(A15,Props,10,FALSE))))/(1-((VLOOKUP(A15,Props,9,FALSE))/(VLOOKUP(A15,Props,10,FALSE)))))^(0.74*((VLOOKUP(A15,Props,9,FALSE))/(VLOOKUP(A15,Props,10,FALSE)))-0.116),(VLOOKUP(A15,Props,8,FALSE))*((1-((DATENTER!$D$14+273.15)/(VLOOKUP(A15,Props,10,FALSE))))/(1-((VLOOKUP(A15,Props,9,FALSE))/(VLOOKUP(A15,Props,10,FALSE)))))^0.41)))</f>
        <v>8121.9653773871232</v>
      </c>
      <c r="C15" s="135">
        <f>EXP(-1*((B15/1.9872)*((1/(DATENTER!$D$14+273.15))-(1/((VLOOKUP(A15,Props,7,FALSE))+273.15)))))*(VLOOKUP(A15,Props,6,FALSE))</f>
        <v>2.6847633689639021E-3</v>
      </c>
      <c r="D15" s="135">
        <f>IF(DATENTER!$D$14="",0,C15/(0.00008206*(DATENTER!$D$14+273.15)))</f>
        <v>0.11554680335432464</v>
      </c>
      <c r="E15" s="135">
        <f>IF((VLOOKUP(A15,Props,3,FALSE))=0,0,((VLOOKUP(A15,Props,3,FALSE))*(SiteCalcs!$B$28^3.33/DATENTER!$G$41^2))+(((VLOOKUP(A15,Props,4,FALSE))/ChemCalcs!D15)*(DATENTER!$H$41^3.33/DATENTER!$G$41^2)))</f>
        <v>1.7364348016958853E-2</v>
      </c>
      <c r="F15" s="135">
        <f>IF(DATENTER!$C$28=0,0,(ChemProps!C15*(SiteCalcs!$H$28^3.33/DATENTER!$D$53^2))+((ChemProps!D15/ChemCalcs!D15)*(DATENTER!$E$53^3.33/DATENTER!$D$53^2)))</f>
        <v>0</v>
      </c>
      <c r="G15" s="135">
        <f>IF(DATENTER!$D$28=0,0,(ChemProps!C15*(SiteCalcs!$J$28^3.33/DATENTER!$D$65^2))+((ChemProps!D15/ChemCalcs!D15)*(DATENTER!$E$65^3.33/DATENTER!$D$65^2)))</f>
        <v>0</v>
      </c>
      <c r="H15" s="135">
        <f>IF((VLOOKUP(A15,Props,3,FALSE))=0,0,((VLOOKUP(A15,Props,3,FALSE))*(SiteCalcs!$D$19^3.33/SiteCalcs!$C$19^2))+(((VLOOKUP(A15,Props,4,FALSE))/ChemCalcs!D15)*(SiteCalcs!$E$19^3.33/SiteCalcs!$C$19^2)))</f>
        <v>1.4878898773752047E-3</v>
      </c>
      <c r="I15" s="205">
        <f>IF(AND(E15&gt;0,F15&gt;0,G15&gt;0),SiteCalcs!$B$11/(((IF(SiteCalcs!$B$11=1,1,DATENTER!$B$28-DATENTER!$B$14))/E15)+(DATENTER!$C$28/F15)+((DATENTER!$D$28-SiteCalcs!$B$19)/G15)+(SiteCalcs!$B$19/H15)),IF(AND(E15&gt;0,F15&gt;0,G15=0),SiteCalcs!$B$11/(((IF(SiteCalcs!$B$11=1,1,DATENTER!$B$28-DATENTER!$B$14))/E15)+((DATENTER!$C$28-SiteCalcs!$B$19)/F15)+(SiteCalcs!$B$19/H15)),IF(AND(E15&gt;0,F15=0,G15=0),SiteCalcs!$B$11/(((IF(SiteCalcs!$B$11=1,1,DATENTER!$B$28-DATENTER!$B$14)-SiteCalcs!$B$19)/E15)+(SiteCalcs!$B$19/H15)))))</f>
        <v>2.4585792602269175E-3</v>
      </c>
      <c r="J15" s="135">
        <f>ChemCalcs!E15</f>
        <v>1.7364348016958853E-2</v>
      </c>
      <c r="K15" s="260">
        <f>IF(DATENTER!$B$78="","ERROR",EXP((SiteCalcs!$L$11*DATENTER!$B$78)/(ChemCalcs!J15*SiteCalcs!$M$11)))</f>
        <v>1.3942421583941042E+64</v>
      </c>
      <c r="L15" s="206">
        <f>IF(ISERROR(K15),((ChemCalcs!I15*SiteCalcs!$E$11)/(SiteCalcs!$D$11*SiteCalcs!$B$11))/(((ChemCalcs!I15*SiteCalcs!$E$11)/(SiteCalcs!$L$11*SiteCalcs!$B$11))+1),(((ChemCalcs!I15*SiteCalcs!$E$11)/(SiteCalcs!$D$11*SiteCalcs!$B$11))*EXP((SiteCalcs!$L$11*DATENTER!$B$78)/(ChemCalcs!J15*SiteCalcs!$M$11)))/(EXP((SiteCalcs!$L$11*DATENTER!$B$78)/(ChemCalcs!J15*SiteCalcs!$M$11))+((ChemCalcs!I15*SiteCalcs!$E$11)/(SiteCalcs!$D$11*SiteCalcs!$B$11))+((ChemCalcs!I15*SiteCalcs!$E$11)/(SiteCalcs!$L$11*SiteCalcs!$B$11))*(EXP((SiteCalcs!$L$11*DATENTER!$B$78)/(ChemCalcs!J15*SiteCalcs!$M$11))-1)))</f>
        <v>7.8146559607602053E-4</v>
      </c>
    </row>
    <row r="16" spans="1:12" x14ac:dyDescent="0.25">
      <c r="A16" s="172" t="s">
        <v>221</v>
      </c>
      <c r="B16" s="136">
        <f>IF((VLOOKUP(A16,Props,10,FALSE))=0,0,IF((VLOOKUP(A16,Props,9,FALSE))/(VLOOKUP(A16,Props,10,FALSE))&lt;0.57,(VLOOKUP(A16,Props,8,FALSE))*((1-((DATENTER!$D$14+273.15)/(VLOOKUP(A16,Props,10,FALSE))))/(1-((VLOOKUP(A16,Props,9,FALSE))/(VLOOKUP(A16,Props,10,FALSE)))))^0.3,IF(AND((VLOOKUP(A16,Props,9,FALSE))/(VLOOKUP(A16,Props,10,FALSE))&gt;=0.57,(VLOOKUP(A16,Props,9,FALSE))/(VLOOKUP(A16,Props,10,FALSE))&lt;=0.71),(VLOOKUP(A16,Props,8,FALSE))*((1-((DATENTER!$D$14+273.15)/(VLOOKUP(A16,Props,10,FALSE))))/(1-((VLOOKUP(A16,Props,9,FALSE))/(VLOOKUP(A16,Props,10,FALSE)))))^(0.74*((VLOOKUP(A16,Props,9,FALSE))/(VLOOKUP(A16,Props,10,FALSE)))-0.116),(VLOOKUP(A16,Props,8,FALSE))*((1-((DATENTER!$D$14+273.15)/(VLOOKUP(A16,Props,10,FALSE))))/(1-((VLOOKUP(A16,Props,9,FALSE))/(VLOOKUP(A16,Props,10,FALSE)))))^0.41)))</f>
        <v>21511.158441510132</v>
      </c>
      <c r="C16" s="135">
        <f>EXP(-1*((B16/1.9872)*((1/(DATENTER!$D$14+273.15))-(1/((VLOOKUP(A16,Props,7,FALSE))+273.15)))))*(VLOOKUP(A16,Props,6,FALSE))</f>
        <v>1.7533704678455069E-6</v>
      </c>
      <c r="D16" s="135">
        <f>IF(DATENTER!$D$14="",0,C16/(0.00008206*(DATENTER!$D$14+273.15)))</f>
        <v>7.5461530426650046E-5</v>
      </c>
      <c r="E16" s="135">
        <f>IF((VLOOKUP(A16,Props,3,FALSE))=0,0,((VLOOKUP(A16,Props,3,FALSE))*(SiteCalcs!$B$28^3.33/DATENTER!$G$41^2))+(((VLOOKUP(A16,Props,4,FALSE))/ChemCalcs!D16)*(DATENTER!$H$41^3.33/DATENTER!$G$41^2)))</f>
        <v>1.0118464681360271E-2</v>
      </c>
      <c r="F16" s="135">
        <f>IF(DATENTER!$C$28=0,0,(ChemProps!C16*(SiteCalcs!$H$28^3.33/DATENTER!$D$53^2))+((ChemProps!D16/ChemCalcs!D16)*(DATENTER!$E$53^3.33/DATENTER!$D$53^2)))</f>
        <v>0</v>
      </c>
      <c r="G16" s="135">
        <f>IF(DATENTER!$D$28=0,0,(ChemProps!C16*(SiteCalcs!$J$28^3.33/DATENTER!$D$65^2))+((ChemProps!D16/ChemCalcs!D16)*(DATENTER!$E$65^3.33/DATENTER!$D$65^2)))</f>
        <v>0</v>
      </c>
      <c r="H16" s="135">
        <f>IF((VLOOKUP(A16,Props,3,FALSE))=0,0,((VLOOKUP(A16,Props,3,FALSE))*(SiteCalcs!$D$19^3.33/SiteCalcs!$C$19^2))+(((VLOOKUP(A16,Props,4,FALSE))/ChemCalcs!D16)*(SiteCalcs!$E$19^3.33/SiteCalcs!$C$19^2)))</f>
        <v>7.5191222637796193E-3</v>
      </c>
      <c r="I16" s="205">
        <f>IF(AND(E16&gt;0,F16&gt;0,G16&gt;0),SiteCalcs!$B$11/(((IF(SiteCalcs!$B$11=1,1,DATENTER!$B$28-DATENTER!$B$14))/E16)+(DATENTER!$C$28/F16)+((DATENTER!$D$28-SiteCalcs!$B$19)/G16)+(SiteCalcs!$B$19/H16)),IF(AND(E16&gt;0,F16&gt;0,G16=0),SiteCalcs!$B$11/(((IF(SiteCalcs!$B$11=1,1,DATENTER!$B$28-DATENTER!$B$14))/E16)+((DATENTER!$C$28-SiteCalcs!$B$19)/F16)+(SiteCalcs!$B$19/H16)),IF(AND(E16&gt;0,F16=0,G16=0),SiteCalcs!$B$11/(((IF(SiteCalcs!$B$11=1,1,DATENTER!$B$28-DATENTER!$B$14)-SiteCalcs!$B$19)/E16)+(SiteCalcs!$B$19/H16)))))</f>
        <v>8.4572912820788312E-3</v>
      </c>
      <c r="J16" s="135">
        <f>ChemCalcs!E16</f>
        <v>1.0118464681360271E-2</v>
      </c>
      <c r="K16" s="260">
        <f>IF(DATENTER!$B$78="","ERROR",EXP((SiteCalcs!$L$11*DATENTER!$B$78)/(ChemCalcs!J16*SiteCalcs!$M$11)))</f>
        <v>1.1979003652733902E+110</v>
      </c>
      <c r="L16" s="206">
        <f>IF(ISERROR(K16),((ChemCalcs!I16*SiteCalcs!$E$11)/(SiteCalcs!$D$11*SiteCalcs!$B$11))/(((ChemCalcs!I16*SiteCalcs!$E$11)/(SiteCalcs!$L$11*SiteCalcs!$B$11))+1),(((ChemCalcs!I16*SiteCalcs!$E$11)/(SiteCalcs!$D$11*SiteCalcs!$B$11))*EXP((SiteCalcs!$L$11*DATENTER!$B$78)/(ChemCalcs!J16*SiteCalcs!$M$11)))/(EXP((SiteCalcs!$L$11*DATENTER!$B$78)/(ChemCalcs!J16*SiteCalcs!$M$11))+((ChemCalcs!I16*SiteCalcs!$E$11)/(SiteCalcs!$D$11*SiteCalcs!$B$11))+((ChemCalcs!I16*SiteCalcs!$E$11)/(SiteCalcs!$L$11*SiteCalcs!$B$11))*(EXP((SiteCalcs!$L$11*DATENTER!$B$78)/(ChemCalcs!J16*SiteCalcs!$M$11))-1)))</f>
        <v>1.0204442971658836E-3</v>
      </c>
    </row>
    <row r="17" spans="1:12" x14ac:dyDescent="0.25">
      <c r="A17" s="172" t="s">
        <v>222</v>
      </c>
      <c r="B17" s="136">
        <f>IF((VLOOKUP(A17,Props,10,FALSE))=0,0,IF((VLOOKUP(A17,Props,9,FALSE))/(VLOOKUP(A17,Props,10,FALSE))&lt;0.57,(VLOOKUP(A17,Props,8,FALSE))*((1-((DATENTER!$D$14+273.15)/(VLOOKUP(A17,Props,10,FALSE))))/(1-((VLOOKUP(A17,Props,9,FALSE))/(VLOOKUP(A17,Props,10,FALSE)))))^0.3,IF(AND((VLOOKUP(A17,Props,9,FALSE))/(VLOOKUP(A17,Props,10,FALSE))&gt;=0.57,(VLOOKUP(A17,Props,9,FALSE))/(VLOOKUP(A17,Props,10,FALSE))&lt;=0.71),(VLOOKUP(A17,Props,8,FALSE))*((1-((DATENTER!$D$14+273.15)/(VLOOKUP(A17,Props,10,FALSE))))/(1-((VLOOKUP(A17,Props,9,FALSE))/(VLOOKUP(A17,Props,10,FALSE)))))^(0.74*((VLOOKUP(A17,Props,9,FALSE))/(VLOOKUP(A17,Props,10,FALSE)))-0.116),(VLOOKUP(A17,Props,8,FALSE))*((1-((DATENTER!$D$14+273.15)/(VLOOKUP(A17,Props,10,FALSE))))/(1-((VLOOKUP(A17,Props,9,FALSE))/(VLOOKUP(A17,Props,10,FALSE)))))^0.41)))</f>
        <v>22567.095301145255</v>
      </c>
      <c r="C17" s="135">
        <f>EXP(-1*((B17/1.9872)*((1/(DATENTER!$D$14+273.15))-(1/((VLOOKUP(A17,Props,7,FALSE))+273.15)))))*(VLOOKUP(A17,Props,6,FALSE))</f>
        <v>6.0758238744253013E-8</v>
      </c>
      <c r="D17" s="135">
        <f>IF(DATENTER!$D$14="",0,C17/(0.00008206*(DATENTER!$D$14+273.15)))</f>
        <v>2.614912116834571E-6</v>
      </c>
      <c r="E17" s="135">
        <f>IF((VLOOKUP(A17,Props,3,FALSE))=0,0,((VLOOKUP(A17,Props,3,FALSE))*(SiteCalcs!$B$28^3.33/DATENTER!$G$41^2))+(((VLOOKUP(A17,Props,4,FALSE))/ChemCalcs!D17)*(DATENTER!$H$41^3.33/DATENTER!$G$41^2)))</f>
        <v>1.0073716640559211E-2</v>
      </c>
      <c r="F17" s="135">
        <f>IF(DATENTER!$C$28=0,0,(ChemProps!C17*(SiteCalcs!$H$28^3.33/DATENTER!$D$53^2))+((ChemProps!D17/ChemCalcs!D17)*(DATENTER!$E$53^3.33/DATENTER!$D$53^2)))</f>
        <v>0</v>
      </c>
      <c r="G17" s="135">
        <f>IF(DATENTER!$D$28=0,0,(ChemProps!C17*(SiteCalcs!$J$28^3.33/DATENTER!$D$65^2))+((ChemProps!D17/ChemCalcs!D17)*(DATENTER!$E$65^3.33/DATENTER!$D$65^2)))</f>
        <v>0</v>
      </c>
      <c r="H17" s="135">
        <f>IF((VLOOKUP(A17,Props,3,FALSE))=0,0,((VLOOKUP(A17,Props,3,FALSE))*(SiteCalcs!$D$19^3.33/SiteCalcs!$C$19^2))+(((VLOOKUP(A17,Props,4,FALSE))/ChemCalcs!D17)*(SiteCalcs!$E$19^3.33/SiteCalcs!$C$19^2)))</f>
        <v>0.19290751985867996</v>
      </c>
      <c r="I17" s="205">
        <f>IF(AND(E17&gt;0,F17&gt;0,G17&gt;0),SiteCalcs!$B$11/(((IF(SiteCalcs!$B$11=1,1,DATENTER!$B$28-DATENTER!$B$14))/E17)+(DATENTER!$C$28/F17)+((DATENTER!$D$28-SiteCalcs!$B$19)/G17)+(SiteCalcs!$B$19/H17)),IF(AND(E17&gt;0,F17&gt;0,G17=0),SiteCalcs!$B$11/(((IF(SiteCalcs!$B$11=1,1,DATENTER!$B$28-DATENTER!$B$14))/E17)+((DATENTER!$C$28-SiteCalcs!$B$19)/F17)+(SiteCalcs!$B$19/H17)),IF(AND(E17&gt;0,F17=0,G17=0),SiteCalcs!$B$11/(((IF(SiteCalcs!$B$11=1,1,DATENTER!$B$28-DATENTER!$B$14)-SiteCalcs!$B$19)/E17)+(SiteCalcs!$B$19/H17)))))</f>
        <v>2.1828730591695194E-2</v>
      </c>
      <c r="J17" s="135">
        <f>ChemCalcs!E17</f>
        <v>1.0073716640559211E-2</v>
      </c>
      <c r="K17" s="260">
        <f>IF(DATENTER!$B$78="","ERROR",EXP((SiteCalcs!$L$11*DATENTER!$B$78)/(ChemCalcs!J17*SiteCalcs!$M$11)))</f>
        <v>3.6931377392129764E+110</v>
      </c>
      <c r="L17" s="206">
        <f>IF(ISERROR(K17),((ChemCalcs!I17*SiteCalcs!$E$11)/(SiteCalcs!$D$11*SiteCalcs!$B$11))/(((ChemCalcs!I17*SiteCalcs!$E$11)/(SiteCalcs!$L$11*SiteCalcs!$B$11))+1),(((ChemCalcs!I17*SiteCalcs!$E$11)/(SiteCalcs!$D$11*SiteCalcs!$B$11))*EXP((SiteCalcs!$L$11*DATENTER!$B$78)/(ChemCalcs!J17*SiteCalcs!$M$11)))/(EXP((SiteCalcs!$L$11*DATENTER!$B$78)/(ChemCalcs!J17*SiteCalcs!$M$11))+((ChemCalcs!I17*SiteCalcs!$E$11)/(SiteCalcs!$D$11*SiteCalcs!$B$11))+((ChemCalcs!I17*SiteCalcs!$E$11)/(SiteCalcs!$L$11*SiteCalcs!$B$11))*(EXP((SiteCalcs!$L$11*DATENTER!$B$78)/(ChemCalcs!J17*SiteCalcs!$M$11))-1)))</f>
        <v>1.1053051524887098E-3</v>
      </c>
    </row>
    <row r="18" spans="1:12" x14ac:dyDescent="0.25">
      <c r="A18" s="172" t="s">
        <v>223</v>
      </c>
      <c r="B18" s="136">
        <f>IF((VLOOKUP(A18,Props,10,FALSE))=0,0,IF((VLOOKUP(A18,Props,9,FALSE))/(VLOOKUP(A18,Props,10,FALSE))&lt;0.57,(VLOOKUP(A18,Props,8,FALSE))*((1-((DATENTER!$D$14+273.15)/(VLOOKUP(A18,Props,10,FALSE))))/(1-((VLOOKUP(A18,Props,9,FALSE))/(VLOOKUP(A18,Props,10,FALSE)))))^0.3,IF(AND((VLOOKUP(A18,Props,9,FALSE))/(VLOOKUP(A18,Props,10,FALSE))&gt;=0.57,(VLOOKUP(A18,Props,9,FALSE))/(VLOOKUP(A18,Props,10,FALSE))&lt;=0.71),(VLOOKUP(A18,Props,8,FALSE))*((1-((DATENTER!$D$14+273.15)/(VLOOKUP(A18,Props,10,FALSE))))/(1-((VLOOKUP(A18,Props,9,FALSE))/(VLOOKUP(A18,Props,10,FALSE)))))^(0.74*((VLOOKUP(A18,Props,9,FALSE))/(VLOOKUP(A18,Props,10,FALSE)))-0.116),(VLOOKUP(A18,Props,8,FALSE))*((1-((DATENTER!$D$14+273.15)/(VLOOKUP(A18,Props,10,FALSE))))/(1-((VLOOKUP(A18,Props,9,FALSE))/(VLOOKUP(A18,Props,10,FALSE)))))^0.41)))</f>
        <v>22567.095301145255</v>
      </c>
      <c r="C18" s="135">
        <f>EXP(-1*((B18/1.9872)*((1/(DATENTER!$D$14+273.15))-(1/((VLOOKUP(A18,Props,7,FALSE))+273.15)))))*(VLOOKUP(A18,Props,6,FALSE))</f>
        <v>8.7348277582000515E-8</v>
      </c>
      <c r="D18" s="135">
        <f>IF(DATENTER!$D$14="",0,C18/(0.00008206*(DATENTER!$D$14+273.15)))</f>
        <v>3.7592937872216924E-6</v>
      </c>
      <c r="E18" s="135">
        <f>IF((VLOOKUP(A18,Props,3,FALSE))=0,0,((VLOOKUP(A18,Props,3,FALSE))*(SiteCalcs!$B$28^3.33/DATENTER!$G$41^2))+(((VLOOKUP(A18,Props,4,FALSE))/ChemCalcs!D18)*(DATENTER!$H$41^3.33/DATENTER!$G$41^2)))</f>
        <v>5.1422415618506846E-3</v>
      </c>
      <c r="F18" s="135">
        <f>IF(DATENTER!$C$28=0,0,(ChemProps!C18*(SiteCalcs!$H$28^3.33/DATENTER!$D$53^2))+((ChemProps!D18/ChemCalcs!D18)*(DATENTER!$E$53^3.33/DATENTER!$D$53^2)))</f>
        <v>0</v>
      </c>
      <c r="G18" s="135">
        <f>IF(DATENTER!$D$28=0,0,(ChemProps!C18*(SiteCalcs!$J$28^3.33/DATENTER!$D$65^2))+((ChemProps!D18/ChemCalcs!D18)*(DATENTER!$E$65^3.33/DATENTER!$D$65^2)))</f>
        <v>0</v>
      </c>
      <c r="H18" s="135">
        <f>IF((VLOOKUP(A18,Props,3,FALSE))=0,0,((VLOOKUP(A18,Props,3,FALSE))*(SiteCalcs!$D$19^3.33/SiteCalcs!$C$19^2))+(((VLOOKUP(A18,Props,4,FALSE))/ChemCalcs!D18)*(SiteCalcs!$E$19^3.33/SiteCalcs!$C$19^2)))</f>
        <v>8.2965225666148223E-2</v>
      </c>
      <c r="I18" s="205">
        <f>IF(AND(E18&gt;0,F18&gt;0,G18&gt;0),SiteCalcs!$B$11/(((IF(SiteCalcs!$B$11=1,1,DATENTER!$B$28-DATENTER!$B$14))/E18)+(DATENTER!$C$28/F18)+((DATENTER!$D$28-SiteCalcs!$B$19)/G18)+(SiteCalcs!$B$19/H18)),IF(AND(E18&gt;0,F18&gt;0,G18=0),SiteCalcs!$B$11/(((IF(SiteCalcs!$B$11=1,1,DATENTER!$B$28-DATENTER!$B$14))/E18)+((DATENTER!$C$28-SiteCalcs!$B$19)/F18)+(SiteCalcs!$B$19/H18)),IF(AND(E18&gt;0,F18=0,G18=0),SiteCalcs!$B$11/(((IF(SiteCalcs!$B$11=1,1,DATENTER!$B$28-DATENTER!$B$14)-SiteCalcs!$B$19)/E18)+(SiteCalcs!$B$19/H18)))))</f>
        <v>1.1010410960001339E-2</v>
      </c>
      <c r="J18" s="135">
        <f>ChemCalcs!E18</f>
        <v>5.1422415618506846E-3</v>
      </c>
      <c r="K18" s="260">
        <f>IF(DATENTER!$B$78="","ERROR",EXP((SiteCalcs!$L$11*DATENTER!$B$78)/(ChemCalcs!J18*SiteCalcs!$M$11)))</f>
        <v>4.0080622807010742E+216</v>
      </c>
      <c r="L18" s="206">
        <f>IF(ISERROR(K18),((ChemCalcs!I18*SiteCalcs!$E$11)/(SiteCalcs!$D$11*SiteCalcs!$B$11))/(((ChemCalcs!I18*SiteCalcs!$E$11)/(SiteCalcs!$L$11*SiteCalcs!$B$11))+1),(((ChemCalcs!I18*SiteCalcs!$E$11)/(SiteCalcs!$D$11*SiteCalcs!$B$11))*EXP((SiteCalcs!$L$11*DATENTER!$B$78)/(ChemCalcs!J18*SiteCalcs!$M$11)))/(EXP((SiteCalcs!$L$11*DATENTER!$B$78)/(ChemCalcs!J18*SiteCalcs!$M$11))+((ChemCalcs!I18*SiteCalcs!$E$11)/(SiteCalcs!$D$11*SiteCalcs!$B$11))+((ChemCalcs!I18*SiteCalcs!$E$11)/(SiteCalcs!$L$11*SiteCalcs!$B$11))*(EXP((SiteCalcs!$L$11*DATENTER!$B$78)/(ChemCalcs!J18*SiteCalcs!$M$11))-1)))</f>
        <v>1.0509893943233179E-3</v>
      </c>
    </row>
    <row r="19" spans="1:12" x14ac:dyDescent="0.25">
      <c r="A19" s="172" t="s">
        <v>224</v>
      </c>
      <c r="B19" s="136">
        <f>IF((VLOOKUP(A19,Props,10,FALSE))=0,0,IF((VLOOKUP(A19,Props,9,FALSE))/(VLOOKUP(A19,Props,10,FALSE))&lt;0.57,(VLOOKUP(A19,Props,8,FALSE))*((1-((DATENTER!$D$14+273.15)/(VLOOKUP(A19,Props,10,FALSE))))/(1-((VLOOKUP(A19,Props,9,FALSE))/(VLOOKUP(A19,Props,10,FALSE)))))^0.3,IF(AND((VLOOKUP(A19,Props,9,FALSE))/(VLOOKUP(A19,Props,10,FALSE))&gt;=0.57,(VLOOKUP(A19,Props,9,FALSE))/(VLOOKUP(A19,Props,10,FALSE))&lt;=0.71),(VLOOKUP(A19,Props,8,FALSE))*((1-((DATENTER!$D$14+273.15)/(VLOOKUP(A19,Props,10,FALSE))))/(1-((VLOOKUP(A19,Props,9,FALSE))/(VLOOKUP(A19,Props,10,FALSE)))))^(0.74*((VLOOKUP(A19,Props,9,FALSE))/(VLOOKUP(A19,Props,10,FALSE)))-0.116),(VLOOKUP(A19,Props,8,FALSE))*((1-((DATENTER!$D$14+273.15)/(VLOOKUP(A19,Props,10,FALSE))))/(1-((VLOOKUP(A19,Props,9,FALSE))/(VLOOKUP(A19,Props,10,FALSE)))))^0.41)))</f>
        <v>29103.262669450152</v>
      </c>
      <c r="C19" s="135">
        <f>EXP(-1*((B19/1.9872)*((1/(DATENTER!$D$14+273.15))-(1/((VLOOKUP(A19,Props,7,FALSE))+273.15)))))*(VLOOKUP(A19,Props,6,FALSE))</f>
        <v>2.4530629620006231E-8</v>
      </c>
      <c r="D19" s="135">
        <f>IF(DATENTER!$D$14="",0,C19/(0.00008206*(DATENTER!$D$14+273.15)))</f>
        <v>1.0557488490892554E-6</v>
      </c>
      <c r="E19" s="135">
        <f>IF((VLOOKUP(A19,Props,3,FALSE))=0,0,((VLOOKUP(A19,Props,3,FALSE))*(SiteCalcs!$B$28^3.33/DATENTER!$G$41^2))+(((VLOOKUP(A19,Props,4,FALSE))/ChemCalcs!D19)*(DATENTER!$H$41^3.33/DATENTER!$G$41^2)))</f>
        <v>3.4374316137635821E-2</v>
      </c>
      <c r="F19" s="135">
        <f>IF(DATENTER!$C$28=0,0,(ChemProps!D19*(SiteCalcs!$H$28^3.33/DATENTER!$D$53^2))+((ChemProps!#REF!/ChemCalcs!D19)*(DATENTER!$E$53^3.33/DATENTER!$D$53^2)))</f>
        <v>0</v>
      </c>
      <c r="G19" s="135">
        <f>IF(DATENTER!$D$28=0,0,(ChemProps!D19*(SiteCalcs!$J$28^3.33/DATENTER!$D$65^2))+((ChemProps!#REF!/ChemCalcs!D19)*(DATENTER!$E$65^3.33/DATENTER!$D$65^2)))</f>
        <v>0</v>
      </c>
      <c r="H19" s="135">
        <f>IF((VLOOKUP(A19,Props,3,FALSE))=0,0,((VLOOKUP(A19,Props,3,FALSE))*(SiteCalcs!$D$19^3.33/SiteCalcs!$C$19^2))+(((VLOOKUP(A19,Props,4,FALSE))/ChemCalcs!D19)*(SiteCalcs!$E$19^3.33/SiteCalcs!$C$19^2)))</f>
        <v>2.9890758503800572</v>
      </c>
      <c r="I19" s="205">
        <f>IF(AND(E19&gt;0,F19&gt;0,G19&gt;0),SiteCalcs!$B$11/(((IF(SiteCalcs!$B$11=1,1,DATENTER!$B$28-DATENTER!$B$14))/E19)+(DATENTER!$C$28/F19)+((DATENTER!$D$28-SiteCalcs!$B$19)/G19)+(SiteCalcs!$B$19/H19)),IF(AND(E19&gt;0,F19&gt;0,G19=0),SiteCalcs!$B$11/(((IF(SiteCalcs!$B$11=1,1,DATENTER!$B$28-DATENTER!$B$14))/E19)+((DATENTER!$C$28-SiteCalcs!$B$19)/F19)+(SiteCalcs!$B$19/H19)),IF(AND(E19&gt;0,F19=0,G19=0),SiteCalcs!$B$11/(((IF(SiteCalcs!$B$11=1,1,DATENTER!$B$28-DATENTER!$B$14)-SiteCalcs!$B$19)/E19)+(SiteCalcs!$B$19/H19)))))</f>
        <v>7.8417106772641701E-2</v>
      </c>
      <c r="J19" s="135">
        <f>ChemCalcs!E19</f>
        <v>3.4374316137635821E-2</v>
      </c>
      <c r="K19" s="260">
        <f>IF(DATENTER!$B$78="","ERROR",EXP((SiteCalcs!$L$11*DATENTER!$B$78)/(ChemCalcs!J19*SiteCalcs!$M$11)))</f>
        <v>2.5282217223936981E+32</v>
      </c>
      <c r="L19" s="206">
        <f>IF(ISERROR(K19),((ChemCalcs!I19*SiteCalcs!$E$11)/(SiteCalcs!$D$11*SiteCalcs!$B$11))/(((ChemCalcs!I19*SiteCalcs!$E$11)/(SiteCalcs!$L$11*SiteCalcs!$B$11))+1),(((ChemCalcs!I19*SiteCalcs!$E$11)/(SiteCalcs!$D$11*SiteCalcs!$B$11))*EXP((SiteCalcs!$L$11*DATENTER!$B$78)/(ChemCalcs!J19*SiteCalcs!$M$11)))/(EXP((SiteCalcs!$L$11*DATENTER!$B$78)/(ChemCalcs!J19*SiteCalcs!$M$11))+((ChemCalcs!I19*SiteCalcs!$E$11)/(SiteCalcs!$D$11*SiteCalcs!$B$11))+((ChemCalcs!I19*SiteCalcs!$E$11)/(SiteCalcs!$L$11*SiteCalcs!$B$11))*(EXP((SiteCalcs!$L$11*DATENTER!$B$78)/(ChemCalcs!J19*SiteCalcs!$M$11))-1)))</f>
        <v>1.1489140586834496E-3</v>
      </c>
    </row>
    <row r="20" spans="1:12" x14ac:dyDescent="0.25">
      <c r="A20" s="172" t="s">
        <v>225</v>
      </c>
      <c r="B20" s="136">
        <f>IF((VLOOKUP(A20,Props,10,FALSE))=0,0,IF((VLOOKUP(A20,Props,9,FALSE))/(VLOOKUP(A20,Props,10,FALSE))&lt;0.57,(VLOOKUP(A20,Props,8,FALSE))*((1-((DATENTER!$D$14+273.15)/(VLOOKUP(A20,Props,10,FALSE))))/(1-((VLOOKUP(A20,Props,9,FALSE))/(VLOOKUP(A20,Props,10,FALSE)))))^0.3,IF(AND((VLOOKUP(A20,Props,9,FALSE))/(VLOOKUP(A20,Props,10,FALSE))&gt;=0.57,(VLOOKUP(A20,Props,9,FALSE))/(VLOOKUP(A20,Props,10,FALSE))&lt;=0.71),(VLOOKUP(A20,Props,8,FALSE))*((1-((DATENTER!$D$14+273.15)/(VLOOKUP(A20,Props,10,FALSE))))/(1-((VLOOKUP(A20,Props,9,FALSE))/(VLOOKUP(A20,Props,10,FALSE)))))^(0.74*((VLOOKUP(A20,Props,9,FALSE))/(VLOOKUP(A20,Props,10,FALSE)))-0.116),(VLOOKUP(A20,Props,8,FALSE))*((1-((DATENTER!$D$14+273.15)/(VLOOKUP(A20,Props,10,FALSE))))/(1-((VLOOKUP(A20,Props,9,FALSE))/(VLOOKUP(A20,Props,10,FALSE)))))^0.41)))</f>
        <v>24271.892330141894</v>
      </c>
      <c r="C20" s="135">
        <f>EXP(-1*((B20/1.9872)*((1/(DATENTER!$D$14+273.15))-(1/((VLOOKUP(A20,Props,7,FALSE))+273.15)))))*(VLOOKUP(A20,Props,6,FALSE))</f>
        <v>6.6665667864155393E-8</v>
      </c>
      <c r="D20" s="135">
        <f>IF(DATENTER!$D$14="",0,C20/(0.00008206*(DATENTER!$D$14+273.15)))</f>
        <v>2.8691559577397725E-6</v>
      </c>
      <c r="E20" s="135">
        <f>IF((VLOOKUP(A20,Props,3,FALSE))=0,0,((VLOOKUP(A20,Props,3,FALSE))*(SiteCalcs!$B$28^3.33/DATENTER!$G$41^2))+(((VLOOKUP(A20,Props,4,FALSE))/ChemCalcs!D20)*(DATENTER!$H$41^3.33/DATENTER!$G$41^2)))</f>
        <v>5.3540671299467657E-3</v>
      </c>
      <c r="F20" s="135">
        <f>IF(DATENTER!$C$28=0,0,(ChemProps!C20*(SiteCalcs!$H$28^3.33/DATENTER!$D$53^2))+((ChemProps!D20/ChemCalcs!D20)*(DATENTER!$E$53^3.33/DATENTER!$D$53^2)))</f>
        <v>0</v>
      </c>
      <c r="G20" s="135">
        <f>IF(DATENTER!$D$28=0,0,(ChemProps!C20*(SiteCalcs!$J$28^3.33/DATENTER!$D$65^2))+((ChemProps!D20/ChemCalcs!D20)*(DATENTER!$E$65^3.33/DATENTER!$D$65^2)))</f>
        <v>0</v>
      </c>
      <c r="H20" s="135">
        <f>IF((VLOOKUP(A20,Props,3,FALSE))=0,0,((VLOOKUP(A20,Props,3,FALSE))*(SiteCalcs!$D$19^3.33/SiteCalcs!$C$19^2))+(((VLOOKUP(A20,Props,4,FALSE))/ChemCalcs!D20)*(SiteCalcs!$E$19^3.33/SiteCalcs!$C$19^2)))</f>
        <v>0.1085864998872739</v>
      </c>
      <c r="I20" s="205">
        <f>IF(AND(E20&gt;0,F20&gt;0,G20&gt;0),SiteCalcs!$B$11/(((IF(SiteCalcs!$B$11=1,1,DATENTER!$B$28-DATENTER!$B$14))/E20)+(DATENTER!$C$28/F20)+((DATENTER!$D$28-SiteCalcs!$B$19)/G20)+(SiteCalcs!$B$19/H20)),IF(AND(E20&gt;0,F20&gt;0,G20=0),SiteCalcs!$B$11/(((IF(SiteCalcs!$B$11=1,1,DATENTER!$B$28-DATENTER!$B$14))/E20)+((DATENTER!$C$28-SiteCalcs!$B$19)/F20)+(SiteCalcs!$B$19/H20)),IF(AND(E20&gt;0,F20=0,G20=0),SiteCalcs!$B$11/(((IF(SiteCalcs!$B$11=1,1,DATENTER!$B$28-DATENTER!$B$14)-SiteCalcs!$B$19)/E20)+(SiteCalcs!$B$19/H20)))))</f>
        <v>1.1643491214503312E-2</v>
      </c>
      <c r="J20" s="135">
        <f>ChemCalcs!E20</f>
        <v>5.3540671299467657E-3</v>
      </c>
      <c r="K20" s="260">
        <f>IF(DATENTER!$B$78="","ERROR",EXP((SiteCalcs!$L$11*DATENTER!$B$78)/(ChemCalcs!J20*SiteCalcs!$M$11)))</f>
        <v>1.0798587861375996E+208</v>
      </c>
      <c r="L20" s="206">
        <f>IF(ISERROR(K20),((ChemCalcs!I20*SiteCalcs!$E$11)/(SiteCalcs!$D$11*SiteCalcs!$B$11))/(((ChemCalcs!I20*SiteCalcs!$E$11)/(SiteCalcs!$L$11*SiteCalcs!$B$11))+1),(((ChemCalcs!I20*SiteCalcs!$E$11)/(SiteCalcs!$D$11*SiteCalcs!$B$11))*EXP((SiteCalcs!$L$11*DATENTER!$B$78)/(ChemCalcs!J20*SiteCalcs!$M$11)))/(EXP((SiteCalcs!$L$11*DATENTER!$B$78)/(ChemCalcs!J20*SiteCalcs!$M$11))+((ChemCalcs!I20*SiteCalcs!$E$11)/(SiteCalcs!$D$11*SiteCalcs!$B$11))+((ChemCalcs!I20*SiteCalcs!$E$11)/(SiteCalcs!$L$11*SiteCalcs!$B$11))*(EXP((SiteCalcs!$L$11*DATENTER!$B$78)/(ChemCalcs!J20*SiteCalcs!$M$11))-1)))</f>
        <v>1.0566862330013945E-3</v>
      </c>
    </row>
    <row r="21" spans="1:12" x14ac:dyDescent="0.25">
      <c r="A21" s="172" t="s">
        <v>226</v>
      </c>
      <c r="B21" s="136">
        <f>IF((VLOOKUP(A21,Props,10,FALSE))=0,0,IF((VLOOKUP(A21,Props,9,FALSE))/(VLOOKUP(A21,Props,10,FALSE))&lt;0.57,(VLOOKUP(A21,Props,8,FALSE))*((1-((DATENTER!$D$14+273.15)/(VLOOKUP(A21,Props,10,FALSE))))/(1-((VLOOKUP(A21,Props,9,FALSE))/(VLOOKUP(A21,Props,10,FALSE)))))^0.3,IF(AND((VLOOKUP(A21,Props,9,FALSE))/(VLOOKUP(A21,Props,10,FALSE))&gt;=0.57,(VLOOKUP(A21,Props,9,FALSE))/(VLOOKUP(A21,Props,10,FALSE))&lt;=0.71),(VLOOKUP(A21,Props,8,FALSE))*((1-((DATENTER!$D$14+273.15)/(VLOOKUP(A21,Props,10,FALSE))))/(1-((VLOOKUP(A21,Props,9,FALSE))/(VLOOKUP(A21,Props,10,FALSE)))))^(0.74*((VLOOKUP(A21,Props,9,FALSE))/(VLOOKUP(A21,Props,10,FALSE)))-0.116),(VLOOKUP(A21,Props,8,FALSE))*((1-((DATENTER!$D$14+273.15)/(VLOOKUP(A21,Props,10,FALSE))))/(1-((VLOOKUP(A21,Props,9,FALSE))/(VLOOKUP(A21,Props,10,FALSE)))))^0.41)))</f>
        <v>0</v>
      </c>
      <c r="C21" s="135">
        <f>EXP(-1*((B21/1.9872)*((1/(DATENTER!$D$14+273.15))-(1/((VLOOKUP(A21,Props,7,FALSE))+273.15)))))*(VLOOKUP(A21,Props,6,FALSE))</f>
        <v>0</v>
      </c>
      <c r="D21" s="135">
        <f>IF(DATENTER!$D$14="",0,C21/(0.00008206*(DATENTER!$D$14+273.15)))</f>
        <v>0</v>
      </c>
      <c r="E21" s="135">
        <f>IF((VLOOKUP(A21,Props,3,FALSE))=0,0,((VLOOKUP(A21,Props,3,FALSE))*(SiteCalcs!$B$28^3.33/DATENTER!$G$41^2))+(((VLOOKUP(A21,Props,4,FALSE))/ChemCalcs!D21)*(DATENTER!$H$41^3.33/DATENTER!$G$41^2)))</f>
        <v>0</v>
      </c>
      <c r="F21" s="135"/>
      <c r="G21" s="135"/>
      <c r="H21" s="135">
        <f>IF((VLOOKUP(A21,Props,3,FALSE))=0,0,((VLOOKUP(A21,Props,3,FALSE))*(SiteCalcs!$D$19^3.33/SiteCalcs!$C$19^2))+(((VLOOKUP(A21,Props,4,FALSE))/ChemCalcs!D21)*(SiteCalcs!$E$19^3.33/SiteCalcs!$C$19^2)))</f>
        <v>0</v>
      </c>
      <c r="I21" s="205"/>
      <c r="J21" s="135"/>
      <c r="K21" s="260"/>
      <c r="L21" s="206"/>
    </row>
    <row r="22" spans="1:12" x14ac:dyDescent="0.25">
      <c r="A22" s="172" t="s">
        <v>227</v>
      </c>
      <c r="B22" s="136">
        <f>IF((VLOOKUP(A22,Props,10,FALSE))=0,0,IF((VLOOKUP(A22,Props,9,FALSE))/(VLOOKUP(A22,Props,10,FALSE))&lt;0.57,(VLOOKUP(A22,Props,8,FALSE))*((1-((DATENTER!$D$14+273.15)/(VLOOKUP(A22,Props,10,FALSE))))/(1-((VLOOKUP(A22,Props,9,FALSE))/(VLOOKUP(A22,Props,10,FALSE)))))^0.3,IF(AND((VLOOKUP(A22,Props,9,FALSE))/(VLOOKUP(A22,Props,10,FALSE))&gt;=0.57,(VLOOKUP(A22,Props,9,FALSE))/(VLOOKUP(A22,Props,10,FALSE))&lt;=0.71),(VLOOKUP(A22,Props,8,FALSE))*((1-((DATENTER!$D$14+273.15)/(VLOOKUP(A22,Props,10,FALSE))))/(1-((VLOOKUP(A22,Props,9,FALSE))/(VLOOKUP(A22,Props,10,FALSE)))))^(0.74*((VLOOKUP(A22,Props,9,FALSE))/(VLOOKUP(A22,Props,10,FALSE)))-0.116),(VLOOKUP(A22,Props,8,FALSE))*((1-((DATENTER!$D$14+273.15)/(VLOOKUP(A22,Props,10,FALSE))))/(1-((VLOOKUP(A22,Props,9,FALSE))/(VLOOKUP(A22,Props,10,FALSE)))))^0.41)))</f>
        <v>14751.08507630886</v>
      </c>
      <c r="C22" s="135">
        <f>EXP(-1*((B22/1.9872)*((1/(DATENTER!$D$14+273.15))-(1/((VLOOKUP(A22,Props,7,FALSE))+273.15)))))*(VLOOKUP(A22,Props,6,FALSE))</f>
        <v>8.2365626658289064E-5</v>
      </c>
      <c r="D22" s="135">
        <f>IF(DATENTER!$D$14="",0,C22/(0.00008206*(DATENTER!$D$14+273.15)))</f>
        <v>3.5448505356782557E-3</v>
      </c>
      <c r="E22" s="135">
        <f>IF((VLOOKUP(A22,Props,3,FALSE))=0,0,((VLOOKUP(A22,Props,3,FALSE))*(SiteCalcs!$B$28^3.33/DATENTER!$G$41^2))+(((VLOOKUP(A22,Props,4,FALSE))/ChemCalcs!D22)*(DATENTER!$H$41^3.33/DATENTER!$G$41^2)))</f>
        <v>1.1307406768999197E-2</v>
      </c>
      <c r="F22" s="135">
        <f>IF(DATENTER!$C$28=0,0,(ChemProps!C22*(SiteCalcs!$H$28^3.33/DATENTER!$D$53^2))+((ChemProps!D22/ChemCalcs!D22)*(DATENTER!$E$53^3.33/DATENTER!$D$53^2)))</f>
        <v>0</v>
      </c>
      <c r="G22" s="135">
        <f>IF(DATENTER!$D$28=0,0,(ChemProps!C22*(SiteCalcs!$J$28^3.33/DATENTER!$D$65^2))+((ChemProps!D22/ChemCalcs!D22)*(DATENTER!$E$65^3.33/DATENTER!$D$65^2)))</f>
        <v>0</v>
      </c>
      <c r="H22" s="135">
        <f>IF((VLOOKUP(A22,Props,3,FALSE))=0,0,((VLOOKUP(A22,Props,3,FALSE))*(SiteCalcs!$D$19^3.33/SiteCalcs!$C$19^2))+(((VLOOKUP(A22,Props,4,FALSE))/ChemCalcs!D22)*(SiteCalcs!$E$19^3.33/SiteCalcs!$C$19^2)))</f>
        <v>1.0714303416066223E-3</v>
      </c>
      <c r="I22" s="205">
        <f>IF(AND(E22&gt;0,F22&gt;0,G22&gt;0),SiteCalcs!$B$11/(((IF(SiteCalcs!$B$11=1,1,DATENTER!$B$28-DATENTER!$B$14))/E22)+(DATENTER!$C$28/F22)+((DATENTER!$D$28-SiteCalcs!$B$19)/G22)+(SiteCalcs!$B$19/H22)),IF(AND(E22&gt;0,F22&gt;0,G22=0),SiteCalcs!$B$11/(((IF(SiteCalcs!$B$11=1,1,DATENTER!$B$28-DATENTER!$B$14))/E22)+((DATENTER!$C$28-SiteCalcs!$B$19)/F22)+(SiteCalcs!$B$19/H22)),IF(AND(E22&gt;0,F22=0,G22=0),SiteCalcs!$B$11/(((IF(SiteCalcs!$B$11=1,1,DATENTER!$B$28-DATENTER!$B$14)-SiteCalcs!$B$19)/E22)+(SiteCalcs!$B$19/H22)))))</f>
        <v>1.759042424971745E-3</v>
      </c>
      <c r="J22" s="135">
        <f>ChemCalcs!E22</f>
        <v>1.1307406768999197E-2</v>
      </c>
      <c r="K22" s="260">
        <f>IF(DATENTER!$B$78="","ERROR",EXP((SiteCalcs!$L$11*DATENTER!$B$78)/(ChemCalcs!J22*SiteCalcs!$M$11)))</f>
        <v>3.1914180352066982E+98</v>
      </c>
      <c r="L22" s="206">
        <f>IF(ISERROR(K22),((ChemCalcs!I22*SiteCalcs!$E$11)/(SiteCalcs!$D$11*SiteCalcs!$B$11))/(((ChemCalcs!I22*SiteCalcs!$E$11)/(SiteCalcs!$L$11*SiteCalcs!$B$11))+1),(((ChemCalcs!I22*SiteCalcs!$E$11)/(SiteCalcs!$D$11*SiteCalcs!$B$11))*EXP((SiteCalcs!$L$11*DATENTER!$B$78)/(ChemCalcs!J22*SiteCalcs!$M$11)))/(EXP((SiteCalcs!$L$11*DATENTER!$B$78)/(ChemCalcs!J22*SiteCalcs!$M$11))+((ChemCalcs!I22*SiteCalcs!$E$11)/(SiteCalcs!$D$11*SiteCalcs!$B$11))+((ChemCalcs!I22*SiteCalcs!$E$11)/(SiteCalcs!$L$11*SiteCalcs!$B$11))*(EXP((SiteCalcs!$L$11*DATENTER!$B$78)/(ChemCalcs!J22*SiteCalcs!$M$11))-1)))</f>
        <v>6.907654383094614E-4</v>
      </c>
    </row>
    <row r="23" spans="1:12" x14ac:dyDescent="0.25">
      <c r="A23" s="172" t="s">
        <v>228</v>
      </c>
      <c r="B23" s="136">
        <f>IF((VLOOKUP(A23,Props,10,FALSE))=0,0,IF((VLOOKUP(A23,Props,9,FALSE))/(VLOOKUP(A23,Props,10,FALSE))&lt;0.57,(VLOOKUP(A23,Props,8,FALSE))*((1-((DATENTER!$D$14+273.15)/(VLOOKUP(A23,Props,10,FALSE))))/(1-((VLOOKUP(A23,Props,9,FALSE))/(VLOOKUP(A23,Props,10,FALSE)))))^0.3,IF(AND((VLOOKUP(A23,Props,9,FALSE))/(VLOOKUP(A23,Props,10,FALSE))&gt;=0.57,(VLOOKUP(A23,Props,9,FALSE))/(VLOOKUP(A23,Props,10,FALSE))&lt;=0.71),(VLOOKUP(A23,Props,8,FALSE))*((1-((DATENTER!$D$14+273.15)/(VLOOKUP(A23,Props,10,FALSE))))/(1-((VLOOKUP(A23,Props,9,FALSE))/(VLOOKUP(A23,Props,10,FALSE)))))^(0.74*((VLOOKUP(A23,Props,9,FALSE))/(VLOOKUP(A23,Props,10,FALSE)))-0.116),(VLOOKUP(A23,Props,8,FALSE))*((1-((DATENTER!$D$14+273.15)/(VLOOKUP(A23,Props,10,FALSE))))/(1-((VLOOKUP(A23,Props,9,FALSE))/(VLOOKUP(A23,Props,10,FALSE)))))^0.41)))</f>
        <v>11331.507805864016</v>
      </c>
      <c r="C23" s="135">
        <f>EXP(-1*((B23/1.9872)*((1/(DATENTER!$D$14+273.15))-(1/((VLOOKUP(A23,Props,7,FALSE))+273.15)))))*(VLOOKUP(A23,Props,6,FALSE))</f>
        <v>6.1720729609388495E-6</v>
      </c>
      <c r="D23" s="135">
        <f>IF(DATENTER!$D$14="",0,C23/(0.00008206*(DATENTER!$D$14+273.15)))</f>
        <v>2.6563357834451083E-4</v>
      </c>
      <c r="E23" s="135">
        <f>IF((VLOOKUP(A23,Props,3,FALSE))=0,0,((VLOOKUP(A23,Props,3,FALSE))*(SiteCalcs!$B$28^3.33/DATENTER!$G$41^2))+(((VLOOKUP(A23,Props,4,FALSE))/ChemCalcs!D23)*(DATENTER!$H$41^3.33/DATENTER!$G$41^2)))</f>
        <v>1.3667747417274336E-2</v>
      </c>
      <c r="F23" s="135">
        <f>IF(DATENTER!$C$28=0,0,(ChemProps!C23*(SiteCalcs!$H$28^3.33/DATENTER!$D$53^2))+((ChemProps!D23/ChemCalcs!D23)*(DATENTER!$E$53^3.33/DATENTER!$D$53^2)))</f>
        <v>0</v>
      </c>
      <c r="G23" s="135">
        <f>IF(DATENTER!$D$28=0,0,(ChemProps!C23*(SiteCalcs!$J$28^3.33/DATENTER!$D$65^2))+((ChemProps!D23/ChemCalcs!D23)*(DATENTER!$E$65^3.33/DATENTER!$D$65^2)))</f>
        <v>0</v>
      </c>
      <c r="H23" s="135">
        <f>IF((VLOOKUP(A23,Props,3,FALSE))=0,0,((VLOOKUP(A23,Props,3,FALSE))*(SiteCalcs!$D$19^3.33/SiteCalcs!$C$19^2))+(((VLOOKUP(A23,Props,4,FALSE))/ChemCalcs!D23)*(SiteCalcs!$E$19^3.33/SiteCalcs!$C$19^2)))</f>
        <v>2.7491532857017494E-3</v>
      </c>
      <c r="I23" s="205">
        <f>IF(AND(E23&gt;0,F23&gt;0,G23&gt;0),SiteCalcs!$B$11/(((IF(SiteCalcs!$B$11=1,1,DATENTER!$B$28-DATENTER!$B$14))/E23)+(DATENTER!$C$28/F23)+((DATENTER!$D$28-SiteCalcs!$B$19)/G23)+(SiteCalcs!$B$19/H23)),IF(AND(E23&gt;0,F23&gt;0,G23=0),SiteCalcs!$B$11/(((IF(SiteCalcs!$B$11=1,1,DATENTER!$B$28-DATENTER!$B$14))/E23)+((DATENTER!$C$28-SiteCalcs!$B$19)/F23)+(SiteCalcs!$B$19/H23)),IF(AND(E23&gt;0,F23=0,G23=0),SiteCalcs!$B$11/(((IF(SiteCalcs!$B$11=1,1,DATENTER!$B$28-DATENTER!$B$14)-SiteCalcs!$B$19)/E23)+(SiteCalcs!$B$19/H23)))))</f>
        <v>4.1969342810091346E-3</v>
      </c>
      <c r="J23" s="135">
        <f>ChemCalcs!E23</f>
        <v>1.3667747417274336E-2</v>
      </c>
      <c r="K23" s="260">
        <f>IF(DATENTER!$B$78="","ERROR",EXP((SiteCalcs!$L$11*DATENTER!$B$78)/(ChemCalcs!J23*SiteCalcs!$M$11)))</f>
        <v>3.1111249246121061E+81</v>
      </c>
      <c r="L23" s="206">
        <f>IF(ISERROR(K23),((ChemCalcs!I23*SiteCalcs!$E$11)/(SiteCalcs!$D$11*SiteCalcs!$B$11))/(((ChemCalcs!I23*SiteCalcs!$E$11)/(SiteCalcs!$L$11*SiteCalcs!$B$11))+1),(((ChemCalcs!I23*SiteCalcs!$E$11)/(SiteCalcs!$D$11*SiteCalcs!$B$11))*EXP((SiteCalcs!$L$11*DATENTER!$B$78)/(ChemCalcs!J23*SiteCalcs!$M$11)))/(EXP((SiteCalcs!$L$11*DATENTER!$B$78)/(ChemCalcs!J23*SiteCalcs!$M$11))+((ChemCalcs!I23*SiteCalcs!$E$11)/(SiteCalcs!$D$11*SiteCalcs!$B$11))+((ChemCalcs!I23*SiteCalcs!$E$11)/(SiteCalcs!$L$11*SiteCalcs!$B$11))*(EXP((SiteCalcs!$L$11*DATENTER!$B$78)/(ChemCalcs!J23*SiteCalcs!$M$11))-1)))</f>
        <v>9.0526719668757006E-4</v>
      </c>
    </row>
    <row r="24" spans="1:12" x14ac:dyDescent="0.25">
      <c r="A24" s="172" t="s">
        <v>229</v>
      </c>
      <c r="B24" s="136">
        <f>IF((VLOOKUP(A24,Props,10,FALSE))=0,0,IF((VLOOKUP(A24,Props,9,FALSE))/(VLOOKUP(A24,Props,10,FALSE))&lt;0.57,(VLOOKUP(A24,Props,8,FALSE))*((1-((DATENTER!$D$14+273.15)/(VLOOKUP(A24,Props,10,FALSE))))/(1-((VLOOKUP(A24,Props,9,FALSE))/(VLOOKUP(A24,Props,10,FALSE)))))^0.3,IF(AND((VLOOKUP(A24,Props,9,FALSE))/(VLOOKUP(A24,Props,10,FALSE))&gt;=0.57,(VLOOKUP(A24,Props,9,FALSE))/(VLOOKUP(A24,Props,10,FALSE))&lt;=0.71),(VLOOKUP(A24,Props,8,FALSE))*((1-((DATENTER!$D$14+273.15)/(VLOOKUP(A24,Props,10,FALSE))))/(1-((VLOOKUP(A24,Props,9,FALSE))/(VLOOKUP(A24,Props,10,FALSE)))))^(0.74*((VLOOKUP(A24,Props,9,FALSE))/(VLOOKUP(A24,Props,10,FALSE)))-0.116),(VLOOKUP(A24,Props,8,FALSE))*((1-((DATENTER!$D$14+273.15)/(VLOOKUP(A24,Props,10,FALSE))))/(1-((VLOOKUP(A24,Props,9,FALSE))/(VLOOKUP(A24,Props,10,FALSE)))))^0.41)))</f>
        <v>21056.810753867197</v>
      </c>
      <c r="C24" s="135">
        <f>EXP(-1*((B24/1.9872)*((1/(DATENTER!$D$14+273.15))-(1/((VLOOKUP(A24,Props,7,FALSE))+273.15)))))*(VLOOKUP(A24,Props,6,FALSE))</f>
        <v>5.0521177502791328E-5</v>
      </c>
      <c r="D24" s="135">
        <f>IF(DATENTER!$D$14="",0,C24/(0.00008206*(DATENTER!$D$14+273.15)))</f>
        <v>2.1743296372509651E-3</v>
      </c>
      <c r="E24" s="135">
        <f>IF((VLOOKUP(A24,Props,3,FALSE))=0,0,((VLOOKUP(A24,Props,3,FALSE))*(SiteCalcs!$B$28^3.33/DATENTER!$G$41^2))+(((VLOOKUP(A24,Props,4,FALSE))/ChemCalcs!D24)*(DATENTER!$H$41^3.33/DATENTER!$G$41^2)))</f>
        <v>1.1840660315704158E-2</v>
      </c>
      <c r="F24" s="135">
        <f>IF(DATENTER!$C$28=0,0,(ChemProps!C24*(SiteCalcs!$H$28^3.33/DATENTER!$D$53^2))+((ChemProps!D24/ChemCalcs!D24)*(DATENTER!$E$53^3.33/DATENTER!$D$53^2)))</f>
        <v>0</v>
      </c>
      <c r="G24" s="135">
        <f>IF(DATENTER!$D$28=0,0,(ChemProps!C24*(SiteCalcs!$J$28^3.33/DATENTER!$D$65^2))+((ChemProps!D24/ChemCalcs!D24)*(DATENTER!$E$65^3.33/DATENTER!$D$65^2)))</f>
        <v>0</v>
      </c>
      <c r="H24" s="135">
        <f>IF((VLOOKUP(A24,Props,3,FALSE))=0,0,((VLOOKUP(A24,Props,3,FALSE))*(SiteCalcs!$D$19^3.33/SiteCalcs!$C$19^2))+(((VLOOKUP(A24,Props,4,FALSE))/ChemCalcs!D24)*(SiteCalcs!$E$19^3.33/SiteCalcs!$C$19^2)))</f>
        <v>1.1755966770938668E-3</v>
      </c>
      <c r="I24" s="205">
        <f>IF(AND(E24&gt;0,F24&gt;0,G24&gt;0),SiteCalcs!$B$11/(((IF(SiteCalcs!$B$11=1,1,DATENTER!$B$28-DATENTER!$B$14))/E24)+(DATENTER!$C$28/F24)+((DATENTER!$D$28-SiteCalcs!$B$19)/G24)+(SiteCalcs!$B$19/H24)),IF(AND(E24&gt;0,F24&gt;0,G24=0),SiteCalcs!$B$11/(((IF(SiteCalcs!$B$11=1,1,DATENTER!$B$28-DATENTER!$B$14))/E24)+((DATENTER!$C$28-SiteCalcs!$B$19)/F24)+(SiteCalcs!$B$19/H24)),IF(AND(E24&gt;0,F24=0,G24=0),SiteCalcs!$B$11/(((IF(SiteCalcs!$B$11=1,1,DATENTER!$B$28-DATENTER!$B$14)-SiteCalcs!$B$19)/E24)+(SiteCalcs!$B$19/H24)))))</f>
        <v>1.9238810352810727E-3</v>
      </c>
      <c r="J24" s="135">
        <f>ChemCalcs!E24</f>
        <v>1.1840660315704158E-2</v>
      </c>
      <c r="K24" s="260">
        <f>IF(DATENTER!$B$78="","ERROR",EXP((SiteCalcs!$L$11*DATENTER!$B$78)/(ChemCalcs!J24*SiteCalcs!$M$11)))</f>
        <v>1.1689031025742564E+94</v>
      </c>
      <c r="L24" s="206">
        <f>IF(ISERROR(K24),((ChemCalcs!I24*SiteCalcs!$E$11)/(SiteCalcs!$D$11*SiteCalcs!$B$11))/(((ChemCalcs!I24*SiteCalcs!$E$11)/(SiteCalcs!$L$11*SiteCalcs!$B$11))+1),(((ChemCalcs!I24*SiteCalcs!$E$11)/(SiteCalcs!$D$11*SiteCalcs!$B$11))*EXP((SiteCalcs!$L$11*DATENTER!$B$78)/(ChemCalcs!J24*SiteCalcs!$M$11)))/(EXP((SiteCalcs!$L$11*DATENTER!$B$78)/(ChemCalcs!J24*SiteCalcs!$M$11))+((ChemCalcs!I24*SiteCalcs!$E$11)/(SiteCalcs!$D$11*SiteCalcs!$B$11))+((ChemCalcs!I24*SiteCalcs!$E$11)/(SiteCalcs!$L$11*SiteCalcs!$B$11))*(EXP((SiteCalcs!$L$11*DATENTER!$B$78)/(ChemCalcs!J24*SiteCalcs!$M$11))-1)))</f>
        <v>7.1578233960829156E-4</v>
      </c>
    </row>
    <row r="25" spans="1:12" x14ac:dyDescent="0.25">
      <c r="A25" s="172" t="s">
        <v>230</v>
      </c>
      <c r="B25" s="136">
        <f>IF((VLOOKUP(A25,Props,10,FALSE))=0,0,IF((VLOOKUP(A25,Props,9,FALSE))/(VLOOKUP(A25,Props,10,FALSE))&lt;0.57,(VLOOKUP(A25,Props,8,FALSE))*((1-((DATENTER!$D$14+273.15)/(VLOOKUP(A25,Props,10,FALSE))))/(1-((VLOOKUP(A25,Props,9,FALSE))/(VLOOKUP(A25,Props,10,FALSE)))))^0.3,IF(AND((VLOOKUP(A25,Props,9,FALSE))/(VLOOKUP(A25,Props,10,FALSE))&gt;=0.57,(VLOOKUP(A25,Props,9,FALSE))/(VLOOKUP(A25,Props,10,FALSE))&lt;=0.71),(VLOOKUP(A25,Props,8,FALSE))*((1-((DATENTER!$D$14+273.15)/(VLOOKUP(A25,Props,10,FALSE))))/(1-((VLOOKUP(A25,Props,9,FALSE))/(VLOOKUP(A25,Props,10,FALSE)))))^(0.74*((VLOOKUP(A25,Props,9,FALSE))/(VLOOKUP(A25,Props,10,FALSE)))-0.116),(VLOOKUP(A25,Props,8,FALSE))*((1-((DATENTER!$D$14+273.15)/(VLOOKUP(A25,Props,10,FALSE))))/(1-((VLOOKUP(A25,Props,9,FALSE))/(VLOOKUP(A25,Props,10,FALSE)))))^0.41)))</f>
        <v>26779.374607066697</v>
      </c>
      <c r="C25" s="135">
        <f>EXP(-1*((B25/1.9872)*((1/(DATENTER!$D$14+273.15))-(1/((VLOOKUP(A25,Props,7,FALSE))+273.15)))))*(VLOOKUP(A25,Props,6,FALSE))</f>
        <v>2.4631122371079106E-8</v>
      </c>
      <c r="D25" s="135">
        <f>IF(DATENTER!$D$14="",0,C25/(0.00008206*(DATENTER!$D$14+273.15)))</f>
        <v>1.0600738545184056E-6</v>
      </c>
      <c r="E25" s="135">
        <f>IF((VLOOKUP(A25,Props,3,FALSE))=0,0,((VLOOKUP(A25,Props,3,FALSE))*(SiteCalcs!$B$28^3.33/DATENTER!$G$41^2))+(((VLOOKUP(A25,Props,4,FALSE))/ChemCalcs!D25)*(DATENTER!$H$41^3.33/DATENTER!$G$41^2)))</f>
        <v>8.5198570394621406E-3</v>
      </c>
      <c r="F25" s="135">
        <f>IF(DATENTER!$C$28=0,0,(ChemProps!C25*(SiteCalcs!$H$28^3.33/DATENTER!$D$53^2))+((ChemProps!D25/ChemCalcs!D25)*(DATENTER!$E$53^3.33/DATENTER!$D$53^2)))</f>
        <v>0</v>
      </c>
      <c r="G25" s="135">
        <f>IF(DATENTER!$D$28=0,0,(ChemProps!C25*(SiteCalcs!$J$28^3.33/DATENTER!$D$65^2))+((ChemProps!D25/ChemCalcs!D25)*(DATENTER!$E$65^3.33/DATENTER!$D$65^2)))</f>
        <v>0</v>
      </c>
      <c r="H25" s="135">
        <f>IF((VLOOKUP(A25,Props,3,FALSE))=0,0,((VLOOKUP(A25,Props,3,FALSE))*(SiteCalcs!$D$19^3.33/SiteCalcs!$C$19^2))+(((VLOOKUP(A25,Props,4,FALSE))/ChemCalcs!D25)*(SiteCalcs!$E$19^3.33/SiteCalcs!$C$19^2)))</f>
        <v>0.19337694013429077</v>
      </c>
      <c r="I25" s="205">
        <f>IF(AND(E25&gt;0,F25&gt;0,G25&gt;0),SiteCalcs!$B$11/(((IF(SiteCalcs!$B$11=1,1,DATENTER!$B$28-DATENTER!$B$14))/E25)+(DATENTER!$C$28/F25)+((DATENTER!$D$28-SiteCalcs!$B$19)/G25)+(SiteCalcs!$B$19/H25)),IF(AND(E25&gt;0,F25&gt;0,G25=0),SiteCalcs!$B$11/(((IF(SiteCalcs!$B$11=1,1,DATENTER!$B$28-DATENTER!$B$14))/E25)+((DATENTER!$C$28-SiteCalcs!$B$19)/F25)+(SiteCalcs!$B$19/H25)),IF(AND(E25&gt;0,F25=0,G25=0),SiteCalcs!$B$11/(((IF(SiteCalcs!$B$11=1,1,DATENTER!$B$28-DATENTER!$B$14)-SiteCalcs!$B$19)/E25)+(SiteCalcs!$B$19/H25)))))</f>
        <v>1.8649081294002588E-2</v>
      </c>
      <c r="J25" s="135">
        <f>ChemCalcs!E25</f>
        <v>8.5198570394621406E-3</v>
      </c>
      <c r="K25" s="260">
        <f>IF(DATENTER!$B$78="","ERROR",EXP((SiteCalcs!$L$11*DATENTER!$B$78)/(ChemCalcs!J25*SiteCalcs!$M$11)))</f>
        <v>5.4048280527093174E+130</v>
      </c>
      <c r="L25" s="206">
        <f>IF(ISERROR(K25),((ChemCalcs!I25*SiteCalcs!$E$11)/(SiteCalcs!$D$11*SiteCalcs!$B$11))/(((ChemCalcs!I25*SiteCalcs!$E$11)/(SiteCalcs!$L$11*SiteCalcs!$B$11))+1),(((ChemCalcs!I25*SiteCalcs!$E$11)/(SiteCalcs!$D$11*SiteCalcs!$B$11))*EXP((SiteCalcs!$L$11*DATENTER!$B$78)/(ChemCalcs!J25*SiteCalcs!$M$11)))/(EXP((SiteCalcs!$L$11*DATENTER!$B$78)/(ChemCalcs!J25*SiteCalcs!$M$11))+((ChemCalcs!I25*SiteCalcs!$E$11)/(SiteCalcs!$D$11*SiteCalcs!$B$11))+((ChemCalcs!I25*SiteCalcs!$E$11)/(SiteCalcs!$L$11*SiteCalcs!$B$11))*(EXP((SiteCalcs!$L$11*DATENTER!$B$78)/(ChemCalcs!J25*SiteCalcs!$M$11))-1)))</f>
        <v>1.0954809379585798E-3</v>
      </c>
    </row>
    <row r="26" spans="1:12" x14ac:dyDescent="0.25">
      <c r="A26" s="172" t="s">
        <v>231</v>
      </c>
      <c r="B26" s="136">
        <f>IF((VLOOKUP(A26,Props,10,FALSE))=0,0,IF((VLOOKUP(A26,Props,9,FALSE))/(VLOOKUP(A26,Props,10,FALSE))&lt;0.57,(VLOOKUP(A26,Props,8,FALSE))*((1-((DATENTER!$D$14+273.15)/(VLOOKUP(A26,Props,10,FALSE))))/(1-((VLOOKUP(A26,Props,9,FALSE))/(VLOOKUP(A26,Props,10,FALSE)))))^0.3,IF(AND((VLOOKUP(A26,Props,9,FALSE))/(VLOOKUP(A26,Props,10,FALSE))&gt;=0.57,(VLOOKUP(A26,Props,9,FALSE))/(VLOOKUP(A26,Props,10,FALSE))&lt;=0.71),(VLOOKUP(A26,Props,8,FALSE))*((1-((DATENTER!$D$14+273.15)/(VLOOKUP(A26,Props,10,FALSE))))/(1-((VLOOKUP(A26,Props,9,FALSE))/(VLOOKUP(A26,Props,10,FALSE)))))^(0.74*((VLOOKUP(A26,Props,9,FALSE))/(VLOOKUP(A26,Props,10,FALSE)))-0.116),(VLOOKUP(A26,Props,8,FALSE))*((1-((DATENTER!$D$14+273.15)/(VLOOKUP(A26,Props,10,FALSE))))/(1-((VLOOKUP(A26,Props,9,FALSE))/(VLOOKUP(A26,Props,10,FALSE)))))^0.41)))</f>
        <v>7776.3830230116037</v>
      </c>
      <c r="C26" s="135">
        <f>EXP(-1*((B26/1.9872)*((1/(DATENTER!$D$14+273.15))-(1/((VLOOKUP(A26,Props,7,FALSE))+273.15)))))*(VLOOKUP(A26,Props,6,FALSE))</f>
        <v>1.0577141750141147E-3</v>
      </c>
      <c r="D26" s="135">
        <f>IF(DATENTER!$D$14="",0,C26/(0.00008206*(DATENTER!$D$14+273.15)))</f>
        <v>4.5521885913022857E-2</v>
      </c>
      <c r="E26" s="135">
        <f>IF((VLOOKUP(A26,Props,3,FALSE))=0,0,((VLOOKUP(A26,Props,3,FALSE))*(SiteCalcs!$B$28^3.33/DATENTER!$G$41^2))+(((VLOOKUP(A26,Props,4,FALSE))/ChemCalcs!D26)*(DATENTER!$H$41^3.33/DATENTER!$G$41^2)))</f>
        <v>5.8802939064657818E-3</v>
      </c>
      <c r="F26" s="135">
        <f>IF(DATENTER!$C$28=0,0,(ChemProps!C26*(SiteCalcs!$H$28^3.33/DATENTER!$D$53^2))+((ChemProps!D26/ChemCalcs!D26)*(DATENTER!$E$53^3.33/DATENTER!$D$53^2)))</f>
        <v>0</v>
      </c>
      <c r="G26" s="135">
        <f>IF(DATENTER!$D$28=0,0,(ChemProps!C26*(SiteCalcs!$J$28^3.33/DATENTER!$D$65^2))+((ChemProps!D26/ChemCalcs!D26)*(DATENTER!$E$65^3.33/DATENTER!$D$65^2)))</f>
        <v>0</v>
      </c>
      <c r="H26" s="135">
        <f>IF((VLOOKUP(A26,Props,3,FALSE))=0,0,((VLOOKUP(A26,Props,3,FALSE))*(SiteCalcs!$D$19^3.33/SiteCalcs!$C$19^2))+(((VLOOKUP(A26,Props,4,FALSE))/ChemCalcs!D26)*(SiteCalcs!$E$19^3.33/SiteCalcs!$C$19^2)))</f>
        <v>5.1525202549896904E-4</v>
      </c>
      <c r="I26" s="205">
        <f>IF(AND(E26&gt;0,F26&gt;0,G26&gt;0),SiteCalcs!$B$11/(((IF(SiteCalcs!$B$11=1,1,DATENTER!$B$28-DATENTER!$B$14))/E26)+(DATENTER!$C$28/F26)+((DATENTER!$D$28-SiteCalcs!$B$19)/G26)+(SiteCalcs!$B$19/H26)),IF(AND(E26&gt;0,F26&gt;0,G26=0),SiteCalcs!$B$11/(((IF(SiteCalcs!$B$11=1,1,DATENTER!$B$28-DATENTER!$B$14))/E26)+((DATENTER!$C$28-SiteCalcs!$B$19)/F26)+(SiteCalcs!$B$19/H26)),IF(AND(E26&gt;0,F26=0,G26=0),SiteCalcs!$B$11/(((IF(SiteCalcs!$B$11=1,1,DATENTER!$B$28-DATENTER!$B$14)-SiteCalcs!$B$19)/E26)+(SiteCalcs!$B$19/H26)))))</f>
        <v>8.5022386564850025E-4</v>
      </c>
      <c r="J26" s="135">
        <f>ChemCalcs!E26</f>
        <v>5.8802939064657818E-3</v>
      </c>
      <c r="K26" s="260">
        <f>IF(DATENTER!$B$78="","ERROR",EXP((SiteCalcs!$L$11*DATENTER!$B$78)/(ChemCalcs!J26*SiteCalcs!$M$11)))</f>
        <v>2.6090752890048428E+189</v>
      </c>
      <c r="L26" s="206">
        <f>IF(ISERROR(K26),((ChemCalcs!I26*SiteCalcs!$E$11)/(SiteCalcs!$D$11*SiteCalcs!$B$11))/(((ChemCalcs!I26*SiteCalcs!$E$11)/(SiteCalcs!$L$11*SiteCalcs!$B$11))+1),(((ChemCalcs!I26*SiteCalcs!$E$11)/(SiteCalcs!$D$11*SiteCalcs!$B$11))*EXP((SiteCalcs!$L$11*DATENTER!$B$78)/(ChemCalcs!J26*SiteCalcs!$M$11)))/(EXP((SiteCalcs!$L$11*DATENTER!$B$78)/(ChemCalcs!J26*SiteCalcs!$M$11))+((ChemCalcs!I26*SiteCalcs!$E$11)/(SiteCalcs!$D$11*SiteCalcs!$B$11))+((ChemCalcs!I26*SiteCalcs!$E$11)/(SiteCalcs!$L$11*SiteCalcs!$B$11))*(EXP((SiteCalcs!$L$11*DATENTER!$B$78)/(ChemCalcs!J26*SiteCalcs!$M$11))-1)))</f>
        <v>4.8102460373814545E-4</v>
      </c>
    </row>
    <row r="27" spans="1:12" x14ac:dyDescent="0.25">
      <c r="A27" s="172" t="s">
        <v>232</v>
      </c>
      <c r="B27" s="136">
        <f>IF((VLOOKUP(A27,Props,10,FALSE))=0,0,IF((VLOOKUP(A27,Props,9,FALSE))/(VLOOKUP(A27,Props,10,FALSE))&lt;0.57,(VLOOKUP(A27,Props,8,FALSE))*((1-((DATENTER!$D$14+273.15)/(VLOOKUP(A27,Props,10,FALSE))))/(1-((VLOOKUP(A27,Props,9,FALSE))/(VLOOKUP(A27,Props,10,FALSE)))))^0.3,IF(AND((VLOOKUP(A27,Props,9,FALSE))/(VLOOKUP(A27,Props,10,FALSE))&gt;=0.57,(VLOOKUP(A27,Props,9,FALSE))/(VLOOKUP(A27,Props,10,FALSE))&lt;=0.71),(VLOOKUP(A27,Props,8,FALSE))*((1-((DATENTER!$D$14+273.15)/(VLOOKUP(A27,Props,10,FALSE))))/(1-((VLOOKUP(A27,Props,9,FALSE))/(VLOOKUP(A27,Props,10,FALSE)))))^(0.74*((VLOOKUP(A27,Props,9,FALSE))/(VLOOKUP(A27,Props,10,FALSE)))-0.116),(VLOOKUP(A27,Props,8,FALSE))*((1-((DATENTER!$D$14+273.15)/(VLOOKUP(A27,Props,10,FALSE))))/(1-((VLOOKUP(A27,Props,9,FALSE))/(VLOOKUP(A27,Props,10,FALSE)))))^0.41)))</f>
        <v>10870.368106275013</v>
      </c>
      <c r="C27" s="135">
        <f>EXP(-1*((B27/1.9872)*((1/(DATENTER!$D$14+273.15))-(1/((VLOOKUP(A27,Props,7,FALSE))+273.15)))))*(VLOOKUP(A27,Props,6,FALSE))</f>
        <v>2.0241495396457047E-4</v>
      </c>
      <c r="D27" s="135">
        <f>IF(DATENTER!$D$14="",0,C27/(0.00008206*(DATENTER!$D$14+273.15)))</f>
        <v>8.711531583040371E-3</v>
      </c>
      <c r="E27" s="135">
        <f>IF((VLOOKUP(A27,Props,3,FALSE))=0,0,((VLOOKUP(A27,Props,3,FALSE))*(SiteCalcs!$B$28^3.33/DATENTER!$G$41^2))+(((VLOOKUP(A27,Props,4,FALSE))/ChemCalcs!D27)*(DATENTER!$H$41^3.33/DATENTER!$G$41^2)))</f>
        <v>2.9406390252455796E-3</v>
      </c>
      <c r="F27" s="135">
        <f>IF(DATENTER!$C$28=0,0,(ChemProps!C27*(SiteCalcs!$H$28^3.33/DATENTER!$D$53^2))+((ChemProps!D27/ChemCalcs!D27)*(DATENTER!$E$53^3.33/DATENTER!$D$53^2)))</f>
        <v>0</v>
      </c>
      <c r="G27" s="135">
        <f>IF(DATENTER!$D$28=0,0,(ChemProps!C27*(SiteCalcs!$J$28^3.33/DATENTER!$D$65^2))+((ChemProps!D27/ChemCalcs!D27)*(DATENTER!$E$65^3.33/DATENTER!$D$65^2)))</f>
        <v>0</v>
      </c>
      <c r="H27" s="135">
        <f>IF((VLOOKUP(A27,Props,3,FALSE))=0,0,((VLOOKUP(A27,Props,3,FALSE))*(SiteCalcs!$D$19^3.33/SiteCalcs!$C$19^2))+(((VLOOKUP(A27,Props,4,FALSE))/ChemCalcs!D27)*(SiteCalcs!$E$19^3.33/SiteCalcs!$C$19^2)))</f>
        <v>3.1714438008806492E-4</v>
      </c>
      <c r="I27" s="205">
        <f>IF(AND(E27&gt;0,F27&gt;0,G27&gt;0),SiteCalcs!$B$11/(((IF(SiteCalcs!$B$11=1,1,DATENTER!$B$28-DATENTER!$B$14))/E27)+(DATENTER!$C$28/F27)+((DATENTER!$D$28-SiteCalcs!$B$19)/G27)+(SiteCalcs!$B$19/H27)),IF(AND(E27&gt;0,F27&gt;0,G27=0),SiteCalcs!$B$11/(((IF(SiteCalcs!$B$11=1,1,DATENTER!$B$28-DATENTER!$B$14))/E27)+((DATENTER!$C$28-SiteCalcs!$B$19)/F27)+(SiteCalcs!$B$19/H27)),IF(AND(E27&gt;0,F27=0,G27=0),SiteCalcs!$B$11/(((IF(SiteCalcs!$B$11=1,1,DATENTER!$B$28-DATENTER!$B$14)-SiteCalcs!$B$19)/E27)+(SiteCalcs!$B$19/H27)))))</f>
        <v>5.1588920611334401E-4</v>
      </c>
      <c r="J27" s="135">
        <f>ChemCalcs!E27</f>
        <v>2.9406390252455796E-3</v>
      </c>
      <c r="K27" s="260" t="e">
        <f>IF(DATENTER!$B$78="","ERROR",EXP((SiteCalcs!$L$11*DATENTER!$B$78)/(ChemCalcs!J27*SiteCalcs!$M$11)))</f>
        <v>#NUM!</v>
      </c>
      <c r="L27" s="206">
        <f>IF(ISERROR(K27),((ChemCalcs!I27*SiteCalcs!$E$11)/(SiteCalcs!$D$11*SiteCalcs!$B$11))/(((ChemCalcs!I27*SiteCalcs!$E$11)/(SiteCalcs!$L$11*SiteCalcs!$B$11))+1),(((ChemCalcs!I27*SiteCalcs!$E$11)/(SiteCalcs!$D$11*SiteCalcs!$B$11))*EXP((SiteCalcs!$L$11*DATENTER!$B$78)/(ChemCalcs!J27*SiteCalcs!$M$11)))/(EXP((SiteCalcs!$L$11*DATENTER!$B$78)/(ChemCalcs!J27*SiteCalcs!$M$11))+((ChemCalcs!I27*SiteCalcs!$E$11)/(SiteCalcs!$D$11*SiteCalcs!$B$11))+((ChemCalcs!I27*SiteCalcs!$E$11)/(SiteCalcs!$L$11*SiteCalcs!$B$11))*(EXP((SiteCalcs!$L$11*DATENTER!$B$78)/(ChemCalcs!J27*SiteCalcs!$M$11))-1)))</f>
        <v>3.4834900580917434E-4</v>
      </c>
    </row>
    <row r="28" spans="1:12" x14ac:dyDescent="0.25">
      <c r="A28" s="172" t="s">
        <v>233</v>
      </c>
      <c r="B28" s="136">
        <f>IF((VLOOKUP(A28,Props,10,FALSE))=0,0,IF((VLOOKUP(A28,Props,9,FALSE))/(VLOOKUP(A28,Props,10,FALSE))&lt;0.57,(VLOOKUP(A28,Props,8,FALSE))*((1-((DATENTER!$D$14+273.15)/(VLOOKUP(A28,Props,10,FALSE))))/(1-((VLOOKUP(A28,Props,9,FALSE))/(VLOOKUP(A28,Props,10,FALSE)))))^0.3,IF(AND((VLOOKUP(A28,Props,9,FALSE))/(VLOOKUP(A28,Props,10,FALSE))&gt;=0.57,(VLOOKUP(A28,Props,9,FALSE))/(VLOOKUP(A28,Props,10,FALSE))&lt;=0.71),(VLOOKUP(A28,Props,8,FALSE))*((1-((DATENTER!$D$14+273.15)/(VLOOKUP(A28,Props,10,FALSE))))/(1-((VLOOKUP(A28,Props,9,FALSE))/(VLOOKUP(A28,Props,10,FALSE)))))^(0.74*((VLOOKUP(A28,Props,9,FALSE))/(VLOOKUP(A28,Props,10,FALSE)))-0.116),(VLOOKUP(A28,Props,8,FALSE))*((1-((DATENTER!$D$14+273.15)/(VLOOKUP(A28,Props,10,FALSE))))/(1-((VLOOKUP(A28,Props,9,FALSE))/(VLOOKUP(A28,Props,10,FALSE)))))^0.41)))</f>
        <v>5650.9122114010597</v>
      </c>
      <c r="C28" s="135">
        <f>EXP(-1*((B28/1.9872)*((1/(DATENTER!$D$14+273.15))-(1/((VLOOKUP(A28,Props,7,FALSE))+273.15)))))*(VLOOKUP(A28,Props,6,FALSE))</f>
        <v>4.4285693292518925E-3</v>
      </c>
      <c r="D28" s="135">
        <f>IF(DATENTER!$D$14="",0,C28/(0.00008206*(DATENTER!$D$14+273.15)))</f>
        <v>0.19059669665618936</v>
      </c>
      <c r="E28" s="135">
        <f>IF((VLOOKUP(A28,Props,3,FALSE))=0,0,((VLOOKUP(A28,Props,3,FALSE))*(SiteCalcs!$B$28^3.33/DATENTER!$G$41^2))+(((VLOOKUP(A28,Props,4,FALSE))/ChemCalcs!D28)*(DATENTER!$H$41^3.33/DATENTER!$G$41^2)))</f>
        <v>1.4365048457722367E-2</v>
      </c>
      <c r="F28" s="135">
        <f>IF(DATENTER!$C$28=0,0,(ChemProps!C28*(SiteCalcs!$H$28^3.33/DATENTER!$D$53^2))+((ChemProps!D28/ChemCalcs!D28)*(DATENTER!$E$53^3.33/DATENTER!$D$53^2)))</f>
        <v>0</v>
      </c>
      <c r="G28" s="135">
        <f>IF(DATENTER!$D$28=0,0,(ChemProps!C28*(SiteCalcs!$J$28^3.33/DATENTER!$D$65^2))+((ChemProps!D28/ChemCalcs!D28)*(DATENTER!$E$65^3.33/DATENTER!$D$65^2)))</f>
        <v>0</v>
      </c>
      <c r="H28" s="135">
        <f>IF((VLOOKUP(A28,Props,3,FALSE))=0,0,((VLOOKUP(A28,Props,3,FALSE))*(SiteCalcs!$D$19^3.33/SiteCalcs!$C$19^2))+(((VLOOKUP(A28,Props,4,FALSE))/ChemCalcs!D28)*(SiteCalcs!$E$19^3.33/SiteCalcs!$C$19^2)))</f>
        <v>1.2305177435954736E-3</v>
      </c>
      <c r="I28" s="205">
        <f>IF(AND(E28&gt;0,F28&gt;0,G28&gt;0),SiteCalcs!$B$11/(((IF(SiteCalcs!$B$11=1,1,DATENTER!$B$28-DATENTER!$B$14))/E28)+(DATENTER!$C$28/F28)+((DATENTER!$D$28-SiteCalcs!$B$19)/G28)+(SiteCalcs!$B$19/H28)),IF(AND(E28&gt;0,F28&gt;0,G28=0),SiteCalcs!$B$11/(((IF(SiteCalcs!$B$11=1,1,DATENTER!$B$28-DATENTER!$B$14))/E28)+((DATENTER!$C$28-SiteCalcs!$B$19)/F28)+(SiteCalcs!$B$19/H28)),IF(AND(E28&gt;0,F28=0,G28=0),SiteCalcs!$B$11/(((IF(SiteCalcs!$B$11=1,1,DATENTER!$B$28-DATENTER!$B$14)-SiteCalcs!$B$19)/E28)+(SiteCalcs!$B$19/H28)))))</f>
        <v>2.0333369146910774E-3</v>
      </c>
      <c r="J28" s="135">
        <f>ChemCalcs!E28</f>
        <v>1.4365048457722367E-2</v>
      </c>
      <c r="K28" s="260">
        <f>IF(DATENTER!$B$78="","ERROR",EXP((SiteCalcs!$L$11*DATENTER!$B$78)/(ChemCalcs!J28*SiteCalcs!$M$11)))</f>
        <v>3.4445204435756815E+77</v>
      </c>
      <c r="L28" s="206">
        <f>IF(ISERROR(K28),((ChemCalcs!I28*SiteCalcs!$E$11)/(SiteCalcs!$D$11*SiteCalcs!$B$11))/(((ChemCalcs!I28*SiteCalcs!$E$11)/(SiteCalcs!$L$11*SiteCalcs!$B$11))+1),(((ChemCalcs!I28*SiteCalcs!$E$11)/(SiteCalcs!$D$11*SiteCalcs!$B$11))*EXP((SiteCalcs!$L$11*DATENTER!$B$78)/(ChemCalcs!J28*SiteCalcs!$M$11)))/(EXP((SiteCalcs!$L$11*DATENTER!$B$78)/(ChemCalcs!J28*SiteCalcs!$M$11))+((ChemCalcs!I28*SiteCalcs!$E$11)/(SiteCalcs!$D$11*SiteCalcs!$B$11))+((ChemCalcs!I28*SiteCalcs!$E$11)/(SiteCalcs!$L$11*SiteCalcs!$B$11))*(EXP((SiteCalcs!$L$11*DATENTER!$B$78)/(ChemCalcs!J28*SiteCalcs!$M$11))-1)))</f>
        <v>7.3098996653657195E-4</v>
      </c>
    </row>
    <row r="29" spans="1:12" x14ac:dyDescent="0.25">
      <c r="A29" s="172" t="s">
        <v>234</v>
      </c>
      <c r="B29" s="136">
        <f>IF((VLOOKUP(A29,Props,10,FALSE))=0,0,IF((VLOOKUP(A29,Props,9,FALSE))/(VLOOKUP(A29,Props,10,FALSE))&lt;0.57,(VLOOKUP(A29,Props,8,FALSE))*((1-((DATENTER!$D$14+273.15)/(VLOOKUP(A29,Props,10,FALSE))))/(1-((VLOOKUP(A29,Props,9,FALSE))/(VLOOKUP(A29,Props,10,FALSE)))))^0.3,IF(AND((VLOOKUP(A29,Props,9,FALSE))/(VLOOKUP(A29,Props,10,FALSE))&gt;=0.57,(VLOOKUP(A29,Props,9,FALSE))/(VLOOKUP(A29,Props,10,FALSE))&lt;=0.71),(VLOOKUP(A29,Props,8,FALSE))*((1-((DATENTER!$D$14+273.15)/(VLOOKUP(A29,Props,10,FALSE))))/(1-((VLOOKUP(A29,Props,9,FALSE))/(VLOOKUP(A29,Props,10,FALSE)))))^(0.74*((VLOOKUP(A29,Props,9,FALSE))/(VLOOKUP(A29,Props,10,FALSE)))-0.116),(VLOOKUP(A29,Props,8,FALSE))*((1-((DATENTER!$D$14+273.15)/(VLOOKUP(A29,Props,10,FALSE))))/(1-((VLOOKUP(A29,Props,9,FALSE))/(VLOOKUP(A29,Props,10,FALSE)))))^0.41)))</f>
        <v>0</v>
      </c>
      <c r="C29" s="135">
        <f>EXP(-1*((B29/1.9872)*((1/(DATENTER!$D$14+273.15))-(1/((VLOOKUP(A29,Props,7,FALSE))+273.15)))))*(VLOOKUP(A29,Props,6,FALSE))</f>
        <v>0</v>
      </c>
      <c r="D29" s="135">
        <f>IF(DATENTER!$D$14="",0,C29/(0.00008206*(DATENTER!$D$14+273.15)))</f>
        <v>0</v>
      </c>
      <c r="E29" s="135">
        <f>IF((VLOOKUP(A29,Props,3,FALSE))=0,0,((VLOOKUP(A29,Props,3,FALSE))*(SiteCalcs!$B$28^3.33/DATENTER!$G$41^2))+(((VLOOKUP(A29,Props,4,FALSE))/ChemCalcs!D29)*(DATENTER!$H$41^3.33/DATENTER!$G$41^2)))</f>
        <v>0</v>
      </c>
      <c r="F29" s="135"/>
      <c r="G29" s="135"/>
      <c r="H29" s="135">
        <f>IF((VLOOKUP(A29,Props,3,FALSE))=0,0,((VLOOKUP(A29,Props,3,FALSE))*(SiteCalcs!$D$19^3.33/SiteCalcs!$C$19^2))+(((VLOOKUP(A29,Props,4,FALSE))/ChemCalcs!D29)*(SiteCalcs!$E$19^3.33/SiteCalcs!$C$19^2)))</f>
        <v>0</v>
      </c>
      <c r="I29" s="205"/>
      <c r="J29" s="135"/>
      <c r="K29" s="260"/>
      <c r="L29" s="206"/>
    </row>
    <row r="30" spans="1:12" x14ac:dyDescent="0.25">
      <c r="A30" s="172" t="s">
        <v>235</v>
      </c>
      <c r="B30" s="136">
        <f>IF((VLOOKUP(A30,Props,10,FALSE))=0,0,IF((VLOOKUP(A30,Props,9,FALSE))/(VLOOKUP(A30,Props,10,FALSE))&lt;0.57,(VLOOKUP(A30,Props,8,FALSE))*((1-((DATENTER!$D$14+273.15)/(VLOOKUP(A30,Props,10,FALSE))))/(1-((VLOOKUP(A30,Props,9,FALSE))/(VLOOKUP(A30,Props,10,FALSE)))))^0.3,IF(AND((VLOOKUP(A30,Props,9,FALSE))/(VLOOKUP(A30,Props,10,FALSE))&gt;=0.57,(VLOOKUP(A30,Props,9,FALSE))/(VLOOKUP(A30,Props,10,FALSE))&lt;=0.71),(VLOOKUP(A30,Props,8,FALSE))*((1-((DATENTER!$D$14+273.15)/(VLOOKUP(A30,Props,10,FALSE))))/(1-((VLOOKUP(A30,Props,9,FALSE))/(VLOOKUP(A30,Props,10,FALSE)))))^(0.74*((VLOOKUP(A30,Props,9,FALSE))/(VLOOKUP(A30,Props,10,FALSE)))-0.116),(VLOOKUP(A30,Props,8,FALSE))*((1-((DATENTER!$D$14+273.15)/(VLOOKUP(A30,Props,10,FALSE))))/(1-((VLOOKUP(A30,Props,9,FALSE))/(VLOOKUP(A30,Props,10,FALSE)))))^0.41)))</f>
        <v>7858.6273148694327</v>
      </c>
      <c r="C30" s="135">
        <f>EXP(-1*((B30/1.9872)*((1/(DATENTER!$D$14+273.15))-(1/((VLOOKUP(A30,Props,7,FALSE))+273.15)))))*(VLOOKUP(A30,Props,6,FALSE))</f>
        <v>1.3669350765456389E-2</v>
      </c>
      <c r="D30" s="135">
        <f>IF(DATENTER!$D$14="",0,C30/(0.00008206*(DATENTER!$D$14+273.15)))</f>
        <v>0.58830130175942252</v>
      </c>
      <c r="E30" s="135">
        <f>IF((VLOOKUP(A30,Props,3,FALSE))=0,0,((VLOOKUP(A30,Props,3,FALSE))*(SiteCalcs!$B$28^3.33/DATENTER!$G$41^2))+(((VLOOKUP(A30,Props,4,FALSE))/ChemCalcs!D30)*(DATENTER!$H$41^3.33/DATENTER!$G$41^2)))</f>
        <v>1.5391098852225199E-2</v>
      </c>
      <c r="F30" s="135">
        <f>IF(DATENTER!$C$28=0,0,(ChemProps!C30*(SiteCalcs!$H$28^3.33/DATENTER!$D$53^2))+((ChemProps!D30/ChemCalcs!D30)*(DATENTER!$E$53^3.33/DATENTER!$D$53^2)))</f>
        <v>0</v>
      </c>
      <c r="G30" s="135">
        <f>IF(DATENTER!$D$28=0,0,(ChemProps!C30*(SiteCalcs!$J$28^3.33/DATENTER!$D$65^2))+((ChemProps!D30/ChemCalcs!D30)*(DATENTER!$E$65^3.33/DATENTER!$D$65^2)))</f>
        <v>0</v>
      </c>
      <c r="H30" s="135">
        <f>IF((VLOOKUP(A30,Props,3,FALSE))=0,0,((VLOOKUP(A30,Props,3,FALSE))*(SiteCalcs!$D$19^3.33/SiteCalcs!$C$19^2))+(((VLOOKUP(A30,Props,4,FALSE))/ChemCalcs!D30)*(SiteCalcs!$E$19^3.33/SiteCalcs!$C$19^2)))</f>
        <v>1.3154490450594425E-3</v>
      </c>
      <c r="I30" s="205">
        <f>IF(AND(E30&gt;0,F30&gt;0,G30&gt;0),SiteCalcs!$B$11/(((IF(SiteCalcs!$B$11=1,1,DATENTER!$B$28-DATENTER!$B$14))/E30)+(DATENTER!$C$28/F30)+((DATENTER!$D$28-SiteCalcs!$B$19)/G30)+(SiteCalcs!$B$19/H30)),IF(AND(E30&gt;0,F30&gt;0,G30=0),SiteCalcs!$B$11/(((IF(SiteCalcs!$B$11=1,1,DATENTER!$B$28-DATENTER!$B$14))/E30)+((DATENTER!$C$28-SiteCalcs!$B$19)/F30)+(SiteCalcs!$B$19/H30)),IF(AND(E30&gt;0,F30=0,G30=0),SiteCalcs!$B$11/(((IF(SiteCalcs!$B$11=1,1,DATENTER!$B$28-DATENTER!$B$14)-SiteCalcs!$B$19)/E30)+(SiteCalcs!$B$19/H30)))))</f>
        <v>2.1739778309829406E-3</v>
      </c>
      <c r="J30" s="135">
        <f>ChemCalcs!E30</f>
        <v>1.5391098852225199E-2</v>
      </c>
      <c r="K30" s="260">
        <f>IF(DATENTER!$B$78="","ERROR",EXP((SiteCalcs!$L$11*DATENTER!$B$78)/(ChemCalcs!J30*SiteCalcs!$M$11)))</f>
        <v>2.3340063025033968E+72</v>
      </c>
      <c r="L30" s="206">
        <f>IF(ISERROR(K30),((ChemCalcs!I30*SiteCalcs!$E$11)/(SiteCalcs!$D$11*SiteCalcs!$B$11))/(((ChemCalcs!I30*SiteCalcs!$E$11)/(SiteCalcs!$L$11*SiteCalcs!$B$11))+1),(((ChemCalcs!I30*SiteCalcs!$E$11)/(SiteCalcs!$D$11*SiteCalcs!$B$11))*EXP((SiteCalcs!$L$11*DATENTER!$B$78)/(ChemCalcs!J30*SiteCalcs!$M$11)))/(EXP((SiteCalcs!$L$11*DATENTER!$B$78)/(ChemCalcs!J30*SiteCalcs!$M$11))+((ChemCalcs!I30*SiteCalcs!$E$11)/(SiteCalcs!$D$11*SiteCalcs!$B$11))+((ChemCalcs!I30*SiteCalcs!$E$11)/(SiteCalcs!$L$11*SiteCalcs!$B$11))*(EXP((SiteCalcs!$L$11*DATENTER!$B$78)/(ChemCalcs!J30*SiteCalcs!$M$11))-1)))</f>
        <v>7.4908704427640986E-4</v>
      </c>
    </row>
    <row r="31" spans="1:12" x14ac:dyDescent="0.25">
      <c r="A31" s="172" t="s">
        <v>236</v>
      </c>
      <c r="B31" s="136">
        <f>IF((VLOOKUP(A31,Props,10,FALSE))=0,0,IF((VLOOKUP(A31,Props,9,FALSE))/(VLOOKUP(A31,Props,10,FALSE))&lt;0.57,(VLOOKUP(A31,Props,8,FALSE))*((1-((DATENTER!$D$14+273.15)/(VLOOKUP(A31,Props,10,FALSE))))/(1-((VLOOKUP(A31,Props,9,FALSE))/(VLOOKUP(A31,Props,10,FALSE)))))^0.3,IF(AND((VLOOKUP(A31,Props,9,FALSE))/(VLOOKUP(A31,Props,10,FALSE))&gt;=0.57,(VLOOKUP(A31,Props,9,FALSE))/(VLOOKUP(A31,Props,10,FALSE))&lt;=0.71),(VLOOKUP(A31,Props,8,FALSE))*((1-((DATENTER!$D$14+273.15)/(VLOOKUP(A31,Props,10,FALSE))))/(1-((VLOOKUP(A31,Props,9,FALSE))/(VLOOKUP(A31,Props,10,FALSE)))))^(0.74*((VLOOKUP(A31,Props,9,FALSE))/(VLOOKUP(A31,Props,10,FALSE)))-0.116),(VLOOKUP(A31,Props,8,FALSE))*((1-((DATENTER!$D$14+273.15)/(VLOOKUP(A31,Props,10,FALSE))))/(1-((VLOOKUP(A31,Props,9,FALSE))/(VLOOKUP(A31,Props,10,FALSE)))))^0.41)))</f>
        <v>18237.836497741446</v>
      </c>
      <c r="C31" s="135">
        <f>EXP(-1*((B31/1.9872)*((1/(DATENTER!$D$14+273.15))-(1/((VLOOKUP(A31,Props,7,FALSE))+273.15)))))*(VLOOKUP(A31,Props,6,FALSE))</f>
        <v>1.3764337483530527E-5</v>
      </c>
      <c r="D31" s="135">
        <f>IF(DATENTER!$D$14="",0,C31/(0.00008206*(DATENTER!$D$14+273.15)))</f>
        <v>5.9238933862757338E-4</v>
      </c>
      <c r="E31" s="135">
        <f>IF((VLOOKUP(A31,Props,3,FALSE))=0,0,((VLOOKUP(A31,Props,3,FALSE))*(SiteCalcs!$B$28^3.33/DATENTER!$G$41^2))+(((VLOOKUP(A31,Props,4,FALSE))/ChemCalcs!D31)*(DATENTER!$H$41^3.33/DATENTER!$G$41^2)))</f>
        <v>2.3318014617424486E-3</v>
      </c>
      <c r="F31" s="135">
        <f>IF(DATENTER!$C$28=0,0,(ChemProps!C31*(SiteCalcs!$H$28^3.33/DATENTER!$D$53^2))+((ChemProps!D31/ChemCalcs!D31)*(DATENTER!$E$53^3.33/DATENTER!$D$53^2)))</f>
        <v>0</v>
      </c>
      <c r="G31" s="135">
        <f>IF(DATENTER!$D$28=0,0,(ChemProps!C31*(SiteCalcs!$J$28^3.33/DATENTER!$D$65^2))+((ChemProps!D31/ChemCalcs!D31)*(DATENTER!$E$65^3.33/DATENTER!$D$65^2)))</f>
        <v>0</v>
      </c>
      <c r="H31" s="135">
        <f>IF((VLOOKUP(A31,Props,3,FALSE))=0,0,((VLOOKUP(A31,Props,3,FALSE))*(SiteCalcs!$D$19^3.33/SiteCalcs!$C$19^2))+(((VLOOKUP(A31,Props,4,FALSE))/ChemCalcs!D31)*(SiteCalcs!$E$19^3.33/SiteCalcs!$C$19^2)))</f>
        <v>6.1078838825533079E-4</v>
      </c>
      <c r="I31" s="205">
        <f>IF(AND(E31&gt;0,F31&gt;0,G31&gt;0),SiteCalcs!$B$11/(((IF(SiteCalcs!$B$11=1,1,DATENTER!$B$28-DATENTER!$B$14))/E31)+(DATENTER!$C$28/F31)+((DATENTER!$D$28-SiteCalcs!$B$19)/G31)+(SiteCalcs!$B$19/H31)),IF(AND(E31&gt;0,F31&gt;0,G31=0),SiteCalcs!$B$11/(((IF(SiteCalcs!$B$11=1,1,DATENTER!$B$28-DATENTER!$B$14))/E31)+((DATENTER!$C$28-SiteCalcs!$B$19)/F31)+(SiteCalcs!$B$19/H31)),IF(AND(E31&gt;0,F31=0,G31=0),SiteCalcs!$B$11/(((IF(SiteCalcs!$B$11=1,1,DATENTER!$B$28-DATENTER!$B$14)-SiteCalcs!$B$19)/E31)+(SiteCalcs!$B$19/H31)))))</f>
        <v>8.9651537933140924E-4</v>
      </c>
      <c r="J31" s="135">
        <f>ChemCalcs!E31</f>
        <v>2.3318014617424486E-3</v>
      </c>
      <c r="K31" s="260" t="e">
        <f>IF(DATENTER!$B$78="","ERROR",EXP((SiteCalcs!$L$11*DATENTER!$B$78)/(ChemCalcs!J31*SiteCalcs!$M$11)))</f>
        <v>#NUM!</v>
      </c>
      <c r="L31" s="206">
        <f>IF(ISERROR(K31),((ChemCalcs!I31*SiteCalcs!$E$11)/(SiteCalcs!$D$11*SiteCalcs!$B$11))/(((ChemCalcs!I31*SiteCalcs!$E$11)/(SiteCalcs!$L$11*SiteCalcs!$B$11))+1),(((ChemCalcs!I31*SiteCalcs!$E$11)/(SiteCalcs!$D$11*SiteCalcs!$B$11))*EXP((SiteCalcs!$L$11*DATENTER!$B$78)/(ChemCalcs!J31*SiteCalcs!$M$11)))/(EXP((SiteCalcs!$L$11*DATENTER!$B$78)/(ChemCalcs!J31*SiteCalcs!$M$11))+((ChemCalcs!I31*SiteCalcs!$E$11)/(SiteCalcs!$D$11*SiteCalcs!$B$11))+((ChemCalcs!I31*SiteCalcs!$E$11)/(SiteCalcs!$L$11*SiteCalcs!$B$11))*(EXP((SiteCalcs!$L$11*DATENTER!$B$78)/(ChemCalcs!J31*SiteCalcs!$M$11))-1)))</f>
        <v>4.960783799783352E-4</v>
      </c>
    </row>
    <row r="32" spans="1:12" x14ac:dyDescent="0.25">
      <c r="A32" s="172" t="s">
        <v>237</v>
      </c>
      <c r="B32" s="136">
        <f>IF((VLOOKUP(A32,Props,10,FALSE))=0,0,IF((VLOOKUP(A32,Props,9,FALSE))/(VLOOKUP(A32,Props,10,FALSE))&lt;0.57,(VLOOKUP(A32,Props,8,FALSE))*((1-((DATENTER!$D$14+273.15)/(VLOOKUP(A32,Props,10,FALSE))))/(1-((VLOOKUP(A32,Props,9,FALSE))/(VLOOKUP(A32,Props,10,FALSE)))))^0.3,IF(AND((VLOOKUP(A32,Props,9,FALSE))/(VLOOKUP(A32,Props,10,FALSE))&gt;=0.57,(VLOOKUP(A32,Props,9,FALSE))/(VLOOKUP(A32,Props,10,FALSE))&lt;=0.71),(VLOOKUP(A32,Props,8,FALSE))*((1-((DATENTER!$D$14+273.15)/(VLOOKUP(A32,Props,10,FALSE))))/(1-((VLOOKUP(A32,Props,9,FALSE))/(VLOOKUP(A32,Props,10,FALSE)))))^(0.74*((VLOOKUP(A32,Props,9,FALSE))/(VLOOKUP(A32,Props,10,FALSE)))-0.116),(VLOOKUP(A32,Props,8,FALSE))*((1-((DATENTER!$D$14+273.15)/(VLOOKUP(A32,Props,10,FALSE))))/(1-((VLOOKUP(A32,Props,9,FALSE))/(VLOOKUP(A32,Props,10,FALSE)))))^0.41)))</f>
        <v>14844.23580376553</v>
      </c>
      <c r="C32" s="135">
        <f>EXP(-1*((B32/1.9872)*((1/(DATENTER!$D$14+273.15))-(1/((VLOOKUP(A32,Props,7,FALSE))+273.15)))))*(VLOOKUP(A32,Props,6,FALSE))</f>
        <v>3.0763525930157594E-7</v>
      </c>
      <c r="D32" s="135">
        <f>IF(DATENTER!$D$14="",0,C32/(0.00008206*(DATENTER!$D$14+273.15)))</f>
        <v>1.3240001417739026E-5</v>
      </c>
      <c r="E32" s="135">
        <f>IF((VLOOKUP(A32,Props,3,FALSE))=0,0,((VLOOKUP(A32,Props,3,FALSE))*(SiteCalcs!$B$28^3.33/DATENTER!$G$41^2))+(((VLOOKUP(A32,Props,4,FALSE))/ChemCalcs!D32)*(DATENTER!$H$41^3.33/DATENTER!$G$41^2)))</f>
        <v>9.8827977619504407E-3</v>
      </c>
      <c r="F32" s="135">
        <f>IF(DATENTER!$C$28=0,0,(ChemProps!C32*(SiteCalcs!$H$28^3.33/DATENTER!$D$53^2))+((ChemProps!D32/ChemCalcs!D32)*(DATENTER!$E$53^3.33/DATENTER!$D$53^2)))</f>
        <v>0</v>
      </c>
      <c r="G32" s="135">
        <f>IF(DATENTER!$D$28=0,0,(ChemProps!C32*(SiteCalcs!$J$28^3.33/DATENTER!$D$65^2))+((ChemProps!D32/ChemCalcs!D32)*(DATENTER!$E$65^3.33/DATENTER!$D$65^2)))</f>
        <v>0</v>
      </c>
      <c r="H32" s="135">
        <f>IF((VLOOKUP(A32,Props,3,FALSE))=0,0,((VLOOKUP(A32,Props,3,FALSE))*(SiteCalcs!$D$19^3.33/SiteCalcs!$C$19^2))+(((VLOOKUP(A32,Props,4,FALSE))/ChemCalcs!D32)*(SiteCalcs!$E$19^3.33/SiteCalcs!$C$19^2)))</f>
        <v>4.3409423692495792E-2</v>
      </c>
      <c r="I32" s="205">
        <f>IF(AND(E32&gt;0,F32&gt;0,G32&gt;0),SiteCalcs!$B$11/(((IF(SiteCalcs!$B$11=1,1,DATENTER!$B$28-DATENTER!$B$14))/E32)+(DATENTER!$C$28/F32)+((DATENTER!$D$28-SiteCalcs!$B$19)/G32)+(SiteCalcs!$B$19/H32)),IF(AND(E32&gt;0,F32&gt;0,G32=0),SiteCalcs!$B$11/(((IF(SiteCalcs!$B$11=1,1,DATENTER!$B$28-DATENTER!$B$14))/E32)+((DATENTER!$C$28-SiteCalcs!$B$19)/F32)+(SiteCalcs!$B$19/H32)),IF(AND(E32&gt;0,F32=0,G32=0),SiteCalcs!$B$11/(((IF(SiteCalcs!$B$11=1,1,DATENTER!$B$28-DATENTER!$B$14)-SiteCalcs!$B$19)/E32)+(SiteCalcs!$B$19/H32)))))</f>
        <v>1.7610958759982014E-2</v>
      </c>
      <c r="J32" s="135">
        <f>ChemCalcs!E32</f>
        <v>9.8827977619504407E-3</v>
      </c>
      <c r="K32" s="260">
        <f>IF(DATENTER!$B$78="","ERROR",EXP((SiteCalcs!$L$11*DATENTER!$B$78)/(ChemCalcs!J32*SiteCalcs!$M$11)))</f>
        <v>5.0509133675635277E+112</v>
      </c>
      <c r="L32" s="206">
        <f>IF(ISERROR(K32),((ChemCalcs!I32*SiteCalcs!$E$11)/(SiteCalcs!$D$11*SiteCalcs!$B$11))/(((ChemCalcs!I32*SiteCalcs!$E$11)/(SiteCalcs!$L$11*SiteCalcs!$B$11))+1),(((ChemCalcs!I32*SiteCalcs!$E$11)/(SiteCalcs!$D$11*SiteCalcs!$B$11))*EXP((SiteCalcs!$L$11*DATENTER!$B$78)/(ChemCalcs!J32*SiteCalcs!$M$11)))/(EXP((SiteCalcs!$L$11*DATENTER!$B$78)/(ChemCalcs!J32*SiteCalcs!$M$11))+((ChemCalcs!I32*SiteCalcs!$E$11)/(SiteCalcs!$D$11*SiteCalcs!$B$11))+((ChemCalcs!I32*SiteCalcs!$E$11)/(SiteCalcs!$L$11*SiteCalcs!$B$11))*(EXP((SiteCalcs!$L$11*DATENTER!$B$78)/(ChemCalcs!J32*SiteCalcs!$M$11))-1)))</f>
        <v>1.0915547053442299E-3</v>
      </c>
    </row>
    <row r="33" spans="1:12" x14ac:dyDescent="0.25">
      <c r="A33" s="172" t="s">
        <v>238</v>
      </c>
      <c r="B33" s="136">
        <f>IF((VLOOKUP(A33,Props,10,FALSE))=0,0,IF((VLOOKUP(A33,Props,9,FALSE))/(VLOOKUP(A33,Props,10,FALSE))&lt;0.57,(VLOOKUP(A33,Props,8,FALSE))*((1-((DATENTER!$D$14+273.15)/(VLOOKUP(A33,Props,10,FALSE))))/(1-((VLOOKUP(A33,Props,9,FALSE))/(VLOOKUP(A33,Props,10,FALSE)))))^0.3,IF(AND((VLOOKUP(A33,Props,9,FALSE))/(VLOOKUP(A33,Props,10,FALSE))&gt;=0.57,(VLOOKUP(A33,Props,9,FALSE))/(VLOOKUP(A33,Props,10,FALSE))&lt;=0.71),(VLOOKUP(A33,Props,8,FALSE))*((1-((DATENTER!$D$14+273.15)/(VLOOKUP(A33,Props,10,FALSE))))/(1-((VLOOKUP(A33,Props,9,FALSE))/(VLOOKUP(A33,Props,10,FALSE)))))^(0.74*((VLOOKUP(A33,Props,9,FALSE))/(VLOOKUP(A33,Props,10,FALSE)))-0.116),(VLOOKUP(A33,Props,8,FALSE))*((1-((DATENTER!$D$14+273.15)/(VLOOKUP(A33,Props,10,FALSE))))/(1-((VLOOKUP(A33,Props,9,FALSE))/(VLOOKUP(A33,Props,10,FALSE)))))^0.41)))</f>
        <v>9803.3324465783171</v>
      </c>
      <c r="C33" s="135">
        <f>EXP(-1*((B33/1.9872)*((1/(DATENTER!$D$14+273.15))-(1/((VLOOKUP(A33,Props,7,FALSE))+273.15)))))*(VLOOKUP(A33,Props,6,FALSE))</f>
        <v>1.2944451360147858E-3</v>
      </c>
      <c r="D33" s="135">
        <f>IF(DATENTER!$D$14="",0,C33/(0.00008206*(DATENTER!$D$14+273.15)))</f>
        <v>5.5710309263413339E-2</v>
      </c>
      <c r="E33" s="135">
        <f>IF((VLOOKUP(A33,Props,3,FALSE))=0,0,((VLOOKUP(A33,Props,3,FALSE))*(SiteCalcs!$B$28^3.33/DATENTER!$G$41^2))+(((VLOOKUP(A33,Props,4,FALSE))/ChemCalcs!D33)*(DATENTER!$H$41^3.33/DATENTER!$G$41^2)))</f>
        <v>1.4404555581241908E-2</v>
      </c>
      <c r="F33" s="135">
        <f>IF(DATENTER!$C$28=0,0,(ChemProps!C33*(SiteCalcs!$H$28^3.33/DATENTER!$D$53^2))+((ChemProps!D33/ChemCalcs!D33)*(DATENTER!$E$53^3.33/DATENTER!$D$53^2)))</f>
        <v>0</v>
      </c>
      <c r="G33" s="135">
        <f>IF(DATENTER!$D$28=0,0,(ChemProps!C33*(SiteCalcs!$J$28^3.33/DATENTER!$D$65^2))+((ChemProps!D33/ChemCalcs!D33)*(DATENTER!$E$65^3.33/DATENTER!$D$65^2)))</f>
        <v>0</v>
      </c>
      <c r="H33" s="135">
        <f>IF((VLOOKUP(A33,Props,3,FALSE))=0,0,((VLOOKUP(A33,Props,3,FALSE))*(SiteCalcs!$D$19^3.33/SiteCalcs!$C$19^2))+(((VLOOKUP(A33,Props,4,FALSE))/ChemCalcs!D33)*(SiteCalcs!$E$19^3.33/SiteCalcs!$C$19^2)))</f>
        <v>1.2390636137602472E-3</v>
      </c>
      <c r="I33" s="205">
        <f>IF(AND(E33&gt;0,F33&gt;0,G33&gt;0),SiteCalcs!$B$11/(((IF(SiteCalcs!$B$11=1,1,DATENTER!$B$28-DATENTER!$B$14))/E33)+(DATENTER!$C$28/F33)+((DATENTER!$D$28-SiteCalcs!$B$19)/G33)+(SiteCalcs!$B$19/H33)),IF(AND(E33&gt;0,F33&gt;0,G33=0),SiteCalcs!$B$11/(((IF(SiteCalcs!$B$11=1,1,DATENTER!$B$28-DATENTER!$B$14))/E33)+((DATENTER!$C$28-SiteCalcs!$B$19)/F33)+(SiteCalcs!$B$19/H33)),IF(AND(E33&gt;0,F33=0,G33=0),SiteCalcs!$B$11/(((IF(SiteCalcs!$B$11=1,1,DATENTER!$B$28-DATENTER!$B$14)-SiteCalcs!$B$19)/E33)+(SiteCalcs!$B$19/H33)))))</f>
        <v>2.0469349352100065E-3</v>
      </c>
      <c r="J33" s="135">
        <f>ChemCalcs!E33</f>
        <v>1.4404555581241908E-2</v>
      </c>
      <c r="K33" s="260">
        <f>IF(DATENTER!$B$78="","ERROR",EXP((SiteCalcs!$L$11*DATENTER!$B$78)/(ChemCalcs!J33*SiteCalcs!$M$11)))</f>
        <v>2.1109066841910822E+77</v>
      </c>
      <c r="L33" s="206">
        <f>IF(ISERROR(K33),((ChemCalcs!I33*SiteCalcs!$E$11)/(SiteCalcs!$D$11*SiteCalcs!$B$11))/(((ChemCalcs!I33*SiteCalcs!$E$11)/(SiteCalcs!$L$11*SiteCalcs!$B$11))+1),(((ChemCalcs!I33*SiteCalcs!$E$11)/(SiteCalcs!$D$11*SiteCalcs!$B$11))*EXP((SiteCalcs!$L$11*DATENTER!$B$78)/(ChemCalcs!J33*SiteCalcs!$M$11)))/(EXP((SiteCalcs!$L$11*DATENTER!$B$78)/(ChemCalcs!J33*SiteCalcs!$M$11))+((ChemCalcs!I33*SiteCalcs!$E$11)/(SiteCalcs!$D$11*SiteCalcs!$B$11))+((ChemCalcs!I33*SiteCalcs!$E$11)/(SiteCalcs!$L$11*SiteCalcs!$B$11))*(EXP((SiteCalcs!$L$11*DATENTER!$B$78)/(ChemCalcs!J33*SiteCalcs!$M$11))-1)))</f>
        <v>7.3280791427857215E-4</v>
      </c>
    </row>
    <row r="34" spans="1:12" x14ac:dyDescent="0.25">
      <c r="A34" s="172" t="s">
        <v>239</v>
      </c>
      <c r="B34" s="136">
        <f>IF((VLOOKUP(A34,Props,10,FALSE))=0,0,IF((VLOOKUP(A34,Props,9,FALSE))/(VLOOKUP(A34,Props,10,FALSE))&lt;0.57,(VLOOKUP(A34,Props,8,FALSE))*((1-((DATENTER!$D$14+273.15)/(VLOOKUP(A34,Props,10,FALSE))))/(1-((VLOOKUP(A34,Props,9,FALSE))/(VLOOKUP(A34,Props,10,FALSE)))))^0.3,IF(AND((VLOOKUP(A34,Props,9,FALSE))/(VLOOKUP(A34,Props,10,FALSE))&gt;=0.57,(VLOOKUP(A34,Props,9,FALSE))/(VLOOKUP(A34,Props,10,FALSE))&lt;=0.71),(VLOOKUP(A34,Props,8,FALSE))*((1-((DATENTER!$D$14+273.15)/(VLOOKUP(A34,Props,10,FALSE))))/(1-((VLOOKUP(A34,Props,9,FALSE))/(VLOOKUP(A34,Props,10,FALSE)))))^(0.74*((VLOOKUP(A34,Props,9,FALSE))/(VLOOKUP(A34,Props,10,FALSE)))-0.116),(VLOOKUP(A34,Props,8,FALSE))*((1-((DATENTER!$D$14+273.15)/(VLOOKUP(A34,Props,10,FALSE))))/(1-((VLOOKUP(A34,Props,9,FALSE))/(VLOOKUP(A34,Props,10,FALSE)))))^0.41)))</f>
        <v>7554.2817730381175</v>
      </c>
      <c r="C34" s="135">
        <f>EXP(-1*((B34/1.9872)*((1/(DATENTER!$D$14+273.15))-(1/((VLOOKUP(A34,Props,7,FALSE))+273.15)))))*(VLOOKUP(A34,Props,6,FALSE))</f>
        <v>1.8677683925581317E-3</v>
      </c>
      <c r="D34" s="135">
        <f>IF(DATENTER!$D$14="",0,C34/(0.00008206*(DATENTER!$D$14+273.15)))</f>
        <v>8.038498649868879E-2</v>
      </c>
      <c r="E34" s="135">
        <f>IF((VLOOKUP(A34,Props,3,FALSE))=0,0,((VLOOKUP(A34,Props,3,FALSE))*(SiteCalcs!$B$28^3.33/DATENTER!$G$41^2))+(((VLOOKUP(A34,Props,4,FALSE))/ChemCalcs!D34)*(DATENTER!$H$41^3.33/DATENTER!$G$41^2)))</f>
        <v>2.052151335815728E-2</v>
      </c>
      <c r="F34" s="135">
        <f>IF(DATENTER!$C$28=0,0,(ChemProps!C34*(SiteCalcs!$H$28^3.33/DATENTER!$D$53^2))+((ChemProps!D34/ChemCalcs!D34)*(DATENTER!$E$53^3.33/DATENTER!$D$53^2)))</f>
        <v>0</v>
      </c>
      <c r="G34" s="135">
        <f>IF(DATENTER!$D$28=0,0,(ChemProps!C34*(SiteCalcs!$J$28^3.33/DATENTER!$D$65^2))+((ChemProps!D34/ChemCalcs!D34)*(DATENTER!$E$65^3.33/DATENTER!$D$65^2)))</f>
        <v>0</v>
      </c>
      <c r="H34" s="135">
        <f>IF((VLOOKUP(A34,Props,3,FALSE))=0,0,((VLOOKUP(A34,Props,3,FALSE))*(SiteCalcs!$D$19^3.33/SiteCalcs!$C$19^2))+(((VLOOKUP(A34,Props,4,FALSE))/ChemCalcs!D34)*(SiteCalcs!$E$19^3.33/SiteCalcs!$C$19^2)))</f>
        <v>1.7597647149052047E-3</v>
      </c>
      <c r="I34" s="205">
        <f>IF(AND(E34&gt;0,F34&gt;0,G34&gt;0),SiteCalcs!$B$11/(((IF(SiteCalcs!$B$11=1,1,DATENTER!$B$28-DATENTER!$B$14))/E34)+(DATENTER!$C$28/F34)+((DATENTER!$D$28-SiteCalcs!$B$19)/G34)+(SiteCalcs!$B$19/H34)),IF(AND(E34&gt;0,F34&gt;0,G34=0),SiteCalcs!$B$11/(((IF(SiteCalcs!$B$11=1,1,DATENTER!$B$28-DATENTER!$B$14))/E34)+((DATENTER!$C$28-SiteCalcs!$B$19)/F34)+(SiteCalcs!$B$19/H34)),IF(AND(E34&gt;0,F34=0,G34=0),SiteCalcs!$B$11/(((IF(SiteCalcs!$B$11=1,1,DATENTER!$B$28-DATENTER!$B$14)-SiteCalcs!$B$19)/E34)+(SiteCalcs!$B$19/H34)))))</f>
        <v>2.9076870907253998E-3</v>
      </c>
      <c r="J34" s="135">
        <f>ChemCalcs!E34</f>
        <v>2.052151335815728E-2</v>
      </c>
      <c r="K34" s="260">
        <f>IF(DATENTER!$B$78="","ERROR",EXP((SiteCalcs!$L$11*DATENTER!$B$78)/(ChemCalcs!J34*SiteCalcs!$M$11)))</f>
        <v>1.8877695619677402E+54</v>
      </c>
      <c r="L34" s="206">
        <f>IF(ISERROR(K34),((ChemCalcs!I34*SiteCalcs!$E$11)/(SiteCalcs!$D$11*SiteCalcs!$B$11))/(((ChemCalcs!I34*SiteCalcs!$E$11)/(SiteCalcs!$L$11*SiteCalcs!$B$11))+1),(((ChemCalcs!I34*SiteCalcs!$E$11)/(SiteCalcs!$D$11*SiteCalcs!$B$11))*EXP((SiteCalcs!$L$11*DATENTER!$B$78)/(ChemCalcs!J34*SiteCalcs!$M$11)))/(EXP((SiteCalcs!$L$11*DATENTER!$B$78)/(ChemCalcs!J34*SiteCalcs!$M$11))+((ChemCalcs!I34*SiteCalcs!$E$11)/(SiteCalcs!$D$11*SiteCalcs!$B$11))+((ChemCalcs!I34*SiteCalcs!$E$11)/(SiteCalcs!$L$11*SiteCalcs!$B$11))*(EXP((SiteCalcs!$L$11*DATENTER!$B$78)/(ChemCalcs!J34*SiteCalcs!$M$11))-1)))</f>
        <v>8.2345971616553336E-4</v>
      </c>
    </row>
    <row r="35" spans="1:12" x14ac:dyDescent="0.25">
      <c r="A35" s="172" t="s">
        <v>240</v>
      </c>
      <c r="B35" s="136">
        <f>IF((VLOOKUP(A35,Props,10,FALSE))=0,0,IF((VLOOKUP(A35,Props,9,FALSE))/(VLOOKUP(A35,Props,10,FALSE))&lt;0.57,(VLOOKUP(A35,Props,8,FALSE))*((1-((DATENTER!$D$14+273.15)/(VLOOKUP(A35,Props,10,FALSE))))/(1-((VLOOKUP(A35,Props,9,FALSE))/(VLOOKUP(A35,Props,10,FALSE)))))^0.3,IF(AND((VLOOKUP(A35,Props,9,FALSE))/(VLOOKUP(A35,Props,10,FALSE))&gt;=0.57,(VLOOKUP(A35,Props,9,FALSE))/(VLOOKUP(A35,Props,10,FALSE))&lt;=0.71),(VLOOKUP(A35,Props,8,FALSE))*((1-((DATENTER!$D$14+273.15)/(VLOOKUP(A35,Props,10,FALSE))))/(1-((VLOOKUP(A35,Props,9,FALSE))/(VLOOKUP(A35,Props,10,FALSE)))))^(0.74*((VLOOKUP(A35,Props,9,FALSE))/(VLOOKUP(A35,Props,10,FALSE)))-0.116),(VLOOKUP(A35,Props,8,FALSE))*((1-((DATENTER!$D$14+273.15)/(VLOOKUP(A35,Props,10,FALSE))))/(1-((VLOOKUP(A35,Props,9,FALSE))/(VLOOKUP(A35,Props,10,FALSE)))))^0.41)))</f>
        <v>11735.122476436769</v>
      </c>
      <c r="C35" s="135">
        <f>EXP(-1*((B35/1.9872)*((1/(DATENTER!$D$14+273.15))-(1/((VLOOKUP(A35,Props,7,FALSE))+273.15)))))*(VLOOKUP(A35,Props,6,FALSE))</f>
        <v>3.92217751462077E-6</v>
      </c>
      <c r="D35" s="135">
        <f>IF(DATENTER!$D$14="",0,C35/(0.00008206*(DATENTER!$D$14+273.15)))</f>
        <v>1.688026137579253E-4</v>
      </c>
      <c r="E35" s="135">
        <f>IF((VLOOKUP(A35,Props,3,FALSE))=0,0,((VLOOKUP(A35,Props,3,FALSE))*(SiteCalcs!$B$28^3.33/DATENTER!$G$41^2))+(((VLOOKUP(A35,Props,4,FALSE))/ChemCalcs!D35)*(DATENTER!$H$41^3.33/DATENTER!$G$41^2)))</f>
        <v>9.9116880784514607E-3</v>
      </c>
      <c r="F35" s="135">
        <f>IF(DATENTER!$C$28=0,0,(ChemProps!C35*(SiteCalcs!$H$28^3.33/DATENTER!$D$53^2))+((ChemProps!D35/ChemCalcs!D35)*(DATENTER!$E$53^3.33/DATENTER!$D$53^2)))</f>
        <v>0</v>
      </c>
      <c r="G35" s="135">
        <f>IF(DATENTER!$D$28=0,0,(ChemProps!C35*(SiteCalcs!$J$28^3.33/DATENTER!$D$65^2))+((ChemProps!D35/ChemCalcs!D35)*(DATENTER!$E$65^3.33/DATENTER!$D$65^2)))</f>
        <v>0</v>
      </c>
      <c r="H35" s="135">
        <f>IF((VLOOKUP(A35,Props,3,FALSE))=0,0,((VLOOKUP(A35,Props,3,FALSE))*(SiteCalcs!$D$19^3.33/SiteCalcs!$C$19^2))+(((VLOOKUP(A35,Props,4,FALSE))/ChemCalcs!D35)*(SiteCalcs!$E$19^3.33/SiteCalcs!$C$19^2)))</f>
        <v>3.9736423659486693E-3</v>
      </c>
      <c r="I35" s="205">
        <f>IF(AND(E35&gt;0,F35&gt;0,G35&gt;0),SiteCalcs!$B$11/(((IF(SiteCalcs!$B$11=1,1,DATENTER!$B$28-DATENTER!$B$14))/E35)+(DATENTER!$C$28/F35)+((DATENTER!$D$28-SiteCalcs!$B$19)/G35)+(SiteCalcs!$B$19/H35)),IF(AND(E35&gt;0,F35&gt;0,G35=0),SiteCalcs!$B$11/(((IF(SiteCalcs!$B$11=1,1,DATENTER!$B$28-DATENTER!$B$14))/E35)+((DATENTER!$C$28-SiteCalcs!$B$19)/F35)+(SiteCalcs!$B$19/H35)),IF(AND(E35&gt;0,F35=0,G35=0),SiteCalcs!$B$11/(((IF(SiteCalcs!$B$11=1,1,DATENTER!$B$28-DATENTER!$B$14)-SiteCalcs!$B$19)/E35)+(SiteCalcs!$B$19/H35)))))</f>
        <v>5.3603718634867995E-3</v>
      </c>
      <c r="J35" s="135">
        <f>ChemCalcs!E35</f>
        <v>9.9116880784514607E-3</v>
      </c>
      <c r="K35" s="260">
        <f>IF(DATENTER!$B$78="","ERROR",EXP((SiteCalcs!$L$11*DATENTER!$B$78)/(ChemCalcs!J35*SiteCalcs!$M$11)))</f>
        <v>2.3706379300805979E+112</v>
      </c>
      <c r="L35" s="206">
        <f>IF(ISERROR(K35),((ChemCalcs!I35*SiteCalcs!$E$11)/(SiteCalcs!$D$11*SiteCalcs!$B$11))/(((ChemCalcs!I35*SiteCalcs!$E$11)/(SiteCalcs!$L$11*SiteCalcs!$B$11))+1),(((ChemCalcs!I35*SiteCalcs!$E$11)/(SiteCalcs!$D$11*SiteCalcs!$B$11))*EXP((SiteCalcs!$L$11*DATENTER!$B$78)/(ChemCalcs!J35*SiteCalcs!$M$11)))/(EXP((SiteCalcs!$L$11*DATENTER!$B$78)/(ChemCalcs!J35*SiteCalcs!$M$11))+((ChemCalcs!I35*SiteCalcs!$E$11)/(SiteCalcs!$D$11*SiteCalcs!$B$11))+((ChemCalcs!I35*SiteCalcs!$E$11)/(SiteCalcs!$L$11*SiteCalcs!$B$11))*(EXP((SiteCalcs!$L$11*DATENTER!$B$78)/(ChemCalcs!J35*SiteCalcs!$M$11))-1)))</f>
        <v>9.5154129270147447E-4</v>
      </c>
    </row>
    <row r="36" spans="1:12" x14ac:dyDescent="0.25">
      <c r="A36" s="172" t="s">
        <v>241</v>
      </c>
      <c r="B36" s="136">
        <f>IF((VLOOKUP(A36,Props,10,FALSE))=0,0,IF((VLOOKUP(A36,Props,9,FALSE))/(VLOOKUP(A36,Props,10,FALSE))&lt;0.57,(VLOOKUP(A36,Props,8,FALSE))*((1-((DATENTER!$D$14+273.15)/(VLOOKUP(A36,Props,10,FALSE))))/(1-((VLOOKUP(A36,Props,9,FALSE))/(VLOOKUP(A36,Props,10,FALSE)))))^0.3,IF(AND((VLOOKUP(A36,Props,9,FALSE))/(VLOOKUP(A36,Props,10,FALSE))&gt;=0.57,(VLOOKUP(A36,Props,9,FALSE))/(VLOOKUP(A36,Props,10,FALSE))&lt;=0.71),(VLOOKUP(A36,Props,8,FALSE))*((1-((DATENTER!$D$14+273.15)/(VLOOKUP(A36,Props,10,FALSE))))/(1-((VLOOKUP(A36,Props,9,FALSE))/(VLOOKUP(A36,Props,10,FALSE)))))^(0.74*((VLOOKUP(A36,Props,9,FALSE))/(VLOOKUP(A36,Props,10,FALSE)))-0.116),(VLOOKUP(A36,Props,8,FALSE))*((1-((DATENTER!$D$14+273.15)/(VLOOKUP(A36,Props,10,FALSE))))/(1-((VLOOKUP(A36,Props,9,FALSE))/(VLOOKUP(A36,Props,10,FALSE)))))^0.41)))</f>
        <v>0</v>
      </c>
      <c r="C36" s="135">
        <f>EXP(-1*((B36/1.9872)*((1/(DATENTER!$D$14+273.15))-(1/((VLOOKUP(A36,Props,7,FALSE))+273.15)))))*(VLOOKUP(A36,Props,6,FALSE))</f>
        <v>0</v>
      </c>
      <c r="D36" s="135">
        <f>IF(DATENTER!$D$14="",0,C36/(0.00008206*(DATENTER!$D$14+273.15)))</f>
        <v>0</v>
      </c>
      <c r="E36" s="135">
        <f>IF((VLOOKUP(A36,Props,3,FALSE))=0,0,((VLOOKUP(A36,Props,3,FALSE))*(SiteCalcs!$B$28^3.33/DATENTER!$G$41^2))+(((VLOOKUP(A36,Props,4,FALSE))/ChemCalcs!D36)*(DATENTER!$H$41^3.33/DATENTER!$G$41^2)))</f>
        <v>0</v>
      </c>
      <c r="F36" s="135"/>
      <c r="G36" s="135"/>
      <c r="H36" s="135">
        <f>IF((VLOOKUP(A36,Props,3,FALSE))=0,0,((VLOOKUP(A36,Props,3,FALSE))*(SiteCalcs!$D$19^3.33/SiteCalcs!$C$19^2))+(((VLOOKUP(A36,Props,4,FALSE))/ChemCalcs!D36)*(SiteCalcs!$E$19^3.33/SiteCalcs!$C$19^2)))</f>
        <v>0</v>
      </c>
      <c r="I36" s="205"/>
      <c r="J36" s="135"/>
      <c r="K36" s="260"/>
      <c r="L36" s="206"/>
    </row>
    <row r="37" spans="1:12" x14ac:dyDescent="0.25">
      <c r="A37" s="172" t="s">
        <v>242</v>
      </c>
      <c r="B37" s="136">
        <f>IF((VLOOKUP(A37,Props,10,FALSE))=0,0,IF((VLOOKUP(A37,Props,9,FALSE))/(VLOOKUP(A37,Props,10,FALSE))&lt;0.57,(VLOOKUP(A37,Props,8,FALSE))*((1-((DATENTER!$D$14+273.15)/(VLOOKUP(A37,Props,10,FALSE))))/(1-((VLOOKUP(A37,Props,9,FALSE))/(VLOOKUP(A37,Props,10,FALSE)))))^0.3,IF(AND((VLOOKUP(A37,Props,9,FALSE))/(VLOOKUP(A37,Props,10,FALSE))&gt;=0.57,(VLOOKUP(A37,Props,9,FALSE))/(VLOOKUP(A37,Props,10,FALSE))&lt;=0.71),(VLOOKUP(A37,Props,8,FALSE))*((1-((DATENTER!$D$14+273.15)/(VLOOKUP(A37,Props,10,FALSE))))/(1-((VLOOKUP(A37,Props,9,FALSE))/(VLOOKUP(A37,Props,10,FALSE)))))^(0.74*((VLOOKUP(A37,Props,9,FALSE))/(VLOOKUP(A37,Props,10,FALSE)))-0.116),(VLOOKUP(A37,Props,8,FALSE))*((1-((DATENTER!$D$14+273.15)/(VLOOKUP(A37,Props,10,FALSE))))/(1-((VLOOKUP(A37,Props,9,FALSE))/(VLOOKUP(A37,Props,10,FALSE)))))^0.41)))</f>
        <v>0</v>
      </c>
      <c r="C37" s="135">
        <f>EXP(-1*((B37/1.9872)*((1/(DATENTER!$D$14+273.15))-(1/((VLOOKUP(A37,Props,7,FALSE))+273.15)))))*(VLOOKUP(A37,Props,6,FALSE))</f>
        <v>0</v>
      </c>
      <c r="D37" s="135">
        <f>IF(DATENTER!$D$14="",0,C37/(0.00008206*(DATENTER!$D$14+273.15)))</f>
        <v>0</v>
      </c>
      <c r="E37" s="135">
        <f>IF((VLOOKUP(A37,Props,3,FALSE))=0,0,((VLOOKUP(A37,Props,3,FALSE))*(SiteCalcs!$B$28^3.33/DATENTER!$G$41^2))+(((VLOOKUP(A37,Props,4,FALSE))/ChemCalcs!D37)*(DATENTER!$H$41^3.33/DATENTER!$G$41^2)))</f>
        <v>0</v>
      </c>
      <c r="F37" s="135"/>
      <c r="G37" s="135"/>
      <c r="H37" s="135">
        <f>IF((VLOOKUP(A37,Props,3,FALSE))=0,0,((VLOOKUP(A37,Props,3,FALSE))*(SiteCalcs!$D$19^3.33/SiteCalcs!$C$19^2))+(((VLOOKUP(A37,Props,4,FALSE))/ChemCalcs!D37)*(SiteCalcs!$E$19^3.33/SiteCalcs!$C$19^2)))</f>
        <v>0</v>
      </c>
      <c r="I37" s="205"/>
      <c r="J37" s="135"/>
      <c r="K37" s="260"/>
      <c r="L37" s="206"/>
    </row>
    <row r="38" spans="1:12" x14ac:dyDescent="0.25">
      <c r="A38" s="172" t="s">
        <v>243</v>
      </c>
      <c r="B38" s="136">
        <f>IF((VLOOKUP(A38,Props,10,FALSE))=0,0,IF((VLOOKUP(A38,Props,9,FALSE))/(VLOOKUP(A38,Props,10,FALSE))&lt;0.57,(VLOOKUP(A38,Props,8,FALSE))*((1-((DATENTER!$D$14+273.15)/(VLOOKUP(A38,Props,10,FALSE))))/(1-((VLOOKUP(A38,Props,9,FALSE))/(VLOOKUP(A38,Props,10,FALSE)))))^0.3,IF(AND((VLOOKUP(A38,Props,9,FALSE))/(VLOOKUP(A38,Props,10,FALSE))&gt;=0.57,(VLOOKUP(A38,Props,9,FALSE))/(VLOOKUP(A38,Props,10,FALSE))&lt;=0.71),(VLOOKUP(A38,Props,8,FALSE))*((1-((DATENTER!$D$14+273.15)/(VLOOKUP(A38,Props,10,FALSE))))/(1-((VLOOKUP(A38,Props,9,FALSE))/(VLOOKUP(A38,Props,10,FALSE)))))^(0.74*((VLOOKUP(A38,Props,9,FALSE))/(VLOOKUP(A38,Props,10,FALSE)))-0.116),(VLOOKUP(A38,Props,8,FALSE))*((1-((DATENTER!$D$14+273.15)/(VLOOKUP(A38,Props,10,FALSE))))/(1-((VLOOKUP(A38,Props,9,FALSE))/(VLOOKUP(A38,Props,10,FALSE)))))^0.41)))</f>
        <v>0</v>
      </c>
      <c r="C38" s="135">
        <f>EXP(-1*((B38/1.9872)*((1/(DATENTER!$D$14+273.15))-(1/((VLOOKUP(A38,Props,7,FALSE))+273.15)))))*(VLOOKUP(A38,Props,6,FALSE))</f>
        <v>0</v>
      </c>
      <c r="D38" s="135">
        <f>IF(DATENTER!$D$14="",0,C38/(0.00008206*(DATENTER!$D$14+273.15)))</f>
        <v>0</v>
      </c>
      <c r="E38" s="135">
        <f>IF((VLOOKUP(A38,Props,3,FALSE))=0,0,((VLOOKUP(A38,Props,3,FALSE))*(SiteCalcs!$B$28^3.33/DATENTER!$G$41^2))+(((VLOOKUP(A38,Props,4,FALSE))/ChemCalcs!D38)*(DATENTER!$H$41^3.33/DATENTER!$G$41^2)))</f>
        <v>0</v>
      </c>
      <c r="F38" s="135"/>
      <c r="G38" s="135"/>
      <c r="H38" s="135">
        <f>IF((VLOOKUP(A38,Props,3,FALSE))=0,0,((VLOOKUP(A38,Props,3,FALSE))*(SiteCalcs!$D$19^3.33/SiteCalcs!$C$19^2))+(((VLOOKUP(A38,Props,4,FALSE))/ChemCalcs!D38)*(SiteCalcs!$E$19^3.33/SiteCalcs!$C$19^2)))</f>
        <v>0</v>
      </c>
      <c r="I38" s="205"/>
      <c r="J38" s="135"/>
      <c r="K38" s="260"/>
      <c r="L38" s="206"/>
    </row>
    <row r="39" spans="1:12" x14ac:dyDescent="0.25">
      <c r="A39" s="172" t="s">
        <v>244</v>
      </c>
      <c r="B39" s="136">
        <f>IF((VLOOKUP(A39,Props,10,FALSE))=0,0,IF((VLOOKUP(A39,Props,9,FALSE))/(VLOOKUP(A39,Props,10,FALSE))&lt;0.57,(VLOOKUP(A39,Props,8,FALSE))*((1-((DATENTER!$D$14+273.15)/(VLOOKUP(A39,Props,10,FALSE))))/(1-((VLOOKUP(A39,Props,9,FALSE))/(VLOOKUP(A39,Props,10,FALSE)))))^0.3,IF(AND((VLOOKUP(A39,Props,9,FALSE))/(VLOOKUP(A39,Props,10,FALSE))&gt;=0.57,(VLOOKUP(A39,Props,9,FALSE))/(VLOOKUP(A39,Props,10,FALSE))&lt;=0.71),(VLOOKUP(A39,Props,8,FALSE))*((1-((DATENTER!$D$14+273.15)/(VLOOKUP(A39,Props,10,FALSE))))/(1-((VLOOKUP(A39,Props,9,FALSE))/(VLOOKUP(A39,Props,10,FALSE)))))^(0.74*((VLOOKUP(A39,Props,9,FALSE))/(VLOOKUP(A39,Props,10,FALSE)))-0.116),(VLOOKUP(A39,Props,8,FALSE))*((1-((DATENTER!$D$14+273.15)/(VLOOKUP(A39,Props,10,FALSE))))/(1-((VLOOKUP(A39,Props,9,FALSE))/(VLOOKUP(A39,Props,10,FALSE)))))^0.41)))</f>
        <v>24451.15084318765</v>
      </c>
      <c r="C39" s="135">
        <f>EXP(-1*((B39/1.9872)*((1/(DATENTER!$D$14+273.15))-(1/((VLOOKUP(A39,Props,7,FALSE))+273.15)))))*(VLOOKUP(A39,Props,6,FALSE))</f>
        <v>5.8753023930024977E-7</v>
      </c>
      <c r="D39" s="135">
        <f>IF(DATENTER!$D$14="",0,C39/(0.00008206*(DATENTER!$D$14+273.15)))</f>
        <v>2.5286117134168198E-5</v>
      </c>
      <c r="E39" s="135">
        <f>IF((VLOOKUP(A39,Props,3,FALSE))=0,0,((VLOOKUP(A39,Props,3,FALSE))*(SiteCalcs!$B$28^3.33/DATENTER!$G$41^2))+(((VLOOKUP(A39,Props,4,FALSE))/ChemCalcs!D39)*(DATENTER!$H$41^3.33/DATENTER!$G$41^2)))</f>
        <v>5.0069526670689785E-3</v>
      </c>
      <c r="F39" s="135">
        <f>IF(DATENTER!$C$28=0,0,(ChemProps!C39*(SiteCalcs!$H$28^3.33/DATENTER!$D$53^2))+((ChemProps!D39/ChemCalcs!D39)*(DATENTER!$E$53^3.33/DATENTER!$D$53^2)))</f>
        <v>0</v>
      </c>
      <c r="G39" s="135">
        <f>IF(DATENTER!$D$28=0,0,(ChemProps!C39*(SiteCalcs!$J$28^3.33/DATENTER!$D$65^2))+((ChemProps!D39/ChemCalcs!D39)*(DATENTER!$E$65^3.33/DATENTER!$D$65^2)))</f>
        <v>0</v>
      </c>
      <c r="H39" s="135">
        <f>IF((VLOOKUP(A39,Props,3,FALSE))=0,0,((VLOOKUP(A39,Props,3,FALSE))*(SiteCalcs!$D$19^3.33/SiteCalcs!$C$19^2))+(((VLOOKUP(A39,Props,4,FALSE))/ChemCalcs!D39)*(SiteCalcs!$E$19^3.33/SiteCalcs!$C$19^2)))</f>
        <v>1.4131171634308874E-2</v>
      </c>
      <c r="I39" s="205">
        <f>IF(AND(E39&gt;0,F39&gt;0,G39&gt;0),SiteCalcs!$B$11/(((IF(SiteCalcs!$B$11=1,1,DATENTER!$B$28-DATENTER!$B$14))/E39)+(DATENTER!$C$28/F39)+((DATENTER!$D$28-SiteCalcs!$B$19)/G39)+(SiteCalcs!$B$19/H39)),IF(AND(E39&gt;0,F39&gt;0,G39=0),SiteCalcs!$B$11/(((IF(SiteCalcs!$B$11=1,1,DATENTER!$B$28-DATENTER!$B$14))/E39)+((DATENTER!$C$28-SiteCalcs!$B$19)/F39)+(SiteCalcs!$B$19/H39)),IF(AND(E39&gt;0,F39=0,G39=0),SiteCalcs!$B$11/(((IF(SiteCalcs!$B$11=1,1,DATENTER!$B$28-DATENTER!$B$14)-SiteCalcs!$B$19)/E39)+(SiteCalcs!$B$19/H39)))))</f>
        <v>7.9081762596971208E-3</v>
      </c>
      <c r="J39" s="135">
        <f>ChemCalcs!E39</f>
        <v>5.0069526670689785E-3</v>
      </c>
      <c r="K39" s="260">
        <f>IF(DATENTER!$B$78="","ERROR",EXP((SiteCalcs!$L$11*DATENTER!$B$78)/(ChemCalcs!J39*SiteCalcs!$M$11)))</f>
        <v>2.8548971665102625E+222</v>
      </c>
      <c r="L39" s="206">
        <f>IF(ISERROR(K39),((ChemCalcs!I39*SiteCalcs!$E$11)/(SiteCalcs!$D$11*SiteCalcs!$B$11))/(((ChemCalcs!I39*SiteCalcs!$E$11)/(SiteCalcs!$L$11*SiteCalcs!$B$11))+1),(((ChemCalcs!I39*SiteCalcs!$E$11)/(SiteCalcs!$D$11*SiteCalcs!$B$11))*EXP((SiteCalcs!$L$11*DATENTER!$B$78)/(ChemCalcs!J39*SiteCalcs!$M$11)))/(EXP((SiteCalcs!$L$11*DATENTER!$B$78)/(ChemCalcs!J39*SiteCalcs!$M$11))+((ChemCalcs!I39*SiteCalcs!$E$11)/(SiteCalcs!$D$11*SiteCalcs!$B$11))+((ChemCalcs!I39*SiteCalcs!$E$11)/(SiteCalcs!$L$11*SiteCalcs!$B$11))*(EXP((SiteCalcs!$L$11*DATENTER!$B$78)/(ChemCalcs!J39*SiteCalcs!$M$11))-1)))</f>
        <v>1.0116401242322747E-3</v>
      </c>
    </row>
    <row r="40" spans="1:12" x14ac:dyDescent="0.25">
      <c r="A40" s="172" t="s">
        <v>245</v>
      </c>
      <c r="B40" s="136">
        <f>IF((VLOOKUP(A40,Props,10,FALSE))=0,0,IF((VLOOKUP(A40,Props,9,FALSE))/(VLOOKUP(A40,Props,10,FALSE))&lt;0.57,(VLOOKUP(A40,Props,8,FALSE))*((1-((DATENTER!$D$14+273.15)/(VLOOKUP(A40,Props,10,FALSE))))/(1-((VLOOKUP(A40,Props,9,FALSE))/(VLOOKUP(A40,Props,10,FALSE)))))^0.3,IF(AND((VLOOKUP(A40,Props,9,FALSE))/(VLOOKUP(A40,Props,10,FALSE))&gt;=0.57,(VLOOKUP(A40,Props,9,FALSE))/(VLOOKUP(A40,Props,10,FALSE))&lt;=0.71),(VLOOKUP(A40,Props,8,FALSE))*((1-((DATENTER!$D$14+273.15)/(VLOOKUP(A40,Props,10,FALSE))))/(1-((VLOOKUP(A40,Props,9,FALSE))/(VLOOKUP(A40,Props,10,FALSE)))))^(0.74*((VLOOKUP(A40,Props,9,FALSE))/(VLOOKUP(A40,Props,10,FALSE)))-0.116),(VLOOKUP(A40,Props,8,FALSE))*((1-((DATENTER!$D$14+273.15)/(VLOOKUP(A40,Props,10,FALSE))))/(1-((VLOOKUP(A40,Props,9,FALSE))/(VLOOKUP(A40,Props,10,FALSE)))))^0.41)))</f>
        <v>0</v>
      </c>
      <c r="C40" s="135"/>
      <c r="D40" s="135">
        <f>IF(DATENTER!$D$14="",0,C40/(0.00008206*(DATENTER!$D$14+273.15)))</f>
        <v>0</v>
      </c>
      <c r="E40" s="135">
        <f>IF((VLOOKUP(A40,Props,3,FALSE))=0,0,((VLOOKUP(A40,Props,3,FALSE))*(SiteCalcs!$B$28^3.33/DATENTER!$G$41^2))+(((VLOOKUP(A40,Props,4,FALSE))/ChemCalcs!D40)*(DATENTER!$H$41^3.33/DATENTER!$G$41^2)))</f>
        <v>0</v>
      </c>
      <c r="F40" s="135"/>
      <c r="G40" s="135"/>
      <c r="H40" s="135">
        <f>IF((VLOOKUP(A40,Props,3,FALSE))=0,0,((VLOOKUP(A40,Props,3,FALSE))*(SiteCalcs!$D$19^3.33/SiteCalcs!$C$19^2))+(((VLOOKUP(A40,Props,4,FALSE))/ChemCalcs!D40)*(SiteCalcs!$E$19^3.33/SiteCalcs!$C$19^2)))</f>
        <v>0</v>
      </c>
      <c r="I40" s="205"/>
      <c r="J40" s="135"/>
      <c r="K40" s="260"/>
      <c r="L40" s="206"/>
    </row>
    <row r="41" spans="1:12" x14ac:dyDescent="0.25">
      <c r="A41" s="172" t="s">
        <v>246</v>
      </c>
      <c r="B41" s="136">
        <f>IF((VLOOKUP(A41,Props,10,FALSE))=0,0,IF((VLOOKUP(A41,Props,9,FALSE))/(VLOOKUP(A41,Props,10,FALSE))&lt;0.57,(VLOOKUP(A41,Props,8,FALSE))*((1-((DATENTER!$D$14+273.15)/(VLOOKUP(A41,Props,10,FALSE))))/(1-((VLOOKUP(A41,Props,9,FALSE))/(VLOOKUP(A41,Props,10,FALSE)))))^0.3,IF(AND((VLOOKUP(A41,Props,9,FALSE))/(VLOOKUP(A41,Props,10,FALSE))&gt;=0.57,(VLOOKUP(A41,Props,9,FALSE))/(VLOOKUP(A41,Props,10,FALSE))&lt;=0.71),(VLOOKUP(A41,Props,8,FALSE))*((1-((DATENTER!$D$14+273.15)/(VLOOKUP(A41,Props,10,FALSE))))/(1-((VLOOKUP(A41,Props,9,FALSE))/(VLOOKUP(A41,Props,10,FALSE)))))^(0.74*((VLOOKUP(A41,Props,9,FALSE))/(VLOOKUP(A41,Props,10,FALSE)))-0.116),(VLOOKUP(A41,Props,8,FALSE))*((1-((DATENTER!$D$14+273.15)/(VLOOKUP(A41,Props,10,FALSE))))/(1-((VLOOKUP(A41,Props,9,FALSE))/(VLOOKUP(A41,Props,10,FALSE)))))^0.41)))</f>
        <v>24621.763286734582</v>
      </c>
      <c r="C41" s="135">
        <f>EXP(-1*((B41/1.9872)*((1/(DATENTER!$D$14+273.15))-(1/((VLOOKUP(A41,Props,7,FALSE))+273.15)))))*(VLOOKUP(A41,Props,6,FALSE))</f>
        <v>1.3608445965230394E-8</v>
      </c>
      <c r="D41" s="135">
        <f>IF(DATENTER!$D$14="",0,C41/(0.00008206*(DATENTER!$D$14+273.15)))</f>
        <v>5.8568008193185791E-7</v>
      </c>
      <c r="E41" s="135">
        <f>IF((VLOOKUP(A41,Props,3,FALSE))=0,0,((VLOOKUP(A41,Props,3,FALSE))*(SiteCalcs!$B$28^3.33/DATENTER!$G$41^2))+(((VLOOKUP(A41,Props,4,FALSE))/ChemCalcs!D41)*(DATENTER!$H$41^3.33/DATENTER!$G$41^2)))</f>
        <v>8.0688669378323214E-3</v>
      </c>
      <c r="F41" s="135">
        <f>IF(DATENTER!$C$28=0,0,(ChemProps!C41*(SiteCalcs!$H$28^3.33/DATENTER!$D$53^2))+((ChemProps!D41/ChemCalcs!D41)*(DATENTER!$E$53^3.33/DATENTER!$D$53^2)))</f>
        <v>0</v>
      </c>
      <c r="G41" s="135">
        <f>IF(DATENTER!$D$28=0,0,(ChemProps!C41*(SiteCalcs!$J$28^3.33/DATENTER!$D$65^2))+((ChemProps!D41/ChemCalcs!D41)*(DATENTER!$E$65^3.33/DATENTER!$D$65^2)))</f>
        <v>0</v>
      </c>
      <c r="H41" s="135">
        <f>IF((VLOOKUP(A41,Props,3,FALSE))=0,0,((VLOOKUP(A41,Props,3,FALSE))*(SiteCalcs!$D$19^3.33/SiteCalcs!$C$19^2))+(((VLOOKUP(A41,Props,4,FALSE))/ChemCalcs!D41)*(SiteCalcs!$E$19^3.33/SiteCalcs!$C$19^2)))</f>
        <v>0.49419425444880449</v>
      </c>
      <c r="I41" s="205">
        <f>IF(AND(E41&gt;0,F41&gt;0,G41&gt;0),SiteCalcs!$B$11/(((IF(SiteCalcs!$B$11=1,1,DATENTER!$B$28-DATENTER!$B$14))/E41)+(DATENTER!$C$28/F41)+((DATENTER!$D$28-SiteCalcs!$B$19)/G41)+(SiteCalcs!$B$19/H41)),IF(AND(E41&gt;0,F41&gt;0,G41=0),SiteCalcs!$B$11/(((IF(SiteCalcs!$B$11=1,1,DATENTER!$B$28-DATENTER!$B$14))/E41)+((DATENTER!$C$28-SiteCalcs!$B$19)/F41)+(SiteCalcs!$B$19/H41)),IF(AND(E41&gt;0,F41=0,G41=0),SiteCalcs!$B$11/(((IF(SiteCalcs!$B$11=1,1,DATENTER!$B$28-DATENTER!$B$14)-SiteCalcs!$B$19)/E41)+(SiteCalcs!$B$19/H41)))))</f>
        <v>1.8292807008357777E-2</v>
      </c>
      <c r="J41" s="135">
        <f>ChemCalcs!E41</f>
        <v>8.0688669378323214E-3</v>
      </c>
      <c r="K41" s="260">
        <f>IF(DATENTER!$B$78="","ERROR",EXP((SiteCalcs!$L$11*DATENTER!$B$78)/(ChemCalcs!J41*SiteCalcs!$M$11)))</f>
        <v>1.0959213497918474E+138</v>
      </c>
      <c r="L41" s="206">
        <f>IF(ISERROR(K41),((ChemCalcs!I41*SiteCalcs!$E$11)/(SiteCalcs!$D$11*SiteCalcs!$B$11))/(((ChemCalcs!I41*SiteCalcs!$E$11)/(SiteCalcs!$L$11*SiteCalcs!$B$11))+1),(((ChemCalcs!I41*SiteCalcs!$E$11)/(SiteCalcs!$D$11*SiteCalcs!$B$11))*EXP((SiteCalcs!$L$11*DATENTER!$B$78)/(ChemCalcs!J41*SiteCalcs!$M$11)))/(EXP((SiteCalcs!$L$11*DATENTER!$B$78)/(ChemCalcs!J41*SiteCalcs!$M$11))+((ChemCalcs!I41*SiteCalcs!$E$11)/(SiteCalcs!$D$11*SiteCalcs!$B$11))+((ChemCalcs!I41*SiteCalcs!$E$11)/(SiteCalcs!$L$11*SiteCalcs!$B$11))*(EXP((SiteCalcs!$L$11*DATENTER!$B$78)/(ChemCalcs!J41*SiteCalcs!$M$11))-1)))</f>
        <v>1.0941805946240637E-3</v>
      </c>
    </row>
    <row r="42" spans="1:12" x14ac:dyDescent="0.25">
      <c r="A42" s="172" t="s">
        <v>247</v>
      </c>
      <c r="B42" s="136">
        <f>IF((VLOOKUP(A42,Props,10,FALSE))=0,0,IF((VLOOKUP(A42,Props,9,FALSE))/(VLOOKUP(A42,Props,10,FALSE))&lt;0.57,(VLOOKUP(A42,Props,8,FALSE))*((1-((DATENTER!$D$14+273.15)/(VLOOKUP(A42,Props,10,FALSE))))/(1-((VLOOKUP(A42,Props,9,FALSE))/(VLOOKUP(A42,Props,10,FALSE)))))^0.3,IF(AND((VLOOKUP(A42,Props,9,FALSE))/(VLOOKUP(A42,Props,10,FALSE))&gt;=0.57,(VLOOKUP(A42,Props,9,FALSE))/(VLOOKUP(A42,Props,10,FALSE))&lt;=0.71),(VLOOKUP(A42,Props,8,FALSE))*((1-((DATENTER!$D$14+273.15)/(VLOOKUP(A42,Props,10,FALSE))))/(1-((VLOOKUP(A42,Props,9,FALSE))/(VLOOKUP(A42,Props,10,FALSE)))))^(0.74*((VLOOKUP(A42,Props,9,FALSE))/(VLOOKUP(A42,Props,10,FALSE)))-0.116),(VLOOKUP(A42,Props,8,FALSE))*((1-((DATENTER!$D$14+273.15)/(VLOOKUP(A42,Props,10,FALSE))))/(1-((VLOOKUP(A42,Props,9,FALSE))/(VLOOKUP(A42,Props,10,FALSE)))))^0.41)))</f>
        <v>9190.7226349231551</v>
      </c>
      <c r="C42" s="135">
        <f>EXP(-1*((B42/1.9872)*((1/(DATENTER!$D$14+273.15))-(1/((VLOOKUP(A42,Props,7,FALSE))+273.15)))))*(VLOOKUP(A42,Props,6,FALSE))</f>
        <v>3.4424963917099589E-4</v>
      </c>
      <c r="D42" s="135">
        <f>IF(DATENTER!$D$14="",0,C42/(0.00008206*(DATENTER!$D$14+273.15)))</f>
        <v>1.4815810518689737E-2</v>
      </c>
      <c r="E42" s="135">
        <f>IF((VLOOKUP(A42,Props,3,FALSE))=0,0,((VLOOKUP(A42,Props,3,FALSE))*(SiteCalcs!$B$28^3.33/DATENTER!$G$41^2))+(((VLOOKUP(A42,Props,4,FALSE))/ChemCalcs!D42)*(DATENTER!$H$41^3.33/DATENTER!$G$41^2)))</f>
        <v>3.8678323237282628E-3</v>
      </c>
      <c r="F42" s="135">
        <f>IF(DATENTER!$C$28=0,0,(ChemProps!C42*(SiteCalcs!$H$28^3.33/DATENTER!$D$53^2))+((ChemProps!D42/ChemCalcs!D42)*(DATENTER!$E$53^3.33/DATENTER!$D$53^2)))</f>
        <v>0</v>
      </c>
      <c r="G42" s="135">
        <f>IF(DATENTER!$D$28=0,0,(ChemProps!C42*(SiteCalcs!$J$28^3.33/DATENTER!$D$65^2))+((ChemProps!D42/ChemCalcs!D42)*(DATENTER!$E$65^3.33/DATENTER!$D$65^2)))</f>
        <v>0</v>
      </c>
      <c r="H42" s="135">
        <f>IF((VLOOKUP(A42,Props,3,FALSE))=0,0,((VLOOKUP(A42,Props,3,FALSE))*(SiteCalcs!$D$19^3.33/SiteCalcs!$C$19^2))+(((VLOOKUP(A42,Props,4,FALSE))/ChemCalcs!D42)*(SiteCalcs!$E$19^3.33/SiteCalcs!$C$19^2)))</f>
        <v>3.6991130711567984E-4</v>
      </c>
      <c r="I42" s="205">
        <f>IF(AND(E42&gt;0,F42&gt;0,G42&gt;0),SiteCalcs!$B$11/(((IF(SiteCalcs!$B$11=1,1,DATENTER!$B$28-DATENTER!$B$14))/E42)+(DATENTER!$C$28/F42)+((DATENTER!$D$28-SiteCalcs!$B$19)/G42)+(SiteCalcs!$B$19/H42)),IF(AND(E42&gt;0,F42&gt;0,G42=0),SiteCalcs!$B$11/(((IF(SiteCalcs!$B$11=1,1,DATENTER!$B$28-DATENTER!$B$14))/E42)+((DATENTER!$C$28-SiteCalcs!$B$19)/F42)+(SiteCalcs!$B$19/H42)),IF(AND(E42&gt;0,F42=0,G42=0),SiteCalcs!$B$11/(((IF(SiteCalcs!$B$11=1,1,DATENTER!$B$28-DATENTER!$B$14)-SiteCalcs!$B$19)/E42)+(SiteCalcs!$B$19/H42)))))</f>
        <v>6.0692936501122099E-4</v>
      </c>
      <c r="J42" s="135">
        <f>ChemCalcs!E42</f>
        <v>3.8678323237282628E-3</v>
      </c>
      <c r="K42" s="260">
        <f>IF(DATENTER!$B$78="","ERROR",EXP((SiteCalcs!$L$11*DATENTER!$B$78)/(ChemCalcs!J42*SiteCalcs!$M$11)))</f>
        <v>9.3600165658415278E+287</v>
      </c>
      <c r="L42" s="206">
        <f>IF(ISERROR(K42),((ChemCalcs!I42*SiteCalcs!$E$11)/(SiteCalcs!$D$11*SiteCalcs!$B$11))/(((ChemCalcs!I42*SiteCalcs!$E$11)/(SiteCalcs!$L$11*SiteCalcs!$B$11))+1),(((ChemCalcs!I42*SiteCalcs!$E$11)/(SiteCalcs!$D$11*SiteCalcs!$B$11))*EXP((SiteCalcs!$L$11*DATENTER!$B$78)/(ChemCalcs!J42*SiteCalcs!$M$11)))/(EXP((SiteCalcs!$L$11*DATENTER!$B$78)/(ChemCalcs!J42*SiteCalcs!$M$11))+((ChemCalcs!I42*SiteCalcs!$E$11)/(SiteCalcs!$D$11*SiteCalcs!$B$11))+((ChemCalcs!I42*SiteCalcs!$E$11)/(SiteCalcs!$L$11*SiteCalcs!$B$11))*(EXP((SiteCalcs!$L$11*DATENTER!$B$78)/(ChemCalcs!J42*SiteCalcs!$M$11))-1)))</f>
        <v>3.893095341318103E-4</v>
      </c>
    </row>
    <row r="43" spans="1:12" x14ac:dyDescent="0.25">
      <c r="A43" s="172" t="s">
        <v>248</v>
      </c>
      <c r="B43" s="136">
        <f>IF((VLOOKUP(A43,Props,10,FALSE))=0,0,IF((VLOOKUP(A43,Props,9,FALSE))/(VLOOKUP(A43,Props,10,FALSE))&lt;0.57,(VLOOKUP(A43,Props,8,FALSE))*((1-((DATENTER!$D$14+273.15)/(VLOOKUP(A43,Props,10,FALSE))))/(1-((VLOOKUP(A43,Props,9,FALSE))/(VLOOKUP(A43,Props,10,FALSE)))))^0.3,IF(AND((VLOOKUP(A43,Props,9,FALSE))/(VLOOKUP(A43,Props,10,FALSE))&gt;=0.57,(VLOOKUP(A43,Props,9,FALSE))/(VLOOKUP(A43,Props,10,FALSE))&lt;=0.71),(VLOOKUP(A43,Props,8,FALSE))*((1-((DATENTER!$D$14+273.15)/(VLOOKUP(A43,Props,10,FALSE))))/(1-((VLOOKUP(A43,Props,9,FALSE))/(VLOOKUP(A43,Props,10,FALSE)))))^(0.74*((VLOOKUP(A43,Props,9,FALSE))/(VLOOKUP(A43,Props,10,FALSE)))-0.116),(VLOOKUP(A43,Props,8,FALSE))*((1-((DATENTER!$D$14+273.15)/(VLOOKUP(A43,Props,10,FALSE))))/(1-((VLOOKUP(A43,Props,9,FALSE))/(VLOOKUP(A43,Props,10,FALSE)))))^0.41)))</f>
        <v>11686.869104331641</v>
      </c>
      <c r="C43" s="135">
        <f>EXP(-1*((B43/1.9872)*((1/(DATENTER!$D$14+273.15))-(1/((VLOOKUP(A43,Props,7,FALSE))+273.15)))))*(VLOOKUP(A43,Props,6,FALSE))</f>
        <v>6.7528047965332238E-4</v>
      </c>
      <c r="D43" s="135">
        <f>IF(DATENTER!$D$14="",0,C43/(0.00008206*(DATENTER!$D$14+273.15)))</f>
        <v>2.9062710588765327E-2</v>
      </c>
      <c r="E43" s="135">
        <f>IF((VLOOKUP(A43,Props,3,FALSE))=0,0,((VLOOKUP(A43,Props,3,FALSE))*(SiteCalcs!$B$28^3.33/DATENTER!$G$41^2))+(((VLOOKUP(A43,Props,4,FALSE))/ChemCalcs!D43)*(DATENTER!$H$41^3.33/DATENTER!$G$41^2)))</f>
        <v>1.3615322208888777E-2</v>
      </c>
      <c r="F43" s="135">
        <f>IF(DATENTER!$C$28=0,0,(ChemProps!C43*(SiteCalcs!$H$28^3.33/DATENTER!$D$53^2))+((ChemProps!D43/ChemCalcs!D43)*(DATENTER!$E$53^3.33/DATENTER!$D$53^2)))</f>
        <v>0</v>
      </c>
      <c r="G43" s="135">
        <f>IF(DATENTER!$D$28=0,0,(ChemProps!C43*(SiteCalcs!$J$28^3.33/DATENTER!$D$65^2))+((ChemProps!D43/ChemCalcs!D43)*(DATENTER!$E$65^3.33/DATENTER!$D$65^2)))</f>
        <v>0</v>
      </c>
      <c r="H43" s="135">
        <f>IF((VLOOKUP(A43,Props,3,FALSE))=0,0,((VLOOKUP(A43,Props,3,FALSE))*(SiteCalcs!$D$19^3.33/SiteCalcs!$C$19^2))+(((VLOOKUP(A43,Props,4,FALSE))/ChemCalcs!D43)*(SiteCalcs!$E$19^3.33/SiteCalcs!$C$19^2)))</f>
        <v>1.1781057886613518E-3</v>
      </c>
      <c r="I43" s="205">
        <f>IF(AND(E43&gt;0,F43&gt;0,G43&gt;0),SiteCalcs!$B$11/(((IF(SiteCalcs!$B$11=1,1,DATENTER!$B$28-DATENTER!$B$14))/E43)+(DATENTER!$C$28/F43)+((DATENTER!$D$28-SiteCalcs!$B$19)/G43)+(SiteCalcs!$B$19/H43)),IF(AND(E43&gt;0,F43&gt;0,G43=0),SiteCalcs!$B$11/(((IF(SiteCalcs!$B$11=1,1,DATENTER!$B$28-DATENTER!$B$14))/E43)+((DATENTER!$C$28-SiteCalcs!$B$19)/F43)+(SiteCalcs!$B$19/H43)),IF(AND(E43&gt;0,F43=0,G43=0),SiteCalcs!$B$11/(((IF(SiteCalcs!$B$11=1,1,DATENTER!$B$28-DATENTER!$B$14)-SiteCalcs!$B$19)/E43)+(SiteCalcs!$B$19/H43)))))</f>
        <v>1.9455259963692482E-3</v>
      </c>
      <c r="J43" s="135">
        <f>ChemCalcs!E43</f>
        <v>1.3615322208888777E-2</v>
      </c>
      <c r="K43" s="260">
        <f>IF(DATENTER!$B$78="","ERROR",EXP((SiteCalcs!$L$11*DATENTER!$B$78)/(ChemCalcs!J43*SiteCalcs!$M$11)))</f>
        <v>6.4077033685809146E+81</v>
      </c>
      <c r="L43" s="206">
        <f>IF(ISERROR(K43),((ChemCalcs!I43*SiteCalcs!$E$11)/(SiteCalcs!$D$11*SiteCalcs!$B$11))/(((ChemCalcs!I43*SiteCalcs!$E$11)/(SiteCalcs!$L$11*SiteCalcs!$B$11))+1),(((ChemCalcs!I43*SiteCalcs!$E$11)/(SiteCalcs!$D$11*SiteCalcs!$B$11))*EXP((SiteCalcs!$L$11*DATENTER!$B$78)/(ChemCalcs!J43*SiteCalcs!$M$11)))/(EXP((SiteCalcs!$L$11*DATENTER!$B$78)/(ChemCalcs!J43*SiteCalcs!$M$11))+((ChemCalcs!I43*SiteCalcs!$E$11)/(SiteCalcs!$D$11*SiteCalcs!$B$11))+((ChemCalcs!I43*SiteCalcs!$E$11)/(SiteCalcs!$L$11*SiteCalcs!$B$11))*(EXP((SiteCalcs!$L$11*DATENTER!$B$78)/(ChemCalcs!J43*SiteCalcs!$M$11))-1)))</f>
        <v>7.1887329263312625E-4</v>
      </c>
    </row>
    <row r="44" spans="1:12" x14ac:dyDescent="0.25">
      <c r="A44" s="172" t="s">
        <v>249</v>
      </c>
      <c r="B44" s="136">
        <f>IF((VLOOKUP(A44,Props,10,FALSE))=0,0,IF((VLOOKUP(A44,Props,9,FALSE))/(VLOOKUP(A44,Props,10,FALSE))&lt;0.57,(VLOOKUP(A44,Props,8,FALSE))*((1-((DATENTER!$D$14+273.15)/(VLOOKUP(A44,Props,10,FALSE))))/(1-((VLOOKUP(A44,Props,9,FALSE))/(VLOOKUP(A44,Props,10,FALSE)))))^0.3,IF(AND((VLOOKUP(A44,Props,9,FALSE))/(VLOOKUP(A44,Props,10,FALSE))&gt;=0.57,(VLOOKUP(A44,Props,9,FALSE))/(VLOOKUP(A44,Props,10,FALSE))&lt;=0.71),(VLOOKUP(A44,Props,8,FALSE))*((1-((DATENTER!$D$14+273.15)/(VLOOKUP(A44,Props,10,FALSE))))/(1-((VLOOKUP(A44,Props,9,FALSE))/(VLOOKUP(A44,Props,10,FALSE)))))^(0.74*((VLOOKUP(A44,Props,9,FALSE))/(VLOOKUP(A44,Props,10,FALSE)))-0.116),(VLOOKUP(A44,Props,8,FALSE))*((1-((DATENTER!$D$14+273.15)/(VLOOKUP(A44,Props,10,FALSE))))/(1-((VLOOKUP(A44,Props,9,FALSE))/(VLOOKUP(A44,Props,10,FALSE)))))^0.41)))</f>
        <v>12572.686357634708</v>
      </c>
      <c r="C44" s="135">
        <f>EXP(-1*((B44/1.9872)*((1/(DATENTER!$D$14+273.15))-(1/((VLOOKUP(A44,Props,7,FALSE))+273.15)))))*(VLOOKUP(A44,Props,6,FALSE))</f>
        <v>8.545573738653595E-4</v>
      </c>
      <c r="D44" s="135">
        <f>IF(DATENTER!$D$14="",0,C44/(0.00008206*(DATENTER!$D$14+273.15)))</f>
        <v>3.6778426722618329E-2</v>
      </c>
      <c r="E44" s="135">
        <f>IF((VLOOKUP(A44,Props,3,FALSE))=0,0,((VLOOKUP(A44,Props,3,FALSE))*(SiteCalcs!$B$28^3.33/DATENTER!$G$41^2))+(((VLOOKUP(A44,Props,4,FALSE))/ChemCalcs!D44)*(DATENTER!$H$41^3.33/DATENTER!$G$41^2)))</f>
        <v>1.3417977078473338E-2</v>
      </c>
      <c r="F44" s="135">
        <f>IF(DATENTER!$C$28=0,0,(ChemProps!C44*(SiteCalcs!$H$28^3.33/DATENTER!$D$53^2))+((ChemProps!D44/ChemCalcs!D44)*(DATENTER!$E$53^3.33/DATENTER!$D$53^2)))</f>
        <v>0</v>
      </c>
      <c r="G44" s="135">
        <f>IF(DATENTER!$D$28=0,0,(ChemProps!C44*(SiteCalcs!$J$28^3.33/DATENTER!$D$65^2))+((ChemProps!D44/ChemCalcs!D44)*(DATENTER!$E$65^3.33/DATENTER!$D$65^2)))</f>
        <v>0</v>
      </c>
      <c r="H44" s="135">
        <f>IF((VLOOKUP(A44,Props,3,FALSE))=0,0,((VLOOKUP(A44,Props,3,FALSE))*(SiteCalcs!$D$19^3.33/SiteCalcs!$C$19^2))+(((VLOOKUP(A44,Props,4,FALSE))/ChemCalcs!D44)*(SiteCalcs!$E$19^3.33/SiteCalcs!$C$19^2)))</f>
        <v>1.1584167364037216E-3</v>
      </c>
      <c r="I44" s="205">
        <f>IF(AND(E44&gt;0,F44&gt;0,G44&gt;0),SiteCalcs!$B$11/(((IF(SiteCalcs!$B$11=1,1,DATENTER!$B$28-DATENTER!$B$14))/E44)+(DATENTER!$C$28/F44)+((DATENTER!$D$28-SiteCalcs!$B$19)/G44)+(SiteCalcs!$B$19/H44)),IF(AND(E44&gt;0,F44&gt;0,G44=0),SiteCalcs!$B$11/(((IF(SiteCalcs!$B$11=1,1,DATENTER!$B$28-DATENTER!$B$14))/E44)+((DATENTER!$C$28-SiteCalcs!$B$19)/F44)+(SiteCalcs!$B$19/H44)),IF(AND(E44&gt;0,F44=0,G44=0),SiteCalcs!$B$11/(((IF(SiteCalcs!$B$11=1,1,DATENTER!$B$28-DATENTER!$B$14)-SiteCalcs!$B$19)/E44)+(SiteCalcs!$B$19/H44)))))</f>
        <v>1.91327717452708E-3</v>
      </c>
      <c r="J44" s="135">
        <f>ChemCalcs!E44</f>
        <v>1.3417977078473338E-2</v>
      </c>
      <c r="K44" s="260">
        <f>IF(DATENTER!$B$78="","ERROR",EXP((SiteCalcs!$L$11*DATENTER!$B$78)/(ChemCalcs!J44*SiteCalcs!$M$11)))</f>
        <v>1.0230006084448159E+83</v>
      </c>
      <c r="L44" s="206">
        <f>IF(ISERROR(K44),((ChemCalcs!I44*SiteCalcs!$E$11)/(SiteCalcs!$D$11*SiteCalcs!$B$11))/(((ChemCalcs!I44*SiteCalcs!$E$11)/(SiteCalcs!$L$11*SiteCalcs!$B$11))+1),(((ChemCalcs!I44*SiteCalcs!$E$11)/(SiteCalcs!$D$11*SiteCalcs!$B$11))*EXP((SiteCalcs!$L$11*DATENTER!$B$78)/(ChemCalcs!J44*SiteCalcs!$M$11)))/(EXP((SiteCalcs!$L$11*DATENTER!$B$78)/(ChemCalcs!J44*SiteCalcs!$M$11))+((ChemCalcs!I44*SiteCalcs!$E$11)/(SiteCalcs!$D$11*SiteCalcs!$B$11))+((ChemCalcs!I44*SiteCalcs!$E$11)/(SiteCalcs!$L$11*SiteCalcs!$B$11))*(EXP((SiteCalcs!$L$11*DATENTER!$B$78)/(ChemCalcs!J44*SiteCalcs!$M$11))-1)))</f>
        <v>7.1425245683922277E-4</v>
      </c>
    </row>
    <row r="45" spans="1:12" x14ac:dyDescent="0.25">
      <c r="A45" s="172" t="s">
        <v>250</v>
      </c>
      <c r="B45" s="136">
        <f>IF((VLOOKUP(A45,Props,10,FALSE))=0,0,IF((VLOOKUP(A45,Props,9,FALSE))/(VLOOKUP(A45,Props,10,FALSE))&lt;0.57,(VLOOKUP(A45,Props,8,FALSE))*((1-((DATENTER!$D$14+273.15)/(VLOOKUP(A45,Props,10,FALSE))))/(1-((VLOOKUP(A45,Props,9,FALSE))/(VLOOKUP(A45,Props,10,FALSE)))))^0.3,IF(AND((VLOOKUP(A45,Props,9,FALSE))/(VLOOKUP(A45,Props,10,FALSE))&gt;=0.57,(VLOOKUP(A45,Props,9,FALSE))/(VLOOKUP(A45,Props,10,FALSE))&lt;=0.71),(VLOOKUP(A45,Props,8,FALSE))*((1-((DATENTER!$D$14+273.15)/(VLOOKUP(A45,Props,10,FALSE))))/(1-((VLOOKUP(A45,Props,9,FALSE))/(VLOOKUP(A45,Props,10,FALSE)))))^(0.74*((VLOOKUP(A45,Props,9,FALSE))/(VLOOKUP(A45,Props,10,FALSE)))-0.116),(VLOOKUP(A45,Props,8,FALSE))*((1-((DATENTER!$D$14+273.15)/(VLOOKUP(A45,Props,10,FALSE))))/(1-((VLOOKUP(A45,Props,9,FALSE))/(VLOOKUP(A45,Props,10,FALSE)))))^0.41)))</f>
        <v>11243.213968328466</v>
      </c>
      <c r="C45" s="135">
        <f>EXP(-1*((B45/1.9872)*((1/(DATENTER!$D$14+273.15))-(1/((VLOOKUP(A45,Props,7,FALSE))+273.15)))))*(VLOOKUP(A45,Props,6,FALSE))</f>
        <v>8.8191705711326276E-4</v>
      </c>
      <c r="D45" s="135">
        <f>IF(DATENTER!$D$14="",0,C45/(0.00008206*(DATENTER!$D$14+273.15)))</f>
        <v>3.7955932336940716E-2</v>
      </c>
      <c r="E45" s="135">
        <f>IF((VLOOKUP(A45,Props,3,FALSE))=0,0,((VLOOKUP(A45,Props,3,FALSE))*(SiteCalcs!$B$28^3.33/DATENTER!$G$41^2))+(((VLOOKUP(A45,Props,4,FALSE))/ChemCalcs!D45)*(DATENTER!$H$41^3.33/DATENTER!$G$41^2)))</f>
        <v>1.3615292806867713E-2</v>
      </c>
      <c r="F45" s="135">
        <f>IF(DATENTER!$C$28=0,0,(ChemProps!C45*(SiteCalcs!$H$28^3.33/DATENTER!$D$53^2))+((ChemProps!D45/ChemCalcs!D45)*(DATENTER!$E$53^3.33/DATENTER!$D$53^2)))</f>
        <v>0</v>
      </c>
      <c r="G45" s="135">
        <f>IF(DATENTER!$D$28=0,0,(ChemProps!C45*(SiteCalcs!$J$28^3.33/DATENTER!$D$65^2))+((ChemProps!D45/ChemCalcs!D45)*(DATENTER!$E$65^3.33/DATENTER!$D$65^2)))</f>
        <v>0</v>
      </c>
      <c r="H45" s="135">
        <f>IF((VLOOKUP(A45,Props,3,FALSE))=0,0,((VLOOKUP(A45,Props,3,FALSE))*(SiteCalcs!$D$19^3.33/SiteCalcs!$C$19^2))+(((VLOOKUP(A45,Props,4,FALSE))/ChemCalcs!D45)*(SiteCalcs!$E$19^3.33/SiteCalcs!$C$19^2)))</f>
        <v>1.174549479330562E-3</v>
      </c>
      <c r="I45" s="205">
        <f>IF(AND(E45&gt;0,F45&gt;0,G45&gt;0),SiteCalcs!$B$11/(((IF(SiteCalcs!$B$11=1,1,DATENTER!$B$28-DATENTER!$B$14))/E45)+(DATENTER!$C$28/F45)+((DATENTER!$D$28-SiteCalcs!$B$19)/G45)+(SiteCalcs!$B$19/H45)),IF(AND(E45&gt;0,F45&gt;0,G45=0),SiteCalcs!$B$11/(((IF(SiteCalcs!$B$11=1,1,DATENTER!$B$28-DATENTER!$B$14))/E45)+((DATENTER!$C$28-SiteCalcs!$B$19)/F45)+(SiteCalcs!$B$19/H45)),IF(AND(E45&gt;0,F45=0,G45=0),SiteCalcs!$B$11/(((IF(SiteCalcs!$B$11=1,1,DATENTER!$B$28-DATENTER!$B$14)-SiteCalcs!$B$19)/E45)+(SiteCalcs!$B$19/H45)))))</f>
        <v>1.9400141948578229E-3</v>
      </c>
      <c r="J45" s="135">
        <f>ChemCalcs!E45</f>
        <v>1.3615292806867713E-2</v>
      </c>
      <c r="K45" s="260">
        <f>IF(DATENTER!$B$78="","ERROR",EXP((SiteCalcs!$L$11*DATENTER!$B$78)/(ChemCalcs!J45*SiteCalcs!$M$11)))</f>
        <v>6.4103103954438211E+81</v>
      </c>
      <c r="L45" s="206">
        <f>IF(ISERROR(K45),((ChemCalcs!I45*SiteCalcs!$E$11)/(SiteCalcs!$D$11*SiteCalcs!$B$11))/(((ChemCalcs!I45*SiteCalcs!$E$11)/(SiteCalcs!$L$11*SiteCalcs!$B$11))+1),(((ChemCalcs!I45*SiteCalcs!$E$11)/(SiteCalcs!$D$11*SiteCalcs!$B$11))*EXP((SiteCalcs!$L$11*DATENTER!$B$78)/(ChemCalcs!J45*SiteCalcs!$M$11)))/(EXP((SiteCalcs!$L$11*DATENTER!$B$78)/(ChemCalcs!J45*SiteCalcs!$M$11))+((ChemCalcs!I45*SiteCalcs!$E$11)/(SiteCalcs!$D$11*SiteCalcs!$B$11))+((ChemCalcs!I45*SiteCalcs!$E$11)/(SiteCalcs!$L$11*SiteCalcs!$B$11))*(EXP((SiteCalcs!$L$11*DATENTER!$B$78)/(ChemCalcs!J45*SiteCalcs!$M$11))-1)))</f>
        <v>7.1809022277821483E-4</v>
      </c>
    </row>
    <row r="46" spans="1:12" x14ac:dyDescent="0.25">
      <c r="A46" s="172" t="s">
        <v>251</v>
      </c>
      <c r="B46" s="136">
        <f>IF((VLOOKUP(A46,Props,10,FALSE))=0,0,IF((VLOOKUP(A46,Props,9,FALSE))/(VLOOKUP(A46,Props,10,FALSE))&lt;0.57,(VLOOKUP(A46,Props,8,FALSE))*((1-((DATENTER!$D$14+273.15)/(VLOOKUP(A46,Props,10,FALSE))))/(1-((VLOOKUP(A46,Props,9,FALSE))/(VLOOKUP(A46,Props,10,FALSE)))))^0.3,IF(AND((VLOOKUP(A46,Props,9,FALSE))/(VLOOKUP(A46,Props,10,FALSE))&gt;=0.57,(VLOOKUP(A46,Props,9,FALSE))/(VLOOKUP(A46,Props,10,FALSE))&lt;=0.71),(VLOOKUP(A46,Props,8,FALSE))*((1-((DATENTER!$D$14+273.15)/(VLOOKUP(A46,Props,10,FALSE))))/(1-((VLOOKUP(A46,Props,9,FALSE))/(VLOOKUP(A46,Props,10,FALSE)))))^(0.74*((VLOOKUP(A46,Props,9,FALSE))/(VLOOKUP(A46,Props,10,FALSE)))-0.116),(VLOOKUP(A46,Props,8,FALSE))*((1-((DATENTER!$D$14+273.15)/(VLOOKUP(A46,Props,10,FALSE))))/(1-((VLOOKUP(A46,Props,9,FALSE))/(VLOOKUP(A46,Props,10,FALSE)))))^0.41)))</f>
        <v>18708.935233764576</v>
      </c>
      <c r="C46" s="135">
        <f>EXP(-1*((B46/1.9872)*((1/(DATENTER!$D$14+273.15))-(1/((VLOOKUP(A46,Props,7,FALSE))+273.15)))))*(VLOOKUP(A46,Props,6,FALSE))</f>
        <v>5.3311993490330188E-12</v>
      </c>
      <c r="D46" s="135">
        <f>IF(DATENTER!$D$14="",0,C46/(0.00008206*(DATENTER!$D$14+273.15)))</f>
        <v>2.2944407315239418E-10</v>
      </c>
      <c r="E46" s="135">
        <f>IF((VLOOKUP(A46,Props,3,FALSE))=0,0,((VLOOKUP(A46,Props,3,FALSE))*(SiteCalcs!$B$28^3.33/DATENTER!$G$41^2))+(((VLOOKUP(A46,Props,4,FALSE))/ChemCalcs!D46)*(DATENTER!$H$41^3.33/DATENTER!$G$41^2)))</f>
        <v>13.56476838238353</v>
      </c>
      <c r="F46" s="135">
        <f>IF(DATENTER!$C$28=0,0,(ChemProps!C46*(SiteCalcs!$H$28^3.33/DATENTER!$D$53^2))+((ChemProps!D46/ChemCalcs!D46)*(DATENTER!$E$53^3.33/DATENTER!$D$53^2)))</f>
        <v>0</v>
      </c>
      <c r="G46" s="135">
        <f>IF(DATENTER!$D$28=0,0,(ChemProps!C46*(SiteCalcs!$J$28^3.33/DATENTER!$D$65^2))+((ChemProps!D46/ChemCalcs!D46)*(DATENTER!$E$65^3.33/DATENTER!$D$65^2)))</f>
        <v>0</v>
      </c>
      <c r="H46" s="135">
        <f>IF((VLOOKUP(A46,Props,3,FALSE))=0,0,((VLOOKUP(A46,Props,3,FALSE))*(SiteCalcs!$D$19^3.33/SiteCalcs!$C$19^2))+(((VLOOKUP(A46,Props,4,FALSE))/ChemCalcs!D46)*(SiteCalcs!$E$19^3.33/SiteCalcs!$C$19^2)))</f>
        <v>1640.2582727415763</v>
      </c>
      <c r="I46" s="205">
        <f>IF(AND(E46&gt;0,F46&gt;0,G46&gt;0),SiteCalcs!$B$11/(((IF(SiteCalcs!$B$11=1,1,DATENTER!$B$28-DATENTER!$B$14))/E46)+(DATENTER!$C$28/F46)+((DATENTER!$D$28-SiteCalcs!$B$19)/G46)+(SiteCalcs!$B$19/H46)),IF(AND(E46&gt;0,F46&gt;0,G46=0),SiteCalcs!$B$11/(((IF(SiteCalcs!$B$11=1,1,DATENTER!$B$28-DATENTER!$B$14))/E46)+((DATENTER!$C$28-SiteCalcs!$B$19)/F46)+(SiteCalcs!$B$19/H46)),IF(AND(E46&gt;0,F46=0,G46=0),SiteCalcs!$B$11/(((IF(SiteCalcs!$B$11=1,1,DATENTER!$B$28-DATENTER!$B$14)-SiteCalcs!$B$19)/E46)+(SiteCalcs!$B$19/H46)))))</f>
        <v>31.075006868605229</v>
      </c>
      <c r="J46" s="135">
        <f>ChemCalcs!E46</f>
        <v>13.56476838238353</v>
      </c>
      <c r="K46" s="260">
        <f>IF(DATENTER!$B$78="","ERROR",EXP((SiteCalcs!$L$11*DATENTER!$B$78)/(ChemCalcs!J46*SiteCalcs!$M$11)))</f>
        <v>1.2081241992582918</v>
      </c>
      <c r="L46" s="206">
        <f>IF(ISERROR(K46),((ChemCalcs!I46*SiteCalcs!$E$11)/(SiteCalcs!$D$11*SiteCalcs!$B$11))/(((ChemCalcs!I46*SiteCalcs!$E$11)/(SiteCalcs!$L$11*SiteCalcs!$B$11))+1),(((ChemCalcs!I46*SiteCalcs!$E$11)/(SiteCalcs!$D$11*SiteCalcs!$B$11))*EXP((SiteCalcs!$L$11*DATENTER!$B$78)/(ChemCalcs!J46*SiteCalcs!$M$11)))/(EXP((SiteCalcs!$L$11*DATENTER!$B$78)/(ChemCalcs!J46*SiteCalcs!$M$11))+((ChemCalcs!I46*SiteCalcs!$E$11)/(SiteCalcs!$D$11*SiteCalcs!$B$11))+((ChemCalcs!I46*SiteCalcs!$E$11)/(SiteCalcs!$L$11*SiteCalcs!$B$11))*(EXP((SiteCalcs!$L$11*DATENTER!$B$78)/(ChemCalcs!J46*SiteCalcs!$M$11))-1)))</f>
        <v>6.733045551759396E-3</v>
      </c>
    </row>
    <row r="47" spans="1:12" ht="23" x14ac:dyDescent="0.25">
      <c r="A47" s="172" t="s">
        <v>252</v>
      </c>
      <c r="B47" s="136">
        <f>IF((VLOOKUP(A47,Props,10,FALSE))=0,0,IF((VLOOKUP(A47,Props,9,FALSE))/(VLOOKUP(A47,Props,10,FALSE))&lt;0.57,(VLOOKUP(A47,Props,8,FALSE))*((1-((DATENTER!$D$14+273.15)/(VLOOKUP(A47,Props,10,FALSE))))/(1-((VLOOKUP(A47,Props,9,FALSE))/(VLOOKUP(A47,Props,10,FALSE)))))^0.3,IF(AND((VLOOKUP(A47,Props,9,FALSE))/(VLOOKUP(A47,Props,10,FALSE))&gt;=0.57,(VLOOKUP(A47,Props,9,FALSE))/(VLOOKUP(A47,Props,10,FALSE))&lt;=0.71),(VLOOKUP(A47,Props,8,FALSE))*((1-((DATENTER!$D$14+273.15)/(VLOOKUP(A47,Props,10,FALSE))))/(1-((VLOOKUP(A47,Props,9,FALSE))/(VLOOKUP(A47,Props,10,FALSE)))))^(0.74*((VLOOKUP(A47,Props,9,FALSE))/(VLOOKUP(A47,Props,10,FALSE)))-0.116),(VLOOKUP(A47,Props,8,FALSE))*((1-((DATENTER!$D$14+273.15)/(VLOOKUP(A47,Props,10,FALSE))))/(1-((VLOOKUP(A47,Props,9,FALSE))/(VLOOKUP(A47,Props,10,FALSE)))))^0.41)))</f>
        <v>20693.094137985598</v>
      </c>
      <c r="C47" s="135">
        <f>EXP(-1*((B47/1.9872)*((1/(DATENTER!$D$14+273.15))-(1/((VLOOKUP(A47,Props,7,FALSE))+273.15)))))*(VLOOKUP(A47,Props,6,FALSE))</f>
        <v>1.0375354089072241E-6</v>
      </c>
      <c r="D47" s="135">
        <f>IF(DATENTER!$D$14="",0,C47/(0.00008206*(DATENTER!$D$14+273.15)))</f>
        <v>4.4653432496889723E-5</v>
      </c>
      <c r="E47" s="135">
        <f>IF((VLOOKUP(A47,Props,3,FALSE))=0,0,((VLOOKUP(A47,Props,3,FALSE))*(SiteCalcs!$B$28^3.33/DATENTER!$G$41^2))+(((VLOOKUP(A47,Props,4,FALSE))/ChemCalcs!D47)*(DATENTER!$H$41^3.33/DATENTER!$G$41^2)))</f>
        <v>3.3839472107459155E-3</v>
      </c>
      <c r="F47" s="135">
        <f>IF(DATENTER!$C$28=0,0,(ChemProps!C47*(SiteCalcs!$H$28^3.33/DATENTER!$D$53^2))+((ChemProps!D47/ChemCalcs!D47)*(DATENTER!$E$53^3.33/DATENTER!$D$53^2)))</f>
        <v>0</v>
      </c>
      <c r="G47" s="135">
        <f>IF(DATENTER!$D$28=0,0,(ChemProps!C47*(SiteCalcs!$J$28^3.33/DATENTER!$D$65^2))+((ChemProps!D47/ChemCalcs!D47)*(DATENTER!$E$65^3.33/DATENTER!$D$65^2)))</f>
        <v>0</v>
      </c>
      <c r="H47" s="135">
        <f>IF((VLOOKUP(A47,Props,3,FALSE))=0,0,((VLOOKUP(A47,Props,3,FALSE))*(SiteCalcs!$D$19^3.33/SiteCalcs!$C$19^2))+(((VLOOKUP(A47,Props,4,FALSE))/ChemCalcs!D47)*(SiteCalcs!$E$19^3.33/SiteCalcs!$C$19^2)))</f>
        <v>6.2370835104247138E-3</v>
      </c>
      <c r="I47" s="205">
        <f>IF(AND(E47&gt;0,F47&gt;0,G47&gt;0),SiteCalcs!$B$11/(((IF(SiteCalcs!$B$11=1,1,DATENTER!$B$28-DATENTER!$B$14))/E47)+(DATENTER!$C$28/F47)+((DATENTER!$D$28-SiteCalcs!$B$19)/G47)+(SiteCalcs!$B$19/H47)),IF(AND(E47&gt;0,F47&gt;0,G47=0),SiteCalcs!$B$11/(((IF(SiteCalcs!$B$11=1,1,DATENTER!$B$28-DATENTER!$B$14))/E47)+((DATENTER!$C$28-SiteCalcs!$B$19)/F47)+(SiteCalcs!$B$19/H47)),IF(AND(E47&gt;0,F47=0,G47=0),SiteCalcs!$B$11/(((IF(SiteCalcs!$B$11=1,1,DATENTER!$B$28-DATENTER!$B$14)-SiteCalcs!$B$19)/E47)+(SiteCalcs!$B$19/H47)))))</f>
        <v>4.5723651480061439E-3</v>
      </c>
      <c r="J47" s="135">
        <f>ChemCalcs!E47</f>
        <v>3.3839472107459155E-3</v>
      </c>
      <c r="K47" s="260" t="e">
        <f>IF(DATENTER!$B$78="","ERROR",EXP((SiteCalcs!$L$11*DATENTER!$B$78)/(ChemCalcs!J47*SiteCalcs!$M$11)))</f>
        <v>#NUM!</v>
      </c>
      <c r="L47" s="206">
        <f>IF(ISERROR(K47),((ChemCalcs!I47*SiteCalcs!$E$11)/(SiteCalcs!$D$11*SiteCalcs!$B$11))/(((ChemCalcs!I47*SiteCalcs!$E$11)/(SiteCalcs!$L$11*SiteCalcs!$B$11))+1),(((ChemCalcs!I47*SiteCalcs!$E$11)/(SiteCalcs!$D$11*SiteCalcs!$B$11))*EXP((SiteCalcs!$L$11*DATENTER!$B$78)/(ChemCalcs!J47*SiteCalcs!$M$11)))/(EXP((SiteCalcs!$L$11*DATENTER!$B$78)/(ChemCalcs!J47*SiteCalcs!$M$11))+((ChemCalcs!I47*SiteCalcs!$E$11)/(SiteCalcs!$D$11*SiteCalcs!$B$11))+((ChemCalcs!I47*SiteCalcs!$E$11)/(SiteCalcs!$L$11*SiteCalcs!$B$11))*(EXP((SiteCalcs!$L$11*DATENTER!$B$78)/(ChemCalcs!J47*SiteCalcs!$M$11))-1)))</f>
        <v>9.2223369389128542E-4</v>
      </c>
    </row>
    <row r="48" spans="1:12" ht="23" x14ac:dyDescent="0.25">
      <c r="A48" s="172" t="s">
        <v>253</v>
      </c>
      <c r="B48" s="136">
        <f>IF((VLOOKUP(A48,Props,10,FALSE))=0,0,IF((VLOOKUP(A48,Props,9,FALSE))/(VLOOKUP(A48,Props,10,FALSE))&lt;0.57,(VLOOKUP(A48,Props,8,FALSE))*((1-((DATENTER!$D$14+273.15)/(VLOOKUP(A48,Props,10,FALSE))))/(1-((VLOOKUP(A48,Props,9,FALSE))/(VLOOKUP(A48,Props,10,FALSE)))))^0.3,IF(AND((VLOOKUP(A48,Props,9,FALSE))/(VLOOKUP(A48,Props,10,FALSE))&gt;=0.57,(VLOOKUP(A48,Props,9,FALSE))/(VLOOKUP(A48,Props,10,FALSE))&lt;=0.71),(VLOOKUP(A48,Props,8,FALSE))*((1-((DATENTER!$D$14+273.15)/(VLOOKUP(A48,Props,10,FALSE))))/(1-((VLOOKUP(A48,Props,9,FALSE))/(VLOOKUP(A48,Props,10,FALSE)))))^(0.74*((VLOOKUP(A48,Props,9,FALSE))/(VLOOKUP(A48,Props,10,FALSE)))-0.116),(VLOOKUP(A48,Props,8,FALSE))*((1-((DATENTER!$D$14+273.15)/(VLOOKUP(A48,Props,10,FALSE))))/(1-((VLOOKUP(A48,Props,9,FALSE))/(VLOOKUP(A48,Props,10,FALSE)))))^0.41)))</f>
        <v>19166.482312042761</v>
      </c>
      <c r="C48" s="135">
        <f>EXP(-1*((B48/1.9872)*((1/(DATENTER!$D$14+273.15))-(1/((VLOOKUP(A48,Props,7,FALSE))+273.15)))))*(VLOOKUP(A48,Props,6,FALSE))</f>
        <v>7.4960545302321778E-6</v>
      </c>
      <c r="D48" s="135">
        <f>IF(DATENTER!$D$14="",0,C48/(0.00008206*(DATENTER!$D$14+273.15)))</f>
        <v>3.226150761555916E-4</v>
      </c>
      <c r="E48" s="135">
        <f>IF((VLOOKUP(A48,Props,3,FALSE))=0,0,((VLOOKUP(A48,Props,3,FALSE))*(SiteCalcs!$B$28^3.33/DATENTER!$G$41^2))+(((VLOOKUP(A48,Props,4,FALSE))/ChemCalcs!D48)*(DATENTER!$H$41^3.33/DATENTER!$G$41^2)))</f>
        <v>2.8498319901713114E-3</v>
      </c>
      <c r="F48" s="135">
        <f>IF(DATENTER!$C$28=0,0,(ChemProps!C48*(SiteCalcs!$H$28^3.33/DATENTER!$D$53^2))+((ChemProps!D48/ChemCalcs!D48)*(DATENTER!$E$53^3.33/DATENTER!$D$53^2)))</f>
        <v>0</v>
      </c>
      <c r="G48" s="135">
        <f>IF(DATENTER!$D$28=0,0,(ChemProps!C48*(SiteCalcs!$J$28^3.33/DATENTER!$D$65^2))+((ChemProps!D48/ChemCalcs!D48)*(DATENTER!$E$65^3.33/DATENTER!$D$65^2)))</f>
        <v>0</v>
      </c>
      <c r="H48" s="135">
        <f>IF((VLOOKUP(A48,Props,3,FALSE))=0,0,((VLOOKUP(A48,Props,3,FALSE))*(SiteCalcs!$D$19^3.33/SiteCalcs!$C$19^2))+(((VLOOKUP(A48,Props,4,FALSE))/ChemCalcs!D48)*(SiteCalcs!$E$19^3.33/SiteCalcs!$C$19^2)))</f>
        <v>1.2586718070950367E-3</v>
      </c>
      <c r="I48" s="205">
        <f>IF(AND(E48&gt;0,F48&gt;0,G48&gt;0),SiteCalcs!$B$11/(((IF(SiteCalcs!$B$11=1,1,DATENTER!$B$28-DATENTER!$B$14))/E48)+(DATENTER!$C$28/F48)+((DATENTER!$D$28-SiteCalcs!$B$19)/G48)+(SiteCalcs!$B$19/H48)),IF(AND(E48&gt;0,F48&gt;0,G48=0),SiteCalcs!$B$11/(((IF(SiteCalcs!$B$11=1,1,DATENTER!$B$28-DATENTER!$B$14))/E48)+((DATENTER!$C$28-SiteCalcs!$B$19)/F48)+(SiteCalcs!$B$19/H48)),IF(AND(E48&gt;0,F48=0,G48=0),SiteCalcs!$B$11/(((IF(SiteCalcs!$B$11=1,1,DATENTER!$B$28-DATENTER!$B$14)-SiteCalcs!$B$19)/E48)+(SiteCalcs!$B$19/H48)))))</f>
        <v>1.6585456535927441E-3</v>
      </c>
      <c r="J48" s="135">
        <f>ChemCalcs!E48</f>
        <v>2.8498319901713114E-3</v>
      </c>
      <c r="K48" s="260" t="e">
        <f>IF(DATENTER!$B$78="","ERROR",EXP((SiteCalcs!$L$11*DATENTER!$B$78)/(ChemCalcs!J48*SiteCalcs!$M$11)))</f>
        <v>#NUM!</v>
      </c>
      <c r="L48" s="206">
        <f>IF(ISERROR(K48),((ChemCalcs!I48*SiteCalcs!$E$11)/(SiteCalcs!$D$11*SiteCalcs!$B$11))/(((ChemCalcs!I48*SiteCalcs!$E$11)/(SiteCalcs!$L$11*SiteCalcs!$B$11))+1),(((ChemCalcs!I48*SiteCalcs!$E$11)/(SiteCalcs!$D$11*SiteCalcs!$B$11))*EXP((SiteCalcs!$L$11*DATENTER!$B$78)/(ChemCalcs!J48*SiteCalcs!$M$11)))/(EXP((SiteCalcs!$L$11*DATENTER!$B$78)/(ChemCalcs!J48*SiteCalcs!$M$11))+((ChemCalcs!I48*SiteCalcs!$E$11)/(SiteCalcs!$D$11*SiteCalcs!$B$11))+((ChemCalcs!I48*SiteCalcs!$E$11)/(SiteCalcs!$L$11*SiteCalcs!$B$11))*(EXP((SiteCalcs!$L$11*DATENTER!$B$78)/(ChemCalcs!J48*SiteCalcs!$M$11))-1)))</f>
        <v>6.7410359194544709E-4</v>
      </c>
    </row>
    <row r="49" spans="1:12" ht="23" x14ac:dyDescent="0.25">
      <c r="A49" s="172" t="s">
        <v>254</v>
      </c>
      <c r="B49" s="136">
        <f>IF((VLOOKUP(A49,Props,10,FALSE))=0,0,IF((VLOOKUP(A49,Props,9,FALSE))/(VLOOKUP(A49,Props,10,FALSE))&lt;0.57,(VLOOKUP(A49,Props,8,FALSE))*((1-((DATENTER!$D$14+273.15)/(VLOOKUP(A49,Props,10,FALSE))))/(1-((VLOOKUP(A49,Props,9,FALSE))/(VLOOKUP(A49,Props,10,FALSE)))))^0.3,IF(AND((VLOOKUP(A49,Props,9,FALSE))/(VLOOKUP(A49,Props,10,FALSE))&gt;=0.57,(VLOOKUP(A49,Props,9,FALSE))/(VLOOKUP(A49,Props,10,FALSE))&lt;=0.71),(VLOOKUP(A49,Props,8,FALSE))*((1-((DATENTER!$D$14+273.15)/(VLOOKUP(A49,Props,10,FALSE))))/(1-((VLOOKUP(A49,Props,9,FALSE))/(VLOOKUP(A49,Props,10,FALSE)))))^(0.74*((VLOOKUP(A49,Props,9,FALSE))/(VLOOKUP(A49,Props,10,FALSE)))-0.116),(VLOOKUP(A49,Props,8,FALSE))*((1-((DATENTER!$D$14+273.15)/(VLOOKUP(A49,Props,10,FALSE))))/(1-((VLOOKUP(A49,Props,9,FALSE))/(VLOOKUP(A49,Props,10,FALSE)))))^0.41)))</f>
        <v>15567.143243589468</v>
      </c>
      <c r="C49" s="135">
        <f>EXP(-1*((B49/1.9872)*((1/(DATENTER!$D$14+273.15))-(1/((VLOOKUP(A49,Props,7,FALSE))+273.15)))))*(VLOOKUP(A49,Props,6,FALSE))</f>
        <v>2.0683782747866693E-6</v>
      </c>
      <c r="D49" s="135">
        <f>IF(DATENTER!$D$14="",0,C49/(0.00008206*(DATENTER!$D$14+273.15)))</f>
        <v>8.9018831432941057E-5</v>
      </c>
      <c r="E49" s="135">
        <f>IF((VLOOKUP(A49,Props,3,FALSE))=0,0,((VLOOKUP(A49,Props,3,FALSE))*(SiteCalcs!$B$28^3.33/DATENTER!$G$41^2))+(((VLOOKUP(A49,Props,4,FALSE))/ChemCalcs!D49)*(DATENTER!$H$41^3.33/DATENTER!$G$41^2)))</f>
        <v>2.7289774231687878E-3</v>
      </c>
      <c r="F49" s="135">
        <f>IF(DATENTER!$C$28=0,0,(ChemProps!C49*(SiteCalcs!$H$28^3.33/DATENTER!$D$53^2))+((ChemProps!D49/ChemCalcs!D49)*(DATENTER!$E$53^3.33/DATENTER!$D$53^2)))</f>
        <v>0</v>
      </c>
      <c r="G49" s="135">
        <f>IF(DATENTER!$D$28=0,0,(ChemProps!C49*(SiteCalcs!$J$28^3.33/DATENTER!$D$65^2))+((ChemProps!D49/ChemCalcs!D49)*(DATENTER!$E$65^3.33/DATENTER!$D$65^2)))</f>
        <v>0</v>
      </c>
      <c r="H49" s="135">
        <f>IF((VLOOKUP(A49,Props,3,FALSE))=0,0,((VLOOKUP(A49,Props,3,FALSE))*(SiteCalcs!$D$19^3.33/SiteCalcs!$C$19^2))+(((VLOOKUP(A49,Props,4,FALSE))/ChemCalcs!D49)*(SiteCalcs!$E$19^3.33/SiteCalcs!$C$19^2)))</f>
        <v>3.3358343632315882E-3</v>
      </c>
      <c r="I49" s="205">
        <f>IF(AND(E49&gt;0,F49&gt;0,G49&gt;0),SiteCalcs!$B$11/(((IF(SiteCalcs!$B$11=1,1,DATENTER!$B$28-DATENTER!$B$14))/E49)+(DATENTER!$C$28/F49)+((DATENTER!$D$28-SiteCalcs!$B$19)/G49)+(SiteCalcs!$B$19/H49)),IF(AND(E49&gt;0,F49&gt;0,G49=0),SiteCalcs!$B$11/(((IF(SiteCalcs!$B$11=1,1,DATENTER!$B$28-DATENTER!$B$14))/E49)+((DATENTER!$C$28-SiteCalcs!$B$19)/F49)+(SiteCalcs!$B$19/H49)),IF(AND(E49&gt;0,F49=0,G49=0),SiteCalcs!$B$11/(((IF(SiteCalcs!$B$11=1,1,DATENTER!$B$28-DATENTER!$B$14)-SiteCalcs!$B$19)/E49)+(SiteCalcs!$B$19/H49)))))</f>
        <v>3.0435732322818374E-3</v>
      </c>
      <c r="J49" s="135">
        <f>ChemCalcs!E49</f>
        <v>2.7289774231687878E-3</v>
      </c>
      <c r="K49" s="260" t="e">
        <f>IF(DATENTER!$B$78="","ERROR",EXP((SiteCalcs!$L$11*DATENTER!$B$78)/(ChemCalcs!J49*SiteCalcs!$M$11)))</f>
        <v>#NUM!</v>
      </c>
      <c r="L49" s="206">
        <f>IF(ISERROR(K49),((ChemCalcs!I49*SiteCalcs!$E$11)/(SiteCalcs!$D$11*SiteCalcs!$B$11))/(((ChemCalcs!I49*SiteCalcs!$E$11)/(SiteCalcs!$L$11*SiteCalcs!$B$11))+1),(((ChemCalcs!I49*SiteCalcs!$E$11)/(SiteCalcs!$D$11*SiteCalcs!$B$11))*EXP((SiteCalcs!$L$11*DATENTER!$B$78)/(ChemCalcs!J49*SiteCalcs!$M$11)))/(EXP((SiteCalcs!$L$11*DATENTER!$B$78)/(ChemCalcs!J49*SiteCalcs!$M$11))+((ChemCalcs!I49*SiteCalcs!$E$11)/(SiteCalcs!$D$11*SiteCalcs!$B$11))+((ChemCalcs!I49*SiteCalcs!$E$11)/(SiteCalcs!$L$11*SiteCalcs!$B$11))*(EXP((SiteCalcs!$L$11*DATENTER!$B$78)/(ChemCalcs!J49*SiteCalcs!$M$11))-1)))</f>
        <v>8.3441914396735473E-4</v>
      </c>
    </row>
    <row r="50" spans="1:12" x14ac:dyDescent="0.25">
      <c r="A50" s="172" t="s">
        <v>255</v>
      </c>
      <c r="B50" s="136">
        <f>IF((VLOOKUP(A50,Props,10,FALSE))=0,0,IF((VLOOKUP(A50,Props,9,FALSE))/(VLOOKUP(A50,Props,10,FALSE))&lt;0.57,(VLOOKUP(A50,Props,8,FALSE))*((1-((DATENTER!$D$14+273.15)/(VLOOKUP(A50,Props,10,FALSE))))/(1-((VLOOKUP(A50,Props,9,FALSE))/(VLOOKUP(A50,Props,10,FALSE)))))^0.3,IF(AND((VLOOKUP(A50,Props,9,FALSE))/(VLOOKUP(A50,Props,10,FALSE))&gt;=0.57,(VLOOKUP(A50,Props,9,FALSE))/(VLOOKUP(A50,Props,10,FALSE))&lt;=0.71),(VLOOKUP(A50,Props,8,FALSE))*((1-((DATENTER!$D$14+273.15)/(VLOOKUP(A50,Props,10,FALSE))))/(1-((VLOOKUP(A50,Props,9,FALSE))/(VLOOKUP(A50,Props,10,FALSE)))))^(0.74*((VLOOKUP(A50,Props,9,FALSE))/(VLOOKUP(A50,Props,10,FALSE)))-0.116),(VLOOKUP(A50,Props,8,FALSE))*((1-((DATENTER!$D$14+273.15)/(VLOOKUP(A50,Props,10,FALSE))))/(1-((VLOOKUP(A50,Props,9,FALSE))/(VLOOKUP(A50,Props,10,FALSE)))))^0.41)))</f>
        <v>7450.1401367362769</v>
      </c>
      <c r="C50" s="135">
        <f>EXP(-1*((B50/1.9872)*((1/(DATENTER!$D$14+273.15))-(1/((VLOOKUP(A50,Props,7,FALSE))+273.15)))))*(VLOOKUP(A50,Props,6,FALSE))</f>
        <v>2.886936520846403E-3</v>
      </c>
      <c r="D50" s="135">
        <f>IF(DATENTER!$D$14="",0,C50/(0.00008206*(DATENTER!$D$14+273.15)))</f>
        <v>0.12424792826318638</v>
      </c>
      <c r="E50" s="135">
        <f>IF((VLOOKUP(A50,Props,3,FALSE))=0,0,((VLOOKUP(A50,Props,3,FALSE))*(SiteCalcs!$B$28^3.33/DATENTER!$G$41^2))+(((VLOOKUP(A50,Props,4,FALSE))/ChemCalcs!D50)*(DATENTER!$H$41^3.33/DATENTER!$G$41^2)))</f>
        <v>1.464130853141455E-2</v>
      </c>
      <c r="F50" s="135">
        <f>IF(DATENTER!$C$28=0,0,(ChemProps!C50*(SiteCalcs!$H$28^3.33/DATENTER!$D$53^2))+((ChemProps!D50/ChemCalcs!D50)*(DATENTER!$E$53^3.33/DATENTER!$D$53^2)))</f>
        <v>0</v>
      </c>
      <c r="G50" s="135">
        <f>IF(DATENTER!$D$28=0,0,(ChemProps!C50*(SiteCalcs!$J$28^3.33/DATENTER!$D$65^2))+((ChemProps!D50/ChemCalcs!D50)*(DATENTER!$E$65^3.33/DATENTER!$D$65^2)))</f>
        <v>0</v>
      </c>
      <c r="H50" s="135">
        <f>IF((VLOOKUP(A50,Props,3,FALSE))=0,0,((VLOOKUP(A50,Props,3,FALSE))*(SiteCalcs!$D$19^3.33/SiteCalcs!$C$19^2))+(((VLOOKUP(A50,Props,4,FALSE))/ChemCalcs!D50)*(SiteCalcs!$E$19^3.33/SiteCalcs!$C$19^2)))</f>
        <v>1.2552872905668294E-3</v>
      </c>
      <c r="I50" s="205">
        <f>IF(AND(E50&gt;0,F50&gt;0,G50&gt;0),SiteCalcs!$B$11/(((IF(SiteCalcs!$B$11=1,1,DATENTER!$B$28-DATENTER!$B$14))/E50)+(DATENTER!$C$28/F50)+((DATENTER!$D$28-SiteCalcs!$B$19)/G50)+(SiteCalcs!$B$19/H50)),IF(AND(E50&gt;0,F50&gt;0,G50=0),SiteCalcs!$B$11/(((IF(SiteCalcs!$B$11=1,1,DATENTER!$B$28-DATENTER!$B$14))/E50)+((DATENTER!$C$28-SiteCalcs!$B$19)/F50)+(SiteCalcs!$B$19/H50)),IF(AND(E50&gt;0,F50=0,G50=0),SiteCalcs!$B$11/(((IF(SiteCalcs!$B$11=1,1,DATENTER!$B$28-DATENTER!$B$14)-SiteCalcs!$B$19)/E50)+(SiteCalcs!$B$19/H50)))))</f>
        <v>2.0741550115920718E-3</v>
      </c>
      <c r="J50" s="135">
        <f>ChemCalcs!E50</f>
        <v>1.464130853141455E-2</v>
      </c>
      <c r="K50" s="260">
        <f>IF(DATENTER!$B$78="","ERROR",EXP((SiteCalcs!$L$11*DATENTER!$B$78)/(ChemCalcs!J50*SiteCalcs!$M$11)))</f>
        <v>1.1860870751464964E+76</v>
      </c>
      <c r="L50" s="206">
        <f>IF(ISERROR(K50),((ChemCalcs!I50*SiteCalcs!$E$11)/(SiteCalcs!$D$11*SiteCalcs!$B$11))/(((ChemCalcs!I50*SiteCalcs!$E$11)/(SiteCalcs!$L$11*SiteCalcs!$B$11))+1),(((ChemCalcs!I50*SiteCalcs!$E$11)/(SiteCalcs!$D$11*SiteCalcs!$B$11))*EXP((SiteCalcs!$L$11*DATENTER!$B$78)/(ChemCalcs!J50*SiteCalcs!$M$11)))/(EXP((SiteCalcs!$L$11*DATENTER!$B$78)/(ChemCalcs!J50*SiteCalcs!$M$11))+((ChemCalcs!I50*SiteCalcs!$E$11)/(SiteCalcs!$D$11*SiteCalcs!$B$11))+((ChemCalcs!I50*SiteCalcs!$E$11)/(SiteCalcs!$L$11*SiteCalcs!$B$11))*(EXP((SiteCalcs!$L$11*DATENTER!$B$78)/(ChemCalcs!J50*SiteCalcs!$M$11))-1)))</f>
        <v>7.364018194556788E-4</v>
      </c>
    </row>
    <row r="51" spans="1:12" x14ac:dyDescent="0.25">
      <c r="A51" s="172" t="s">
        <v>256</v>
      </c>
      <c r="B51" s="136">
        <f>IF((VLOOKUP(A51,Props,10,FALSE))=0,0,IF((VLOOKUP(A51,Props,9,FALSE))/(VLOOKUP(A51,Props,10,FALSE))&lt;0.57,(VLOOKUP(A51,Props,8,FALSE))*((1-((DATENTER!$D$14+273.15)/(VLOOKUP(A51,Props,10,FALSE))))/(1-((VLOOKUP(A51,Props,9,FALSE))/(VLOOKUP(A51,Props,10,FALSE)))))^0.3,IF(AND((VLOOKUP(A51,Props,9,FALSE))/(VLOOKUP(A51,Props,10,FALSE))&gt;=0.57,(VLOOKUP(A51,Props,9,FALSE))/(VLOOKUP(A51,Props,10,FALSE))&lt;=0.71),(VLOOKUP(A51,Props,8,FALSE))*((1-((DATENTER!$D$14+273.15)/(VLOOKUP(A51,Props,10,FALSE))))/(1-((VLOOKUP(A51,Props,9,FALSE))/(VLOOKUP(A51,Props,10,FALSE)))))^(0.74*((VLOOKUP(A51,Props,9,FALSE))/(VLOOKUP(A51,Props,10,FALSE)))-0.116),(VLOOKUP(A51,Props,8,FALSE))*((1-((DATENTER!$D$14+273.15)/(VLOOKUP(A51,Props,10,FALSE))))/(1-((VLOOKUP(A51,Props,9,FALSE))/(VLOOKUP(A51,Props,10,FALSE)))))^0.41)))</f>
        <v>8522.3588983360696</v>
      </c>
      <c r="C51" s="135">
        <f>EXP(-1*((B51/1.9872)*((1/(DATENTER!$D$14+273.15))-(1/((VLOOKUP(A51,Props,7,FALSE))+273.15)))))*(VLOOKUP(A51,Props,6,FALSE))</f>
        <v>5.5074075104790765E-4</v>
      </c>
      <c r="D51" s="135">
        <f>IF(DATENTER!$D$14="",0,C51/(0.00008206*(DATENTER!$D$14+273.15)))</f>
        <v>2.3702771721406512E-2</v>
      </c>
      <c r="E51" s="135">
        <f>IF((VLOOKUP(A51,Props,3,FALSE))=0,0,((VLOOKUP(A51,Props,3,FALSE))*(SiteCalcs!$B$28^3.33/DATENTER!$G$41^2))+(((VLOOKUP(A51,Props,4,FALSE))/ChemCalcs!D51)*(DATENTER!$H$41^3.33/DATENTER!$G$41^2)))</f>
        <v>2.0521648744970273E-2</v>
      </c>
      <c r="F51" s="135">
        <f>IF(DATENTER!$C$28=0,0,(ChemProps!C51*(SiteCalcs!$H$28^3.33/DATENTER!$D$53^2))+((ChemProps!D51/ChemCalcs!D51)*(DATENTER!$E$53^3.33/DATENTER!$D$53^2)))</f>
        <v>0</v>
      </c>
      <c r="G51" s="135">
        <f>IF(DATENTER!$D$28=0,0,(ChemProps!C51*(SiteCalcs!$J$28^3.33/DATENTER!$D$65^2))+((ChemProps!D51/ChemCalcs!D51)*(DATENTER!$E$65^3.33/DATENTER!$D$65^2)))</f>
        <v>0</v>
      </c>
      <c r="H51" s="135">
        <f>IF((VLOOKUP(A51,Props,3,FALSE))=0,0,((VLOOKUP(A51,Props,3,FALSE))*(SiteCalcs!$D$19^3.33/SiteCalcs!$C$19^2))+(((VLOOKUP(A51,Props,4,FALSE))/ChemCalcs!D51)*(SiteCalcs!$E$19^3.33/SiteCalcs!$C$19^2)))</f>
        <v>1.7761403710301301E-3</v>
      </c>
      <c r="I51" s="205">
        <f>IF(AND(E51&gt;0,F51&gt;0,G51&gt;0),SiteCalcs!$B$11/(((IF(SiteCalcs!$B$11=1,1,DATENTER!$B$28-DATENTER!$B$14))/E51)+(DATENTER!$C$28/F51)+((DATENTER!$D$28-SiteCalcs!$B$19)/G51)+(SiteCalcs!$B$19/H51)),IF(AND(E51&gt;0,F51&gt;0,G51=0),SiteCalcs!$B$11/(((IF(SiteCalcs!$B$11=1,1,DATENTER!$B$28-DATENTER!$B$14))/E51)+((DATENTER!$C$28-SiteCalcs!$B$19)/F51)+(SiteCalcs!$B$19/H51)),IF(AND(E51&gt;0,F51=0,G51=0),SiteCalcs!$B$11/(((IF(SiteCalcs!$B$11=1,1,DATENTER!$B$28-DATENTER!$B$14)-SiteCalcs!$B$19)/E51)+(SiteCalcs!$B$19/H51)))))</f>
        <v>2.933076079272374E-3</v>
      </c>
      <c r="J51" s="135">
        <f>ChemCalcs!E51</f>
        <v>2.0521648744970273E-2</v>
      </c>
      <c r="K51" s="260">
        <f>IF(DATENTER!$B$78="","ERROR",EXP((SiteCalcs!$L$11*DATENTER!$B$78)/(ChemCalcs!J51*SiteCalcs!$M$11)))</f>
        <v>1.886213749725013E+54</v>
      </c>
      <c r="L51" s="206">
        <f>IF(ISERROR(K51),((ChemCalcs!I51*SiteCalcs!$E$11)/(SiteCalcs!$D$11*SiteCalcs!$B$11))/(((ChemCalcs!I51*SiteCalcs!$E$11)/(SiteCalcs!$L$11*SiteCalcs!$B$11))+1),(((ChemCalcs!I51*SiteCalcs!$E$11)/(SiteCalcs!$D$11*SiteCalcs!$B$11))*EXP((SiteCalcs!$L$11*DATENTER!$B$78)/(ChemCalcs!J51*SiteCalcs!$M$11)))/(EXP((SiteCalcs!$L$11*DATENTER!$B$78)/(ChemCalcs!J51*SiteCalcs!$M$11))+((ChemCalcs!I51*SiteCalcs!$E$11)/(SiteCalcs!$D$11*SiteCalcs!$B$11))+((ChemCalcs!I51*SiteCalcs!$E$11)/(SiteCalcs!$L$11*SiteCalcs!$B$11))*(EXP((SiteCalcs!$L$11*DATENTER!$B$78)/(ChemCalcs!J51*SiteCalcs!$M$11))-1)))</f>
        <v>8.2556196420692984E-4</v>
      </c>
    </row>
    <row r="52" spans="1:12" x14ac:dyDescent="0.25">
      <c r="A52" s="172" t="s">
        <v>257</v>
      </c>
      <c r="B52" s="136">
        <f>IF((VLOOKUP(A52,Props,10,FALSE))=0,0,IF((VLOOKUP(A52,Props,9,FALSE))/(VLOOKUP(A52,Props,10,FALSE))&lt;0.57,(VLOOKUP(A52,Props,8,FALSE))*((1-((DATENTER!$D$14+273.15)/(VLOOKUP(A52,Props,10,FALSE))))/(1-((VLOOKUP(A52,Props,9,FALSE))/(VLOOKUP(A52,Props,10,FALSE)))))^0.3,IF(AND((VLOOKUP(A52,Props,9,FALSE))/(VLOOKUP(A52,Props,10,FALSE))&gt;=0.57,(VLOOKUP(A52,Props,9,FALSE))/(VLOOKUP(A52,Props,10,FALSE))&lt;=0.71),(VLOOKUP(A52,Props,8,FALSE))*((1-((DATENTER!$D$14+273.15)/(VLOOKUP(A52,Props,10,FALSE))))/(1-((VLOOKUP(A52,Props,9,FALSE))/(VLOOKUP(A52,Props,10,FALSE)))))^(0.74*((VLOOKUP(A52,Props,9,FALSE))/(VLOOKUP(A52,Props,10,FALSE)))-0.116),(VLOOKUP(A52,Props,8,FALSE))*((1-((DATENTER!$D$14+273.15)/(VLOOKUP(A52,Props,10,FALSE))))/(1-((VLOOKUP(A52,Props,9,FALSE))/(VLOOKUP(A52,Props,10,FALSE)))))^0.41)))</f>
        <v>6392.2297984360903</v>
      </c>
      <c r="C52" s="135">
        <f>EXP(-1*((B52/1.9872)*((1/(DATENTER!$D$14+273.15))-(1/((VLOOKUP(A52,Props,7,FALSE))+273.15)))))*(VLOOKUP(A52,Props,6,FALSE))</f>
        <v>1.4737422169752271E-2</v>
      </c>
      <c r="D52" s="135">
        <f>IF(DATENTER!$D$14="",0,C52/(0.00008206*(DATENTER!$D$14+273.15)))</f>
        <v>0.63426894194224459</v>
      </c>
      <c r="E52" s="135">
        <f>IF((VLOOKUP(A52,Props,3,FALSE))=0,0,((VLOOKUP(A52,Props,3,FALSE))*(SiteCalcs!$B$28^3.33/DATENTER!$G$41^2))+(((VLOOKUP(A52,Props,4,FALSE))/ChemCalcs!D52)*(DATENTER!$H$41^3.33/DATENTER!$G$41^2)))</f>
        <v>1.7758959815813012E-2</v>
      </c>
      <c r="F52" s="135">
        <f>IF(DATENTER!$C$28=0,0,(ChemProps!C52*(SiteCalcs!$H$28^3.33/DATENTER!$D$53^2))+((ChemProps!D52/ChemCalcs!D52)*(DATENTER!$E$53^3.33/DATENTER!$D$53^2)))</f>
        <v>0</v>
      </c>
      <c r="G52" s="135">
        <f>IF(DATENTER!$D$28=0,0,(ChemProps!C52*(SiteCalcs!$J$28^3.33/DATENTER!$D$65^2))+((ChemProps!D52/ChemCalcs!D52)*(DATENTER!$E$65^3.33/DATENTER!$D$65^2)))</f>
        <v>0</v>
      </c>
      <c r="H52" s="135">
        <f>IF((VLOOKUP(A52,Props,3,FALSE))=0,0,((VLOOKUP(A52,Props,3,FALSE))*(SiteCalcs!$D$19^3.33/SiteCalcs!$C$19^2))+(((VLOOKUP(A52,Props,4,FALSE))/ChemCalcs!D52)*(SiteCalcs!$E$19^3.33/SiteCalcs!$C$19^2)))</f>
        <v>1.5177776458583029E-3</v>
      </c>
      <c r="I52" s="205">
        <f>IF(AND(E52&gt;0,F52&gt;0,G52&gt;0),SiteCalcs!$B$11/(((IF(SiteCalcs!$B$11=1,1,DATENTER!$B$28-DATENTER!$B$14))/E52)+(DATENTER!$C$28/F52)+((DATENTER!$D$28-SiteCalcs!$B$19)/G52)+(SiteCalcs!$B$19/H52)),IF(AND(E52&gt;0,F52&gt;0,G52=0),SiteCalcs!$B$11/(((IF(SiteCalcs!$B$11=1,1,DATENTER!$B$28-DATENTER!$B$14))/E52)+((DATENTER!$C$28-SiteCalcs!$B$19)/F52)+(SiteCalcs!$B$19/H52)),IF(AND(E52&gt;0,F52=0,G52=0),SiteCalcs!$B$11/(((IF(SiteCalcs!$B$11=1,1,DATENTER!$B$28-DATENTER!$B$14)-SiteCalcs!$B$19)/E52)+(SiteCalcs!$B$19/H52)))))</f>
        <v>2.508361194354079E-3</v>
      </c>
      <c r="J52" s="135">
        <f>ChemCalcs!E52</f>
        <v>1.7758959815813012E-2</v>
      </c>
      <c r="K52" s="260">
        <f>IF(DATENTER!$B$78="","ERROR",EXP((SiteCalcs!$L$11*DATENTER!$B$78)/(ChemCalcs!J52*SiteCalcs!$M$11)))</f>
        <v>5.2362836121798899E+62</v>
      </c>
      <c r="L52" s="206">
        <f>IF(ISERROR(K52),((ChemCalcs!I52*SiteCalcs!$E$11)/(SiteCalcs!$D$11*SiteCalcs!$B$11))/(((ChemCalcs!I52*SiteCalcs!$E$11)/(SiteCalcs!$L$11*SiteCalcs!$B$11))+1),(((ChemCalcs!I52*SiteCalcs!$E$11)/(SiteCalcs!$D$11*SiteCalcs!$B$11))*EXP((SiteCalcs!$L$11*DATENTER!$B$78)/(ChemCalcs!J52*SiteCalcs!$M$11)))/(EXP((SiteCalcs!$L$11*DATENTER!$B$78)/(ChemCalcs!J52*SiteCalcs!$M$11))+((ChemCalcs!I52*SiteCalcs!$E$11)/(SiteCalcs!$D$11*SiteCalcs!$B$11))+((ChemCalcs!I52*SiteCalcs!$E$11)/(SiteCalcs!$L$11*SiteCalcs!$B$11))*(EXP((SiteCalcs!$L$11*DATENTER!$B$78)/(ChemCalcs!J52*SiteCalcs!$M$11))-1)))</f>
        <v>7.8662013615010077E-4</v>
      </c>
    </row>
    <row r="53" spans="1:12" x14ac:dyDescent="0.25">
      <c r="A53" s="172" t="s">
        <v>258</v>
      </c>
      <c r="B53" s="136">
        <f>IF((VLOOKUP(A53,Props,10,FALSE))=0,0,IF((VLOOKUP(A53,Props,9,FALSE))/(VLOOKUP(A53,Props,10,FALSE))&lt;0.57,(VLOOKUP(A53,Props,8,FALSE))*((1-((DATENTER!$D$14+273.15)/(VLOOKUP(A53,Props,10,FALSE))))/(1-((VLOOKUP(A53,Props,9,FALSE))/(VLOOKUP(A53,Props,10,FALSE)))))^0.3,IF(AND((VLOOKUP(A53,Props,9,FALSE))/(VLOOKUP(A53,Props,10,FALSE))&gt;=0.57,(VLOOKUP(A53,Props,9,FALSE))/(VLOOKUP(A53,Props,10,FALSE))&lt;=0.71),(VLOOKUP(A53,Props,8,FALSE))*((1-((DATENTER!$D$14+273.15)/(VLOOKUP(A53,Props,10,FALSE))))/(1-((VLOOKUP(A53,Props,9,FALSE))/(VLOOKUP(A53,Props,10,FALSE)))))^(0.74*((VLOOKUP(A53,Props,9,FALSE))/(VLOOKUP(A53,Props,10,FALSE)))-0.116),(VLOOKUP(A53,Props,8,FALSE))*((1-((DATENTER!$D$14+273.15)/(VLOOKUP(A53,Props,10,FALSE))))/(1-((VLOOKUP(A53,Props,9,FALSE))/(VLOOKUP(A53,Props,10,FALSE)))))^0.41)))</f>
        <v>7734.3234255939606</v>
      </c>
      <c r="C53" s="135">
        <f>EXP(-1*((B53/1.9872)*((1/(DATENTER!$D$14+273.15))-(1/((VLOOKUP(A53,Props,7,FALSE))+273.15)))))*(VLOOKUP(A53,Props,6,FALSE))</f>
        <v>2.0432704685895073E-3</v>
      </c>
      <c r="D53" s="135">
        <f>IF(DATENTER!$D$14="",0,C53/(0.00008206*(DATENTER!$D$14+273.15)))</f>
        <v>8.7938242067465033E-2</v>
      </c>
      <c r="E53" s="135">
        <f>IF((VLOOKUP(A53,Props,3,FALSE))=0,0,((VLOOKUP(A53,Props,3,FALSE))*(SiteCalcs!$B$28^3.33/DATENTER!$G$41^2))+(((VLOOKUP(A53,Props,4,FALSE))/ChemCalcs!D53)*(DATENTER!$H$41^3.33/DATENTER!$G$41^2)))</f>
        <v>1.4522935824516319E-2</v>
      </c>
      <c r="F53" s="135">
        <f>IF(DATENTER!$C$28=0,0,(ChemProps!C53*(SiteCalcs!$H$28^3.33/DATENTER!$D$53^2))+((ChemProps!D53/ChemCalcs!D53)*(DATENTER!$E$53^3.33/DATENTER!$D$53^2)))</f>
        <v>0</v>
      </c>
      <c r="G53" s="135">
        <f>IF(DATENTER!$D$28=0,0,(ChemProps!C53*(SiteCalcs!$J$28^3.33/DATENTER!$D$65^2))+((ChemProps!D53/ChemCalcs!D53)*(DATENTER!$E$65^3.33/DATENTER!$D$65^2)))</f>
        <v>0</v>
      </c>
      <c r="H53" s="135">
        <f>IF((VLOOKUP(A53,Props,3,FALSE))=0,0,((VLOOKUP(A53,Props,3,FALSE))*(SiteCalcs!$D$19^3.33/SiteCalcs!$C$19^2))+(((VLOOKUP(A53,Props,4,FALSE))/ChemCalcs!D53)*(SiteCalcs!$E$19^3.33/SiteCalcs!$C$19^2)))</f>
        <v>1.2476312317996798E-3</v>
      </c>
      <c r="I53" s="205">
        <f>IF(AND(E53&gt;0,F53&gt;0,G53&gt;0),SiteCalcs!$B$11/(((IF(SiteCalcs!$B$11=1,1,DATENTER!$B$28-DATENTER!$B$14))/E53)+(DATENTER!$C$28/F53)+((DATENTER!$D$28-SiteCalcs!$B$19)/G53)+(SiteCalcs!$B$19/H53)),IF(AND(E53&gt;0,F53&gt;0,G53=0),SiteCalcs!$B$11/(((IF(SiteCalcs!$B$11=1,1,DATENTER!$B$28-DATENTER!$B$14))/E53)+((DATENTER!$C$28-SiteCalcs!$B$19)/F53)+(SiteCalcs!$B$19/H53)),IF(AND(E53&gt;0,F53=0,G53=0),SiteCalcs!$B$11/(((IF(SiteCalcs!$B$11=1,1,DATENTER!$B$28-DATENTER!$B$14)-SiteCalcs!$B$19)/E53)+(SiteCalcs!$B$19/H53)))))</f>
        <v>2.0612522011840338E-3</v>
      </c>
      <c r="J53" s="135">
        <f>ChemCalcs!E53</f>
        <v>1.4522935824516319E-2</v>
      </c>
      <c r="K53" s="260">
        <f>IF(DATENTER!$B$78="","ERROR",EXP((SiteCalcs!$L$11*DATENTER!$B$78)/(ChemCalcs!J53*SiteCalcs!$M$11)))</f>
        <v>4.9451229166640865E+76</v>
      </c>
      <c r="L53" s="206">
        <f>IF(ISERROR(K53),((ChemCalcs!I53*SiteCalcs!$E$11)/(SiteCalcs!$D$11*SiteCalcs!$B$11))/(((ChemCalcs!I53*SiteCalcs!$E$11)/(SiteCalcs!$L$11*SiteCalcs!$B$11))+1),(((ChemCalcs!I53*SiteCalcs!$E$11)/(SiteCalcs!$D$11*SiteCalcs!$B$11))*EXP((SiteCalcs!$L$11*DATENTER!$B$78)/(ChemCalcs!J53*SiteCalcs!$M$11)))/(EXP((SiteCalcs!$L$11*DATENTER!$B$78)/(ChemCalcs!J53*SiteCalcs!$M$11))+((ChemCalcs!I53*SiteCalcs!$E$11)/(SiteCalcs!$D$11*SiteCalcs!$B$11))+((ChemCalcs!I53*SiteCalcs!$E$11)/(SiteCalcs!$L$11*SiteCalcs!$B$11))*(EXP((SiteCalcs!$L$11*DATENTER!$B$78)/(ChemCalcs!J53*SiteCalcs!$M$11))-1)))</f>
        <v>7.3470569486148421E-4</v>
      </c>
    </row>
    <row r="54" spans="1:12" x14ac:dyDescent="0.25">
      <c r="A54" s="172" t="s">
        <v>259</v>
      </c>
      <c r="B54" s="136">
        <f>IF((VLOOKUP(A54,Props,10,FALSE))=0,0,IF((VLOOKUP(A54,Props,9,FALSE))/(VLOOKUP(A54,Props,10,FALSE))&lt;0.57,(VLOOKUP(A54,Props,8,FALSE))*((1-((DATENTER!$D$14+273.15)/(VLOOKUP(A54,Props,10,FALSE))))/(1-((VLOOKUP(A54,Props,9,FALSE))/(VLOOKUP(A54,Props,10,FALSE)))))^0.3,IF(AND((VLOOKUP(A54,Props,9,FALSE))/(VLOOKUP(A54,Props,10,FALSE))&gt;=0.57,(VLOOKUP(A54,Props,9,FALSE))/(VLOOKUP(A54,Props,10,FALSE))&lt;=0.71),(VLOOKUP(A54,Props,8,FALSE))*((1-((DATENTER!$D$14+273.15)/(VLOOKUP(A54,Props,10,FALSE))))/(1-((VLOOKUP(A54,Props,9,FALSE))/(VLOOKUP(A54,Props,10,FALSE)))))^(0.74*((VLOOKUP(A54,Props,9,FALSE))/(VLOOKUP(A54,Props,10,FALSE)))-0.116),(VLOOKUP(A54,Props,8,FALSE))*((1-((DATENTER!$D$14+273.15)/(VLOOKUP(A54,Props,10,FALSE))))/(1-((VLOOKUP(A54,Props,9,FALSE))/(VLOOKUP(A54,Props,10,FALSE)))))^0.41)))</f>
        <v>7136.3658998117171</v>
      </c>
      <c r="C54" s="135">
        <f>EXP(-1*((B54/1.9872)*((1/(DATENTER!$D$14+273.15))-(1/((VLOOKUP(A54,Props,7,FALSE))+273.15)))))*(VLOOKUP(A54,Props,6,FALSE))</f>
        <v>4.9555063617609686E-3</v>
      </c>
      <c r="D54" s="135">
        <f>IF(DATENTER!$D$14="",0,C54/(0.00008206*(DATENTER!$D$14+273.15)))</f>
        <v>0.21327500431610596</v>
      </c>
      <c r="E54" s="135">
        <f>IF((VLOOKUP(A54,Props,3,FALSE))=0,0,((VLOOKUP(A54,Props,3,FALSE))*(SiteCalcs!$B$28^3.33/DATENTER!$G$41^2))+(((VLOOKUP(A54,Props,4,FALSE))/ChemCalcs!D54)*(DATENTER!$H$41^3.33/DATENTER!$G$41^2)))</f>
        <v>1.3950669356040323E-2</v>
      </c>
      <c r="F54" s="135">
        <f>IF(DATENTER!$C$28=0,0,(ChemProps!C54*(SiteCalcs!$H$28^3.33/DATENTER!$D$53^2))+((ChemProps!D54/ChemCalcs!D54)*(DATENTER!$E$53^3.33/DATENTER!$D$53^2)))</f>
        <v>0</v>
      </c>
      <c r="G54" s="135">
        <f>IF(DATENTER!$D$28=0,0,(ChemProps!C54*(SiteCalcs!$J$28^3.33/DATENTER!$D$65^2))+((ChemProps!D54/ChemCalcs!D54)*(DATENTER!$E$65^3.33/DATENTER!$D$65^2)))</f>
        <v>0</v>
      </c>
      <c r="H54" s="135">
        <f>IF((VLOOKUP(A54,Props,3,FALSE))=0,0,((VLOOKUP(A54,Props,3,FALSE))*(SiteCalcs!$D$19^3.33/SiteCalcs!$C$19^2))+(((VLOOKUP(A54,Props,4,FALSE))/ChemCalcs!D54)*(SiteCalcs!$E$19^3.33/SiteCalcs!$C$19^2)))</f>
        <v>1.1946949948037696E-3</v>
      </c>
      <c r="I54" s="205">
        <f>IF(AND(E54&gt;0,F54&gt;0,G54&gt;0),SiteCalcs!$B$11/(((IF(SiteCalcs!$B$11=1,1,DATENTER!$B$28-DATENTER!$B$14))/E54)+(DATENTER!$C$28/F54)+((DATENTER!$D$28-SiteCalcs!$B$19)/G54)+(SiteCalcs!$B$19/H54)),IF(AND(E54&gt;0,F54&gt;0,G54=0),SiteCalcs!$B$11/(((IF(SiteCalcs!$B$11=1,1,DATENTER!$B$28-DATENTER!$B$14))/E54)+((DATENTER!$C$28-SiteCalcs!$B$19)/F54)+(SiteCalcs!$B$19/H54)),IF(AND(E54&gt;0,F54=0,G54=0),SiteCalcs!$B$11/(((IF(SiteCalcs!$B$11=1,1,DATENTER!$B$28-DATENTER!$B$14)-SiteCalcs!$B$19)/E54)+(SiteCalcs!$B$19/H54)))))</f>
        <v>1.9741755487266291E-3</v>
      </c>
      <c r="J54" s="135">
        <f>ChemCalcs!E54</f>
        <v>1.3950669356040323E-2</v>
      </c>
      <c r="K54" s="260">
        <f>IF(DATENTER!$B$78="","ERROR",EXP((SiteCalcs!$L$11*DATENTER!$B$78)/(ChemCalcs!J54*SiteCalcs!$M$11)))</f>
        <v>6.9219311253984385E+79</v>
      </c>
      <c r="L54" s="206">
        <f>IF(ISERROR(K54),((ChemCalcs!I54*SiteCalcs!$E$11)/(SiteCalcs!$D$11*SiteCalcs!$B$11))/(((ChemCalcs!I54*SiteCalcs!$E$11)/(SiteCalcs!$L$11*SiteCalcs!$B$11))+1),(((ChemCalcs!I54*SiteCalcs!$E$11)/(SiteCalcs!$D$11*SiteCalcs!$B$11))*EXP((SiteCalcs!$L$11*DATENTER!$B$78)/(ChemCalcs!J54*SiteCalcs!$M$11)))/(EXP((SiteCalcs!$L$11*DATENTER!$B$78)/(ChemCalcs!J54*SiteCalcs!$M$11))+((ChemCalcs!I54*SiteCalcs!$E$11)/(SiteCalcs!$D$11*SiteCalcs!$B$11))+((ChemCalcs!I54*SiteCalcs!$E$11)/(SiteCalcs!$L$11*SiteCalcs!$B$11))*(EXP((SiteCalcs!$L$11*DATENTER!$B$78)/(ChemCalcs!J54*SiteCalcs!$M$11))-1)))</f>
        <v>7.2289993527140854E-4</v>
      </c>
    </row>
    <row r="55" spans="1:12" x14ac:dyDescent="0.25">
      <c r="A55" s="172" t="s">
        <v>260</v>
      </c>
      <c r="B55" s="136">
        <f>IF((VLOOKUP(A55,Props,10,FALSE))=0,0,IF((VLOOKUP(A55,Props,9,FALSE))/(VLOOKUP(A55,Props,10,FALSE))&lt;0.57,(VLOOKUP(A55,Props,8,FALSE))*((1-((DATENTER!$D$14+273.15)/(VLOOKUP(A55,Props,10,FALSE))))/(1-((VLOOKUP(A55,Props,9,FALSE))/(VLOOKUP(A55,Props,10,FALSE)))))^0.3,IF(AND((VLOOKUP(A55,Props,9,FALSE))/(VLOOKUP(A55,Props,10,FALSE))&gt;=0.57,(VLOOKUP(A55,Props,9,FALSE))/(VLOOKUP(A55,Props,10,FALSE))&lt;=0.71),(VLOOKUP(A55,Props,8,FALSE))*((1-((DATENTER!$D$14+273.15)/(VLOOKUP(A55,Props,10,FALSE))))/(1-((VLOOKUP(A55,Props,9,FALSE))/(VLOOKUP(A55,Props,10,FALSE)))))^(0.74*((VLOOKUP(A55,Props,9,FALSE))/(VLOOKUP(A55,Props,10,FALSE)))-0.116),(VLOOKUP(A55,Props,8,FALSE))*((1-((DATENTER!$D$14+273.15)/(VLOOKUP(A55,Props,10,FALSE))))/(1-((VLOOKUP(A55,Props,9,FALSE))/(VLOOKUP(A55,Props,10,FALSE)))))^0.41)))</f>
        <v>7033.6909945008019</v>
      </c>
      <c r="C55" s="135">
        <f>EXP(-1*((B55/1.9872)*((1/(DATENTER!$D$14+273.15))-(1/((VLOOKUP(A55,Props,7,FALSE))+273.15)))))*(VLOOKUP(A55,Props,6,FALSE))</f>
        <v>1.7328284389478076E-3</v>
      </c>
      <c r="D55" s="135">
        <f>IF(DATENTER!$D$14="",0,C55/(0.00008206*(DATENTER!$D$14+273.15)))</f>
        <v>7.4577442912279163E-2</v>
      </c>
      <c r="E55" s="135">
        <f>IF((VLOOKUP(A55,Props,3,FALSE))=0,0,((VLOOKUP(A55,Props,3,FALSE))*(SiteCalcs!$B$28^3.33/DATENTER!$G$41^2))+(((VLOOKUP(A55,Props,4,FALSE))/ChemCalcs!D55)*(DATENTER!$H$41^3.33/DATENTER!$G$41^2)))</f>
        <v>1.9929563278643116E-2</v>
      </c>
      <c r="F55" s="135">
        <f>IF(DATENTER!$C$28=0,0,(ChemProps!C55*(SiteCalcs!$H$28^3.33/DATENTER!$D$53^2))+((ChemProps!D55/ChemCalcs!D55)*(DATENTER!$E$53^3.33/DATENTER!$D$53^2)))</f>
        <v>0</v>
      </c>
      <c r="G55" s="135">
        <f>IF(DATENTER!$D$28=0,0,(ChemProps!C55*(SiteCalcs!$J$28^3.33/DATENTER!$D$65^2))+((ChemProps!D55/ChemCalcs!D55)*(DATENTER!$E$65^3.33/DATENTER!$D$65^2)))</f>
        <v>0</v>
      </c>
      <c r="H55" s="135">
        <f>IF((VLOOKUP(A55,Props,3,FALSE))=0,0,((VLOOKUP(A55,Props,3,FALSE))*(SiteCalcs!$D$19^3.33/SiteCalcs!$C$19^2))+(((VLOOKUP(A55,Props,4,FALSE))/ChemCalcs!D55)*(SiteCalcs!$E$19^3.33/SiteCalcs!$C$19^2)))</f>
        <v>1.7110164035073333E-3</v>
      </c>
      <c r="I55" s="205">
        <f>IF(AND(E55&gt;0,F55&gt;0,G55&gt;0),SiteCalcs!$B$11/(((IF(SiteCalcs!$B$11=1,1,DATENTER!$B$28-DATENTER!$B$14))/E55)+(DATENTER!$C$28/F55)+((DATENTER!$D$28-SiteCalcs!$B$19)/G55)+(SiteCalcs!$B$19/H55)),IF(AND(E55&gt;0,F55&gt;0,G55=0),SiteCalcs!$B$11/(((IF(SiteCalcs!$B$11=1,1,DATENTER!$B$28-DATENTER!$B$14))/E55)+((DATENTER!$C$28-SiteCalcs!$B$19)/F55)+(SiteCalcs!$B$19/H55)),IF(AND(E55&gt;0,F55=0,G55=0),SiteCalcs!$B$11/(((IF(SiteCalcs!$B$11=1,1,DATENTER!$B$28-DATENTER!$B$14)-SiteCalcs!$B$19)/E55)+(SiteCalcs!$B$19/H55)))))</f>
        <v>2.826935783730508E-3</v>
      </c>
      <c r="J55" s="135">
        <f>ChemCalcs!E55</f>
        <v>1.9929563278643116E-2</v>
      </c>
      <c r="K55" s="260">
        <f>IF(DATENTER!$B$78="","ERROR",EXP((SiteCalcs!$L$11*DATENTER!$B$78)/(ChemCalcs!J55*SiteCalcs!$M$11)))</f>
        <v>7.7278588826848816E+55</v>
      </c>
      <c r="L55" s="206">
        <f>IF(ISERROR(K55),((ChemCalcs!I55*SiteCalcs!$E$11)/(SiteCalcs!$D$11*SiteCalcs!$B$11))/(((ChemCalcs!I55*SiteCalcs!$E$11)/(SiteCalcs!$L$11*SiteCalcs!$B$11))+1),(((ChemCalcs!I55*SiteCalcs!$E$11)/(SiteCalcs!$D$11*SiteCalcs!$B$11))*EXP((SiteCalcs!$L$11*DATENTER!$B$78)/(ChemCalcs!J55*SiteCalcs!$M$11)))/(EXP((SiteCalcs!$L$11*DATENTER!$B$78)/(ChemCalcs!J55*SiteCalcs!$M$11))+((ChemCalcs!I55*SiteCalcs!$E$11)/(SiteCalcs!$D$11*SiteCalcs!$B$11))+((ChemCalcs!I55*SiteCalcs!$E$11)/(SiteCalcs!$L$11*SiteCalcs!$B$11))*(EXP((SiteCalcs!$L$11*DATENTER!$B$78)/(ChemCalcs!J55*SiteCalcs!$M$11))-1)))</f>
        <v>8.1659766487342873E-4</v>
      </c>
    </row>
    <row r="56" spans="1:12" x14ac:dyDescent="0.25">
      <c r="A56" s="172" t="s">
        <v>261</v>
      </c>
      <c r="B56" s="136">
        <f>IF((VLOOKUP(A56,Props,10,FALSE))=0,0,IF((VLOOKUP(A56,Props,9,FALSE))/(VLOOKUP(A56,Props,10,FALSE))&lt;0.57,(VLOOKUP(A56,Props,8,FALSE))*((1-((DATENTER!$D$14+273.15)/(VLOOKUP(A56,Props,10,FALSE))))/(1-((VLOOKUP(A56,Props,9,FALSE))/(VLOOKUP(A56,Props,10,FALSE)))))^0.3,IF(AND((VLOOKUP(A56,Props,9,FALSE))/(VLOOKUP(A56,Props,10,FALSE))&gt;=0.57,(VLOOKUP(A56,Props,9,FALSE))/(VLOOKUP(A56,Props,10,FALSE))&lt;=0.71),(VLOOKUP(A56,Props,8,FALSE))*((1-((DATENTER!$D$14+273.15)/(VLOOKUP(A56,Props,10,FALSE))))/(1-((VLOOKUP(A56,Props,9,FALSE))/(VLOOKUP(A56,Props,10,FALSE)))))^(0.74*((VLOOKUP(A56,Props,9,FALSE))/(VLOOKUP(A56,Props,10,FALSE)))-0.116),(VLOOKUP(A56,Props,8,FALSE))*((1-((DATENTER!$D$14+273.15)/(VLOOKUP(A56,Props,10,FALSE))))/(1-((VLOOKUP(A56,Props,9,FALSE))/(VLOOKUP(A56,Props,10,FALSE)))))^0.41)))</f>
        <v>14052.625504657235</v>
      </c>
      <c r="C56" s="135">
        <f>EXP(-1*((B56/1.9872)*((1/(DATENTER!$D$14+273.15))-(1/((VLOOKUP(A56,Props,7,FALSE))+273.15)))))*(VLOOKUP(A56,Props,6,FALSE))</f>
        <v>1.5684440286221054E-6</v>
      </c>
      <c r="D56" s="135">
        <f>IF(DATENTER!$D$14="",0,C56/(0.00008206*(DATENTER!$D$14+273.15)))</f>
        <v>6.7502669264070939E-5</v>
      </c>
      <c r="E56" s="135">
        <f>IF((VLOOKUP(A56,Props,3,FALSE))=0,0,((VLOOKUP(A56,Props,3,FALSE))*(SiteCalcs!$B$28^3.33/DATENTER!$G$41^2))+(((VLOOKUP(A56,Props,4,FALSE))/ChemCalcs!D56)*(DATENTER!$H$41^3.33/DATENTER!$G$41^2)))</f>
        <v>6.8873076214767317E-3</v>
      </c>
      <c r="F56" s="135">
        <f>IF(DATENTER!$C$28=0,0,(ChemProps!C56*(SiteCalcs!$H$28^3.33/DATENTER!$D$53^2))+((ChemProps!D56/ChemCalcs!D56)*(DATENTER!$E$53^3.33/DATENTER!$D$53^2)))</f>
        <v>0</v>
      </c>
      <c r="G56" s="135">
        <f>IF(DATENTER!$D$28=0,0,(ChemProps!C56*(SiteCalcs!$J$28^3.33/DATENTER!$D$65^2))+((ChemProps!D56/ChemCalcs!D56)*(DATENTER!$E$65^3.33/DATENTER!$D$65^2)))</f>
        <v>0</v>
      </c>
      <c r="H56" s="135">
        <f>IF((VLOOKUP(A56,Props,3,FALSE))=0,0,((VLOOKUP(A56,Props,3,FALSE))*(SiteCalcs!$D$19^3.33/SiteCalcs!$C$19^2))+(((VLOOKUP(A56,Props,4,FALSE))/ChemCalcs!D56)*(SiteCalcs!$E$19^3.33/SiteCalcs!$C$19^2)))</f>
        <v>7.8376535314218579E-3</v>
      </c>
      <c r="I56" s="205">
        <f>IF(AND(E56&gt;0,F56&gt;0,G56&gt;0),SiteCalcs!$B$11/(((IF(SiteCalcs!$B$11=1,1,DATENTER!$B$28-DATENTER!$B$14))/E56)+(DATENTER!$C$28/F56)+((DATENTER!$D$28-SiteCalcs!$B$19)/G56)+(SiteCalcs!$B$19/H56)),IF(AND(E56&gt;0,F56&gt;0,G56=0),SiteCalcs!$B$11/(((IF(SiteCalcs!$B$11=1,1,DATENTER!$B$28-DATENTER!$B$14))/E56)+((DATENTER!$C$28-SiteCalcs!$B$19)/F56)+(SiteCalcs!$B$19/H56)),IF(AND(E56&gt;0,F56=0,G56=0),SiteCalcs!$B$11/(((IF(SiteCalcs!$B$11=1,1,DATENTER!$B$28-DATENTER!$B$14)-SiteCalcs!$B$19)/E56)+(SiteCalcs!$B$19/H56)))))</f>
        <v>7.3969123554344192E-3</v>
      </c>
      <c r="J56" s="135">
        <f>ChemCalcs!E56</f>
        <v>6.8873076214767317E-3</v>
      </c>
      <c r="K56" s="260">
        <f>IF(DATENTER!$B$78="","ERROR",EXP((SiteCalcs!$L$11*DATENTER!$B$78)/(ChemCalcs!J56*SiteCalcs!$M$11)))</f>
        <v>5.264282619460421E+161</v>
      </c>
      <c r="L56" s="206">
        <f>IF(ISERROR(K56),((ChemCalcs!I56*SiteCalcs!$E$11)/(SiteCalcs!$D$11*SiteCalcs!$B$11))/(((ChemCalcs!I56*SiteCalcs!$E$11)/(SiteCalcs!$L$11*SiteCalcs!$B$11))+1),(((ChemCalcs!I56*SiteCalcs!$E$11)/(SiteCalcs!$D$11*SiteCalcs!$B$11))*EXP((SiteCalcs!$L$11*DATENTER!$B$78)/(ChemCalcs!J56*SiteCalcs!$M$11)))/(EXP((SiteCalcs!$L$11*DATENTER!$B$78)/(ChemCalcs!J56*SiteCalcs!$M$11))+((ChemCalcs!I56*SiteCalcs!$E$11)/(SiteCalcs!$D$11*SiteCalcs!$B$11))+((ChemCalcs!I56*SiteCalcs!$E$11)/(SiteCalcs!$L$11*SiteCalcs!$B$11))*(EXP((SiteCalcs!$L$11*DATENTER!$B$78)/(ChemCalcs!J56*SiteCalcs!$M$11))-1)))</f>
        <v>1.0024331420827913E-3</v>
      </c>
    </row>
    <row r="57" spans="1:12" x14ac:dyDescent="0.25">
      <c r="A57" s="172" t="s">
        <v>262</v>
      </c>
      <c r="B57" s="136">
        <f>IF((VLOOKUP(A57,Props,10,FALSE))=0,0,IF((VLOOKUP(A57,Props,9,FALSE))/(VLOOKUP(A57,Props,10,FALSE))&lt;0.57,(VLOOKUP(A57,Props,8,FALSE))*((1-((DATENTER!$D$14+273.15)/(VLOOKUP(A57,Props,10,FALSE))))/(1-((VLOOKUP(A57,Props,9,FALSE))/(VLOOKUP(A57,Props,10,FALSE)))))^0.3,IF(AND((VLOOKUP(A57,Props,9,FALSE))/(VLOOKUP(A57,Props,10,FALSE))&gt;=0.57,(VLOOKUP(A57,Props,9,FALSE))/(VLOOKUP(A57,Props,10,FALSE))&lt;=0.71),(VLOOKUP(A57,Props,8,FALSE))*((1-((DATENTER!$D$14+273.15)/(VLOOKUP(A57,Props,10,FALSE))))/(1-((VLOOKUP(A57,Props,9,FALSE))/(VLOOKUP(A57,Props,10,FALSE)))))^(0.74*((VLOOKUP(A57,Props,9,FALSE))/(VLOOKUP(A57,Props,10,FALSE)))-0.116),(VLOOKUP(A57,Props,8,FALSE))*((1-((DATENTER!$D$14+273.15)/(VLOOKUP(A57,Props,10,FALSE))))/(1-((VLOOKUP(A57,Props,9,FALSE))/(VLOOKUP(A57,Props,10,FALSE)))))^0.41)))</f>
        <v>8631.8246855112029</v>
      </c>
      <c r="C57" s="135">
        <f>EXP(-1*((B57/1.9872)*((1/(DATENTER!$D$14+273.15))-(1/((VLOOKUP(A57,Props,7,FALSE))+273.15)))))*(VLOOKUP(A57,Props,6,FALSE))</f>
        <v>1.3033576579487153E-3</v>
      </c>
      <c r="D57" s="135">
        <f>IF(DATENTER!$D$14="",0,C57/(0.00008206*(DATENTER!$D$14+273.15)))</f>
        <v>5.6093886241256372E-2</v>
      </c>
      <c r="E57" s="135">
        <f>IF((VLOOKUP(A57,Props,3,FALSE))=0,0,((VLOOKUP(A57,Props,3,FALSE))*(SiteCalcs!$B$28^3.33/DATENTER!$G$41^2))+(((VLOOKUP(A57,Props,4,FALSE))/ChemCalcs!D57)*(DATENTER!$H$41^3.33/DATENTER!$G$41^2)))</f>
        <v>1.5430628131613319E-2</v>
      </c>
      <c r="F57" s="135">
        <f>IF(DATENTER!$C$28=0,0,(ChemProps!C57*(SiteCalcs!$H$28^3.33/DATENTER!$D$53^2))+((ChemProps!D57/ChemCalcs!D57)*(DATENTER!$E$53^3.33/DATENTER!$D$53^2)))</f>
        <v>0</v>
      </c>
      <c r="G57" s="135">
        <f>IF(DATENTER!$D$28=0,0,(ChemProps!C57*(SiteCalcs!$J$28^3.33/DATENTER!$D$65^2))+((ChemProps!D57/ChemCalcs!D57)*(DATENTER!$E$65^3.33/DATENTER!$D$65^2)))</f>
        <v>0</v>
      </c>
      <c r="H57" s="135">
        <f>IF((VLOOKUP(A57,Props,3,FALSE))=0,0,((VLOOKUP(A57,Props,3,FALSE))*(SiteCalcs!$D$19^3.33/SiteCalcs!$C$19^2))+(((VLOOKUP(A57,Props,4,FALSE))/ChemCalcs!D57)*(SiteCalcs!$E$19^3.33/SiteCalcs!$C$19^2)))</f>
        <v>1.3266747691693397E-3</v>
      </c>
      <c r="I57" s="205">
        <f>IF(AND(E57&gt;0,F57&gt;0,G57&gt;0),SiteCalcs!$B$11/(((IF(SiteCalcs!$B$11=1,1,DATENTER!$B$28-DATENTER!$B$14))/E57)+(DATENTER!$C$28/F57)+((DATENTER!$D$28-SiteCalcs!$B$19)/G57)+(SiteCalcs!$B$19/H57)),IF(AND(E57&gt;0,F57&gt;0,G57=0),SiteCalcs!$B$11/(((IF(SiteCalcs!$B$11=1,1,DATENTER!$B$28-DATENTER!$B$14))/E57)+((DATENTER!$C$28-SiteCalcs!$B$19)/F57)+(SiteCalcs!$B$19/H57)),IF(AND(E57&gt;0,F57=0,G57=0),SiteCalcs!$B$11/(((IF(SiteCalcs!$B$11=1,1,DATENTER!$B$28-DATENTER!$B$14)-SiteCalcs!$B$19)/E57)+(SiteCalcs!$B$19/H57)))))</f>
        <v>2.1917346008601419E-3</v>
      </c>
      <c r="J57" s="135">
        <f>ChemCalcs!E57</f>
        <v>1.5430628131613319E-2</v>
      </c>
      <c r="K57" s="260">
        <f>IF(DATENTER!$B$78="","ERROR",EXP((SiteCalcs!$L$11*DATENTER!$B$78)/(ChemCalcs!J57*SiteCalcs!$M$11)))</f>
        <v>1.5230482403693423E+72</v>
      </c>
      <c r="L57" s="206">
        <f>IF(ISERROR(K57),((ChemCalcs!I57*SiteCalcs!$E$11)/(SiteCalcs!$D$11*SiteCalcs!$B$11))/(((ChemCalcs!I57*SiteCalcs!$E$11)/(SiteCalcs!$L$11*SiteCalcs!$B$11))+1),(((ChemCalcs!I57*SiteCalcs!$E$11)/(SiteCalcs!$D$11*SiteCalcs!$B$11))*EXP((SiteCalcs!$L$11*DATENTER!$B$78)/(ChemCalcs!J57*SiteCalcs!$M$11)))/(EXP((SiteCalcs!$L$11*DATENTER!$B$78)/(ChemCalcs!J57*SiteCalcs!$M$11))+((ChemCalcs!I57*SiteCalcs!$E$11)/(SiteCalcs!$D$11*SiteCalcs!$B$11))+((ChemCalcs!I57*SiteCalcs!$E$11)/(SiteCalcs!$L$11*SiteCalcs!$B$11))*(EXP((SiteCalcs!$L$11*DATENTER!$B$78)/(ChemCalcs!J57*SiteCalcs!$M$11))-1)))</f>
        <v>7.512655774963914E-4</v>
      </c>
    </row>
    <row r="58" spans="1:12" x14ac:dyDescent="0.25">
      <c r="A58" s="172" t="s">
        <v>263</v>
      </c>
      <c r="B58" s="136">
        <f>IF((VLOOKUP(A58,Props,10,FALSE))=0,0,IF((VLOOKUP(A58,Props,9,FALSE))/(VLOOKUP(A58,Props,10,FALSE))&lt;0.57,(VLOOKUP(A58,Props,8,FALSE))*((1-((DATENTER!$D$14+273.15)/(VLOOKUP(A58,Props,10,FALSE))))/(1-((VLOOKUP(A58,Props,9,FALSE))/(VLOOKUP(A58,Props,10,FALSE)))))^0.3,IF(AND((VLOOKUP(A58,Props,9,FALSE))/(VLOOKUP(A58,Props,10,FALSE))&gt;=0.57,(VLOOKUP(A58,Props,9,FALSE))/(VLOOKUP(A58,Props,10,FALSE))&lt;=0.71),(VLOOKUP(A58,Props,8,FALSE))*((1-((DATENTER!$D$14+273.15)/(VLOOKUP(A58,Props,10,FALSE))))/(1-((VLOOKUP(A58,Props,9,FALSE))/(VLOOKUP(A58,Props,10,FALSE)))))^(0.74*((VLOOKUP(A58,Props,9,FALSE))/(VLOOKUP(A58,Props,10,FALSE)))-0.116),(VLOOKUP(A58,Props,8,FALSE))*((1-((DATENTER!$D$14+273.15)/(VLOOKUP(A58,Props,10,FALSE))))/(1-((VLOOKUP(A58,Props,9,FALSE))/(VLOOKUP(A58,Props,10,FALSE)))))^0.41)))</f>
        <v>8064.746667733848</v>
      </c>
      <c r="C58" s="135">
        <f>EXP(-1*((B58/1.9872)*((1/(DATENTER!$D$14+273.15))-(1/((VLOOKUP(A58,Props,7,FALSE))+273.15)))))*(VLOOKUP(A58,Props,6,FALSE))</f>
        <v>1.7260893142196571E-3</v>
      </c>
      <c r="D58" s="135">
        <f>IF(DATENTER!$D$14="",0,C58/(0.00008206*(DATENTER!$D$14+273.15)))</f>
        <v>7.428740456895791E-2</v>
      </c>
      <c r="E58" s="135">
        <f>IF((VLOOKUP(A58,Props,3,FALSE))=0,0,((VLOOKUP(A58,Props,3,FALSE))*(SiteCalcs!$B$28^3.33/DATENTER!$G$41^2))+(((VLOOKUP(A58,Props,4,FALSE))/ChemCalcs!D58)*(DATENTER!$H$41^3.33/DATENTER!$G$41^2)))</f>
        <v>1.2352400038682734E-2</v>
      </c>
      <c r="F58" s="135">
        <f>IF(DATENTER!$C$28=0,0,(ChemProps!C58*(SiteCalcs!$H$28^3.33/DATENTER!$D$53^2))+((ChemProps!D58/ChemCalcs!D58)*(DATENTER!$E$53^3.33/DATENTER!$D$53^2)))</f>
        <v>0</v>
      </c>
      <c r="G58" s="135">
        <f>IF(DATENTER!$D$28=0,0,(ChemProps!C58*(SiteCalcs!$J$28^3.33/DATENTER!$D$65^2))+((ChemProps!D58/ChemCalcs!D58)*(DATENTER!$E$65^3.33/DATENTER!$D$65^2)))</f>
        <v>0</v>
      </c>
      <c r="H58" s="135">
        <f>IF((VLOOKUP(A58,Props,3,FALSE))=0,0,((VLOOKUP(A58,Props,3,FALSE))*(SiteCalcs!$D$19^3.33/SiteCalcs!$C$19^2))+(((VLOOKUP(A58,Props,4,FALSE))/ChemCalcs!D58)*(SiteCalcs!$E$19^3.33/SiteCalcs!$C$19^2)))</f>
        <v>1.0625783173509333E-3</v>
      </c>
      <c r="I58" s="205">
        <f>IF(AND(E58&gt;0,F58&gt;0,G58&gt;0),SiteCalcs!$B$11/(((IF(SiteCalcs!$B$11=1,1,DATENTER!$B$28-DATENTER!$B$14))/E58)+(DATENTER!$C$28/F58)+((DATENTER!$D$28-SiteCalcs!$B$19)/G58)+(SiteCalcs!$B$19/H58)),IF(AND(E58&gt;0,F58&gt;0,G58=0),SiteCalcs!$B$11/(((IF(SiteCalcs!$B$11=1,1,DATENTER!$B$28-DATENTER!$B$14))/E58)+((DATENTER!$C$28-SiteCalcs!$B$19)/F58)+(SiteCalcs!$B$19/H58)),IF(AND(E58&gt;0,F58=0,G58=0),SiteCalcs!$B$11/(((IF(SiteCalcs!$B$11=1,1,DATENTER!$B$28-DATENTER!$B$14)-SiteCalcs!$B$19)/E58)+(SiteCalcs!$B$19/H58)))))</f>
        <v>1.7553770286299877E-3</v>
      </c>
      <c r="J58" s="135">
        <f>ChemCalcs!E58</f>
        <v>1.2352400038682734E-2</v>
      </c>
      <c r="K58" s="260">
        <f>IF(DATENTER!$B$78="","ERROR",EXP((SiteCalcs!$L$11*DATENTER!$B$78)/(ChemCalcs!J58*SiteCalcs!$M$11)))</f>
        <v>1.4815092196380561E+90</v>
      </c>
      <c r="L58" s="206">
        <f>IF(ISERROR(K58),((ChemCalcs!I58*SiteCalcs!$E$11)/(SiteCalcs!$D$11*SiteCalcs!$B$11))/(((ChemCalcs!I58*SiteCalcs!$E$11)/(SiteCalcs!$L$11*SiteCalcs!$B$11))+1),(((ChemCalcs!I58*SiteCalcs!$E$11)/(SiteCalcs!$D$11*SiteCalcs!$B$11))*EXP((SiteCalcs!$L$11*DATENTER!$B$78)/(ChemCalcs!J58*SiteCalcs!$M$11)))/(EXP((SiteCalcs!$L$11*DATENTER!$B$78)/(ChemCalcs!J58*SiteCalcs!$M$11))+((ChemCalcs!I58*SiteCalcs!$E$11)/(SiteCalcs!$D$11*SiteCalcs!$B$11))+((ChemCalcs!I58*SiteCalcs!$E$11)/(SiteCalcs!$L$11*SiteCalcs!$B$11))*(EXP((SiteCalcs!$L$11*DATENTER!$B$78)/(ChemCalcs!J58*SiteCalcs!$M$11))-1)))</f>
        <v>6.901775657686208E-4</v>
      </c>
    </row>
    <row r="59" spans="1:12" x14ac:dyDescent="0.25">
      <c r="A59" s="172" t="s">
        <v>264</v>
      </c>
      <c r="B59" s="136">
        <f>IF((VLOOKUP(A59,Props,10,FALSE))=0,0,IF((VLOOKUP(A59,Props,9,FALSE))/(VLOOKUP(A59,Props,10,FALSE))&lt;0.57,(VLOOKUP(A59,Props,8,FALSE))*((1-((DATENTER!$D$14+273.15)/(VLOOKUP(A59,Props,10,FALSE))))/(1-((VLOOKUP(A59,Props,9,FALSE))/(VLOOKUP(A59,Props,10,FALSE)))))^0.3,IF(AND((VLOOKUP(A59,Props,9,FALSE))/(VLOOKUP(A59,Props,10,FALSE))&gt;=0.57,(VLOOKUP(A59,Props,9,FALSE))/(VLOOKUP(A59,Props,10,FALSE))&lt;=0.71),(VLOOKUP(A59,Props,8,FALSE))*((1-((DATENTER!$D$14+273.15)/(VLOOKUP(A59,Props,10,FALSE))))/(1-((VLOOKUP(A59,Props,9,FALSE))/(VLOOKUP(A59,Props,10,FALSE)))))^(0.74*((VLOOKUP(A59,Props,9,FALSE))/(VLOOKUP(A59,Props,10,FALSE)))-0.116),(VLOOKUP(A59,Props,8,FALSE))*((1-((DATENTER!$D$14+273.15)/(VLOOKUP(A59,Props,10,FALSE))))/(1-((VLOOKUP(A59,Props,9,FALSE))/(VLOOKUP(A59,Props,10,FALSE)))))^0.41)))</f>
        <v>18747.179330015915</v>
      </c>
      <c r="C59" s="135">
        <f>EXP(-1*((B59/1.9872)*((1/(DATENTER!$D$14+273.15))-(1/((VLOOKUP(A59,Props,7,FALSE))+273.15)))))*(VLOOKUP(A59,Props,6,FALSE))</f>
        <v>1.8707748035831777E-6</v>
      </c>
      <c r="D59" s="135">
        <f>IF(DATENTER!$D$14="",0,C59/(0.00008206*(DATENTER!$D$14+273.15)))</f>
        <v>8.0514376368771566E-5</v>
      </c>
      <c r="E59" s="135">
        <f>IF((VLOOKUP(A59,Props,3,FALSE))=0,0,((VLOOKUP(A59,Props,3,FALSE))*(SiteCalcs!$B$28^3.33/DATENTER!$G$41^2))+(((VLOOKUP(A59,Props,4,FALSE))/ChemCalcs!D59)*(DATENTER!$H$41^3.33/DATENTER!$G$41^2)))</f>
        <v>2.4936987802712095E-3</v>
      </c>
      <c r="F59" s="135">
        <f>IF(DATENTER!$C$28=0,0,(ChemProps!C59*(SiteCalcs!$H$28^3.33/DATENTER!$D$53^2))+((ChemProps!D59/ChemCalcs!D59)*(DATENTER!$E$53^3.33/DATENTER!$D$53^2)))</f>
        <v>0</v>
      </c>
      <c r="G59" s="135">
        <f>IF(DATENTER!$D$28=0,0,(ChemProps!C59*(SiteCalcs!$J$28^3.33/DATENTER!$D$65^2))+((ChemProps!D59/ChemCalcs!D59)*(DATENTER!$E$65^3.33/DATENTER!$D$65^2)))</f>
        <v>0</v>
      </c>
      <c r="H59" s="135">
        <f>IF((VLOOKUP(A59,Props,3,FALSE))=0,0,((VLOOKUP(A59,Props,3,FALSE))*(SiteCalcs!$D$19^3.33/SiteCalcs!$C$19^2))+(((VLOOKUP(A59,Props,4,FALSE))/ChemCalcs!D59)*(SiteCalcs!$E$19^3.33/SiteCalcs!$C$19^2)))</f>
        <v>3.4979349147989027E-3</v>
      </c>
      <c r="I59" s="205">
        <f>IF(AND(E59&gt;0,F59&gt;0,G59&gt;0),SiteCalcs!$B$11/(((IF(SiteCalcs!$B$11=1,1,DATENTER!$B$28-DATENTER!$B$14))/E59)+(DATENTER!$C$28/F59)+((DATENTER!$D$28-SiteCalcs!$B$19)/G59)+(SiteCalcs!$B$19/H59)),IF(AND(E59&gt;0,F59&gt;0,G59=0),SiteCalcs!$B$11/(((IF(SiteCalcs!$B$11=1,1,DATENTER!$B$28-DATENTER!$B$14))/E59)+((DATENTER!$C$28-SiteCalcs!$B$19)/F59)+(SiteCalcs!$B$19/H59)),IF(AND(E59&gt;0,F59=0,G59=0),SiteCalcs!$B$11/(((IF(SiteCalcs!$B$11=1,1,DATENTER!$B$28-DATENTER!$B$14)-SiteCalcs!$B$19)/E59)+(SiteCalcs!$B$19/H59)))))</f>
        <v>2.9797623610577136E-3</v>
      </c>
      <c r="J59" s="135">
        <f>ChemCalcs!E59</f>
        <v>2.4936987802712095E-3</v>
      </c>
      <c r="K59" s="260" t="e">
        <f>IF(DATENTER!$B$78="","ERROR",EXP((SiteCalcs!$L$11*DATENTER!$B$78)/(ChemCalcs!J59*SiteCalcs!$M$11)))</f>
        <v>#NUM!</v>
      </c>
      <c r="L59" s="206">
        <f>IF(ISERROR(K59),((ChemCalcs!I59*SiteCalcs!$E$11)/(SiteCalcs!$D$11*SiteCalcs!$B$11))/(((ChemCalcs!I59*SiteCalcs!$E$11)/(SiteCalcs!$L$11*SiteCalcs!$B$11))+1),(((ChemCalcs!I59*SiteCalcs!$E$11)/(SiteCalcs!$D$11*SiteCalcs!$B$11))*EXP((SiteCalcs!$L$11*DATENTER!$B$78)/(ChemCalcs!J59*SiteCalcs!$M$11)))/(EXP((SiteCalcs!$L$11*DATENTER!$B$78)/(ChemCalcs!J59*SiteCalcs!$M$11))+((ChemCalcs!I59*SiteCalcs!$E$11)/(SiteCalcs!$D$11*SiteCalcs!$B$11))+((ChemCalcs!I59*SiteCalcs!$E$11)/(SiteCalcs!$L$11*SiteCalcs!$B$11))*(EXP((SiteCalcs!$L$11*DATENTER!$B$78)/(ChemCalcs!J59*SiteCalcs!$M$11))-1)))</f>
        <v>8.293611911206083E-4</v>
      </c>
    </row>
    <row r="60" spans="1:12" x14ac:dyDescent="0.25">
      <c r="A60" s="172" t="s">
        <v>265</v>
      </c>
      <c r="B60" s="136">
        <f>IF((VLOOKUP(A60,Props,10,FALSE))=0,0,IF((VLOOKUP(A60,Props,9,FALSE))/(VLOOKUP(A60,Props,10,FALSE))&lt;0.57,(VLOOKUP(A60,Props,8,FALSE))*((1-((DATENTER!$D$14+273.15)/(VLOOKUP(A60,Props,10,FALSE))))/(1-((VLOOKUP(A60,Props,9,FALSE))/(VLOOKUP(A60,Props,10,FALSE)))))^0.3,IF(AND((VLOOKUP(A60,Props,9,FALSE))/(VLOOKUP(A60,Props,10,FALSE))&gt;=0.57,(VLOOKUP(A60,Props,9,FALSE))/(VLOOKUP(A60,Props,10,FALSE))&lt;=0.71),(VLOOKUP(A60,Props,8,FALSE))*((1-((DATENTER!$D$14+273.15)/(VLOOKUP(A60,Props,10,FALSE))))/(1-((VLOOKUP(A60,Props,9,FALSE))/(VLOOKUP(A60,Props,10,FALSE)))))^(0.74*((VLOOKUP(A60,Props,9,FALSE))/(VLOOKUP(A60,Props,10,FALSE)))-0.116),(VLOOKUP(A60,Props,8,FALSE))*((1-((DATENTER!$D$14+273.15)/(VLOOKUP(A60,Props,10,FALSE))))/(1-((VLOOKUP(A60,Props,9,FALSE))/(VLOOKUP(A60,Props,10,FALSE)))))^0.41)))</f>
        <v>19981.580466829353</v>
      </c>
      <c r="C60" s="135">
        <f>EXP(-1*((B60/1.9872)*((1/(DATENTER!$D$14+273.15))-(1/((VLOOKUP(A60,Props,7,FALSE))+273.15)))))*(VLOOKUP(A60,Props,6,FALSE))</f>
        <v>1.0219222873191111E-7</v>
      </c>
      <c r="D60" s="135">
        <f>IF(DATENTER!$D$14="",0,C60/(0.00008206*(DATENTER!$D$14+273.15)))</f>
        <v>4.3981475217248698E-6</v>
      </c>
      <c r="E60" s="135">
        <f>IF((VLOOKUP(A60,Props,3,FALSE))=0,0,((VLOOKUP(A60,Props,3,FALSE))*(SiteCalcs!$B$28^3.33/DATENTER!$G$41^2))+(((VLOOKUP(A60,Props,4,FALSE))/ChemCalcs!D60)*(DATENTER!$H$41^3.33/DATENTER!$G$41^2)))</f>
        <v>5.7179514688059999E-3</v>
      </c>
      <c r="F60" s="135">
        <f>IF(DATENTER!$C$28=0,0,(ChemProps!C60*(SiteCalcs!$H$28^3.33/DATENTER!$D$53^2))+((ChemProps!D60/ChemCalcs!D60)*(DATENTER!$E$53^3.33/DATENTER!$D$53^2)))</f>
        <v>0</v>
      </c>
      <c r="G60" s="135">
        <f>IF(DATENTER!$D$28=0,0,(ChemProps!C60*(SiteCalcs!$J$28^3.33/DATENTER!$D$65^2))+((ChemProps!D60/ChemCalcs!D60)*(DATENTER!$E$65^3.33/DATENTER!$D$65^2)))</f>
        <v>0</v>
      </c>
      <c r="H60" s="135">
        <f>IF((VLOOKUP(A60,Props,3,FALSE))=0,0,((VLOOKUP(A60,Props,3,FALSE))*(SiteCalcs!$D$19^3.33/SiteCalcs!$C$19^2))+(((VLOOKUP(A60,Props,4,FALSE))/ChemCalcs!D60)*(SiteCalcs!$E$19^3.33/SiteCalcs!$C$19^2)))</f>
        <v>8.1049650603986403E-2</v>
      </c>
      <c r="I60" s="205">
        <f>IF(AND(E60&gt;0,F60&gt;0,G60&gt;0),SiteCalcs!$B$11/(((IF(SiteCalcs!$B$11=1,1,DATENTER!$B$28-DATENTER!$B$14))/E60)+(DATENTER!$C$28/F60)+((DATENTER!$D$28-SiteCalcs!$B$19)/G60)+(SiteCalcs!$B$19/H60)),IF(AND(E60&gt;0,F60&gt;0,G60=0),SiteCalcs!$B$11/(((IF(SiteCalcs!$B$11=1,1,DATENTER!$B$28-DATENTER!$B$14))/E60)+((DATENTER!$C$28-SiteCalcs!$B$19)/F60)+(SiteCalcs!$B$19/H60)),IF(AND(E60&gt;0,F60=0,G60=0),SiteCalcs!$B$11/(((IF(SiteCalcs!$B$11=1,1,DATENTER!$B$28-DATENTER!$B$14)-SiteCalcs!$B$19)/E60)+(SiteCalcs!$B$19/H60)))))</f>
        <v>1.2116801807780856E-2</v>
      </c>
      <c r="J60" s="135">
        <f>ChemCalcs!E60</f>
        <v>5.7179514688059999E-3</v>
      </c>
      <c r="K60" s="260">
        <f>IF(DATENTER!$B$78="","ERROR",EXP((SiteCalcs!$L$11*DATENTER!$B$78)/(ChemCalcs!J60*SiteCalcs!$M$11)))</f>
        <v>6.2279505710044568E+194</v>
      </c>
      <c r="L60" s="206">
        <f>IF(ISERROR(K60),((ChemCalcs!I60*SiteCalcs!$E$11)/(SiteCalcs!$D$11*SiteCalcs!$B$11))/(((ChemCalcs!I60*SiteCalcs!$E$11)/(SiteCalcs!$L$11*SiteCalcs!$B$11))+1),(((ChemCalcs!I60*SiteCalcs!$E$11)/(SiteCalcs!$D$11*SiteCalcs!$B$11))*EXP((SiteCalcs!$L$11*DATENTER!$B$78)/(ChemCalcs!J60*SiteCalcs!$M$11)))/(EXP((SiteCalcs!$L$11*DATENTER!$B$78)/(ChemCalcs!J60*SiteCalcs!$M$11))+((ChemCalcs!I60*SiteCalcs!$E$11)/(SiteCalcs!$D$11*SiteCalcs!$B$11))+((ChemCalcs!I60*SiteCalcs!$E$11)/(SiteCalcs!$L$11*SiteCalcs!$B$11))*(EXP((SiteCalcs!$L$11*DATENTER!$B$78)/(ChemCalcs!J60*SiteCalcs!$M$11))-1)))</f>
        <v>1.0605918247475019E-3</v>
      </c>
    </row>
    <row r="61" spans="1:12" x14ac:dyDescent="0.25">
      <c r="A61" s="172" t="s">
        <v>266</v>
      </c>
      <c r="B61" s="136">
        <f>IF((VLOOKUP(A61,Props,10,FALSE))=0,0,IF((VLOOKUP(A61,Props,9,FALSE))/(VLOOKUP(A61,Props,10,FALSE))&lt;0.57,(VLOOKUP(A61,Props,8,FALSE))*((1-((DATENTER!$D$14+273.15)/(VLOOKUP(A61,Props,10,FALSE))))/(1-((VLOOKUP(A61,Props,9,FALSE))/(VLOOKUP(A61,Props,10,FALSE)))))^0.3,IF(AND((VLOOKUP(A61,Props,9,FALSE))/(VLOOKUP(A61,Props,10,FALSE))&gt;=0.57,(VLOOKUP(A61,Props,9,FALSE))/(VLOOKUP(A61,Props,10,FALSE))&lt;=0.71),(VLOOKUP(A61,Props,8,FALSE))*((1-((DATENTER!$D$14+273.15)/(VLOOKUP(A61,Props,10,FALSE))))/(1-((VLOOKUP(A61,Props,9,FALSE))/(VLOOKUP(A61,Props,10,FALSE)))))^(0.74*((VLOOKUP(A61,Props,9,FALSE))/(VLOOKUP(A61,Props,10,FALSE)))-0.116),(VLOOKUP(A61,Props,8,FALSE))*((1-((DATENTER!$D$14+273.15)/(VLOOKUP(A61,Props,10,FALSE))))/(1-((VLOOKUP(A61,Props,9,FALSE))/(VLOOKUP(A61,Props,10,FALSE)))))^0.41)))</f>
        <v>6858.6797782498488</v>
      </c>
      <c r="C61" s="135">
        <f>EXP(-1*((B61/1.9872)*((1/(DATENTER!$D$14+273.15))-(1/((VLOOKUP(A61,Props,7,FALSE))+273.15)))))*(VLOOKUP(A61,Props,6,FALSE))</f>
        <v>1.0669261405396609E-7</v>
      </c>
      <c r="D61" s="135">
        <f>IF(DATENTER!$D$14="",0,C61/(0.00008206*(DATENTER!$D$14+273.15)))</f>
        <v>4.5918350339419542E-6</v>
      </c>
      <c r="E61" s="135">
        <f>IF((VLOOKUP(A61,Props,3,FALSE))=0,0,((VLOOKUP(A61,Props,3,FALSE))*(SiteCalcs!$B$28^3.33/DATENTER!$G$41^2))+(((VLOOKUP(A61,Props,4,FALSE))/ChemCalcs!D61)*(DATENTER!$H$41^3.33/DATENTER!$G$41^2)))</f>
        <v>1.1841247241192305E-2</v>
      </c>
      <c r="F61" s="135">
        <f>IF(DATENTER!$C$28=0,0,(ChemProps!C61*(SiteCalcs!$H$28^3.33/DATENTER!$D$53^2))+((ChemProps!D61/ChemCalcs!D61)*(DATENTER!$E$53^3.33/DATENTER!$D$53^2)))</f>
        <v>0</v>
      </c>
      <c r="G61" s="135">
        <f>IF(DATENTER!$D$28=0,0,(ChemProps!C61*(SiteCalcs!$J$28^3.33/DATENTER!$D$65^2))+((ChemProps!D61/ChemCalcs!D61)*(DATENTER!$E$65^3.33/DATENTER!$D$65^2)))</f>
        <v>0</v>
      </c>
      <c r="H61" s="135">
        <f>IF((VLOOKUP(A61,Props,3,FALSE))=0,0,((VLOOKUP(A61,Props,3,FALSE))*(SiteCalcs!$D$19^3.33/SiteCalcs!$C$19^2))+(((VLOOKUP(A61,Props,4,FALSE))/ChemCalcs!D61)*(SiteCalcs!$E$19^3.33/SiteCalcs!$C$19^2)))</f>
        <v>7.7566939372858579E-2</v>
      </c>
      <c r="I61" s="205">
        <f>IF(AND(E61&gt;0,F61&gt;0,G61&gt;0),SiteCalcs!$B$11/(((IF(SiteCalcs!$B$11=1,1,DATENTER!$B$28-DATENTER!$B$14))/E61)+(DATENTER!$C$28/F61)+((DATENTER!$D$28-SiteCalcs!$B$19)/G61)+(SiteCalcs!$B$19/H61)),IF(AND(E61&gt;0,F61&gt;0,G61=0),SiteCalcs!$B$11/(((IF(SiteCalcs!$B$11=1,1,DATENTER!$B$28-DATENTER!$B$14))/E61)+((DATENTER!$C$28-SiteCalcs!$B$19)/F61)+(SiteCalcs!$B$19/H61)),IF(AND(E61&gt;0,F61=0,G61=0),SiteCalcs!$B$11/(((IF(SiteCalcs!$B$11=1,1,DATENTER!$B$28-DATENTER!$B$14)-SiteCalcs!$B$19)/E61)+(SiteCalcs!$B$19/H61)))))</f>
        <v>2.2835043695184066E-2</v>
      </c>
      <c r="J61" s="135">
        <f>ChemCalcs!E61</f>
        <v>1.1841247241192305E-2</v>
      </c>
      <c r="K61" s="260">
        <f>IF(DATENTER!$B$78="","ERROR",EXP((SiteCalcs!$L$11*DATENTER!$B$78)/(ChemCalcs!J61*SiteCalcs!$M$11)))</f>
        <v>1.1564208949034513E+94</v>
      </c>
      <c r="L61" s="206">
        <f>IF(ISERROR(K61),((ChemCalcs!I61*SiteCalcs!$E$11)/(SiteCalcs!$D$11*SiteCalcs!$B$11))/(((ChemCalcs!I61*SiteCalcs!$E$11)/(SiteCalcs!$L$11*SiteCalcs!$B$11))+1),(((ChemCalcs!I61*SiteCalcs!$E$11)/(SiteCalcs!$D$11*SiteCalcs!$B$11))*EXP((SiteCalcs!$L$11*DATENTER!$B$78)/(ChemCalcs!J61*SiteCalcs!$M$11)))/(EXP((SiteCalcs!$L$11*DATENTER!$B$78)/(ChemCalcs!J61*SiteCalcs!$M$11))+((ChemCalcs!I61*SiteCalcs!$E$11)/(SiteCalcs!$D$11*SiteCalcs!$B$11))+((ChemCalcs!I61*SiteCalcs!$E$11)/(SiteCalcs!$L$11*SiteCalcs!$B$11))*(EXP((SiteCalcs!$L$11*DATENTER!$B$78)/(ChemCalcs!J61*SiteCalcs!$M$11))-1)))</f>
        <v>1.1078731378641568E-3</v>
      </c>
    </row>
    <row r="62" spans="1:12" x14ac:dyDescent="0.25">
      <c r="A62" s="172" t="s">
        <v>267</v>
      </c>
      <c r="B62" s="136">
        <f>IF((VLOOKUP(A62,Props,10,FALSE))=0,0,IF((VLOOKUP(A62,Props,9,FALSE))/(VLOOKUP(A62,Props,10,FALSE))&lt;0.57,(VLOOKUP(A62,Props,8,FALSE))*((1-((DATENTER!$D$14+273.15)/(VLOOKUP(A62,Props,10,FALSE))))/(1-((VLOOKUP(A62,Props,9,FALSE))/(VLOOKUP(A62,Props,10,FALSE)))))^0.3,IF(AND((VLOOKUP(A62,Props,9,FALSE))/(VLOOKUP(A62,Props,10,FALSE))&gt;=0.57,(VLOOKUP(A62,Props,9,FALSE))/(VLOOKUP(A62,Props,10,FALSE))&lt;=0.71),(VLOOKUP(A62,Props,8,FALSE))*((1-((DATENTER!$D$14+273.15)/(VLOOKUP(A62,Props,10,FALSE))))/(1-((VLOOKUP(A62,Props,9,FALSE))/(VLOOKUP(A62,Props,10,FALSE)))))^(0.74*((VLOOKUP(A62,Props,9,FALSE))/(VLOOKUP(A62,Props,10,FALSE)))-0.116),(VLOOKUP(A62,Props,8,FALSE))*((1-((DATENTER!$D$14+273.15)/(VLOOKUP(A62,Props,10,FALSE))))/(1-((VLOOKUP(A62,Props,9,FALSE))/(VLOOKUP(A62,Props,10,FALSE)))))^0.41)))</f>
        <v>14552.290240350119</v>
      </c>
      <c r="C62" s="135">
        <f>EXP(-1*((B62/1.9872)*((1/(DATENTER!$D$14+273.15))-(1/((VLOOKUP(A62,Props,7,FALSE))+273.15)))))*(VLOOKUP(A62,Props,6,FALSE))</f>
        <v>2.3847224119144138E-7</v>
      </c>
      <c r="D62" s="135">
        <f>IF(DATENTER!$D$14="",0,C62/(0.00008206*(DATENTER!$D$14+273.15)))</f>
        <v>1.0263364539663846E-5</v>
      </c>
      <c r="E62" s="135">
        <f>IF((VLOOKUP(A62,Props,3,FALSE))=0,0,((VLOOKUP(A62,Props,3,FALSE))*(SiteCalcs!$B$28^3.33/DATENTER!$G$41^2))+(((VLOOKUP(A62,Props,4,FALSE))/ChemCalcs!D62)*(DATENTER!$H$41^3.33/DATENTER!$G$41^2)))</f>
        <v>1.1914460783043255E-2</v>
      </c>
      <c r="F62" s="135">
        <f>IF(DATENTER!$C$28=0,0,(ChemProps!C62*(SiteCalcs!$H$28^3.33/DATENTER!$D$53^2))+((ChemProps!D62/ChemCalcs!D62)*(DATENTER!$E$53^3.33/DATENTER!$D$53^2)))</f>
        <v>0</v>
      </c>
      <c r="G62" s="135">
        <f>IF(DATENTER!$D$28=0,0,(ChemProps!C62*(SiteCalcs!$J$28^3.33/DATENTER!$D$65^2))+((ChemProps!D62/ChemCalcs!D62)*(DATENTER!$E$65^3.33/DATENTER!$D$65^2)))</f>
        <v>0</v>
      </c>
      <c r="H62" s="135">
        <f>IF((VLOOKUP(A62,Props,3,FALSE))=0,0,((VLOOKUP(A62,Props,3,FALSE))*(SiteCalcs!$D$19^3.33/SiteCalcs!$C$19^2))+(((VLOOKUP(A62,Props,4,FALSE))/ChemCalcs!D62)*(SiteCalcs!$E$19^3.33/SiteCalcs!$C$19^2)))</f>
        <v>4.8262277447636705E-2</v>
      </c>
      <c r="I62" s="205">
        <f>IF(AND(E62&gt;0,F62&gt;0,G62&gt;0),SiteCalcs!$B$11/(((IF(SiteCalcs!$B$11=1,1,DATENTER!$B$28-DATENTER!$B$14))/E62)+(DATENTER!$C$28/F62)+((DATENTER!$D$28-SiteCalcs!$B$19)/G62)+(SiteCalcs!$B$19/H62)),IF(AND(E62&gt;0,F62&gt;0,G62=0),SiteCalcs!$B$11/(((IF(SiteCalcs!$B$11=1,1,DATENTER!$B$28-DATENTER!$B$14))/E62)+((DATENTER!$C$28-SiteCalcs!$B$19)/F62)+(SiteCalcs!$B$19/H62)),IF(AND(E62&gt;0,F62=0,G62=0),SiteCalcs!$B$11/(((IF(SiteCalcs!$B$11=1,1,DATENTER!$B$28-DATENTER!$B$14)-SiteCalcs!$B$19)/E62)+(SiteCalcs!$B$19/H62)))))</f>
        <v>2.0826394212294923E-2</v>
      </c>
      <c r="J62" s="135">
        <f>ChemCalcs!E62</f>
        <v>1.1914460783043255E-2</v>
      </c>
      <c r="K62" s="260">
        <f>IF(DATENTER!$B$78="","ERROR",EXP((SiteCalcs!$L$11*DATENTER!$B$78)/(ChemCalcs!J62*SiteCalcs!$M$11)))</f>
        <v>3.0556566563523893E+93</v>
      </c>
      <c r="L62" s="206">
        <f>IF(ISERROR(K62),((ChemCalcs!I62*SiteCalcs!$E$11)/(SiteCalcs!$D$11*SiteCalcs!$B$11))/(((ChemCalcs!I62*SiteCalcs!$E$11)/(SiteCalcs!$L$11*SiteCalcs!$B$11))+1),(((ChemCalcs!I62*SiteCalcs!$E$11)/(SiteCalcs!$D$11*SiteCalcs!$B$11))*EXP((SiteCalcs!$L$11*DATENTER!$B$78)/(ChemCalcs!J62*SiteCalcs!$M$11)))/(EXP((SiteCalcs!$L$11*DATENTER!$B$78)/(ChemCalcs!J62*SiteCalcs!$M$11))+((ChemCalcs!I62*SiteCalcs!$E$11)/(SiteCalcs!$D$11*SiteCalcs!$B$11))+((ChemCalcs!I62*SiteCalcs!$E$11)/(SiteCalcs!$L$11*SiteCalcs!$B$11))*(EXP((SiteCalcs!$L$11*DATENTER!$B$78)/(ChemCalcs!J62*SiteCalcs!$M$11))-1)))</f>
        <v>1.1025141846809912E-3</v>
      </c>
    </row>
    <row r="63" spans="1:12" x14ac:dyDescent="0.25">
      <c r="A63" s="172" t="s">
        <v>268</v>
      </c>
      <c r="B63" s="136">
        <f>IF((VLOOKUP(A63,Props,10,FALSE))=0,0,IF((VLOOKUP(A63,Props,9,FALSE))/(VLOOKUP(A63,Props,10,FALSE))&lt;0.57,(VLOOKUP(A63,Props,8,FALSE))*((1-((DATENTER!$D$14+273.15)/(VLOOKUP(A63,Props,10,FALSE))))/(1-((VLOOKUP(A63,Props,9,FALSE))/(VLOOKUP(A63,Props,10,FALSE)))))^0.3,IF(AND((VLOOKUP(A63,Props,9,FALSE))/(VLOOKUP(A63,Props,10,FALSE))&gt;=0.57,(VLOOKUP(A63,Props,9,FALSE))/(VLOOKUP(A63,Props,10,FALSE))&lt;=0.71),(VLOOKUP(A63,Props,8,FALSE))*((1-((DATENTER!$D$14+273.15)/(VLOOKUP(A63,Props,10,FALSE))))/(1-((VLOOKUP(A63,Props,9,FALSE))/(VLOOKUP(A63,Props,10,FALSE)))))^(0.74*((VLOOKUP(A63,Props,9,FALSE))/(VLOOKUP(A63,Props,10,FALSE)))-0.116),(VLOOKUP(A63,Props,8,FALSE))*((1-((DATENTER!$D$14+273.15)/(VLOOKUP(A63,Props,10,FALSE))))/(1-((VLOOKUP(A63,Props,9,FALSE))/(VLOOKUP(A63,Props,10,FALSE)))))^0.41)))</f>
        <v>21649.828795008812</v>
      </c>
      <c r="C63" s="135">
        <f>EXP(-1*((B63/1.9872)*((1/(DATENTER!$D$14+273.15))-(1/((VLOOKUP(A63,Props,7,FALSE))+273.15)))))*(VLOOKUP(A63,Props,6,FALSE))</f>
        <v>1.2410981666211692E-8</v>
      </c>
      <c r="D63" s="135">
        <f>IF(DATENTER!$D$14="",0,C63/(0.00008206*(DATENTER!$D$14+273.15)))</f>
        <v>5.3414363239517675E-7</v>
      </c>
      <c r="E63" s="135">
        <f>IF((VLOOKUP(A63,Props,3,FALSE))=0,0,((VLOOKUP(A63,Props,3,FALSE))*(SiteCalcs!$B$28^3.33/DATENTER!$G$41^2))+(((VLOOKUP(A63,Props,4,FALSE))/ChemCalcs!D63)*(DATENTER!$H$41^3.33/DATENTER!$G$41^2)))</f>
        <v>1.3217155018406528E-2</v>
      </c>
      <c r="F63" s="135">
        <f>IF(DATENTER!$C$28=0,0,(ChemProps!C63*(SiteCalcs!$H$28^3.33/DATENTER!$D$53^2))+((ChemProps!D63/ChemCalcs!D63)*(DATENTER!$E$53^3.33/DATENTER!$D$53^2)))</f>
        <v>0</v>
      </c>
      <c r="G63" s="135">
        <f>IF(DATENTER!$D$28=0,0,(ChemProps!C63*(SiteCalcs!$J$28^3.33/DATENTER!$D$65^2))+((ChemProps!D63/ChemCalcs!D63)*(DATENTER!$E$65^3.33/DATENTER!$D$65^2)))</f>
        <v>0</v>
      </c>
      <c r="H63" s="135">
        <f>IF((VLOOKUP(A63,Props,3,FALSE))=0,0,((VLOOKUP(A63,Props,3,FALSE))*(SiteCalcs!$D$19^3.33/SiteCalcs!$C$19^2))+(((VLOOKUP(A63,Props,4,FALSE))/ChemCalcs!D63)*(SiteCalcs!$E$19^3.33/SiteCalcs!$C$19^2)))</f>
        <v>0.94756753621953149</v>
      </c>
      <c r="I63" s="205">
        <f>IF(AND(E63&gt;0,F63&gt;0,G63&gt;0),SiteCalcs!$B$11/(((IF(SiteCalcs!$B$11=1,1,DATENTER!$B$28-DATENTER!$B$14))/E63)+(DATENTER!$C$28/F63)+((DATENTER!$D$28-SiteCalcs!$B$19)/G63)+(SiteCalcs!$B$19/H63)),IF(AND(E63&gt;0,F63&gt;0,G63=0),SiteCalcs!$B$11/(((IF(SiteCalcs!$B$11=1,1,DATENTER!$B$28-DATENTER!$B$14))/E63)+((DATENTER!$C$28-SiteCalcs!$B$19)/F63)+(SiteCalcs!$B$19/H63)),IF(AND(E63&gt;0,F63=0,G63=0),SiteCalcs!$B$11/(((IF(SiteCalcs!$B$11=1,1,DATENTER!$B$28-DATENTER!$B$14)-SiteCalcs!$B$19)/E63)+(SiteCalcs!$B$19/H63)))))</f>
        <v>3.0056512208917516E-2</v>
      </c>
      <c r="J63" s="135">
        <f>ChemCalcs!E63</f>
        <v>1.3217155018406528E-2</v>
      </c>
      <c r="K63" s="260">
        <f>IF(DATENTER!$B$78="","ERROR",EXP((SiteCalcs!$L$11*DATENTER!$B$78)/(ChemCalcs!J63*SiteCalcs!$M$11)))</f>
        <v>1.866946001258085E+84</v>
      </c>
      <c r="L63" s="206">
        <f>IF(ISERROR(K63),((ChemCalcs!I63*SiteCalcs!$E$11)/(SiteCalcs!$D$11*SiteCalcs!$B$11))/(((ChemCalcs!I63*SiteCalcs!$E$11)/(SiteCalcs!$L$11*SiteCalcs!$B$11))+1),(((ChemCalcs!I63*SiteCalcs!$E$11)/(SiteCalcs!$D$11*SiteCalcs!$B$11))*EXP((SiteCalcs!$L$11*DATENTER!$B$78)/(ChemCalcs!J63*SiteCalcs!$M$11)))/(EXP((SiteCalcs!$L$11*DATENTER!$B$78)/(ChemCalcs!J63*SiteCalcs!$M$11))+((ChemCalcs!I63*SiteCalcs!$E$11)/(SiteCalcs!$D$11*SiteCalcs!$B$11))+((ChemCalcs!I63*SiteCalcs!$E$11)/(SiteCalcs!$L$11*SiteCalcs!$B$11))*(EXP((SiteCalcs!$L$11*DATENTER!$B$78)/(ChemCalcs!J63*SiteCalcs!$M$11))-1)))</f>
        <v>1.1214523150545081E-3</v>
      </c>
    </row>
    <row r="64" spans="1:12" x14ac:dyDescent="0.25">
      <c r="A64" s="172" t="s">
        <v>269</v>
      </c>
      <c r="B64" s="136">
        <f>IF((VLOOKUP(A64,Props,10,FALSE))=0,0,IF((VLOOKUP(A64,Props,9,FALSE))/(VLOOKUP(A64,Props,10,FALSE))&lt;0.57,(VLOOKUP(A64,Props,8,FALSE))*((1-((DATENTER!$D$14+273.15)/(VLOOKUP(A64,Props,10,FALSE))))/(1-((VLOOKUP(A64,Props,9,FALSE))/(VLOOKUP(A64,Props,10,FALSE)))))^0.3,IF(AND((VLOOKUP(A64,Props,9,FALSE))/(VLOOKUP(A64,Props,10,FALSE))&gt;=0.57,(VLOOKUP(A64,Props,9,FALSE))/(VLOOKUP(A64,Props,10,FALSE))&lt;=0.71),(VLOOKUP(A64,Props,8,FALSE))*((1-((DATENTER!$D$14+273.15)/(VLOOKUP(A64,Props,10,FALSE))))/(1-((VLOOKUP(A64,Props,9,FALSE))/(VLOOKUP(A64,Props,10,FALSE)))))^(0.74*((VLOOKUP(A64,Props,9,FALSE))/(VLOOKUP(A64,Props,10,FALSE)))-0.116),(VLOOKUP(A64,Props,8,FALSE))*((1-((DATENTER!$D$14+273.15)/(VLOOKUP(A64,Props,10,FALSE))))/(1-((VLOOKUP(A64,Props,9,FALSE))/(VLOOKUP(A64,Props,10,FALSE)))))^0.41)))</f>
        <v>19182.606564379479</v>
      </c>
      <c r="C64" s="135">
        <f>EXP(-1*((B64/1.9872)*((1/(DATENTER!$D$14+273.15))-(1/((VLOOKUP(A64,Props,7,FALSE))+273.15)))))*(VLOOKUP(A64,Props,6,FALSE))</f>
        <v>9.7164370133889202E-9</v>
      </c>
      <c r="D64" s="135">
        <f>IF(DATENTER!$D$14="",0,C64/(0.00008206*(DATENTER!$D$14+273.15)))</f>
        <v>4.1817586230104226E-7</v>
      </c>
      <c r="E64" s="135">
        <f>IF((VLOOKUP(A64,Props,3,FALSE))=0,0,((VLOOKUP(A64,Props,3,FALSE))*(SiteCalcs!$B$28^3.33/DATENTER!$G$41^2))+(((VLOOKUP(A64,Props,4,FALSE))/ChemCalcs!D64)*(DATENTER!$H$41^3.33/DATENTER!$G$41^2)))</f>
        <v>4.7850161465399076E-2</v>
      </c>
      <c r="F64" s="135">
        <f>IF(DATENTER!$C$28=0,0,(ChemProps!C64*(SiteCalcs!$H$28^3.33/DATENTER!$D$53^2))+((ChemProps!D64/ChemCalcs!D64)*(DATENTER!$E$53^3.33/DATENTER!$D$53^2)))</f>
        <v>0</v>
      </c>
      <c r="G64" s="135">
        <f>IF(DATENTER!$D$28=0,0,(ChemProps!C64*(SiteCalcs!$J$28^3.33/DATENTER!$D$65^2))+((ChemProps!D64/ChemCalcs!D64)*(DATENTER!$E$65^3.33/DATENTER!$D$65^2)))</f>
        <v>0</v>
      </c>
      <c r="H64" s="135">
        <f>IF((VLOOKUP(A64,Props,3,FALSE))=0,0,((VLOOKUP(A64,Props,3,FALSE))*(SiteCalcs!$D$19^3.33/SiteCalcs!$C$19^2))+(((VLOOKUP(A64,Props,4,FALSE))/ChemCalcs!D64)*(SiteCalcs!$E$19^3.33/SiteCalcs!$C$19^2)))</f>
        <v>0.94612425439564474</v>
      </c>
      <c r="I64" s="205">
        <f>IF(AND(E64&gt;0,F64&gt;0,G64&gt;0),SiteCalcs!$B$11/(((IF(SiteCalcs!$B$11=1,1,DATENTER!$B$28-DATENTER!$B$14))/E64)+(DATENTER!$C$28/F64)+((DATENTER!$D$28-SiteCalcs!$B$19)/G64)+(SiteCalcs!$B$19/H64)),IF(AND(E64&gt;0,F64&gt;0,G64=0),SiteCalcs!$B$11/(((IF(SiteCalcs!$B$11=1,1,DATENTER!$B$28-DATENTER!$B$14))/E64)+((DATENTER!$C$28-SiteCalcs!$B$19)/F64)+(SiteCalcs!$B$19/H64)),IF(AND(E64&gt;0,F64=0,G64=0),SiteCalcs!$B$11/(((IF(SiteCalcs!$B$11=1,1,DATENTER!$B$28-DATENTER!$B$14)-SiteCalcs!$B$19)/E64)+(SiteCalcs!$B$19/H64)))))</f>
        <v>0.10389697703802611</v>
      </c>
      <c r="J64" s="135">
        <f>ChemCalcs!E64</f>
        <v>4.7850161465399076E-2</v>
      </c>
      <c r="K64" s="260">
        <f>IF(DATENTER!$B$78="","ERROR",EXP((SiteCalcs!$L$11*DATENTER!$B$78)/(ChemCalcs!J64*SiteCalcs!$M$11)))</f>
        <v>1.893837933900026E+23</v>
      </c>
      <c r="L64" s="206">
        <f>IF(ISERROR(K64),((ChemCalcs!I64*SiteCalcs!$E$11)/(SiteCalcs!$D$11*SiteCalcs!$B$11))/(((ChemCalcs!I64*SiteCalcs!$E$11)/(SiteCalcs!$L$11*SiteCalcs!$B$11))+1),(((ChemCalcs!I64*SiteCalcs!$E$11)/(SiteCalcs!$D$11*SiteCalcs!$B$11))*EXP((SiteCalcs!$L$11*DATENTER!$B$78)/(ChemCalcs!J64*SiteCalcs!$M$11)))/(EXP((SiteCalcs!$L$11*DATENTER!$B$78)/(ChemCalcs!J64*SiteCalcs!$M$11))+((ChemCalcs!I64*SiteCalcs!$E$11)/(SiteCalcs!$D$11*SiteCalcs!$B$11))+((ChemCalcs!I64*SiteCalcs!$E$11)/(SiteCalcs!$L$11*SiteCalcs!$B$11))*(EXP((SiteCalcs!$L$11*DATENTER!$B$78)/(ChemCalcs!J64*SiteCalcs!$M$11))-1)))</f>
        <v>1.1532183344443534E-3</v>
      </c>
    </row>
    <row r="65" spans="1:12" x14ac:dyDescent="0.25">
      <c r="A65" s="172" t="s">
        <v>270</v>
      </c>
      <c r="B65" s="136">
        <f>IF((VLOOKUP(A65,Props,10,FALSE))=0,0,IF((VLOOKUP(A65,Props,9,FALSE))/(VLOOKUP(A65,Props,10,FALSE))&lt;0.57,(VLOOKUP(A65,Props,8,FALSE))*((1-((DATENTER!$D$14+273.15)/(VLOOKUP(A65,Props,10,FALSE))))/(1-((VLOOKUP(A65,Props,9,FALSE))/(VLOOKUP(A65,Props,10,FALSE)))))^0.3,IF(AND((VLOOKUP(A65,Props,9,FALSE))/(VLOOKUP(A65,Props,10,FALSE))&gt;=0.57,(VLOOKUP(A65,Props,9,FALSE))/(VLOOKUP(A65,Props,10,FALSE))&lt;=0.71),(VLOOKUP(A65,Props,8,FALSE))*((1-((DATENTER!$D$14+273.15)/(VLOOKUP(A65,Props,10,FALSE))))/(1-((VLOOKUP(A65,Props,9,FALSE))/(VLOOKUP(A65,Props,10,FALSE)))))^(0.74*((VLOOKUP(A65,Props,9,FALSE))/(VLOOKUP(A65,Props,10,FALSE)))-0.116),(VLOOKUP(A65,Props,8,FALSE))*((1-((DATENTER!$D$14+273.15)/(VLOOKUP(A65,Props,10,FALSE))))/(1-((VLOOKUP(A65,Props,9,FALSE))/(VLOOKUP(A65,Props,10,FALSE)))))^0.41)))</f>
        <v>8757.6960285734785</v>
      </c>
      <c r="C65" s="135">
        <f>EXP(-1*((B65/1.9872)*((1/(DATENTER!$D$14+273.15))-(1/((VLOOKUP(A65,Props,7,FALSE))+273.15)))))*(VLOOKUP(A65,Props,6,FALSE))</f>
        <v>2.1936532581617159E-6</v>
      </c>
      <c r="D65" s="135">
        <f>IF(DATENTER!$D$14="",0,C65/(0.00008206*(DATENTER!$D$14+273.15)))</f>
        <v>9.4410414183430919E-5</v>
      </c>
      <c r="E65" s="135">
        <f>IF((VLOOKUP(A65,Props,3,FALSE))=0,0,((VLOOKUP(A65,Props,3,FALSE))*(SiteCalcs!$B$28^3.33/DATENTER!$G$41^2))+(((VLOOKUP(A65,Props,4,FALSE))/ChemCalcs!D65)*(DATENTER!$H$41^3.33/DATENTER!$G$41^2)))</f>
        <v>4.5432886595817075E-2</v>
      </c>
      <c r="F65" s="135">
        <f>IF(DATENTER!$C$28=0,0,(ChemProps!#REF!*(SiteCalcs!$H$28^3.33/DATENTER!$D$53^2))+((ChemProps!C65/ChemCalcs!D65)*(DATENTER!$E$53^3.33/DATENTER!$D$53^2)))</f>
        <v>0</v>
      </c>
      <c r="G65" s="135">
        <f>IF(DATENTER!$D$28=0,0,(ChemProps!#REF!*(SiteCalcs!$J$28^3.33/DATENTER!$D$65^2))+((ChemProps!C65/ChemCalcs!D65)*(DATENTER!$E$65^3.33/DATENTER!$D$65^2)))</f>
        <v>0</v>
      </c>
      <c r="H65" s="135">
        <f>IF((VLOOKUP(A65,Props,3,FALSE))=0,0,((VLOOKUP(A65,Props,3,FALSE))*(SiteCalcs!$D$19^3.33/SiteCalcs!$C$19^2))+(((VLOOKUP(A65,Props,4,FALSE))/ChemCalcs!D65)*(SiteCalcs!$E$19^3.33/SiteCalcs!$C$19^2)))</f>
        <v>9.7908049100826032E-3</v>
      </c>
      <c r="I65" s="205">
        <f>IF(AND(E65&gt;0,F65&gt;0,G65&gt;0),SiteCalcs!$B$11/(((IF(SiteCalcs!$B$11=1,1,DATENTER!$B$28-DATENTER!$B$14))/E65)+(DATENTER!$C$28/F65)+((DATENTER!$D$28-SiteCalcs!$B$19)/G65)+(SiteCalcs!$B$19/H65)),IF(AND(E65&gt;0,F65&gt;0,G65=0),SiteCalcs!$B$11/(((IF(SiteCalcs!$B$11=1,1,DATENTER!$B$28-DATENTER!$B$14))/E65)+((DATENTER!$C$28-SiteCalcs!$B$19)/F65)+(SiteCalcs!$B$19/H65)),IF(AND(E65&gt;0,F65=0,G65=0),SiteCalcs!$B$11/(((IF(SiteCalcs!$B$11=1,1,DATENTER!$B$28-DATENTER!$B$14)-SiteCalcs!$B$19)/E65)+(SiteCalcs!$B$19/H65)))))</f>
        <v>1.4806760917748404E-2</v>
      </c>
      <c r="J65" s="135">
        <f>ChemCalcs!E65</f>
        <v>4.5432886595817075E-2</v>
      </c>
      <c r="K65" s="260">
        <f>IF(DATENTER!$B$78="","ERROR",EXP((SiteCalcs!$L$11*DATENTER!$B$78)/(ChemCalcs!J65*SiteCalcs!$M$11)))</f>
        <v>3.2796169977389007E+24</v>
      </c>
      <c r="L65" s="206">
        <f>IF(ISERROR(K65),((ChemCalcs!I65*SiteCalcs!$E$11)/(SiteCalcs!$D$11*SiteCalcs!$B$11))/(((ChemCalcs!I65*SiteCalcs!$E$11)/(SiteCalcs!$L$11*SiteCalcs!$B$11))+1),(((ChemCalcs!I65*SiteCalcs!$E$11)/(SiteCalcs!$D$11*SiteCalcs!$B$11))*EXP((SiteCalcs!$L$11*DATENTER!$B$78)/(ChemCalcs!J65*SiteCalcs!$M$11)))/(EXP((SiteCalcs!$L$11*DATENTER!$B$78)/(ChemCalcs!J65*SiteCalcs!$M$11))+((ChemCalcs!I65*SiteCalcs!$E$11)/(SiteCalcs!$D$11*SiteCalcs!$B$11))+((ChemCalcs!I65*SiteCalcs!$E$11)/(SiteCalcs!$L$11*SiteCalcs!$B$11))*(EXP((SiteCalcs!$L$11*DATENTER!$B$78)/(ChemCalcs!J65*SiteCalcs!$M$11))-1)))</f>
        <v>1.0784051650153535E-3</v>
      </c>
    </row>
    <row r="66" spans="1:12" x14ac:dyDescent="0.25">
      <c r="A66" s="172" t="s">
        <v>271</v>
      </c>
      <c r="B66" s="136">
        <f>IF((VLOOKUP(A66,Props,10,FALSE))=0,0,IF((VLOOKUP(A66,Props,9,FALSE))/(VLOOKUP(A66,Props,10,FALSE))&lt;0.57,(VLOOKUP(A66,Props,8,FALSE))*((1-((DATENTER!$D$14+273.15)/(VLOOKUP(A66,Props,10,FALSE))))/(1-((VLOOKUP(A66,Props,9,FALSE))/(VLOOKUP(A66,Props,10,FALSE)))))^0.3,IF(AND((VLOOKUP(A66,Props,9,FALSE))/(VLOOKUP(A66,Props,10,FALSE))&gt;=0.57,(VLOOKUP(A66,Props,9,FALSE))/(VLOOKUP(A66,Props,10,FALSE))&lt;=0.71),(VLOOKUP(A66,Props,8,FALSE))*((1-((DATENTER!$D$14+273.15)/(VLOOKUP(A66,Props,10,FALSE))))/(1-((VLOOKUP(A66,Props,9,FALSE))/(VLOOKUP(A66,Props,10,FALSE)))))^(0.74*((VLOOKUP(A66,Props,9,FALSE))/(VLOOKUP(A66,Props,10,FALSE)))-0.116),(VLOOKUP(A66,Props,8,FALSE))*((1-((DATENTER!$D$14+273.15)/(VLOOKUP(A66,Props,10,FALSE))))/(1-((VLOOKUP(A66,Props,9,FALSE))/(VLOOKUP(A66,Props,10,FALSE)))))^0.41)))</f>
        <v>20240.004003413062</v>
      </c>
      <c r="C66" s="135">
        <f>EXP(-1*((B66/1.9872)*((1/(DATENTER!$D$14+273.15))-(1/((VLOOKUP(A66,Props,7,FALSE))+273.15)))))*(VLOOKUP(A66,Props,6,FALSE))</f>
        <v>1.0640608264463283E-5</v>
      </c>
      <c r="D66" s="135">
        <f>IF(DATENTER!$D$14="",0,C66/(0.00008206*(DATENTER!$D$14+273.15)))</f>
        <v>4.5795032996849252E-4</v>
      </c>
      <c r="E66" s="135">
        <f>IF((VLOOKUP(A66,Props,3,FALSE))=0,0,((VLOOKUP(A66,Props,3,FALSE))*(SiteCalcs!$B$28^3.33/DATENTER!$G$41^2))+(((VLOOKUP(A66,Props,4,FALSE))/ChemCalcs!D66)*(DATENTER!$H$41^3.33/DATENTER!$G$41^2)))</f>
        <v>2.2737861477573193E-3</v>
      </c>
      <c r="F66" s="135">
        <f>IF(DATENTER!$C$28=0,0,(ChemProps!C66*(SiteCalcs!$H$28^3.33/DATENTER!$D$53^2))+((ChemProps!D66/ChemCalcs!D66)*(DATENTER!$E$53^3.33/DATENTER!$D$53^2)))</f>
        <v>0</v>
      </c>
      <c r="G66" s="135">
        <f>IF(DATENTER!$D$28=0,0,(ChemProps!C66*(SiteCalcs!$J$28^3.33/DATENTER!$D$65^2))+((ChemProps!D66/ChemCalcs!D66)*(DATENTER!$E$65^3.33/DATENTER!$D$65^2)))</f>
        <v>0</v>
      </c>
      <c r="H66" s="135">
        <f>IF((VLOOKUP(A66,Props,3,FALSE))=0,0,((VLOOKUP(A66,Props,3,FALSE))*(SiteCalcs!$D$19^3.33/SiteCalcs!$C$19^2))+(((VLOOKUP(A66,Props,4,FALSE))/ChemCalcs!D66)*(SiteCalcs!$E$19^3.33/SiteCalcs!$C$19^2)))</f>
        <v>7.4860295424033249E-4</v>
      </c>
      <c r="I66" s="205">
        <f>IF(AND(E66&gt;0,F66&gt;0,G66&gt;0),SiteCalcs!$B$11/(((IF(SiteCalcs!$B$11=1,1,DATENTER!$B$28-DATENTER!$B$14))/E66)+(DATENTER!$C$28/F66)+((DATENTER!$D$28-SiteCalcs!$B$19)/G66)+(SiteCalcs!$B$19/H66)),IF(AND(E66&gt;0,F66&gt;0,G66=0),SiteCalcs!$B$11/(((IF(SiteCalcs!$B$11=1,1,DATENTER!$B$28-DATENTER!$B$14))/E66)+((DATENTER!$C$28-SiteCalcs!$B$19)/F66)+(SiteCalcs!$B$19/H66)),IF(AND(E66&gt;0,F66=0,G66=0),SiteCalcs!$B$11/(((IF(SiteCalcs!$B$11=1,1,DATENTER!$B$28-DATENTER!$B$14)-SiteCalcs!$B$19)/E66)+(SiteCalcs!$B$19/H66)))))</f>
        <v>1.0538506426569386E-3</v>
      </c>
      <c r="J66" s="135">
        <f>ChemCalcs!E66</f>
        <v>2.2737861477573193E-3</v>
      </c>
      <c r="K66" s="260" t="e">
        <f>IF(DATENTER!$B$78="","ERROR",EXP((SiteCalcs!$L$11*DATENTER!$B$78)/(ChemCalcs!J66*SiteCalcs!$M$11)))</f>
        <v>#NUM!</v>
      </c>
      <c r="L66" s="206">
        <f>IF(ISERROR(K66),((ChemCalcs!I66*SiteCalcs!$E$11)/(SiteCalcs!$D$11*SiteCalcs!$B$11))/(((ChemCalcs!I66*SiteCalcs!$E$11)/(SiteCalcs!$L$11*SiteCalcs!$B$11))+1),(((ChemCalcs!I66*SiteCalcs!$E$11)/(SiteCalcs!$D$11*SiteCalcs!$B$11))*EXP((SiteCalcs!$L$11*DATENTER!$B$78)/(ChemCalcs!J66*SiteCalcs!$M$11)))/(EXP((SiteCalcs!$L$11*DATENTER!$B$78)/(ChemCalcs!J66*SiteCalcs!$M$11))+((ChemCalcs!I66*SiteCalcs!$E$11)/(SiteCalcs!$D$11*SiteCalcs!$B$11))+((ChemCalcs!I66*SiteCalcs!$E$11)/(SiteCalcs!$L$11*SiteCalcs!$B$11))*(EXP((SiteCalcs!$L$11*DATENTER!$B$78)/(ChemCalcs!J66*SiteCalcs!$M$11))-1)))</f>
        <v>5.426447855095579E-4</v>
      </c>
    </row>
    <row r="67" spans="1:12" x14ac:dyDescent="0.25">
      <c r="A67" s="172" t="s">
        <v>272</v>
      </c>
      <c r="B67" s="136">
        <f>IF((VLOOKUP(A67,Props,10,FALSE))=0,0,IF((VLOOKUP(A67,Props,9,FALSE))/(VLOOKUP(A67,Props,10,FALSE))&lt;0.57,(VLOOKUP(A67,Props,8,FALSE))*((1-((DATENTER!$D$14+273.15)/(VLOOKUP(A67,Props,10,FALSE))))/(1-((VLOOKUP(A67,Props,9,FALSE))/(VLOOKUP(A67,Props,10,FALSE)))))^0.3,IF(AND((VLOOKUP(A67,Props,9,FALSE))/(VLOOKUP(A67,Props,10,FALSE))&gt;=0.57,(VLOOKUP(A67,Props,9,FALSE))/(VLOOKUP(A67,Props,10,FALSE))&lt;=0.71),(VLOOKUP(A67,Props,8,FALSE))*((1-((DATENTER!$D$14+273.15)/(VLOOKUP(A67,Props,10,FALSE))))/(1-((VLOOKUP(A67,Props,9,FALSE))/(VLOOKUP(A67,Props,10,FALSE)))))^(0.74*((VLOOKUP(A67,Props,9,FALSE))/(VLOOKUP(A67,Props,10,FALSE)))-0.116),(VLOOKUP(A67,Props,8,FALSE))*((1-((DATENTER!$D$14+273.15)/(VLOOKUP(A67,Props,10,FALSE))))/(1-((VLOOKUP(A67,Props,9,FALSE))/(VLOOKUP(A67,Props,10,FALSE)))))^0.41)))</f>
        <v>17818.744904588384</v>
      </c>
      <c r="C67" s="135">
        <f>EXP(-1*((B67/1.9872)*((1/(DATENTER!$D$14+273.15))-(1/((VLOOKUP(A67,Props,7,FALSE))+273.15)))))*(VLOOKUP(A67,Props,6,FALSE))</f>
        <v>1.2927989776202322E-6</v>
      </c>
      <c r="D67" s="135">
        <f>IF(DATENTER!$D$14="",0,C67/(0.00008206*(DATENTER!$D$14+273.15)))</f>
        <v>5.5639461924499086E-5</v>
      </c>
      <c r="E67" s="135">
        <f>IF((VLOOKUP(A67,Props,3,FALSE))=0,0,((VLOOKUP(A67,Props,3,FALSE))*(SiteCalcs!$B$28^3.33/DATENTER!$G$41^2))+(((VLOOKUP(A67,Props,4,FALSE))/ChemCalcs!D67)*(DATENTER!$H$41^3.33/DATENTER!$G$41^2)))</f>
        <v>2.505849173548957E-3</v>
      </c>
      <c r="F67" s="135">
        <f>IF(DATENTER!$C$28=0,0,(ChemProps!C67*(SiteCalcs!$H$28^3.33/DATENTER!$D$53^2))+((ChemProps!D67/ChemCalcs!D67)*(DATENTER!$E$53^3.33/DATENTER!$D$53^2)))</f>
        <v>0</v>
      </c>
      <c r="G67" s="135">
        <f>IF(DATENTER!$D$28=0,0,(ChemProps!C67*(SiteCalcs!$J$28^3.33/DATENTER!$D$65^2))+((ChemProps!D67/ChemCalcs!D67)*(DATENTER!$E$65^3.33/DATENTER!$D$65^2)))</f>
        <v>0</v>
      </c>
      <c r="H67" s="135">
        <f>IF((VLOOKUP(A67,Props,3,FALSE))=0,0,((VLOOKUP(A67,Props,3,FALSE))*(SiteCalcs!$D$19^3.33/SiteCalcs!$C$19^2))+(((VLOOKUP(A67,Props,4,FALSE))/ChemCalcs!D67)*(SiteCalcs!$E$19^3.33/SiteCalcs!$C$19^2)))</f>
        <v>4.967580722251592E-3</v>
      </c>
      <c r="I67" s="205">
        <f>IF(AND(E67&gt;0,F67&gt;0,G67&gt;0),SiteCalcs!$B$11/(((IF(SiteCalcs!$B$11=1,1,DATENTER!$B$28-DATENTER!$B$14))/E67)+(DATENTER!$C$28/F67)+((DATENTER!$D$28-SiteCalcs!$B$19)/G67)+(SiteCalcs!$B$19/H67)),IF(AND(E67&gt;0,F67&gt;0,G67=0),SiteCalcs!$B$11/(((IF(SiteCalcs!$B$11=1,1,DATENTER!$B$28-DATENTER!$B$14))/E67)+((DATENTER!$C$28-SiteCalcs!$B$19)/F67)+(SiteCalcs!$B$19/H67)),IF(AND(E67&gt;0,F67=0,G67=0),SiteCalcs!$B$11/(((IF(SiteCalcs!$B$11=1,1,DATENTER!$B$28-DATENTER!$B$14)-SiteCalcs!$B$19)/E67)+(SiteCalcs!$B$19/H67)))))</f>
        <v>3.4879413904485399E-3</v>
      </c>
      <c r="J67" s="135">
        <f>ChemCalcs!E67</f>
        <v>2.505849173548957E-3</v>
      </c>
      <c r="K67" s="260" t="e">
        <f>IF(DATENTER!$B$78="","ERROR",EXP((SiteCalcs!$L$11*DATENTER!$B$78)/(ChemCalcs!J67*SiteCalcs!$M$11)))</f>
        <v>#NUM!</v>
      </c>
      <c r="L67" s="206">
        <f>IF(ISERROR(K67),((ChemCalcs!I67*SiteCalcs!$E$11)/(SiteCalcs!$D$11*SiteCalcs!$B$11))/(((ChemCalcs!I67*SiteCalcs!$E$11)/(SiteCalcs!$L$11*SiteCalcs!$B$11))+1),(((ChemCalcs!I67*SiteCalcs!$E$11)/(SiteCalcs!$D$11*SiteCalcs!$B$11))*EXP((SiteCalcs!$L$11*DATENTER!$B$78)/(ChemCalcs!J67*SiteCalcs!$M$11)))/(EXP((SiteCalcs!$L$11*DATENTER!$B$78)/(ChemCalcs!J67*SiteCalcs!$M$11))+((ChemCalcs!I67*SiteCalcs!$E$11)/(SiteCalcs!$D$11*SiteCalcs!$B$11))+((ChemCalcs!I67*SiteCalcs!$E$11)/(SiteCalcs!$L$11*SiteCalcs!$B$11))*(EXP((SiteCalcs!$L$11*DATENTER!$B$78)/(ChemCalcs!J67*SiteCalcs!$M$11))-1)))</f>
        <v>8.6583334982876967E-4</v>
      </c>
    </row>
    <row r="68" spans="1:12" x14ac:dyDescent="0.25">
      <c r="A68" s="172" t="s">
        <v>273</v>
      </c>
      <c r="B68" s="136">
        <f>IF((VLOOKUP(A68,Props,10,FALSE))=0,0,IF((VLOOKUP(A68,Props,9,FALSE))/(VLOOKUP(A68,Props,10,FALSE))&lt;0.57,(VLOOKUP(A68,Props,8,FALSE))*((1-((DATENTER!$D$14+273.15)/(VLOOKUP(A68,Props,10,FALSE))))/(1-((VLOOKUP(A68,Props,9,FALSE))/(VLOOKUP(A68,Props,10,FALSE)))))^0.3,IF(AND((VLOOKUP(A68,Props,9,FALSE))/(VLOOKUP(A68,Props,10,FALSE))&gt;=0.57,(VLOOKUP(A68,Props,9,FALSE))/(VLOOKUP(A68,Props,10,FALSE))&lt;=0.71),(VLOOKUP(A68,Props,8,FALSE))*((1-((DATENTER!$D$14+273.15)/(VLOOKUP(A68,Props,10,FALSE))))/(1-((VLOOKUP(A68,Props,9,FALSE))/(VLOOKUP(A68,Props,10,FALSE)))))^(0.74*((VLOOKUP(A68,Props,9,FALSE))/(VLOOKUP(A68,Props,10,FALSE)))-0.116),(VLOOKUP(A68,Props,8,FALSE))*((1-((DATENTER!$D$14+273.15)/(VLOOKUP(A68,Props,10,FALSE))))/(1-((VLOOKUP(A68,Props,9,FALSE))/(VLOOKUP(A68,Props,10,FALSE)))))^0.41)))</f>
        <v>10155.250105678482</v>
      </c>
      <c r="C68" s="135">
        <f>EXP(-1*((B68/1.9872)*((1/(DATENTER!$D$14+273.15))-(1/((VLOOKUP(A68,Props,7,FALSE))+273.15)))))*(VLOOKUP(A68,Props,6,FALSE))</f>
        <v>3.17822057436389E-3</v>
      </c>
      <c r="D68" s="135">
        <f>IF(DATENTER!$D$14="",0,C68/(0.00008206*(DATENTER!$D$14+273.15)))</f>
        <v>0.13678420674534716</v>
      </c>
      <c r="E68" s="135">
        <f>IF((VLOOKUP(A68,Props,3,FALSE))=0,0,((VLOOKUP(A68,Props,3,FALSE))*(SiteCalcs!$B$28^3.33/DATENTER!$G$41^2))+(((VLOOKUP(A68,Props,4,FALSE))/ChemCalcs!D68)*(DATENTER!$H$41^3.33/DATENTER!$G$41^2)))</f>
        <v>1.4799153196754782E-2</v>
      </c>
      <c r="F68" s="135">
        <f>IF(DATENTER!$C$28=0,0,(ChemProps!C68*(SiteCalcs!$H$28^3.33/DATENTER!$D$53^2))+((ChemProps!D68/ChemCalcs!D68)*(DATENTER!$E$53^3.33/DATENTER!$D$53^2)))</f>
        <v>0</v>
      </c>
      <c r="G68" s="135">
        <f>IF(DATENTER!$D$28=0,0,(ChemProps!C68*(SiteCalcs!$J$28^3.33/DATENTER!$D$65^2))+((ChemProps!D68/ChemCalcs!D68)*(DATENTER!$E$65^3.33/DATENTER!$D$65^2)))</f>
        <v>0</v>
      </c>
      <c r="H68" s="135">
        <f>IF((VLOOKUP(A68,Props,3,FALSE))=0,0,((VLOOKUP(A68,Props,3,FALSE))*(SiteCalcs!$D$19^3.33/SiteCalcs!$C$19^2))+(((VLOOKUP(A68,Props,4,FALSE))/ChemCalcs!D68)*(SiteCalcs!$E$19^3.33/SiteCalcs!$C$19^2)))</f>
        <v>1.2672358420483148E-3</v>
      </c>
      <c r="I68" s="205">
        <f>IF(AND(E68&gt;0,F68&gt;0,G68&gt;0),SiteCalcs!$B$11/(((IF(SiteCalcs!$B$11=1,1,DATENTER!$B$28-DATENTER!$B$14))/E68)+(DATENTER!$C$28/F68)+((DATENTER!$D$28-SiteCalcs!$B$19)/G68)+(SiteCalcs!$B$19/H68)),IF(AND(E68&gt;0,F68&gt;0,G68=0),SiteCalcs!$B$11/(((IF(SiteCalcs!$B$11=1,1,DATENTER!$B$28-DATENTER!$B$14))/E68)+((DATENTER!$C$28-SiteCalcs!$B$19)/F68)+(SiteCalcs!$B$19/H68)),IF(AND(E68&gt;0,F68=0,G68=0),SiteCalcs!$B$11/(((IF(SiteCalcs!$B$11=1,1,DATENTER!$B$28-DATENTER!$B$14)-SiteCalcs!$B$19)/E68)+(SiteCalcs!$B$19/H68)))))</f>
        <v>2.0940579838585206E-3</v>
      </c>
      <c r="J68" s="135">
        <f>ChemCalcs!E68</f>
        <v>1.4799153196754782E-2</v>
      </c>
      <c r="K68" s="260">
        <f>IF(DATENTER!$B$78="","ERROR",EXP((SiteCalcs!$L$11*DATENTER!$B$78)/(ChemCalcs!J68*SiteCalcs!$M$11)))</f>
        <v>1.8311587436484342E+75</v>
      </c>
      <c r="L68" s="206">
        <f>IF(ISERROR(K68),((ChemCalcs!I68*SiteCalcs!$E$11)/(SiteCalcs!$D$11*SiteCalcs!$B$11))/(((ChemCalcs!I68*SiteCalcs!$E$11)/(SiteCalcs!$L$11*SiteCalcs!$B$11))+1),(((ChemCalcs!I68*SiteCalcs!$E$11)/(SiteCalcs!$D$11*SiteCalcs!$B$11))*EXP((SiteCalcs!$L$11*DATENTER!$B$78)/(ChemCalcs!J68*SiteCalcs!$M$11)))/(EXP((SiteCalcs!$L$11*DATENTER!$B$78)/(ChemCalcs!J68*SiteCalcs!$M$11))+((ChemCalcs!I68*SiteCalcs!$E$11)/(SiteCalcs!$D$11*SiteCalcs!$B$11))+((ChemCalcs!I68*SiteCalcs!$E$11)/(SiteCalcs!$L$11*SiteCalcs!$B$11))*(EXP((SiteCalcs!$L$11*DATENTER!$B$78)/(ChemCalcs!J68*SiteCalcs!$M$11))-1)))</f>
        <v>7.3899218013847093E-4</v>
      </c>
    </row>
    <row r="69" spans="1:12" x14ac:dyDescent="0.25">
      <c r="A69" s="172" t="s">
        <v>274</v>
      </c>
      <c r="B69" s="136">
        <f>IF((VLOOKUP(A69,Props,10,FALSE))=0,0,IF((VLOOKUP(A69,Props,9,FALSE))/(VLOOKUP(A69,Props,10,FALSE))&lt;0.57,(VLOOKUP(A69,Props,8,FALSE))*((1-((DATENTER!$D$14+273.15)/(VLOOKUP(A69,Props,10,FALSE))))/(1-((VLOOKUP(A69,Props,9,FALSE))/(VLOOKUP(A69,Props,10,FALSE)))))^0.3,IF(AND((VLOOKUP(A69,Props,9,FALSE))/(VLOOKUP(A69,Props,10,FALSE))&gt;=0.57,(VLOOKUP(A69,Props,9,FALSE))/(VLOOKUP(A69,Props,10,FALSE))&lt;=0.71),(VLOOKUP(A69,Props,8,FALSE))*((1-((DATENTER!$D$14+273.15)/(VLOOKUP(A69,Props,10,FALSE))))/(1-((VLOOKUP(A69,Props,9,FALSE))/(VLOOKUP(A69,Props,10,FALSE)))))^(0.74*((VLOOKUP(A69,Props,9,FALSE))/(VLOOKUP(A69,Props,10,FALSE)))-0.116),(VLOOKUP(A69,Props,8,FALSE))*((1-((DATENTER!$D$14+273.15)/(VLOOKUP(A69,Props,10,FALSE))))/(1-((VLOOKUP(A69,Props,9,FALSE))/(VLOOKUP(A69,Props,10,FALSE)))))^0.41)))</f>
        <v>10532.901083148088</v>
      </c>
      <c r="C69" s="135">
        <f>EXP(-1*((B69/1.9872)*((1/(DATENTER!$D$14+273.15))-(1/((VLOOKUP(A69,Props,7,FALSE))+273.15)))))*(VLOOKUP(A69,Props,6,FALSE))</f>
        <v>2.5345827364441699E-4</v>
      </c>
      <c r="D69" s="135">
        <f>IF(DATENTER!$D$14="",0,C69/(0.00008206*(DATENTER!$D$14+273.15)))</f>
        <v>1.0908333167038166E-2</v>
      </c>
      <c r="E69" s="135">
        <f>IF((VLOOKUP(A69,Props,3,FALSE))=0,0,((VLOOKUP(A69,Props,3,FALSE))*(SiteCalcs!$B$28^3.33/DATENTER!$G$41^2))+(((VLOOKUP(A69,Props,4,FALSE))/ChemCalcs!D69)*(DATENTER!$H$41^3.33/DATENTER!$G$41^2)))</f>
        <v>4.2826847932784188E-3</v>
      </c>
      <c r="F69" s="135">
        <f>IF(DATENTER!$C$28=0,0,(ChemProps!C69*(SiteCalcs!$H$28^3.33/DATENTER!$D$53^2))+((ChemProps!D69/ChemCalcs!D69)*(DATENTER!$E$53^3.33/DATENTER!$D$53^2)))</f>
        <v>0</v>
      </c>
      <c r="G69" s="135">
        <f>IF(DATENTER!$D$28=0,0,(ChemProps!C69*(SiteCalcs!$J$28^3.33/DATENTER!$D$65^2))+((ChemProps!D69/ChemCalcs!D69)*(DATENTER!$E$65^3.33/DATENTER!$D$65^2)))</f>
        <v>0</v>
      </c>
      <c r="H69" s="135">
        <f>IF((VLOOKUP(A69,Props,3,FALSE))=0,0,((VLOOKUP(A69,Props,3,FALSE))*(SiteCalcs!$D$19^3.33/SiteCalcs!$C$19^2))+(((VLOOKUP(A69,Props,4,FALSE))/ChemCalcs!D69)*(SiteCalcs!$E$19^3.33/SiteCalcs!$C$19^2)))</f>
        <v>4.6299007115321384E-4</v>
      </c>
      <c r="I69" s="205">
        <f>IF(AND(E69&gt;0,F69&gt;0,G69&gt;0),SiteCalcs!$B$11/(((IF(SiteCalcs!$B$11=1,1,DATENTER!$B$28-DATENTER!$B$14))/E69)+(DATENTER!$C$28/F69)+((DATENTER!$D$28-SiteCalcs!$B$19)/G69)+(SiteCalcs!$B$19/H69)),IF(AND(E69&gt;0,F69&gt;0,G69=0),SiteCalcs!$B$11/(((IF(SiteCalcs!$B$11=1,1,DATENTER!$B$28-DATENTER!$B$14))/E69)+((DATENTER!$C$28-SiteCalcs!$B$19)/F69)+(SiteCalcs!$B$19/H69)),IF(AND(E69&gt;0,F69=0,G69=0),SiteCalcs!$B$11/(((IF(SiteCalcs!$B$11=1,1,DATENTER!$B$28-DATENTER!$B$14)-SiteCalcs!$B$19)/E69)+(SiteCalcs!$B$19/H69)))))</f>
        <v>7.5299519655416456E-4</v>
      </c>
      <c r="J69" s="135">
        <f>ChemCalcs!E69</f>
        <v>4.2826847932784188E-3</v>
      </c>
      <c r="K69" s="260">
        <f>IF(DATENTER!$B$78="","ERROR",EXP((SiteCalcs!$L$11*DATENTER!$B$78)/(ChemCalcs!J69*SiteCalcs!$M$11)))</f>
        <v>1.1919350131355898E+260</v>
      </c>
      <c r="L69" s="206">
        <f>IF(ISERROR(K69),((ChemCalcs!I69*SiteCalcs!$E$11)/(SiteCalcs!$D$11*SiteCalcs!$B$11))/(((ChemCalcs!I69*SiteCalcs!$E$11)/(SiteCalcs!$L$11*SiteCalcs!$B$11))+1),(((ChemCalcs!I69*SiteCalcs!$E$11)/(SiteCalcs!$D$11*SiteCalcs!$B$11))*EXP((SiteCalcs!$L$11*DATENTER!$B$78)/(ChemCalcs!J69*SiteCalcs!$M$11)))/(EXP((SiteCalcs!$L$11*DATENTER!$B$78)/(ChemCalcs!J69*SiteCalcs!$M$11))+((ChemCalcs!I69*SiteCalcs!$E$11)/(SiteCalcs!$D$11*SiteCalcs!$B$11))+((ChemCalcs!I69*SiteCalcs!$E$11)/(SiteCalcs!$L$11*SiteCalcs!$B$11))*(EXP((SiteCalcs!$L$11*DATENTER!$B$78)/(ChemCalcs!J69*SiteCalcs!$M$11))-1)))</f>
        <v>4.4709683863520806E-4</v>
      </c>
    </row>
    <row r="70" spans="1:12" x14ac:dyDescent="0.25">
      <c r="A70" s="172" t="s">
        <v>275</v>
      </c>
      <c r="B70" s="136">
        <f>IF((VLOOKUP(A70,Props,10,FALSE))=0,0,IF((VLOOKUP(A70,Props,9,FALSE))/(VLOOKUP(A70,Props,10,FALSE))&lt;0.57,(VLOOKUP(A70,Props,8,FALSE))*((1-((DATENTER!$D$14+273.15)/(VLOOKUP(A70,Props,10,FALSE))))/(1-((VLOOKUP(A70,Props,9,FALSE))/(VLOOKUP(A70,Props,10,FALSE)))))^0.3,IF(AND((VLOOKUP(A70,Props,9,FALSE))/(VLOOKUP(A70,Props,10,FALSE))&gt;=0.57,(VLOOKUP(A70,Props,9,FALSE))/(VLOOKUP(A70,Props,10,FALSE))&lt;=0.71),(VLOOKUP(A70,Props,8,FALSE))*((1-((DATENTER!$D$14+273.15)/(VLOOKUP(A70,Props,10,FALSE))))/(1-((VLOOKUP(A70,Props,9,FALSE))/(VLOOKUP(A70,Props,10,FALSE)))))^(0.74*((VLOOKUP(A70,Props,9,FALSE))/(VLOOKUP(A70,Props,10,FALSE)))-0.116),(VLOOKUP(A70,Props,8,FALSE))*((1-((DATENTER!$D$14+273.15)/(VLOOKUP(A70,Props,10,FALSE))))/(1-((VLOOKUP(A70,Props,9,FALSE))/(VLOOKUP(A70,Props,10,FALSE)))))^0.41)))</f>
        <v>20104.09450977101</v>
      </c>
      <c r="C70" s="135">
        <f>EXP(-1*((B70/1.9872)*((1/(DATENTER!$D$14+273.15))-(1/((VLOOKUP(A70,Props,7,FALSE))+273.15)))))*(VLOOKUP(A70,Props,6,FALSE))</f>
        <v>1.4681295183697304E-6</v>
      </c>
      <c r="D70" s="135">
        <f>IF(DATENTER!$D$14="",0,C70/(0.00008206*(DATENTER!$D$14+273.15)))</f>
        <v>6.3185334960530544E-5</v>
      </c>
      <c r="E70" s="135">
        <f>IF((VLOOKUP(A70,Props,3,FALSE))=0,0,((VLOOKUP(A70,Props,3,FALSE))*(SiteCalcs!$B$28^3.33/DATENTER!$G$41^2))+(((VLOOKUP(A70,Props,4,FALSE))/ChemCalcs!D70)*(DATENTER!$H$41^3.33/DATENTER!$G$41^2)))</f>
        <v>6.0055093400242432E-3</v>
      </c>
      <c r="F70" s="135">
        <f>IF(DATENTER!$C$28=0,0,(ChemProps!C70*(SiteCalcs!$H$28^3.33/DATENTER!$D$53^2))+((ChemProps!D70/ChemCalcs!D70)*(DATENTER!$E$53^3.33/DATENTER!$D$53^2)))</f>
        <v>0</v>
      </c>
      <c r="G70" s="135">
        <f>IF(DATENTER!$D$28=0,0,(ChemProps!C70*(SiteCalcs!$J$28^3.33/DATENTER!$D$65^2))+((ChemProps!D70/ChemCalcs!D70)*(DATENTER!$E$65^3.33/DATENTER!$D$65^2)))</f>
        <v>0</v>
      </c>
      <c r="H70" s="135">
        <f>IF((VLOOKUP(A70,Props,3,FALSE))=0,0,((VLOOKUP(A70,Props,3,FALSE))*(SiteCalcs!$D$19^3.33/SiteCalcs!$C$19^2))+(((VLOOKUP(A70,Props,4,FALSE))/ChemCalcs!D70)*(SiteCalcs!$E$19^3.33/SiteCalcs!$C$19^2)))</f>
        <v>6.1205892254952241E-3</v>
      </c>
      <c r="I70" s="205">
        <f>IF(AND(E70&gt;0,F70&gt;0,G70&gt;0),SiteCalcs!$B$11/(((IF(SiteCalcs!$B$11=1,1,DATENTER!$B$28-DATENTER!$B$14))/E70)+(DATENTER!$C$28/F70)+((DATENTER!$D$28-SiteCalcs!$B$19)/G70)+(SiteCalcs!$B$19/H70)),IF(AND(E70&gt;0,F70&gt;0,G70=0),SiteCalcs!$B$11/(((IF(SiteCalcs!$B$11=1,1,DATENTER!$B$28-DATENTER!$B$14))/E70)+((DATENTER!$C$28-SiteCalcs!$B$19)/F70)+(SiteCalcs!$B$19/H70)),IF(AND(E70&gt;0,F70=0,G70=0),SiteCalcs!$B$11/(((IF(SiteCalcs!$B$11=1,1,DATENTER!$B$28-DATENTER!$B$14)-SiteCalcs!$B$19)/E70)+(SiteCalcs!$B$19/H70)))))</f>
        <v>6.0703590290385467E-3</v>
      </c>
      <c r="J70" s="135">
        <f>ChemCalcs!E70</f>
        <v>6.0055093400242432E-3</v>
      </c>
      <c r="K70" s="260">
        <f>IF(DATENTER!$B$78="","ERROR",EXP((SiteCalcs!$L$11*DATENTER!$B$78)/(ChemCalcs!J70*SiteCalcs!$M$11)))</f>
        <v>2.9318050095470156E+185</v>
      </c>
      <c r="L70" s="206">
        <f>IF(ISERROR(K70),((ChemCalcs!I70*SiteCalcs!$E$11)/(SiteCalcs!$D$11*SiteCalcs!$B$11))/(((ChemCalcs!I70*SiteCalcs!$E$11)/(SiteCalcs!$L$11*SiteCalcs!$B$11))+1),(((ChemCalcs!I70*SiteCalcs!$E$11)/(SiteCalcs!$D$11*SiteCalcs!$B$11))*EXP((SiteCalcs!$L$11*DATENTER!$B$78)/(ChemCalcs!J70*SiteCalcs!$M$11)))/(EXP((SiteCalcs!$L$11*DATENTER!$B$78)/(ChemCalcs!J70*SiteCalcs!$M$11))+((ChemCalcs!I70*SiteCalcs!$E$11)/(SiteCalcs!$D$11*SiteCalcs!$B$11))+((ChemCalcs!I70*SiteCalcs!$E$11)/(SiteCalcs!$L$11*SiteCalcs!$B$11))*(EXP((SiteCalcs!$L$11*DATENTER!$B$78)/(ChemCalcs!J70*SiteCalcs!$M$11))-1)))</f>
        <v>9.7251536849307131E-4</v>
      </c>
    </row>
    <row r="71" spans="1:12" x14ac:dyDescent="0.25">
      <c r="A71" s="172" t="s">
        <v>276</v>
      </c>
      <c r="B71" s="136">
        <f>IF((VLOOKUP(A71,Props,10,FALSE))=0,0,IF((VLOOKUP(A71,Props,9,FALSE))/(VLOOKUP(A71,Props,10,FALSE))&lt;0.57,(VLOOKUP(A71,Props,8,FALSE))*((1-((DATENTER!$D$14+273.15)/(VLOOKUP(A71,Props,10,FALSE))))/(1-((VLOOKUP(A71,Props,9,FALSE))/(VLOOKUP(A71,Props,10,FALSE)))))^0.3,IF(AND((VLOOKUP(A71,Props,9,FALSE))/(VLOOKUP(A71,Props,10,FALSE))&gt;=0.57,(VLOOKUP(A71,Props,9,FALSE))/(VLOOKUP(A71,Props,10,FALSE))&lt;=0.71),(VLOOKUP(A71,Props,8,FALSE))*((1-((DATENTER!$D$14+273.15)/(VLOOKUP(A71,Props,10,FALSE))))/(1-((VLOOKUP(A71,Props,9,FALSE))/(VLOOKUP(A71,Props,10,FALSE)))))^(0.74*((VLOOKUP(A71,Props,9,FALSE))/(VLOOKUP(A71,Props,10,FALSE)))-0.116),(VLOOKUP(A71,Props,8,FALSE))*((1-((DATENTER!$D$14+273.15)/(VLOOKUP(A71,Props,10,FALSE))))/(1-((VLOOKUP(A71,Props,9,FALSE))/(VLOOKUP(A71,Props,10,FALSE)))))^0.41)))</f>
        <v>16235.377918070719</v>
      </c>
      <c r="C71" s="135">
        <f>EXP(-1*((B71/1.9872)*((1/(DATENTER!$D$14+273.15))-(1/((VLOOKUP(A71,Props,7,FALSE))+273.15)))))*(VLOOKUP(A71,Props,6,FALSE))</f>
        <v>2.252855057925581E-5</v>
      </c>
      <c r="D71" s="135">
        <f>IF(DATENTER!$D$14="",0,C71/(0.00008206*(DATENTER!$D$14+273.15)))</f>
        <v>9.6958340304077186E-4</v>
      </c>
      <c r="E71" s="135">
        <f>IF((VLOOKUP(A71,Props,3,FALSE))=0,0,((VLOOKUP(A71,Props,3,FALSE))*(SiteCalcs!$B$28^3.33/DATENTER!$G$41^2))+(((VLOOKUP(A71,Props,4,FALSE))/ChemCalcs!D71)*(DATENTER!$H$41^3.33/DATENTER!$G$41^2)))</f>
        <v>7.1665292761496288E-3</v>
      </c>
      <c r="F71" s="135">
        <f>IF(DATENTER!$C$28=0,0,(ChemProps!C71*(SiteCalcs!$H$28^3.33/DATENTER!$D$53^2))+((ChemProps!D71/ChemCalcs!D71)*(DATENTER!$E$53^3.33/DATENTER!$D$53^2)))</f>
        <v>0</v>
      </c>
      <c r="G71" s="135">
        <f>IF(DATENTER!$D$28=0,0,(ChemProps!C71*(SiteCalcs!$J$28^3.33/DATENTER!$D$65^2))+((ChemProps!D71/ChemCalcs!D71)*(DATENTER!$E$65^3.33/DATENTER!$D$65^2)))</f>
        <v>0</v>
      </c>
      <c r="H71" s="135">
        <f>IF((VLOOKUP(A71,Props,3,FALSE))=0,0,((VLOOKUP(A71,Props,3,FALSE))*(SiteCalcs!$D$19^3.33/SiteCalcs!$C$19^2))+(((VLOOKUP(A71,Props,4,FALSE))/ChemCalcs!D71)*(SiteCalcs!$E$19^3.33/SiteCalcs!$C$19^2)))</f>
        <v>1.065606943895815E-3</v>
      </c>
      <c r="I71" s="205">
        <f>IF(AND(E71&gt;0,F71&gt;0,G71&gt;0),SiteCalcs!$B$11/(((IF(SiteCalcs!$B$11=1,1,DATENTER!$B$28-DATENTER!$B$14))/E71)+(DATENTER!$C$28/F71)+((DATENTER!$D$28-SiteCalcs!$B$19)/G71)+(SiteCalcs!$B$19/H71)),IF(AND(E71&gt;0,F71&gt;0,G71=0),SiteCalcs!$B$11/(((IF(SiteCalcs!$B$11=1,1,DATENTER!$B$28-DATENTER!$B$14))/E71)+((DATENTER!$C$28-SiteCalcs!$B$19)/F71)+(SiteCalcs!$B$19/H71)),IF(AND(E71&gt;0,F71=0,G71=0),SiteCalcs!$B$11/(((IF(SiteCalcs!$B$11=1,1,DATENTER!$B$28-DATENTER!$B$14)-SiteCalcs!$B$19)/E71)+(SiteCalcs!$B$19/H71)))))</f>
        <v>1.6850476194660089E-3</v>
      </c>
      <c r="J71" s="135">
        <f>ChemCalcs!E71</f>
        <v>7.1665292761496288E-3</v>
      </c>
      <c r="K71" s="260">
        <f>IF(DATENTER!$B$78="","ERROR",EXP((SiteCalcs!$L$11*DATENTER!$B$78)/(ChemCalcs!J71*SiteCalcs!$M$11)))</f>
        <v>2.6324931504069457E+155</v>
      </c>
      <c r="L71" s="206">
        <f>IF(ISERROR(K71),((ChemCalcs!I71*SiteCalcs!$E$11)/(SiteCalcs!$D$11*SiteCalcs!$B$11))/(((ChemCalcs!I71*SiteCalcs!$E$11)/(SiteCalcs!$L$11*SiteCalcs!$B$11))+1),(((ChemCalcs!I71*SiteCalcs!$E$11)/(SiteCalcs!$D$11*SiteCalcs!$B$11))*EXP((SiteCalcs!$L$11*DATENTER!$B$78)/(ChemCalcs!J71*SiteCalcs!$M$11)))/(EXP((SiteCalcs!$L$11*DATENTER!$B$78)/(ChemCalcs!J71*SiteCalcs!$M$11))+((ChemCalcs!I71*SiteCalcs!$E$11)/(SiteCalcs!$D$11*SiteCalcs!$B$11))+((ChemCalcs!I71*SiteCalcs!$E$11)/(SiteCalcs!$L$11*SiteCalcs!$B$11))*(EXP((SiteCalcs!$L$11*DATENTER!$B$78)/(ChemCalcs!J71*SiteCalcs!$M$11))-1)))</f>
        <v>6.7860971152405814E-4</v>
      </c>
    </row>
    <row r="72" spans="1:12" x14ac:dyDescent="0.25">
      <c r="A72" s="172" t="s">
        <v>277</v>
      </c>
      <c r="B72" s="136">
        <f>IF((VLOOKUP(A72,Props,10,FALSE))=0,0,IF((VLOOKUP(A72,Props,9,FALSE))/(VLOOKUP(A72,Props,10,FALSE))&lt;0.57,(VLOOKUP(A72,Props,8,FALSE))*((1-((DATENTER!$D$14+273.15)/(VLOOKUP(A72,Props,10,FALSE))))/(1-((VLOOKUP(A72,Props,9,FALSE))/(VLOOKUP(A72,Props,10,FALSE)))))^0.3,IF(AND((VLOOKUP(A72,Props,9,FALSE))/(VLOOKUP(A72,Props,10,FALSE))&gt;=0.57,(VLOOKUP(A72,Props,9,FALSE))/(VLOOKUP(A72,Props,10,FALSE))&lt;=0.71),(VLOOKUP(A72,Props,8,FALSE))*((1-((DATENTER!$D$14+273.15)/(VLOOKUP(A72,Props,10,FALSE))))/(1-((VLOOKUP(A72,Props,9,FALSE))/(VLOOKUP(A72,Props,10,FALSE)))))^(0.74*((VLOOKUP(A72,Props,9,FALSE))/(VLOOKUP(A72,Props,10,FALSE)))-0.116),(VLOOKUP(A72,Props,8,FALSE))*((1-((DATENTER!$D$14+273.15)/(VLOOKUP(A72,Props,10,FALSE))))/(1-((VLOOKUP(A72,Props,9,FALSE))/(VLOOKUP(A72,Props,10,FALSE)))))^0.41)))</f>
        <v>18360.414651187839</v>
      </c>
      <c r="C72" s="135">
        <f>EXP(-1*((B72/1.9872)*((1/(DATENTER!$D$14+273.15))-(1/((VLOOKUP(A72,Props,7,FALSE))+273.15)))))*(VLOOKUP(A72,Props,6,FALSE))</f>
        <v>5.6936064037091485E-5</v>
      </c>
      <c r="D72" s="135">
        <f>IF(DATENTER!$D$14="",0,C72/(0.00008206*(DATENTER!$D$14+273.15)))</f>
        <v>2.4504134223203118E-3</v>
      </c>
      <c r="E72" s="135">
        <f>IF((VLOOKUP(A72,Props,3,FALSE))=0,0,((VLOOKUP(A72,Props,3,FALSE))*(SiteCalcs!$B$28^3.33/DATENTER!$G$41^2))+(((VLOOKUP(A72,Props,4,FALSE))/ChemCalcs!D72)*(DATENTER!$H$41^3.33/DATENTER!$G$41^2)))</f>
        <v>2.2110749088656207E-3</v>
      </c>
      <c r="F72" s="135">
        <f>IF(DATENTER!$C$28=0,0,(ChemProps!C72*(SiteCalcs!$H$28^3.33/DATENTER!$D$53^2))+((ChemProps!D72/ChemCalcs!D72)*(DATENTER!$E$53^3.33/DATENTER!$D$53^2)))</f>
        <v>0</v>
      </c>
      <c r="G72" s="135">
        <f>IF(DATENTER!$D$28=0,0,(ChemProps!C72*(SiteCalcs!$J$28^3.33/DATENTER!$D$65^2))+((ChemProps!D72/ChemCalcs!D72)*(DATENTER!$E$65^3.33/DATENTER!$D$65^2)))</f>
        <v>0</v>
      </c>
      <c r="H72" s="135">
        <f>IF((VLOOKUP(A72,Props,3,FALSE))=0,0,((VLOOKUP(A72,Props,3,FALSE))*(SiteCalcs!$D$19^3.33/SiteCalcs!$C$19^2))+(((VLOOKUP(A72,Props,4,FALSE))/ChemCalcs!D72)*(SiteCalcs!$E$19^3.33/SiteCalcs!$C$19^2)))</f>
        <v>3.184238599961358E-4</v>
      </c>
      <c r="I72" s="205">
        <f>IF(AND(E72&gt;0,F72&gt;0,G72&gt;0),SiteCalcs!$B$11/(((IF(SiteCalcs!$B$11=1,1,DATENTER!$B$28-DATENTER!$B$14))/E72)+(DATENTER!$C$28/F72)+((DATENTER!$D$28-SiteCalcs!$B$19)/G72)+(SiteCalcs!$B$19/H72)),IF(AND(E72&gt;0,F72&gt;0,G72=0),SiteCalcs!$B$11/(((IF(SiteCalcs!$B$11=1,1,DATENTER!$B$28-DATENTER!$B$14))/E72)+((DATENTER!$C$28-SiteCalcs!$B$19)/F72)+(SiteCalcs!$B$19/H72)),IF(AND(E72&gt;0,F72=0,G72=0),SiteCalcs!$B$11/(((IF(SiteCalcs!$B$11=1,1,DATENTER!$B$28-DATENTER!$B$14)-SiteCalcs!$B$19)/E72)+(SiteCalcs!$B$19/H72)))))</f>
        <v>5.0513857953112266E-4</v>
      </c>
      <c r="J72" s="135">
        <f>ChemCalcs!E72</f>
        <v>2.2110749088656207E-3</v>
      </c>
      <c r="K72" s="260" t="e">
        <f>IF(DATENTER!$B$78="","ERROR",EXP((SiteCalcs!$L$11*DATENTER!$B$78)/(ChemCalcs!J72*SiteCalcs!$M$11)))</f>
        <v>#NUM!</v>
      </c>
      <c r="L72" s="206">
        <f>IF(ISERROR(K72),((ChemCalcs!I72*SiteCalcs!$E$11)/(SiteCalcs!$D$11*SiteCalcs!$B$11))/(((ChemCalcs!I72*SiteCalcs!$E$11)/(SiteCalcs!$L$11*SiteCalcs!$B$11))+1),(((ChemCalcs!I72*SiteCalcs!$E$11)/(SiteCalcs!$D$11*SiteCalcs!$B$11))*EXP((SiteCalcs!$L$11*DATENTER!$B$78)/(ChemCalcs!J72*SiteCalcs!$M$11)))/(EXP((SiteCalcs!$L$11*DATENTER!$B$78)/(ChemCalcs!J72*SiteCalcs!$M$11))+((ChemCalcs!I72*SiteCalcs!$E$11)/(SiteCalcs!$D$11*SiteCalcs!$B$11))+((ChemCalcs!I72*SiteCalcs!$E$11)/(SiteCalcs!$L$11*SiteCalcs!$B$11))*(EXP((SiteCalcs!$L$11*DATENTER!$B$78)/(ChemCalcs!J72*SiteCalcs!$M$11))-1)))</f>
        <v>3.4322536975062509E-4</v>
      </c>
    </row>
    <row r="73" spans="1:12" x14ac:dyDescent="0.25">
      <c r="A73" s="172" t="s">
        <v>278</v>
      </c>
      <c r="B73" s="136">
        <f>IF((VLOOKUP(A73,Props,10,FALSE))=0,0,IF((VLOOKUP(A73,Props,9,FALSE))/(VLOOKUP(A73,Props,10,FALSE))&lt;0.57,(VLOOKUP(A73,Props,8,FALSE))*((1-((DATENTER!$D$14+273.15)/(VLOOKUP(A73,Props,10,FALSE))))/(1-((VLOOKUP(A73,Props,9,FALSE))/(VLOOKUP(A73,Props,10,FALSE)))))^0.3,IF(AND((VLOOKUP(A73,Props,9,FALSE))/(VLOOKUP(A73,Props,10,FALSE))&gt;=0.57,(VLOOKUP(A73,Props,9,FALSE))/(VLOOKUP(A73,Props,10,FALSE))&lt;=0.71),(VLOOKUP(A73,Props,8,FALSE))*((1-((DATENTER!$D$14+273.15)/(VLOOKUP(A73,Props,10,FALSE))))/(1-((VLOOKUP(A73,Props,9,FALSE))/(VLOOKUP(A73,Props,10,FALSE)))))^(0.74*((VLOOKUP(A73,Props,9,FALSE))/(VLOOKUP(A73,Props,10,FALSE)))-0.116),(VLOOKUP(A73,Props,8,FALSE))*((1-((DATENTER!$D$14+273.15)/(VLOOKUP(A73,Props,10,FALSE))))/(1-((VLOOKUP(A73,Props,9,FALSE))/(VLOOKUP(A73,Props,10,FALSE)))))^0.41)))</f>
        <v>18641.855480605034</v>
      </c>
      <c r="C73" s="135">
        <f>EXP(-1*((B73/1.9872)*((1/(DATENTER!$D$14+273.15))-(1/((VLOOKUP(A73,Props,7,FALSE))+273.15)))))*(VLOOKUP(A73,Props,6,FALSE))</f>
        <v>3.9657987829612005E-6</v>
      </c>
      <c r="D73" s="135">
        <f>IF(DATENTER!$D$14="",0,C73/(0.00008206*(DATENTER!$D$14+273.15)))</f>
        <v>1.7067998521392186E-4</v>
      </c>
      <c r="E73" s="135">
        <f>IF((VLOOKUP(A73,Props,3,FALSE))=0,0,((VLOOKUP(A73,Props,3,FALSE))*(SiteCalcs!$B$28^3.33/DATENTER!$G$41^2))+(((VLOOKUP(A73,Props,4,FALSE))/ChemCalcs!D73)*(DATENTER!$H$41^3.33/DATENTER!$G$41^2)))</f>
        <v>2.6160873436290974E-3</v>
      </c>
      <c r="F73" s="135">
        <f>IF(DATENTER!$C$28=0,0,(ChemProps!C73*(SiteCalcs!$H$28^3.33/DATENTER!$D$53^2))+((ChemProps!D73/ChemCalcs!D73)*(DATENTER!$E$53^3.33/DATENTER!$D$53^2)))</f>
        <v>0</v>
      </c>
      <c r="G73" s="135">
        <f>IF(DATENTER!$D$28=0,0,(ChemProps!C73*(SiteCalcs!$J$28^3.33/DATENTER!$D$65^2))+((ChemProps!D73/ChemCalcs!D73)*(DATENTER!$E$65^3.33/DATENTER!$D$65^2)))</f>
        <v>0</v>
      </c>
      <c r="H73" s="135">
        <f>IF((VLOOKUP(A73,Props,3,FALSE))=0,0,((VLOOKUP(A73,Props,3,FALSE))*(SiteCalcs!$D$19^3.33/SiteCalcs!$C$19^2))+(((VLOOKUP(A73,Props,4,FALSE))/ChemCalcs!D73)*(SiteCalcs!$E$19^3.33/SiteCalcs!$C$19^2)))</f>
        <v>1.6063162551251211E-3</v>
      </c>
      <c r="I73" s="205">
        <f>IF(AND(E73&gt;0,F73&gt;0,G73&gt;0),SiteCalcs!$B$11/(((IF(SiteCalcs!$B$11=1,1,DATENTER!$B$28-DATENTER!$B$14))/E73)+(DATENTER!$C$28/F73)+((DATENTER!$D$28-SiteCalcs!$B$19)/G73)+(SiteCalcs!$B$19/H73)),IF(AND(E73&gt;0,F73&gt;0,G73=0),SiteCalcs!$B$11/(((IF(SiteCalcs!$B$11=1,1,DATENTER!$B$28-DATENTER!$B$14))/E73)+((DATENTER!$C$28-SiteCalcs!$B$19)/F73)+(SiteCalcs!$B$19/H73)),IF(AND(E73&gt;0,F73=0,G73=0),SiteCalcs!$B$11/(((IF(SiteCalcs!$B$11=1,1,DATENTER!$B$28-DATENTER!$B$14)-SiteCalcs!$B$19)/E73)+(SiteCalcs!$B$19/H73)))))</f>
        <v>1.9275998055908081E-3</v>
      </c>
      <c r="J73" s="135">
        <f>ChemCalcs!E73</f>
        <v>2.6160873436290974E-3</v>
      </c>
      <c r="K73" s="260" t="e">
        <f>IF(DATENTER!$B$78="","ERROR",EXP((SiteCalcs!$L$11*DATENTER!$B$78)/(ChemCalcs!J73*SiteCalcs!$M$11)))</f>
        <v>#NUM!</v>
      </c>
      <c r="L73" s="206">
        <f>IF(ISERROR(K73),((ChemCalcs!I73*SiteCalcs!$E$11)/(SiteCalcs!$D$11*SiteCalcs!$B$11))/(((ChemCalcs!I73*SiteCalcs!$E$11)/(SiteCalcs!$L$11*SiteCalcs!$B$11))+1),(((ChemCalcs!I73*SiteCalcs!$E$11)/(SiteCalcs!$D$11*SiteCalcs!$B$11))*EXP((SiteCalcs!$L$11*DATENTER!$B$78)/(ChemCalcs!J73*SiteCalcs!$M$11)))/(EXP((SiteCalcs!$L$11*DATENTER!$B$78)/(ChemCalcs!J73*SiteCalcs!$M$11))+((ChemCalcs!I73*SiteCalcs!$E$11)/(SiteCalcs!$D$11*SiteCalcs!$B$11))+((ChemCalcs!I73*SiteCalcs!$E$11)/(SiteCalcs!$L$11*SiteCalcs!$B$11))*(EXP((SiteCalcs!$L$11*DATENTER!$B$78)/(ChemCalcs!J73*SiteCalcs!$M$11))-1)))</f>
        <v>7.1631642127834624E-4</v>
      </c>
    </row>
    <row r="74" spans="1:12" x14ac:dyDescent="0.25">
      <c r="A74" s="172" t="s">
        <v>279</v>
      </c>
      <c r="B74" s="136">
        <f>IF((VLOOKUP(A74,Props,10,FALSE))=0,0,IF((VLOOKUP(A74,Props,9,FALSE))/(VLOOKUP(A74,Props,10,FALSE))&lt;0.57,(VLOOKUP(A74,Props,8,FALSE))*((1-((DATENTER!$D$14+273.15)/(VLOOKUP(A74,Props,10,FALSE))))/(1-((VLOOKUP(A74,Props,9,FALSE))/(VLOOKUP(A74,Props,10,FALSE)))))^0.3,IF(AND((VLOOKUP(A74,Props,9,FALSE))/(VLOOKUP(A74,Props,10,FALSE))&gt;=0.57,(VLOOKUP(A74,Props,9,FALSE))/(VLOOKUP(A74,Props,10,FALSE))&lt;=0.71),(VLOOKUP(A74,Props,8,FALSE))*((1-((DATENTER!$D$14+273.15)/(VLOOKUP(A74,Props,10,FALSE))))/(1-((VLOOKUP(A74,Props,9,FALSE))/(VLOOKUP(A74,Props,10,FALSE)))))^(0.74*((VLOOKUP(A74,Props,9,FALSE))/(VLOOKUP(A74,Props,10,FALSE)))-0.116),(VLOOKUP(A74,Props,8,FALSE))*((1-((DATENTER!$D$14+273.15)/(VLOOKUP(A74,Props,10,FALSE))))/(1-((VLOOKUP(A74,Props,9,FALSE))/(VLOOKUP(A74,Props,10,FALSE)))))^0.41)))</f>
        <v>20033.6909638133</v>
      </c>
      <c r="C74" s="135">
        <f>EXP(-1*((B74/1.9872)*((1/(DATENTER!$D$14+273.15))-(1/((VLOOKUP(A74,Props,7,FALSE))+273.15)))))*(VLOOKUP(A74,Props,6,FALSE))</f>
        <v>2.8347413302317367E-4</v>
      </c>
      <c r="D74" s="135">
        <f>IF(DATENTER!$D$14="",0,C74/(0.00008206*(DATENTER!$D$14+273.15)))</f>
        <v>1.2200155247613823E-2</v>
      </c>
      <c r="E74" s="135">
        <f>IF((VLOOKUP(A74,Props,3,FALSE))=0,0,((VLOOKUP(A74,Props,3,FALSE))*(SiteCalcs!$B$28^3.33/DATENTER!$G$41^2))+(((VLOOKUP(A74,Props,4,FALSE))/ChemCalcs!D74)*(DATENTER!$H$41^3.33/DATENTER!$G$41^2)))</f>
        <v>1.0695059315507254E-2</v>
      </c>
      <c r="F74" s="135">
        <f>IF(DATENTER!$C$28=0,0,(ChemProps!C74*(SiteCalcs!$H$28^3.33/DATENTER!$D$53^2))+((ChemProps!D74/ChemCalcs!D74)*(DATENTER!$E$53^3.33/DATENTER!$D$53^2)))</f>
        <v>0</v>
      </c>
      <c r="G74" s="135">
        <f>IF(DATENTER!$D$28=0,0,(ChemProps!C74*(SiteCalcs!$J$28^3.33/DATENTER!$D$65^2))+((ChemProps!D74/ChemCalcs!D74)*(DATENTER!$E$65^3.33/DATENTER!$D$65^2)))</f>
        <v>0</v>
      </c>
      <c r="H74" s="135">
        <f>IF((VLOOKUP(A74,Props,3,FALSE))=0,0,((VLOOKUP(A74,Props,3,FALSE))*(SiteCalcs!$D$19^3.33/SiteCalcs!$C$19^2))+(((VLOOKUP(A74,Props,4,FALSE))/ChemCalcs!D74)*(SiteCalcs!$E$19^3.33/SiteCalcs!$C$19^2)))</f>
        <v>9.4053705383923892E-4</v>
      </c>
      <c r="I74" s="205">
        <f>IF(AND(E74&gt;0,F74&gt;0,G74&gt;0),SiteCalcs!$B$11/(((IF(SiteCalcs!$B$11=1,1,DATENTER!$B$28-DATENTER!$B$14))/E74)+(DATENTER!$C$28/F74)+((DATENTER!$D$28-SiteCalcs!$B$19)/G74)+(SiteCalcs!$B$19/H74)),IF(AND(E74&gt;0,F74&gt;0,G74=0),SiteCalcs!$B$11/(((IF(SiteCalcs!$B$11=1,1,DATENTER!$B$28-DATENTER!$B$14))/E74)+((DATENTER!$C$28-SiteCalcs!$B$19)/F74)+(SiteCalcs!$B$19/H74)),IF(AND(E74&gt;0,F74=0,G74=0),SiteCalcs!$B$11/(((IF(SiteCalcs!$B$11=1,1,DATENTER!$B$28-DATENTER!$B$14)-SiteCalcs!$B$19)/E74)+(SiteCalcs!$B$19/H74)))))</f>
        <v>1.5516407439479618E-3</v>
      </c>
      <c r="J74" s="135">
        <f>ChemCalcs!E74</f>
        <v>1.0695059315507254E-2</v>
      </c>
      <c r="K74" s="260">
        <f>IF(DATENTER!$B$78="","ERROR",EXP((SiteCalcs!$L$11*DATENTER!$B$78)/(ChemCalcs!J74*SiteCalcs!$M$11)))</f>
        <v>1.3926633867554832E+104</v>
      </c>
      <c r="L74" s="206">
        <f>IF(ISERROR(K74),((ChemCalcs!I74*SiteCalcs!$E$11)/(SiteCalcs!$D$11*SiteCalcs!$B$11))/(((ChemCalcs!I74*SiteCalcs!$E$11)/(SiteCalcs!$L$11*SiteCalcs!$B$11))+1),(((ChemCalcs!I74*SiteCalcs!$E$11)/(SiteCalcs!$D$11*SiteCalcs!$B$11))*EXP((SiteCalcs!$L$11*DATENTER!$B$78)/(ChemCalcs!J74*SiteCalcs!$M$11)))/(EXP((SiteCalcs!$L$11*DATENTER!$B$78)/(ChemCalcs!J74*SiteCalcs!$M$11))+((ChemCalcs!I74*SiteCalcs!$E$11)/(SiteCalcs!$D$11*SiteCalcs!$B$11))+((ChemCalcs!I74*SiteCalcs!$E$11)/(SiteCalcs!$L$11*SiteCalcs!$B$11))*(EXP((SiteCalcs!$L$11*DATENTER!$B$78)/(ChemCalcs!J74*SiteCalcs!$M$11))-1)))</f>
        <v>6.5504911336640177E-4</v>
      </c>
    </row>
    <row r="75" spans="1:12" x14ac:dyDescent="0.25">
      <c r="A75" s="172" t="s">
        <v>280</v>
      </c>
      <c r="B75" s="136">
        <f>IF((VLOOKUP(A75,Props,10,FALSE))=0,0,IF((VLOOKUP(A75,Props,9,FALSE))/(VLOOKUP(A75,Props,10,FALSE))&lt;0.57,(VLOOKUP(A75,Props,8,FALSE))*((1-((DATENTER!$D$14+273.15)/(VLOOKUP(A75,Props,10,FALSE))))/(1-((VLOOKUP(A75,Props,9,FALSE))/(VLOOKUP(A75,Props,10,FALSE)))))^0.3,IF(AND((VLOOKUP(A75,Props,9,FALSE))/(VLOOKUP(A75,Props,10,FALSE))&gt;=0.57,(VLOOKUP(A75,Props,9,FALSE))/(VLOOKUP(A75,Props,10,FALSE))&lt;=0.71),(VLOOKUP(A75,Props,8,FALSE))*((1-((DATENTER!$D$14+273.15)/(VLOOKUP(A75,Props,10,FALSE))))/(1-((VLOOKUP(A75,Props,9,FALSE))/(VLOOKUP(A75,Props,10,FALSE)))))^(0.74*((VLOOKUP(A75,Props,9,FALSE))/(VLOOKUP(A75,Props,10,FALSE)))-0.116),(VLOOKUP(A75,Props,8,FALSE))*((1-((DATENTER!$D$14+273.15)/(VLOOKUP(A75,Props,10,FALSE))))/(1-((VLOOKUP(A75,Props,9,FALSE))/(VLOOKUP(A75,Props,10,FALSE)))))^0.41)))</f>
        <v>12712.208716712346</v>
      </c>
      <c r="C75" s="135">
        <f>EXP(-1*((B75/1.9872)*((1/(DATENTER!$D$14+273.15))-(1/((VLOOKUP(A75,Props,7,FALSE))+273.15)))))*(VLOOKUP(A75,Props,6,FALSE))</f>
        <v>3.3052541494852884E-3</v>
      </c>
      <c r="D75" s="135">
        <f>IF(DATENTER!$D$14="",0,C75/(0.00008206*(DATENTER!$D$14+273.15)))</f>
        <v>0.14225147573956531</v>
      </c>
      <c r="E75" s="135">
        <f>IF((VLOOKUP(A75,Props,3,FALSE))=0,0,((VLOOKUP(A75,Props,3,FALSE))*(SiteCalcs!$B$28^3.33/DATENTER!$G$41^2))+(((VLOOKUP(A75,Props,4,FALSE))/ChemCalcs!D75)*(DATENTER!$H$41^3.33/DATENTER!$G$41^2)))</f>
        <v>1.1069766891031198E-2</v>
      </c>
      <c r="F75" s="135">
        <f>IF(DATENTER!$C$28=0,0,(ChemProps!C75*(SiteCalcs!$H$28^3.33/DATENTER!$D$53^2))+((ChemProps!D75/ChemCalcs!D75)*(DATENTER!$E$53^3.33/DATENTER!$D$53^2)))</f>
        <v>0</v>
      </c>
      <c r="G75" s="135">
        <f>IF(DATENTER!$D$28=0,0,(ChemProps!C75*(SiteCalcs!$J$28^3.33/DATENTER!$D$65^2))+((ChemProps!D75/ChemCalcs!D75)*(DATENTER!$E$65^3.33/DATENTER!$D$65^2)))</f>
        <v>0</v>
      </c>
      <c r="H75" s="135">
        <f>IF((VLOOKUP(A75,Props,3,FALSE))=0,0,((VLOOKUP(A75,Props,3,FALSE))*(SiteCalcs!$D$19^3.33/SiteCalcs!$C$19^2))+(((VLOOKUP(A75,Props,4,FALSE))/ChemCalcs!D75)*(SiteCalcs!$E$19^3.33/SiteCalcs!$C$19^2)))</f>
        <v>9.4792867912812744E-4</v>
      </c>
      <c r="I75" s="205">
        <f>IF(AND(E75&gt;0,F75&gt;0,G75&gt;0),SiteCalcs!$B$11/(((IF(SiteCalcs!$B$11=1,1,DATENTER!$B$28-DATENTER!$B$14))/E75)+(DATENTER!$C$28/F75)+((DATENTER!$D$28-SiteCalcs!$B$19)/G75)+(SiteCalcs!$B$19/H75)),IF(AND(E75&gt;0,F75&gt;0,G75=0),SiteCalcs!$B$11/(((IF(SiteCalcs!$B$11=1,1,DATENTER!$B$28-DATENTER!$B$14))/E75)+((DATENTER!$C$28-SiteCalcs!$B$19)/F75)+(SiteCalcs!$B$19/H75)),IF(AND(E75&gt;0,F75=0,G75=0),SiteCalcs!$B$11/(((IF(SiteCalcs!$B$11=1,1,DATENTER!$B$28-DATENTER!$B$14)-SiteCalcs!$B$19)/E75)+(SiteCalcs!$B$19/H75)))))</f>
        <v>1.5664116459179758E-3</v>
      </c>
      <c r="J75" s="135">
        <f>ChemCalcs!E75</f>
        <v>1.1069766891031198E-2</v>
      </c>
      <c r="K75" s="260">
        <f>IF(DATENTER!$B$78="","ERROR",EXP((SiteCalcs!$L$11*DATENTER!$B$78)/(ChemCalcs!J75*SiteCalcs!$M$11)))</f>
        <v>4.1554198962725022E+100</v>
      </c>
      <c r="L75" s="206">
        <f>IF(ISERROR(K75),((ChemCalcs!I75*SiteCalcs!$E$11)/(SiteCalcs!$D$11*SiteCalcs!$B$11))/(((ChemCalcs!I75*SiteCalcs!$E$11)/(SiteCalcs!$L$11*SiteCalcs!$B$11))+1),(((ChemCalcs!I75*SiteCalcs!$E$11)/(SiteCalcs!$D$11*SiteCalcs!$B$11))*EXP((SiteCalcs!$L$11*DATENTER!$B$78)/(ChemCalcs!J75*SiteCalcs!$M$11)))/(EXP((SiteCalcs!$L$11*DATENTER!$B$78)/(ChemCalcs!J75*SiteCalcs!$M$11))+((ChemCalcs!I75*SiteCalcs!$E$11)/(SiteCalcs!$D$11*SiteCalcs!$B$11))+((ChemCalcs!I75*SiteCalcs!$E$11)/(SiteCalcs!$L$11*SiteCalcs!$B$11))*(EXP((SiteCalcs!$L$11*DATENTER!$B$78)/(ChemCalcs!J75*SiteCalcs!$M$11))-1)))</f>
        <v>6.5776915042465754E-4</v>
      </c>
    </row>
    <row r="76" spans="1:12" ht="23" x14ac:dyDescent="0.25">
      <c r="A76" s="172" t="s">
        <v>281</v>
      </c>
      <c r="B76" s="136">
        <f>IF((VLOOKUP(A76,Props,10,FALSE))=0,0,IF((VLOOKUP(A76,Props,9,FALSE))/(VLOOKUP(A76,Props,10,FALSE))&lt;0.57,(VLOOKUP(A76,Props,8,FALSE))*((1-((DATENTER!$D$14+273.15)/(VLOOKUP(A76,Props,10,FALSE))))/(1-((VLOOKUP(A76,Props,9,FALSE))/(VLOOKUP(A76,Props,10,FALSE)))))^0.3,IF(AND((VLOOKUP(A76,Props,9,FALSE))/(VLOOKUP(A76,Props,10,FALSE))&gt;=0.57,(VLOOKUP(A76,Props,9,FALSE))/(VLOOKUP(A76,Props,10,FALSE))&lt;=0.71),(VLOOKUP(A76,Props,8,FALSE))*((1-((DATENTER!$D$14+273.15)/(VLOOKUP(A76,Props,10,FALSE))))/(1-((VLOOKUP(A76,Props,9,FALSE))/(VLOOKUP(A76,Props,10,FALSE)))))^(0.74*((VLOOKUP(A76,Props,9,FALSE))/(VLOOKUP(A76,Props,10,FALSE)))-0.116),(VLOOKUP(A76,Props,8,FALSE))*((1-((DATENTER!$D$14+273.15)/(VLOOKUP(A76,Props,10,FALSE))))/(1-((VLOOKUP(A76,Props,9,FALSE))/(VLOOKUP(A76,Props,10,FALSE)))))^0.41)))</f>
        <v>18261.311472461672</v>
      </c>
      <c r="C76" s="135">
        <f>EXP(-1*((B76/1.9872)*((1/(DATENTER!$D$14+273.15))-(1/((VLOOKUP(A76,Props,7,FALSE))+273.15)))))*(VLOOKUP(A76,Props,6,FALSE))</f>
        <v>1.0042724320206151E-6</v>
      </c>
      <c r="D76" s="135">
        <f>IF(DATENTER!$D$14="",0,C76/(0.00008206*(DATENTER!$D$14+273.15)))</f>
        <v>4.3221861024436379E-5</v>
      </c>
      <c r="E76" s="135">
        <f>IF((VLOOKUP(A76,Props,3,FALSE))=0,0,((VLOOKUP(A76,Props,3,FALSE))*(SiteCalcs!$B$28^3.33/DATENTER!$G$41^2))+(((VLOOKUP(A76,Props,4,FALSE))/ChemCalcs!D76)*(DATENTER!$H$41^3.33/DATENTER!$G$41^2)))</f>
        <v>2.8803650041185577E-3</v>
      </c>
      <c r="F76" s="135">
        <f>IF(DATENTER!$C$28=0,0,(ChemProps!C76*(SiteCalcs!$H$28^3.33/DATENTER!$D$53^2))+((ChemProps!D76/ChemCalcs!D76)*(DATENTER!$E$53^3.33/DATENTER!$D$53^2)))</f>
        <v>0</v>
      </c>
      <c r="G76" s="135">
        <f>IF(DATENTER!$D$28=0,0,(ChemProps!C76*(SiteCalcs!$J$28^3.33/DATENTER!$D$65^2))+((ChemProps!D76/ChemCalcs!D76)*(DATENTER!$E$65^3.33/DATENTER!$D$65^2)))</f>
        <v>0</v>
      </c>
      <c r="H76" s="135">
        <f>IF((VLOOKUP(A76,Props,3,FALSE))=0,0,((VLOOKUP(A76,Props,3,FALSE))*(SiteCalcs!$D$19^3.33/SiteCalcs!$C$19^2))+(((VLOOKUP(A76,Props,4,FALSE))/ChemCalcs!D76)*(SiteCalcs!$E$19^3.33/SiteCalcs!$C$19^2)))</f>
        <v>9.7218018760124071E-3</v>
      </c>
      <c r="I76" s="205">
        <f>IF(AND(E76&gt;0,F76&gt;0,G76&gt;0),SiteCalcs!$B$11/(((IF(SiteCalcs!$B$11=1,1,DATENTER!$B$28-DATENTER!$B$14))/E76)+(DATENTER!$C$28/F76)+((DATENTER!$D$28-SiteCalcs!$B$19)/G76)+(SiteCalcs!$B$19/H76)),IF(AND(E76&gt;0,F76&gt;0,G76=0),SiteCalcs!$B$11/(((IF(SiteCalcs!$B$11=1,1,DATENTER!$B$28-DATENTER!$B$14))/E76)+((DATENTER!$C$28-SiteCalcs!$B$19)/F76)+(SiteCalcs!$B$19/H76)),IF(AND(E76&gt;0,F76=0,G76=0),SiteCalcs!$B$11/(((IF(SiteCalcs!$B$11=1,1,DATENTER!$B$28-DATENTER!$B$14)-SiteCalcs!$B$19)/E76)+(SiteCalcs!$B$19/H76)))))</f>
        <v>4.7993406756677943E-3</v>
      </c>
      <c r="J76" s="135">
        <f>ChemCalcs!E76</f>
        <v>2.8803650041185577E-3</v>
      </c>
      <c r="K76" s="260" t="e">
        <f>IF(DATENTER!$B$78="","ERROR",EXP((SiteCalcs!$L$11*DATENTER!$B$78)/(ChemCalcs!J76*SiteCalcs!$M$11)))</f>
        <v>#NUM!</v>
      </c>
      <c r="L76" s="206">
        <f>IF(ISERROR(K76),((ChemCalcs!I76*SiteCalcs!$E$11)/(SiteCalcs!$D$11*SiteCalcs!$B$11))/(((ChemCalcs!I76*SiteCalcs!$E$11)/(SiteCalcs!$L$11*SiteCalcs!$B$11))+1),(((ChemCalcs!I76*SiteCalcs!$E$11)/(SiteCalcs!$D$11*SiteCalcs!$B$11))*EXP((SiteCalcs!$L$11*DATENTER!$B$78)/(ChemCalcs!J76*SiteCalcs!$M$11)))/(EXP((SiteCalcs!$L$11*DATENTER!$B$78)/(ChemCalcs!J76*SiteCalcs!$M$11))+((ChemCalcs!I76*SiteCalcs!$E$11)/(SiteCalcs!$D$11*SiteCalcs!$B$11))+((ChemCalcs!I76*SiteCalcs!$E$11)/(SiteCalcs!$L$11*SiteCalcs!$B$11))*(EXP((SiteCalcs!$L$11*DATENTER!$B$78)/(ChemCalcs!J76*SiteCalcs!$M$11))-1)))</f>
        <v>9.3146324924285378E-4</v>
      </c>
    </row>
    <row r="77" spans="1:12" x14ac:dyDescent="0.25">
      <c r="A77" s="172" t="s">
        <v>282</v>
      </c>
      <c r="B77" s="136">
        <f>IF((VLOOKUP(A77,Props,10,FALSE))=0,0,IF((VLOOKUP(A77,Props,9,FALSE))/(VLOOKUP(A77,Props,10,FALSE))&lt;0.57,(VLOOKUP(A77,Props,8,FALSE))*((1-((DATENTER!$D$14+273.15)/(VLOOKUP(A77,Props,10,FALSE))))/(1-((VLOOKUP(A77,Props,9,FALSE))/(VLOOKUP(A77,Props,10,FALSE)))))^0.3,IF(AND((VLOOKUP(A77,Props,9,FALSE))/(VLOOKUP(A77,Props,10,FALSE))&gt;=0.57,(VLOOKUP(A77,Props,9,FALSE))/(VLOOKUP(A77,Props,10,FALSE))&lt;=0.71),(VLOOKUP(A77,Props,8,FALSE))*((1-((DATENTER!$D$14+273.15)/(VLOOKUP(A77,Props,10,FALSE))))/(1-((VLOOKUP(A77,Props,9,FALSE))/(VLOOKUP(A77,Props,10,FALSE)))))^(0.74*((VLOOKUP(A77,Props,9,FALSE))/(VLOOKUP(A77,Props,10,FALSE)))-0.116),(VLOOKUP(A77,Props,8,FALSE))*((1-((DATENTER!$D$14+273.15)/(VLOOKUP(A77,Props,10,FALSE))))/(1-((VLOOKUP(A77,Props,9,FALSE))/(VLOOKUP(A77,Props,10,FALSE)))))^0.41)))</f>
        <v>11678.153835559475</v>
      </c>
      <c r="C77" s="135">
        <f>EXP(-1*((B77/1.9872)*((1/(DATENTER!$D$14+273.15))-(1/((VLOOKUP(A77,Props,7,FALSE))+273.15)))))*(VLOOKUP(A77,Props,6,FALSE))</f>
        <v>1.369212937624533E-3</v>
      </c>
      <c r="D77" s="135">
        <f>IF(DATENTER!$D$14="",0,C77/(0.00008206*(DATENTER!$D$14+273.15)))</f>
        <v>5.8928164724980747E-2</v>
      </c>
      <c r="E77" s="135">
        <f>IF((VLOOKUP(A77,Props,3,FALSE))=0,0,((VLOOKUP(A77,Props,3,FALSE))*(SiteCalcs!$B$28^3.33/DATENTER!$G$41^2))+(((VLOOKUP(A77,Props,4,FALSE))/ChemCalcs!D77)*(DATENTER!$H$41^3.33/DATENTER!$G$41^2)))</f>
        <v>4.9335750029762021E-4</v>
      </c>
      <c r="F77" s="135">
        <f>IF(DATENTER!$C$28=0,0,(ChemProps!C77*(SiteCalcs!$H$28^3.33/DATENTER!$D$53^2))+((ChemProps!D77/ChemCalcs!D77)*(DATENTER!$E$53^3.33/DATENTER!$D$53^2)))</f>
        <v>0</v>
      </c>
      <c r="G77" s="135">
        <f>IF(DATENTER!$D$28=0,0,(ChemProps!C77*(SiteCalcs!$J$28^3.33/DATENTER!$D$65^2))+((ChemProps!D77/ChemCalcs!D77)*(DATENTER!$E$65^3.33/DATENTER!$D$65^2)))</f>
        <v>0</v>
      </c>
      <c r="H77" s="135">
        <f>IF((VLOOKUP(A77,Props,3,FALSE))=0,0,((VLOOKUP(A77,Props,3,FALSE))*(SiteCalcs!$D$19^3.33/SiteCalcs!$C$19^2))+(((VLOOKUP(A77,Props,4,FALSE))/ChemCalcs!D77)*(SiteCalcs!$E$19^3.33/SiteCalcs!$C$19^2)))</f>
        <v>4.8578457841183892E-5</v>
      </c>
      <c r="I77" s="205">
        <f>IF(AND(E77&gt;0,F77&gt;0,G77&gt;0),SiteCalcs!$B$11/(((IF(SiteCalcs!$B$11=1,1,DATENTER!$B$28-DATENTER!$B$14))/E77)+(DATENTER!$C$28/F77)+((DATENTER!$D$28-SiteCalcs!$B$19)/G77)+(SiteCalcs!$B$19/H77)),IF(AND(E77&gt;0,F77&gt;0,G77=0),SiteCalcs!$B$11/(((IF(SiteCalcs!$B$11=1,1,DATENTER!$B$28-DATENTER!$B$14))/E77)+((DATENTER!$C$28-SiteCalcs!$B$19)/F77)+(SiteCalcs!$B$19/H77)),IF(AND(E77&gt;0,F77=0,G77=0),SiteCalcs!$B$11/(((IF(SiteCalcs!$B$11=1,1,DATENTER!$B$28-DATENTER!$B$14)-SiteCalcs!$B$19)/E77)+(SiteCalcs!$B$19/H77)))))</f>
        <v>7.9545429442548496E-5</v>
      </c>
      <c r="J77" s="135">
        <f>ChemCalcs!E77</f>
        <v>4.9335750029762021E-4</v>
      </c>
      <c r="K77" s="260" t="e">
        <f>IF(DATENTER!$B$78="","ERROR",EXP((SiteCalcs!$L$11*DATENTER!$B$78)/(ChemCalcs!J77*SiteCalcs!$M$11)))</f>
        <v>#NUM!</v>
      </c>
      <c r="L77" s="206">
        <f>IF(ISERROR(K77),((ChemCalcs!I77*SiteCalcs!$E$11)/(SiteCalcs!$D$11*SiteCalcs!$B$11))/(((ChemCalcs!I77*SiteCalcs!$E$11)/(SiteCalcs!$L$11*SiteCalcs!$B$11))+1),(((ChemCalcs!I77*SiteCalcs!$E$11)/(SiteCalcs!$D$11*SiteCalcs!$B$11))*EXP((SiteCalcs!$L$11*DATENTER!$B$78)/(ChemCalcs!J77*SiteCalcs!$M$11)))/(EXP((SiteCalcs!$L$11*DATENTER!$B$78)/(ChemCalcs!J77*SiteCalcs!$M$11))+((ChemCalcs!I77*SiteCalcs!$E$11)/(SiteCalcs!$D$11*SiteCalcs!$B$11))+((ChemCalcs!I77*SiteCalcs!$E$11)/(SiteCalcs!$L$11*SiteCalcs!$B$11))*(EXP((SiteCalcs!$L$11*DATENTER!$B$78)/(ChemCalcs!J77*SiteCalcs!$M$11))-1)))</f>
        <v>7.1860189795953212E-5</v>
      </c>
    </row>
    <row r="78" spans="1:12" x14ac:dyDescent="0.25">
      <c r="A78" s="172" t="s">
        <v>283</v>
      </c>
      <c r="B78" s="136">
        <f>IF((VLOOKUP(A78,Props,10,FALSE))=0,0,IF((VLOOKUP(A78,Props,9,FALSE))/(VLOOKUP(A78,Props,10,FALSE))&lt;0.57,(VLOOKUP(A78,Props,8,FALSE))*((1-((DATENTER!$D$14+273.15)/(VLOOKUP(A78,Props,10,FALSE))))/(1-((VLOOKUP(A78,Props,9,FALSE))/(VLOOKUP(A78,Props,10,FALSE)))))^0.3,IF(AND((VLOOKUP(A78,Props,9,FALSE))/(VLOOKUP(A78,Props,10,FALSE))&gt;=0.57,(VLOOKUP(A78,Props,9,FALSE))/(VLOOKUP(A78,Props,10,FALSE))&lt;=0.71),(VLOOKUP(A78,Props,8,FALSE))*((1-((DATENTER!$D$14+273.15)/(VLOOKUP(A78,Props,10,FALSE))))/(1-((VLOOKUP(A78,Props,9,FALSE))/(VLOOKUP(A78,Props,10,FALSE)))))^(0.74*((VLOOKUP(A78,Props,9,FALSE))/(VLOOKUP(A78,Props,10,FALSE)))-0.116),(VLOOKUP(A78,Props,8,FALSE))*((1-((DATENTER!$D$14+273.15)/(VLOOKUP(A78,Props,10,FALSE))))/(1-((VLOOKUP(A78,Props,9,FALSE))/(VLOOKUP(A78,Props,10,FALSE)))))^0.41)))</f>
        <v>0</v>
      </c>
      <c r="C78" s="135">
        <f>(VLOOKUP(A78,Props,6,FALSE))/2</f>
        <v>4.335E-10</v>
      </c>
      <c r="D78" s="135">
        <f>IF(DATENTER!$D$14="",0,C78/(0.00008206*(DATENTER!$D$14+273.15)))</f>
        <v>1.8656966134572292E-8</v>
      </c>
      <c r="E78" s="135">
        <f>IF((VLOOKUP(A78,Props,3,FALSE))=0,0,((VLOOKUP(A78,Props,3,FALSE))*(SiteCalcs!$B$28^3.33/DATENTER!$G$41^2))+(((VLOOKUP(A78,Props,4,FALSE))/ChemCalcs!D78)*(DATENTER!$H$41^3.33/DATENTER!$G$41^2)))</f>
        <v>0.13096645455054612</v>
      </c>
      <c r="F78" s="135">
        <f>IF(DATENTER!$C$28=0,0,(ChemProps!C78*(SiteCalcs!$H$28^3.33/DATENTER!$D$53^2))+((ChemProps!D78/ChemCalcs!D78)*(DATENTER!$E$53^3.33/DATENTER!$D$53^2)))</f>
        <v>0</v>
      </c>
      <c r="G78" s="135">
        <f>IF(DATENTER!$D$28=0,0,(ChemProps!C78*(SiteCalcs!$J$28^3.33/DATENTER!$D$65^2))+((ChemProps!D78/ChemCalcs!D78)*(DATENTER!$E$65^3.33/DATENTER!$D$65^2)))</f>
        <v>0</v>
      </c>
      <c r="H78" s="135">
        <f>IF((VLOOKUP(A78,Props,3,FALSE))=0,0,((VLOOKUP(A78,Props,3,FALSE))*(SiteCalcs!$D$19^3.33/SiteCalcs!$C$19^2))+(((VLOOKUP(A78,Props,4,FALSE))/ChemCalcs!D78)*(SiteCalcs!$E$19^3.33/SiteCalcs!$C$19^2)))</f>
        <v>14.815438771277329</v>
      </c>
      <c r="I78" s="205">
        <f>IF(AND(E78&gt;0,F78&gt;0,G78&gt;0),SiteCalcs!$B$11/(((IF(SiteCalcs!$B$11=1,1,DATENTER!$B$28-DATENTER!$B$14))/E78)+(DATENTER!$C$28/F78)+((DATENTER!$D$28-SiteCalcs!$B$19)/G78)+(SiteCalcs!$B$19/H78)),IF(AND(E78&gt;0,F78&gt;0,G78=0),SiteCalcs!$B$11/(((IF(SiteCalcs!$B$11=1,1,DATENTER!$B$28-DATENTER!$B$14))/E78)+((DATENTER!$C$28-SiteCalcs!$B$19)/F78)+(SiteCalcs!$B$19/H78)),IF(AND(E78&gt;0,F78=0,G78=0),SiteCalcs!$B$11/(((IF(SiteCalcs!$B$11=1,1,DATENTER!$B$28-DATENTER!$B$14)-SiteCalcs!$B$19)/E78)+(SiteCalcs!$B$19/H78)))))</f>
        <v>0.29980360149081647</v>
      </c>
      <c r="J78" s="135">
        <f>ChemCalcs!E78</f>
        <v>0.13096645455054612</v>
      </c>
      <c r="K78" s="260">
        <f>IF(DATENTER!$B$78="","ERROR",EXP((SiteCalcs!$L$11*DATENTER!$B$78)/(ChemCalcs!J78*SiteCalcs!$M$11)))</f>
        <v>319636053.30149895</v>
      </c>
      <c r="L78" s="206">
        <f>IF(ISERROR(K78),((ChemCalcs!I78*SiteCalcs!$E$11)/(SiteCalcs!$D$11*SiteCalcs!$B$11))/(((ChemCalcs!I78*SiteCalcs!$E$11)/(SiteCalcs!$L$11*SiteCalcs!$B$11))+1),(((ChemCalcs!I78*SiteCalcs!$E$11)/(SiteCalcs!$D$11*SiteCalcs!$B$11))*EXP((SiteCalcs!$L$11*DATENTER!$B$78)/(ChemCalcs!J78*SiteCalcs!$M$11)))/(EXP((SiteCalcs!$L$11*DATENTER!$B$78)/(ChemCalcs!J78*SiteCalcs!$M$11))+((ChemCalcs!I78*SiteCalcs!$E$11)/(SiteCalcs!$D$11*SiteCalcs!$B$11))+((ChemCalcs!I78*SiteCalcs!$E$11)/(SiteCalcs!$L$11*SiteCalcs!$B$11))*(EXP((SiteCalcs!$L$11*DATENTER!$B$78)/(ChemCalcs!J78*SiteCalcs!$M$11))-1)))</f>
        <v>1.1619729000070978E-3</v>
      </c>
    </row>
    <row r="79" spans="1:12" x14ac:dyDescent="0.25">
      <c r="A79" s="172" t="s">
        <v>284</v>
      </c>
      <c r="B79" s="136">
        <f>IF((VLOOKUP(A79,Props,10,FALSE))=0,0,IF((VLOOKUP(A79,Props,9,FALSE))/(VLOOKUP(A79,Props,10,FALSE))&lt;0.57,(VLOOKUP(A79,Props,8,FALSE))*((1-((DATENTER!$D$14+273.15)/(VLOOKUP(A79,Props,10,FALSE))))/(1-((VLOOKUP(A79,Props,9,FALSE))/(VLOOKUP(A79,Props,10,FALSE)))))^0.3,IF(AND((VLOOKUP(A79,Props,9,FALSE))/(VLOOKUP(A79,Props,10,FALSE))&gt;=0.57,(VLOOKUP(A79,Props,9,FALSE))/(VLOOKUP(A79,Props,10,FALSE))&lt;=0.71),(VLOOKUP(A79,Props,8,FALSE))*((1-((DATENTER!$D$14+273.15)/(VLOOKUP(A79,Props,10,FALSE))))/(1-((VLOOKUP(A79,Props,9,FALSE))/(VLOOKUP(A79,Props,10,FALSE)))))^(0.74*((VLOOKUP(A79,Props,9,FALSE))/(VLOOKUP(A79,Props,10,FALSE)))-0.116),(VLOOKUP(A79,Props,8,FALSE))*((1-((DATENTER!$D$14+273.15)/(VLOOKUP(A79,Props,10,FALSE))))/(1-((VLOOKUP(A79,Props,9,FALSE))/(VLOOKUP(A79,Props,10,FALSE)))))^0.41)))</f>
        <v>26507.062478723725</v>
      </c>
      <c r="C79" s="135">
        <f>EXP(-1*((B79/1.9872)*((1/(DATENTER!$D$14+273.15))-(1/((VLOOKUP(A79,Props,7,FALSE))+273.15)))))*(VLOOKUP(A79,Props,6,FALSE))</f>
        <v>3.252924116049841E-8</v>
      </c>
      <c r="D79" s="135">
        <f>IF(DATENTER!$D$14="",0,C79/(0.00008206*(DATENTER!$D$14+273.15)))</f>
        <v>1.3999929658933192E-6</v>
      </c>
      <c r="E79" s="135">
        <f>IF((VLOOKUP(A79,Props,3,FALSE))=0,0,((VLOOKUP(A79,Props,3,FALSE))*(SiteCalcs!$B$28^3.33/DATENTER!$G$41^2))+(((VLOOKUP(A79,Props,4,FALSE))/ChemCalcs!D79)*(DATENTER!$H$41^3.33/DATENTER!$G$41^2)))</f>
        <v>5.6154803582420601E-3</v>
      </c>
      <c r="F79" s="135">
        <f>IF(DATENTER!$C$28=0,0,(ChemProps!C79*(SiteCalcs!$H$28^3.33/DATENTER!$D$53^2))+((ChemProps!D79/ChemCalcs!D79)*(DATENTER!$E$53^3.33/DATENTER!$D$53^2)))</f>
        <v>0</v>
      </c>
      <c r="G79" s="135">
        <f>IF(DATENTER!$D$28=0,0,(ChemProps!C79*(SiteCalcs!$J$28^3.33/DATENTER!$D$65^2))+((ChemProps!D79/ChemCalcs!D79)*(DATENTER!$E$65^3.33/DATENTER!$D$65^2)))</f>
        <v>0</v>
      </c>
      <c r="H79" s="135">
        <f>IF((VLOOKUP(A79,Props,3,FALSE))=0,0,((VLOOKUP(A79,Props,3,FALSE))*(SiteCalcs!$D$19^3.33/SiteCalcs!$C$19^2))+(((VLOOKUP(A79,Props,4,FALSE))/ChemCalcs!D79)*(SiteCalcs!$E$19^3.33/SiteCalcs!$C$19^2)))</f>
        <v>0.22606602438135531</v>
      </c>
      <c r="I79" s="205">
        <f>IF(AND(E79&gt;0,F79&gt;0,G79&gt;0),SiteCalcs!$B$11/(((IF(SiteCalcs!$B$11=1,1,DATENTER!$B$28-DATENTER!$B$14))/E79)+(DATENTER!$C$28/F79)+((DATENTER!$D$28-SiteCalcs!$B$19)/G79)+(SiteCalcs!$B$19/H79)),IF(AND(E79&gt;0,F79&gt;0,G79=0),SiteCalcs!$B$11/(((IF(SiteCalcs!$B$11=1,1,DATENTER!$B$28-DATENTER!$B$14))/E79)+((DATENTER!$C$28-SiteCalcs!$B$19)/F79)+(SiteCalcs!$B$19/H79)),IF(AND(E79&gt;0,F79=0,G79=0),SiteCalcs!$B$11/(((IF(SiteCalcs!$B$11=1,1,DATENTER!$B$28-DATENTER!$B$14)-SiteCalcs!$B$19)/E79)+(SiteCalcs!$B$19/H79)))))</f>
        <v>1.2592688207905524E-2</v>
      </c>
      <c r="J79" s="135">
        <f>ChemCalcs!E79</f>
        <v>5.6154803582420601E-3</v>
      </c>
      <c r="K79" s="260">
        <f>IF(DATENTER!$B$78="","ERROR",EXP((SiteCalcs!$L$11*DATENTER!$B$78)/(ChemCalcs!J79*SiteCalcs!$M$11)))</f>
        <v>2.2332960433133354E+198</v>
      </c>
      <c r="L79" s="206">
        <f>IF(ISERROR(K79),((ChemCalcs!I79*SiteCalcs!$E$11)/(SiteCalcs!$D$11*SiteCalcs!$B$11))/(((ChemCalcs!I79*SiteCalcs!$E$11)/(SiteCalcs!$L$11*SiteCalcs!$B$11))+1),(((ChemCalcs!I79*SiteCalcs!$E$11)/(SiteCalcs!$D$11*SiteCalcs!$B$11))*EXP((SiteCalcs!$L$11*DATENTER!$B$78)/(ChemCalcs!J79*SiteCalcs!$M$11)))/(EXP((SiteCalcs!$L$11*DATENTER!$B$78)/(ChemCalcs!J79*SiteCalcs!$M$11))+((ChemCalcs!I79*SiteCalcs!$E$11)/(SiteCalcs!$D$11*SiteCalcs!$B$11))+((ChemCalcs!I79*SiteCalcs!$E$11)/(SiteCalcs!$L$11*SiteCalcs!$B$11))*(EXP((SiteCalcs!$L$11*DATENTER!$B$78)/(ChemCalcs!J79*SiteCalcs!$M$11))-1)))</f>
        <v>1.0642486629613688E-3</v>
      </c>
    </row>
    <row r="80" spans="1:12" x14ac:dyDescent="0.25">
      <c r="A80" s="172" t="s">
        <v>285</v>
      </c>
      <c r="B80" s="136">
        <f>IF((VLOOKUP(A80,Props,10,FALSE))=0,0,IF((VLOOKUP(A80,Props,9,FALSE))/(VLOOKUP(A80,Props,10,FALSE))&lt;0.57,(VLOOKUP(A80,Props,8,FALSE))*((1-((DATENTER!$D$14+273.15)/(VLOOKUP(A80,Props,10,FALSE))))/(1-((VLOOKUP(A80,Props,9,FALSE))/(VLOOKUP(A80,Props,10,FALSE)))))^0.3,IF(AND((VLOOKUP(A80,Props,9,FALSE))/(VLOOKUP(A80,Props,10,FALSE))&gt;=0.57,(VLOOKUP(A80,Props,9,FALSE))/(VLOOKUP(A80,Props,10,FALSE))&lt;=0.71),(VLOOKUP(A80,Props,8,FALSE))*((1-((DATENTER!$D$14+273.15)/(VLOOKUP(A80,Props,10,FALSE))))/(1-((VLOOKUP(A80,Props,9,FALSE))/(VLOOKUP(A80,Props,10,FALSE)))))^(0.74*((VLOOKUP(A80,Props,9,FALSE))/(VLOOKUP(A80,Props,10,FALSE)))-0.116),(VLOOKUP(A80,Props,8,FALSE))*((1-((DATENTER!$D$14+273.15)/(VLOOKUP(A80,Props,10,FALSE))))/(1-((VLOOKUP(A80,Props,9,FALSE))/(VLOOKUP(A80,Props,10,FALSE)))))^0.41)))</f>
        <v>0</v>
      </c>
      <c r="C80" s="135">
        <f>EXP(-1*((B80/1.9872)*((1/(DATENTER!$D$14+273.15))-(1/((VLOOKUP(A80,Props,7,FALSE))+273.15)))))*(VLOOKUP(A80,Props,6,FALSE))</f>
        <v>0</v>
      </c>
      <c r="D80" s="135">
        <f>IF(DATENTER!$D$14="",0,C80/(0.00008206*(DATENTER!$D$14+273.15)))</f>
        <v>0</v>
      </c>
      <c r="E80" s="135">
        <f>IF((VLOOKUP(A80,Props,3,FALSE))=0,0,((VLOOKUP(A80,Props,3,FALSE))*(SiteCalcs!$B$28^3.33/DATENTER!$G$41^2))+(((VLOOKUP(A80,Props,4,FALSE))/ChemCalcs!D80)*(DATENTER!$H$41^3.33/DATENTER!$G$41^2)))</f>
        <v>0</v>
      </c>
      <c r="F80" s="135"/>
      <c r="G80" s="135"/>
      <c r="H80" s="135">
        <f>IF((VLOOKUP(A80,Props,3,FALSE))=0,0,((VLOOKUP(A80,Props,3,FALSE))*(SiteCalcs!$D$19^3.33/SiteCalcs!$C$19^2))+(((VLOOKUP(A80,Props,4,FALSE))/ChemCalcs!D80)*(SiteCalcs!$E$19^3.33/SiteCalcs!$C$19^2)))</f>
        <v>0</v>
      </c>
      <c r="I80" s="205"/>
      <c r="J80" s="135"/>
      <c r="K80" s="260"/>
      <c r="L80" s="206"/>
    </row>
    <row r="81" spans="1:12" x14ac:dyDescent="0.25">
      <c r="A81" s="172" t="s">
        <v>286</v>
      </c>
      <c r="B81" s="136">
        <f>IF((VLOOKUP(A81,Props,10,FALSE))=0,0,IF((VLOOKUP(A81,Props,9,FALSE))/(VLOOKUP(A81,Props,10,FALSE))&lt;0.57,(VLOOKUP(A81,Props,8,FALSE))*((1-((DATENTER!$D$14+273.15)/(VLOOKUP(A81,Props,10,FALSE))))/(1-((VLOOKUP(A81,Props,9,FALSE))/(VLOOKUP(A81,Props,10,FALSE)))))^0.3,IF(AND((VLOOKUP(A81,Props,9,FALSE))/(VLOOKUP(A81,Props,10,FALSE))&gt;=0.57,(VLOOKUP(A81,Props,9,FALSE))/(VLOOKUP(A81,Props,10,FALSE))&lt;=0.71),(VLOOKUP(A81,Props,8,FALSE))*((1-((DATENTER!$D$14+273.15)/(VLOOKUP(A81,Props,10,FALSE))))/(1-((VLOOKUP(A81,Props,9,FALSE))/(VLOOKUP(A81,Props,10,FALSE)))))^(0.74*((VLOOKUP(A81,Props,9,FALSE))/(VLOOKUP(A81,Props,10,FALSE)))-0.116),(VLOOKUP(A81,Props,8,FALSE))*((1-((DATENTER!$D$14+273.15)/(VLOOKUP(A81,Props,10,FALSE))))/(1-((VLOOKUP(A81,Props,9,FALSE))/(VLOOKUP(A81,Props,10,FALSE)))))^0.41)))</f>
        <v>15317.443645760593</v>
      </c>
      <c r="C81" s="135">
        <f>EXP(-1*((B81/1.9872)*((1/(DATENTER!$D$14+273.15))-(1/((VLOOKUP(A81,Props,7,FALSE))+273.15)))))*(VLOOKUP(A81,Props,6,FALSE))</f>
        <v>0</v>
      </c>
      <c r="D81" s="135">
        <f>IF(DATENTER!$D$14="",0,C81/(0.00008206*(DATENTER!$D$14+273.15)))</f>
        <v>0</v>
      </c>
      <c r="E81" s="135">
        <f>IF((VLOOKUP(A81,Props,3,FALSE))=0,0,((VLOOKUP(A81,Props,3,FALSE))*(SiteCalcs!$B$28^3.33/DATENTER!$G$41^2))+(((VLOOKUP(A81,Props,4,FALSE))/ChemCalcs!D81)*(DATENTER!$H$41^3.33/DATENTER!$G$41^2)))</f>
        <v>0</v>
      </c>
      <c r="F81" s="135"/>
      <c r="G81" s="135"/>
      <c r="H81" s="135">
        <f>IF((VLOOKUP(A81,Props,3,FALSE))=0,0,((VLOOKUP(A81,Props,3,FALSE))*(SiteCalcs!$D$19^3.33/SiteCalcs!$C$19^2))+(((VLOOKUP(A81,Props,4,FALSE))/ChemCalcs!D81)*(SiteCalcs!$E$19^3.33/SiteCalcs!$C$19^2)))</f>
        <v>0</v>
      </c>
      <c r="I81" s="205"/>
      <c r="J81" s="135"/>
      <c r="K81" s="260"/>
      <c r="L81" s="206"/>
    </row>
    <row r="82" spans="1:12" x14ac:dyDescent="0.25">
      <c r="A82" s="172" t="s">
        <v>287</v>
      </c>
      <c r="B82" s="136">
        <f>IF((VLOOKUP(A82,Props,10,FALSE))=0,0,IF((VLOOKUP(A82,Props,9,FALSE))/(VLOOKUP(A82,Props,10,FALSE))&lt;0.57,(VLOOKUP(A82,Props,8,FALSE))*((1-((DATENTER!$D$14+273.15)/(VLOOKUP(A82,Props,10,FALSE))))/(1-((VLOOKUP(A82,Props,9,FALSE))/(VLOOKUP(A82,Props,10,FALSE)))))^0.3,IF(AND((VLOOKUP(A82,Props,9,FALSE))/(VLOOKUP(A82,Props,10,FALSE))&gt;=0.57,(VLOOKUP(A82,Props,9,FALSE))/(VLOOKUP(A82,Props,10,FALSE))&lt;=0.71),(VLOOKUP(A82,Props,8,FALSE))*((1-((DATENTER!$D$14+273.15)/(VLOOKUP(A82,Props,10,FALSE))))/(1-((VLOOKUP(A82,Props,9,FALSE))/(VLOOKUP(A82,Props,10,FALSE)))))^(0.74*((VLOOKUP(A82,Props,9,FALSE))/(VLOOKUP(A82,Props,10,FALSE)))-0.116),(VLOOKUP(A82,Props,8,FALSE))*((1-((DATENTER!$D$14+273.15)/(VLOOKUP(A82,Props,10,FALSE))))/(1-((VLOOKUP(A82,Props,9,FALSE))/(VLOOKUP(A82,Props,10,FALSE)))))^0.41)))</f>
        <v>21548.624678163716</v>
      </c>
      <c r="C82" s="135">
        <f>EXP(-1*((B82/1.9872)*((1/(DATENTER!$D$14+273.15))-(1/((VLOOKUP(A82,Props,7,FALSE))+273.15)))))*(VLOOKUP(A82,Props,6,FALSE))</f>
        <v>2.9561986499954724E-8</v>
      </c>
      <c r="D82" s="135">
        <f>IF(DATENTER!$D$14="",0,C82/(0.00008206*(DATENTER!$D$14+273.15)))</f>
        <v>1.2722883068058559E-6</v>
      </c>
      <c r="E82" s="135">
        <f>IF((VLOOKUP(A82,Props,3,FALSE))=0,0,((VLOOKUP(A82,Props,3,FALSE))*(SiteCalcs!$B$28^3.33/DATENTER!$G$41^2))+(((VLOOKUP(A82,Props,4,FALSE))/ChemCalcs!D82)*(DATENTER!$H$41^3.33/DATENTER!$G$41^2)))</f>
        <v>4.6965073650912176E-3</v>
      </c>
      <c r="F82" s="135">
        <f>IF(DATENTER!$C$28=0,0,(ChemProps!C82*(SiteCalcs!$H$28^3.33/DATENTER!$D$53^2))+((ChemProps!D82/ChemCalcs!D82)*(DATENTER!$E$53^3.33/DATENTER!$D$53^2)))</f>
        <v>0</v>
      </c>
      <c r="G82" s="135">
        <f>IF(DATENTER!$D$28=0,0,(ChemProps!C82*(SiteCalcs!$J$28^3.33/DATENTER!$D$65^2))+((ChemProps!D82/ChemCalcs!D82)*(DATENTER!$E$65^3.33/DATENTER!$D$65^2)))</f>
        <v>0</v>
      </c>
      <c r="H82" s="135">
        <f>IF((VLOOKUP(A82,Props,3,FALSE))=0,0,((VLOOKUP(A82,Props,3,FALSE))*(SiteCalcs!$D$19^3.33/SiteCalcs!$C$19^2))+(((VLOOKUP(A82,Props,4,FALSE))/ChemCalcs!D82)*(SiteCalcs!$E$19^3.33/SiteCalcs!$C$19^2)))</f>
        <v>0.19600239835305322</v>
      </c>
      <c r="I82" s="205">
        <f>IF(AND(E82&gt;0,F82&gt;0,G82&gt;0),SiteCalcs!$B$11/(((IF(SiteCalcs!$B$11=1,1,DATENTER!$B$28-DATENTER!$B$14))/E82)+(DATENTER!$C$28/F82)+((DATENTER!$D$28-SiteCalcs!$B$19)/G82)+(SiteCalcs!$B$19/H82)),IF(AND(E82&gt;0,F82&gt;0,G82=0),SiteCalcs!$B$11/(((IF(SiteCalcs!$B$11=1,1,DATENTER!$B$28-DATENTER!$B$14))/E82)+((DATENTER!$C$28-SiteCalcs!$B$19)/F82)+(SiteCalcs!$B$19/H82)),IF(AND(E82&gt;0,F82=0,G82=0),SiteCalcs!$B$11/(((IF(SiteCalcs!$B$11=1,1,DATENTER!$B$28-DATENTER!$B$14)-SiteCalcs!$B$19)/E82)+(SiteCalcs!$B$19/H82)))))</f>
        <v>1.0543697851589158E-2</v>
      </c>
      <c r="J82" s="135">
        <f>ChemCalcs!E82</f>
        <v>4.6965073650912176E-3</v>
      </c>
      <c r="K82" s="260">
        <f>IF(DATENTER!$B$78="","ERROR",EXP((SiteCalcs!$L$11*DATENTER!$B$78)/(ChemCalcs!J82*SiteCalcs!$M$11)))</f>
        <v>1.4460956474415482E+237</v>
      </c>
      <c r="L82" s="206">
        <f>IF(ISERROR(K82),((ChemCalcs!I82*SiteCalcs!$E$11)/(SiteCalcs!$D$11*SiteCalcs!$B$11))/(((ChemCalcs!I82*SiteCalcs!$E$11)/(SiteCalcs!$L$11*SiteCalcs!$B$11))+1),(((ChemCalcs!I82*SiteCalcs!$E$11)/(SiteCalcs!$D$11*SiteCalcs!$B$11))*EXP((SiteCalcs!$L$11*DATENTER!$B$78)/(ChemCalcs!J82*SiteCalcs!$M$11)))/(EXP((SiteCalcs!$L$11*DATENTER!$B$78)/(ChemCalcs!J82*SiteCalcs!$M$11))+((ChemCalcs!I82*SiteCalcs!$E$11)/(SiteCalcs!$D$11*SiteCalcs!$B$11))+((ChemCalcs!I82*SiteCalcs!$E$11)/(SiteCalcs!$L$11*SiteCalcs!$B$11))*(EXP((SiteCalcs!$L$11*DATENTER!$B$78)/(ChemCalcs!J82*SiteCalcs!$M$11))-1)))</f>
        <v>1.046396719046507E-3</v>
      </c>
    </row>
    <row r="83" spans="1:12" x14ac:dyDescent="0.25">
      <c r="A83" s="172" t="s">
        <v>288</v>
      </c>
      <c r="B83" s="136">
        <f>IF((VLOOKUP(A83,Props,10,FALSE))=0,0,IF((VLOOKUP(A83,Props,9,FALSE))/(VLOOKUP(A83,Props,10,FALSE))&lt;0.57,(VLOOKUP(A83,Props,8,FALSE))*((1-((DATENTER!$D$14+273.15)/(VLOOKUP(A83,Props,10,FALSE))))/(1-((VLOOKUP(A83,Props,9,FALSE))/(VLOOKUP(A83,Props,10,FALSE)))))^0.3,IF(AND((VLOOKUP(A83,Props,9,FALSE))/(VLOOKUP(A83,Props,10,FALSE))&gt;=0.57,(VLOOKUP(A83,Props,9,FALSE))/(VLOOKUP(A83,Props,10,FALSE))&lt;=0.71),(VLOOKUP(A83,Props,8,FALSE))*((1-((DATENTER!$D$14+273.15)/(VLOOKUP(A83,Props,10,FALSE))))/(1-((VLOOKUP(A83,Props,9,FALSE))/(VLOOKUP(A83,Props,10,FALSE)))))^(0.74*((VLOOKUP(A83,Props,9,FALSE))/(VLOOKUP(A83,Props,10,FALSE)))-0.116),(VLOOKUP(A83,Props,8,FALSE))*((1-((DATENTER!$D$14+273.15)/(VLOOKUP(A83,Props,10,FALSE))))/(1-((VLOOKUP(A83,Props,9,FALSE))/(VLOOKUP(A83,Props,10,FALSE)))))^0.41)))</f>
        <v>8614.4839040954648</v>
      </c>
      <c r="C83" s="135">
        <f>EXP(-1*((B83/1.9872)*((1/(DATENTER!$D$14+273.15))-(1/((VLOOKUP(A83,Props,7,FALSE))+273.15)))))*(VLOOKUP(A83,Props,6,FALSE))</f>
        <v>2.633905154667136E-5</v>
      </c>
      <c r="D83" s="135">
        <f>IF(DATENTER!$D$14="",0,C83/(0.00008206*(DATENTER!$D$14+273.15)))</f>
        <v>1.1335796833287233E-3</v>
      </c>
      <c r="E83" s="135">
        <f>IF((VLOOKUP(A83,Props,3,FALSE))=0,0,((VLOOKUP(A83,Props,3,FALSE))*(SiteCalcs!$B$28^3.33/DATENTER!$G$41^2))+(((VLOOKUP(A83,Props,4,FALSE))/ChemCalcs!D83)*(DATENTER!$H$41^3.33/DATENTER!$G$41^2)))</f>
        <v>1.5947583674606473E-2</v>
      </c>
      <c r="F83" s="135">
        <f>IF(DATENTER!$C$28=0,0,(ChemProps!C83*(SiteCalcs!$H$28^3.33/DATENTER!$D$53^2))+((ChemProps!D83/ChemCalcs!D83)*(DATENTER!$E$53^3.33/DATENTER!$D$53^2)))</f>
        <v>0</v>
      </c>
      <c r="G83" s="135">
        <f>IF(DATENTER!$D$28=0,0,(ChemProps!C83*(SiteCalcs!$J$28^3.33/DATENTER!$D$65^2))+((ChemProps!D83/ChemCalcs!D83)*(DATENTER!$E$65^3.33/DATENTER!$D$65^2)))</f>
        <v>0</v>
      </c>
      <c r="H83" s="135">
        <f>IF((VLOOKUP(A83,Props,3,FALSE))=0,0,((VLOOKUP(A83,Props,3,FALSE))*(SiteCalcs!$D$19^3.33/SiteCalcs!$C$19^2))+(((VLOOKUP(A83,Props,4,FALSE))/ChemCalcs!D83)*(SiteCalcs!$E$19^3.33/SiteCalcs!$C$19^2)))</f>
        <v>1.8445337680131624E-3</v>
      </c>
      <c r="I83" s="205">
        <f>IF(AND(E83&gt;0,F83&gt;0,G83&gt;0),SiteCalcs!$B$11/(((IF(SiteCalcs!$B$11=1,1,DATENTER!$B$28-DATENTER!$B$14))/E83)+(DATENTER!$C$28/F83)+((DATENTER!$D$28-SiteCalcs!$B$19)/G83)+(SiteCalcs!$B$19/H83)),IF(AND(E83&gt;0,F83&gt;0,G83=0),SiteCalcs!$B$11/(((IF(SiteCalcs!$B$11=1,1,DATENTER!$B$28-DATENTER!$B$14))/E83)+((DATENTER!$C$28-SiteCalcs!$B$19)/F83)+(SiteCalcs!$B$19/H83)),IF(AND(E83&gt;0,F83=0,G83=0),SiteCalcs!$B$11/(((IF(SiteCalcs!$B$11=1,1,DATENTER!$B$28-DATENTER!$B$14)-SiteCalcs!$B$19)/E83)+(SiteCalcs!$B$19/H83)))))</f>
        <v>2.9840697706597355E-3</v>
      </c>
      <c r="J83" s="135">
        <f>ChemCalcs!E83</f>
        <v>1.5947583674606473E-2</v>
      </c>
      <c r="K83" s="260">
        <f>IF(DATENTER!$B$78="","ERROR",EXP((SiteCalcs!$L$11*DATENTER!$B$78)/(ChemCalcs!J83*SiteCalcs!$M$11)))</f>
        <v>6.9637766010360798E+69</v>
      </c>
      <c r="L83" s="206">
        <f>IF(ISERROR(K83),((ChemCalcs!I83*SiteCalcs!$E$11)/(SiteCalcs!$D$11*SiteCalcs!$B$11))/(((ChemCalcs!I83*SiteCalcs!$E$11)/(SiteCalcs!$L$11*SiteCalcs!$B$11))+1),(((ChemCalcs!I83*SiteCalcs!$E$11)/(SiteCalcs!$D$11*SiteCalcs!$B$11))*EXP((SiteCalcs!$L$11*DATENTER!$B$78)/(ChemCalcs!J83*SiteCalcs!$M$11)))/(EXP((SiteCalcs!$L$11*DATENTER!$B$78)/(ChemCalcs!J83*SiteCalcs!$M$11))+((ChemCalcs!I83*SiteCalcs!$E$11)/(SiteCalcs!$D$11*SiteCalcs!$B$11))+((ChemCalcs!I83*SiteCalcs!$E$11)/(SiteCalcs!$L$11*SiteCalcs!$B$11))*(EXP((SiteCalcs!$L$11*DATENTER!$B$78)/(ChemCalcs!J83*SiteCalcs!$M$11))-1)))</f>
        <v>8.2970745866840561E-4</v>
      </c>
    </row>
    <row r="84" spans="1:12" x14ac:dyDescent="0.25">
      <c r="A84" s="172" t="s">
        <v>289</v>
      </c>
      <c r="B84" s="136">
        <f>IF((VLOOKUP(A84,Props,10,FALSE))=0,0,IF((VLOOKUP(A84,Props,9,FALSE))/(VLOOKUP(A84,Props,10,FALSE))&lt;0.57,(VLOOKUP(A84,Props,8,FALSE))*((1-((DATENTER!$D$14+273.15)/(VLOOKUP(A84,Props,10,FALSE))))/(1-((VLOOKUP(A84,Props,9,FALSE))/(VLOOKUP(A84,Props,10,FALSE)))))^0.3,IF(AND((VLOOKUP(A84,Props,9,FALSE))/(VLOOKUP(A84,Props,10,FALSE))&gt;=0.57,(VLOOKUP(A84,Props,9,FALSE))/(VLOOKUP(A84,Props,10,FALSE))&lt;=0.71),(VLOOKUP(A84,Props,8,FALSE))*((1-((DATENTER!$D$14+273.15)/(VLOOKUP(A84,Props,10,FALSE))))/(1-((VLOOKUP(A84,Props,9,FALSE))/(VLOOKUP(A84,Props,10,FALSE)))))^(0.74*((VLOOKUP(A84,Props,9,FALSE))/(VLOOKUP(A84,Props,10,FALSE)))-0.116),(VLOOKUP(A84,Props,8,FALSE))*((1-((DATENTER!$D$14+273.15)/(VLOOKUP(A84,Props,10,FALSE))))/(1-((VLOOKUP(A84,Props,9,FALSE))/(VLOOKUP(A84,Props,10,FALSE)))))^0.41)))</f>
        <v>10314.899400014103</v>
      </c>
      <c r="C84" s="135">
        <f>EXP(-1*((B84/1.9872)*((1/(DATENTER!$D$14+273.15))-(1/((VLOOKUP(A84,Props,7,FALSE))+273.15)))))*(VLOOKUP(A84,Props,6,FALSE))</f>
        <v>5.487032142863571E-5</v>
      </c>
      <c r="D84" s="135">
        <f>IF(DATENTER!$D$14="",0,C84/(0.00008206*(DATENTER!$D$14+273.15)))</f>
        <v>2.3615080246531784E-3</v>
      </c>
      <c r="E84" s="135">
        <f>IF((VLOOKUP(A84,Props,3,FALSE))=0,0,((VLOOKUP(A84,Props,3,FALSE))*(SiteCalcs!$B$28^3.33/DATENTER!$G$41^2))+(((VLOOKUP(A84,Props,4,FALSE))/ChemCalcs!D84)*(DATENTER!$H$41^3.33/DATENTER!$G$41^2)))</f>
        <v>1.4800651668587112E-2</v>
      </c>
      <c r="F84" s="135">
        <f>IF(DATENTER!$C$28=0,0,(ChemProps!C84*(SiteCalcs!$H$28^3.33/DATENTER!$D$53^2))+((ChemProps!D84/ChemCalcs!D84)*(DATENTER!$E$53^3.33/DATENTER!$D$53^2)))</f>
        <v>0</v>
      </c>
      <c r="G84" s="135">
        <f>IF(DATENTER!$D$28=0,0,(ChemProps!C84*(SiteCalcs!$J$28^3.33/DATENTER!$D$65^2))+((ChemProps!D84/ChemCalcs!D84)*(DATENTER!$E$65^3.33/DATENTER!$D$65^2)))</f>
        <v>0</v>
      </c>
      <c r="H84" s="135">
        <f>IF((VLOOKUP(A84,Props,3,FALSE))=0,0,((VLOOKUP(A84,Props,3,FALSE))*(SiteCalcs!$D$19^3.33/SiteCalcs!$C$19^2))+(((VLOOKUP(A84,Props,4,FALSE))/ChemCalcs!D84)*(SiteCalcs!$E$19^3.33/SiteCalcs!$C$19^2)))</f>
        <v>1.4484828844797636E-3</v>
      </c>
      <c r="I84" s="205">
        <f>IF(AND(E84&gt;0,F84&gt;0,G84&gt;0),SiteCalcs!$B$11/(((IF(SiteCalcs!$B$11=1,1,DATENTER!$B$28-DATENTER!$B$14))/E84)+(DATENTER!$C$28/F84)+((DATENTER!$D$28-SiteCalcs!$B$19)/G84)+(SiteCalcs!$B$19/H84)),IF(AND(E84&gt;0,F84&gt;0,G84=0),SiteCalcs!$B$11/(((IF(SiteCalcs!$B$11=1,1,DATENTER!$B$28-DATENTER!$B$14))/E84)+((DATENTER!$C$28-SiteCalcs!$B$19)/F84)+(SiteCalcs!$B$19/H84)),IF(AND(E84&gt;0,F84=0,G84=0),SiteCalcs!$B$11/(((IF(SiteCalcs!$B$11=1,1,DATENTER!$B$28-DATENTER!$B$14)-SiteCalcs!$B$19)/E84)+(SiteCalcs!$B$19/H84)))))</f>
        <v>2.3728419753392634E-3</v>
      </c>
      <c r="J84" s="135">
        <f>ChemCalcs!E84</f>
        <v>1.4800651668587112E-2</v>
      </c>
      <c r="K84" s="260">
        <f>IF(DATENTER!$B$78="","ERROR",EXP((SiteCalcs!$L$11*DATENTER!$B$78)/(ChemCalcs!J84*SiteCalcs!$M$11)))</f>
        <v>1.7993105350985932E+75</v>
      </c>
      <c r="L84" s="206">
        <f>IF(ISERROR(K84),((ChemCalcs!I84*SiteCalcs!$E$11)/(SiteCalcs!$D$11*SiteCalcs!$B$11))/(((ChemCalcs!I84*SiteCalcs!$E$11)/(SiteCalcs!$L$11*SiteCalcs!$B$11))+1),(((ChemCalcs!I84*SiteCalcs!$E$11)/(SiteCalcs!$D$11*SiteCalcs!$B$11))*EXP((SiteCalcs!$L$11*DATENTER!$B$78)/(ChemCalcs!J84*SiteCalcs!$M$11)))/(EXP((SiteCalcs!$L$11*DATENTER!$B$78)/(ChemCalcs!J84*SiteCalcs!$M$11))+((ChemCalcs!I84*SiteCalcs!$E$11)/(SiteCalcs!$D$11*SiteCalcs!$B$11))+((ChemCalcs!I84*SiteCalcs!$E$11)/(SiteCalcs!$L$11*SiteCalcs!$B$11))*(EXP((SiteCalcs!$L$11*DATENTER!$B$78)/(ChemCalcs!J84*SiteCalcs!$M$11))-1)))</f>
        <v>7.722525460942735E-4</v>
      </c>
    </row>
    <row r="85" spans="1:12" x14ac:dyDescent="0.25">
      <c r="A85" s="172" t="s">
        <v>290</v>
      </c>
      <c r="B85" s="136">
        <f>IF((VLOOKUP(A85,Props,10,FALSE))=0,0,IF((VLOOKUP(A85,Props,9,FALSE))/(VLOOKUP(A85,Props,10,FALSE))&lt;0.57,(VLOOKUP(A85,Props,8,FALSE))*((1-((DATENTER!$D$14+273.15)/(VLOOKUP(A85,Props,10,FALSE))))/(1-((VLOOKUP(A85,Props,9,FALSE))/(VLOOKUP(A85,Props,10,FALSE)))))^0.3,IF(AND((VLOOKUP(A85,Props,9,FALSE))/(VLOOKUP(A85,Props,10,FALSE))&gt;=0.57,(VLOOKUP(A85,Props,9,FALSE))/(VLOOKUP(A85,Props,10,FALSE))&lt;=0.71),(VLOOKUP(A85,Props,8,FALSE))*((1-((DATENTER!$D$14+273.15)/(VLOOKUP(A85,Props,10,FALSE))))/(1-((VLOOKUP(A85,Props,9,FALSE))/(VLOOKUP(A85,Props,10,FALSE)))))^(0.74*((VLOOKUP(A85,Props,9,FALSE))/(VLOOKUP(A85,Props,10,FALSE)))-0.116),(VLOOKUP(A85,Props,8,FALSE))*((1-((DATENTER!$D$14+273.15)/(VLOOKUP(A85,Props,10,FALSE))))/(1-((VLOOKUP(A85,Props,9,FALSE))/(VLOOKUP(A85,Props,10,FALSE)))))^0.41)))</f>
        <v>0</v>
      </c>
      <c r="C85" s="135">
        <f>(VLOOKUP(A85,Props,6,FALSE))/2</f>
        <v>0</v>
      </c>
      <c r="D85" s="135">
        <f>IF(DATENTER!$D$14="",0,C85/(0.00008206*(DATENTER!$D$14+273.15)))</f>
        <v>0</v>
      </c>
      <c r="E85" s="135">
        <f>IF((VLOOKUP(A85,Props,3,FALSE))=0,0,((VLOOKUP(A85,Props,3,FALSE))*(SiteCalcs!$B$28^3.33/DATENTER!$G$41^2))+(((VLOOKUP(A85,Props,4,FALSE))/ChemCalcs!D85)*(DATENTER!$H$41^3.33/DATENTER!$G$41^2)))</f>
        <v>0</v>
      </c>
      <c r="F85" s="135"/>
      <c r="G85" s="135"/>
      <c r="H85" s="135">
        <f>IF((VLOOKUP(A85,Props,3,FALSE))=0,0,((VLOOKUP(A85,Props,3,FALSE))*(SiteCalcs!$D$19^3.33/SiteCalcs!$C$19^2))+(((VLOOKUP(A85,Props,4,FALSE))/ChemCalcs!D85)*(SiteCalcs!$E$19^3.33/SiteCalcs!$C$19^2)))</f>
        <v>0</v>
      </c>
      <c r="I85" s="205"/>
      <c r="J85" s="135"/>
      <c r="K85" s="260"/>
      <c r="L85" s="206"/>
    </row>
    <row r="86" spans="1:12" x14ac:dyDescent="0.25">
      <c r="A86" s="172" t="s">
        <v>291</v>
      </c>
      <c r="B86" s="136">
        <f>IF((VLOOKUP(A86,Props,10,FALSE))=0,0,IF((VLOOKUP(A86,Props,9,FALSE))/(VLOOKUP(A86,Props,10,FALSE))&lt;0.57,(VLOOKUP(A86,Props,8,FALSE))*((1-((DATENTER!$D$14+273.15)/(VLOOKUP(A86,Props,10,FALSE))))/(1-((VLOOKUP(A86,Props,9,FALSE))/(VLOOKUP(A86,Props,10,FALSE)))))^0.3,IF(AND((VLOOKUP(A86,Props,9,FALSE))/(VLOOKUP(A86,Props,10,FALSE))&gt;=0.57,(VLOOKUP(A86,Props,9,FALSE))/(VLOOKUP(A86,Props,10,FALSE))&lt;=0.71),(VLOOKUP(A86,Props,8,FALSE))*((1-((DATENTER!$D$14+273.15)/(VLOOKUP(A86,Props,10,FALSE))))/(1-((VLOOKUP(A86,Props,9,FALSE))/(VLOOKUP(A86,Props,10,FALSE)))))^(0.74*((VLOOKUP(A86,Props,9,FALSE))/(VLOOKUP(A86,Props,10,FALSE)))-0.116),(VLOOKUP(A86,Props,8,FALSE))*((1-((DATENTER!$D$14+273.15)/(VLOOKUP(A86,Props,10,FALSE))))/(1-((VLOOKUP(A86,Props,9,FALSE))/(VLOOKUP(A86,Props,10,FALSE)))))^0.41)))</f>
        <v>7848.9234946446886</v>
      </c>
      <c r="C86" s="135">
        <f>EXP(-1*((B86/1.9872)*((1/(DATENTER!$D$14+273.15))-(1/((VLOOKUP(A86,Props,7,FALSE))+273.15)))))*(VLOOKUP(A86,Props,6,FALSE))</f>
        <v>2.9097368871059933E-4</v>
      </c>
      <c r="D86" s="135">
        <f>IF(DATENTER!$D$14="",0,C86/(0.00008206*(DATENTER!$D$14+273.15)))</f>
        <v>1.2522921006517258E-2</v>
      </c>
      <c r="E86" s="135">
        <f>IF((VLOOKUP(A86,Props,3,FALSE))=0,0,((VLOOKUP(A86,Props,3,FALSE))*(SiteCalcs!$B$28^3.33/DATENTER!$G$41^2))+(((VLOOKUP(A86,Props,4,FALSE))/ChemCalcs!D86)*(DATENTER!$H$41^3.33/DATENTER!$G$41^2)))</f>
        <v>4.6797960565628108E-4</v>
      </c>
      <c r="F86" s="135">
        <f>IF(DATENTER!$C$28=0,0,(ChemProps!C86*(SiteCalcs!$H$28^3.33/DATENTER!$D$53^2))+((ChemProps!D86/ChemCalcs!D86)*(DATENTER!$E$53^3.33/DATENTER!$D$53^2)))</f>
        <v>0</v>
      </c>
      <c r="G86" s="135">
        <f>IF(DATENTER!$D$28=0,0,(ChemProps!C86*(SiteCalcs!$J$28^3.33/DATENTER!$D$65^2))+((ChemProps!D86/ChemCalcs!D86)*(DATENTER!$E$65^3.33/DATENTER!$D$65^2)))</f>
        <v>0</v>
      </c>
      <c r="H86" s="135">
        <f>IF((VLOOKUP(A86,Props,3,FALSE))=0,0,((VLOOKUP(A86,Props,3,FALSE))*(SiteCalcs!$D$19^3.33/SiteCalcs!$C$19^2))+(((VLOOKUP(A86,Props,4,FALSE))/ChemCalcs!D86)*(SiteCalcs!$E$19^3.33/SiteCalcs!$C$19^2)))</f>
        <v>7.8431499068399273E-5</v>
      </c>
      <c r="I86" s="205">
        <f>IF(AND(E86&gt;0,F86&gt;0,G86&gt;0),SiteCalcs!$B$11/(((IF(SiteCalcs!$B$11=1,1,DATENTER!$B$28-DATENTER!$B$14))/E86)+(DATENTER!$C$28/F86)+((DATENTER!$D$28-SiteCalcs!$B$19)/G86)+(SiteCalcs!$B$19/H86)),IF(AND(E86&gt;0,F86&gt;0,G86=0),SiteCalcs!$B$11/(((IF(SiteCalcs!$B$11=1,1,DATENTER!$B$28-DATENTER!$B$14))/E86)+((DATENTER!$C$28-SiteCalcs!$B$19)/F86)+(SiteCalcs!$B$19/H86)),IF(AND(E86&gt;0,F86=0,G86=0),SiteCalcs!$B$11/(((IF(SiteCalcs!$B$11=1,1,DATENTER!$B$28-DATENTER!$B$14)-SiteCalcs!$B$19)/E86)+(SiteCalcs!$B$19/H86)))))</f>
        <v>1.2244345520939296E-4</v>
      </c>
      <c r="J86" s="135">
        <f>ChemCalcs!E86</f>
        <v>4.6797960565628108E-4</v>
      </c>
      <c r="K86" s="260" t="e">
        <f>IF(DATENTER!$B$78="","ERROR",EXP((SiteCalcs!$L$11*DATENTER!$B$78)/(ChemCalcs!J86*SiteCalcs!$M$11)))</f>
        <v>#NUM!</v>
      </c>
      <c r="L86" s="206">
        <f>IF(ISERROR(K86),((ChemCalcs!I86*SiteCalcs!$E$11)/(SiteCalcs!$D$11*SiteCalcs!$B$11))/(((ChemCalcs!I86*SiteCalcs!$E$11)/(SiteCalcs!$L$11*SiteCalcs!$B$11))+1),(((ChemCalcs!I86*SiteCalcs!$E$11)/(SiteCalcs!$D$11*SiteCalcs!$B$11))*EXP((SiteCalcs!$L$11*DATENTER!$B$78)/(ChemCalcs!J86*SiteCalcs!$M$11)))/(EXP((SiteCalcs!$L$11*DATENTER!$B$78)/(ChemCalcs!J86*SiteCalcs!$M$11))+((ChemCalcs!I86*SiteCalcs!$E$11)/(SiteCalcs!$D$11*SiteCalcs!$B$11))+((ChemCalcs!I86*SiteCalcs!$E$11)/(SiteCalcs!$L$11*SiteCalcs!$B$11))*(EXP((SiteCalcs!$L$11*DATENTER!$B$78)/(ChemCalcs!J86*SiteCalcs!$M$11))-1)))</f>
        <v>1.0705749994859779E-4</v>
      </c>
    </row>
    <row r="87" spans="1:12" x14ac:dyDescent="0.25">
      <c r="A87" s="172" t="s">
        <v>292</v>
      </c>
      <c r="B87" s="136">
        <f>IF((VLOOKUP(A87,Props,10,FALSE))=0,0,IF((VLOOKUP(A87,Props,9,FALSE))/(VLOOKUP(A87,Props,10,FALSE))&lt;0.57,(VLOOKUP(A87,Props,8,FALSE))*((1-((DATENTER!$D$14+273.15)/(VLOOKUP(A87,Props,10,FALSE))))/(1-((VLOOKUP(A87,Props,9,FALSE))/(VLOOKUP(A87,Props,10,FALSE)))))^0.3,IF(AND((VLOOKUP(A87,Props,9,FALSE))/(VLOOKUP(A87,Props,10,FALSE))&gt;=0.57,(VLOOKUP(A87,Props,9,FALSE))/(VLOOKUP(A87,Props,10,FALSE))&lt;=0.71),(VLOOKUP(A87,Props,8,FALSE))*((1-((DATENTER!$D$14+273.15)/(VLOOKUP(A87,Props,10,FALSE))))/(1-((VLOOKUP(A87,Props,9,FALSE))/(VLOOKUP(A87,Props,10,FALSE)))))^(0.74*((VLOOKUP(A87,Props,9,FALSE))/(VLOOKUP(A87,Props,10,FALSE)))-0.116),(VLOOKUP(A87,Props,8,FALSE))*((1-((DATENTER!$D$14+273.15)/(VLOOKUP(A87,Props,10,FALSE))))/(1-((VLOOKUP(A87,Props,9,FALSE))/(VLOOKUP(A87,Props,10,FALSE)))))^0.41)))</f>
        <v>13955.155488675988</v>
      </c>
      <c r="C87" s="135">
        <f>EXP(-1*((B87/1.9872)*((1/(DATENTER!$D$14+273.15))-(1/((VLOOKUP(A87,Props,7,FALSE))+273.15)))))*(VLOOKUP(A87,Props,6,FALSE))</f>
        <v>1.4874147346202987E-4</v>
      </c>
      <c r="D87" s="135">
        <f>IF(DATENTER!$D$14="",0,C87/(0.00008206*(DATENTER!$D$14+273.15)))</f>
        <v>6.4015331792098605E-3</v>
      </c>
      <c r="E87" s="135">
        <f>IF((VLOOKUP(A87,Props,3,FALSE))=0,0,((VLOOKUP(A87,Props,3,FALSE))*(SiteCalcs!$B$28^3.33/DATENTER!$G$41^2))+(((VLOOKUP(A87,Props,4,FALSE))/ChemCalcs!D87)*(DATENTER!$H$41^3.33/DATENTER!$G$41^2)))</f>
        <v>1.2412053627848658E-2</v>
      </c>
      <c r="F87" s="135">
        <f>IF(DATENTER!$C$28=0,0,(ChemProps!C87*(SiteCalcs!$H$28^3.33/DATENTER!$D$53^2))+((ChemProps!D87/ChemCalcs!D87)*(DATENTER!$E$53^3.33/DATENTER!$D$53^2)))</f>
        <v>0</v>
      </c>
      <c r="G87" s="135">
        <f>IF(DATENTER!$D$28=0,0,(ChemProps!C87*(SiteCalcs!$J$28^3.33/DATENTER!$D$65^2))+((ChemProps!D87/ChemCalcs!D87)*(DATENTER!$E$65^3.33/DATENTER!$D$65^2)))</f>
        <v>0</v>
      </c>
      <c r="H87" s="135">
        <f>IF((VLOOKUP(A87,Props,3,FALSE))=0,0,((VLOOKUP(A87,Props,3,FALSE))*(SiteCalcs!$D$19^3.33/SiteCalcs!$C$19^2))+(((VLOOKUP(A87,Props,4,FALSE))/ChemCalcs!D87)*(SiteCalcs!$E$19^3.33/SiteCalcs!$C$19^2)))</f>
        <v>1.1229206501488815E-3</v>
      </c>
      <c r="I87" s="205">
        <f>IF(AND(E87&gt;0,F87&gt;0,G87&gt;0),SiteCalcs!$B$11/(((IF(SiteCalcs!$B$11=1,1,DATENTER!$B$28-DATENTER!$B$14))/E87)+(DATENTER!$C$28/F87)+((DATENTER!$D$28-SiteCalcs!$B$19)/G87)+(SiteCalcs!$B$19/H87)),IF(AND(E87&gt;0,F87&gt;0,G87=0),SiteCalcs!$B$11/(((IF(SiteCalcs!$B$11=1,1,DATENTER!$B$28-DATENTER!$B$14))/E87)+((DATENTER!$C$28-SiteCalcs!$B$19)/F87)+(SiteCalcs!$B$19/H87)),IF(AND(E87&gt;0,F87=0,G87=0),SiteCalcs!$B$11/(((IF(SiteCalcs!$B$11=1,1,DATENTER!$B$28-DATENTER!$B$14)-SiteCalcs!$B$19)/E87)+(SiteCalcs!$B$19/H87)))))</f>
        <v>1.8491946532544418E-3</v>
      </c>
      <c r="J87" s="135">
        <f>ChemCalcs!E87</f>
        <v>1.2412053627848658E-2</v>
      </c>
      <c r="K87" s="260">
        <f>IF(DATENTER!$B$78="","ERROR",EXP((SiteCalcs!$L$11*DATENTER!$B$78)/(ChemCalcs!J87*SiteCalcs!$M$11)))</f>
        <v>5.4617875591504825E+89</v>
      </c>
      <c r="L87" s="206">
        <f>IF(ISERROR(K87),((ChemCalcs!I87*SiteCalcs!$E$11)/(SiteCalcs!$D$11*SiteCalcs!$B$11))/(((ChemCalcs!I87*SiteCalcs!$E$11)/(SiteCalcs!$L$11*SiteCalcs!$B$11))+1),(((ChemCalcs!I87*SiteCalcs!$E$11)/(SiteCalcs!$D$11*SiteCalcs!$B$11))*EXP((SiteCalcs!$L$11*DATENTER!$B$78)/(ChemCalcs!J87*SiteCalcs!$M$11)))/(EXP((SiteCalcs!$L$11*DATENTER!$B$78)/(ChemCalcs!J87*SiteCalcs!$M$11))+((ChemCalcs!I87*SiteCalcs!$E$11)/(SiteCalcs!$D$11*SiteCalcs!$B$11))+((ChemCalcs!I87*SiteCalcs!$E$11)/(SiteCalcs!$L$11*SiteCalcs!$B$11))*(EXP((SiteCalcs!$L$11*DATENTER!$B$78)/(ChemCalcs!J87*SiteCalcs!$M$11))-1)))</f>
        <v>7.0478130694887119E-4</v>
      </c>
    </row>
    <row r="88" spans="1:12" x14ac:dyDescent="0.25">
      <c r="A88" s="172" t="s">
        <v>293</v>
      </c>
      <c r="B88" s="136">
        <f>IF((VLOOKUP(A88,Props,10,FALSE))=0,0,IF((VLOOKUP(A88,Props,9,FALSE))/(VLOOKUP(A88,Props,10,FALSE))&lt;0.57,(VLOOKUP(A88,Props,8,FALSE))*((1-((DATENTER!$D$14+273.15)/(VLOOKUP(A88,Props,10,FALSE))))/(1-((VLOOKUP(A88,Props,9,FALSE))/(VLOOKUP(A88,Props,10,FALSE)))))^0.3,IF(AND((VLOOKUP(A88,Props,9,FALSE))/(VLOOKUP(A88,Props,10,FALSE))&gt;=0.57,(VLOOKUP(A88,Props,9,FALSE))/(VLOOKUP(A88,Props,10,FALSE))&lt;=0.71),(VLOOKUP(A88,Props,8,FALSE))*((1-((DATENTER!$D$14+273.15)/(VLOOKUP(A88,Props,10,FALSE))))/(1-((VLOOKUP(A88,Props,9,FALSE))/(VLOOKUP(A88,Props,10,FALSE)))))^(0.74*((VLOOKUP(A88,Props,9,FALSE))/(VLOOKUP(A88,Props,10,FALSE)))-0.116),(VLOOKUP(A88,Props,8,FALSE))*((1-((DATENTER!$D$14+273.15)/(VLOOKUP(A88,Props,10,FALSE))))/(1-((VLOOKUP(A88,Props,9,FALSE))/(VLOOKUP(A88,Props,10,FALSE)))))^0.41)))</f>
        <v>12912.631111765295</v>
      </c>
      <c r="C88" s="135">
        <f>EXP(-1*((B88/1.9872)*((1/(DATENTER!$D$14+273.15))-(1/((VLOOKUP(A88,Props,7,FALSE))+273.15)))))*(VLOOKUP(A88,Props,6,FALSE))</f>
        <v>1.3868760121724593E-4</v>
      </c>
      <c r="D88" s="135">
        <f>IF(DATENTER!$D$14="",0,C88/(0.00008206*(DATENTER!$D$14+273.15)))</f>
        <v>5.9688347847640698E-3</v>
      </c>
      <c r="E88" s="135">
        <f>IF((VLOOKUP(A88,Props,3,FALSE))=0,0,((VLOOKUP(A88,Props,3,FALSE))*(SiteCalcs!$B$28^3.33/DATENTER!$G$41^2))+(((VLOOKUP(A88,Props,4,FALSE))/ChemCalcs!D88)*(DATENTER!$H$41^3.33/DATENTER!$G$41^2)))</f>
        <v>1.1642559873321792E-2</v>
      </c>
      <c r="F88" s="135">
        <f>IF(DATENTER!$C$28=0,0,(ChemProps!C88*(SiteCalcs!$H$28^3.33/DATENTER!$D$53^2))+((ChemProps!D88/ChemCalcs!D88)*(DATENTER!$E$53^3.33/DATENTER!$D$53^2)))</f>
        <v>0</v>
      </c>
      <c r="G88" s="135">
        <f>IF(DATENTER!$D$28=0,0,(ChemProps!C88*(SiteCalcs!$J$28^3.33/DATENTER!$D$65^2))+((ChemProps!D88/ChemCalcs!D88)*(DATENTER!$E$65^3.33/DATENTER!$D$65^2)))</f>
        <v>0</v>
      </c>
      <c r="H88" s="135">
        <f>IF((VLOOKUP(A88,Props,3,FALSE))=0,0,((VLOOKUP(A88,Props,3,FALSE))*(SiteCalcs!$D$19^3.33/SiteCalcs!$C$19^2))+(((VLOOKUP(A88,Props,4,FALSE))/ChemCalcs!D88)*(SiteCalcs!$E$19^3.33/SiteCalcs!$C$19^2)))</f>
        <v>1.0645491774066971E-3</v>
      </c>
      <c r="I88" s="205">
        <f>IF(AND(E88&gt;0,F88&gt;0,G88&gt;0),SiteCalcs!$B$11/(((IF(SiteCalcs!$B$11=1,1,DATENTER!$B$28-DATENTER!$B$14))/E88)+(DATENTER!$C$28/F88)+((DATENTER!$D$28-SiteCalcs!$B$19)/G88)+(SiteCalcs!$B$19/H88)),IF(AND(E88&gt;0,F88&gt;0,G88=0),SiteCalcs!$B$11/(((IF(SiteCalcs!$B$11=1,1,DATENTER!$B$28-DATENTER!$B$14))/E88)+((DATENTER!$C$28-SiteCalcs!$B$19)/F88)+(SiteCalcs!$B$19/H88)),IF(AND(E88&gt;0,F88=0,G88=0),SiteCalcs!$B$11/(((IF(SiteCalcs!$B$11=1,1,DATENTER!$B$28-DATENTER!$B$14)-SiteCalcs!$B$19)/E88)+(SiteCalcs!$B$19/H88)))))</f>
        <v>1.7518669285062206E-3</v>
      </c>
      <c r="J88" s="135">
        <f>ChemCalcs!E88</f>
        <v>1.1642559873321792E-2</v>
      </c>
      <c r="K88" s="260">
        <f>IF(DATENTER!$B$78="","ERROR",EXP((SiteCalcs!$L$11*DATENTER!$B$78)/(ChemCalcs!J88*SiteCalcs!$M$11)))</f>
        <v>4.6597244308743981E+95</v>
      </c>
      <c r="L88" s="206">
        <f>IF(ISERROR(K88),((ChemCalcs!I88*SiteCalcs!$E$11)/(SiteCalcs!$D$11*SiteCalcs!$B$11))/(((ChemCalcs!I88*SiteCalcs!$E$11)/(SiteCalcs!$L$11*SiteCalcs!$B$11))+1),(((ChemCalcs!I88*SiteCalcs!$E$11)/(SiteCalcs!$D$11*SiteCalcs!$B$11))*EXP((SiteCalcs!$L$11*DATENTER!$B$78)/(ChemCalcs!J88*SiteCalcs!$M$11)))/(EXP((SiteCalcs!$L$11*DATENTER!$B$78)/(ChemCalcs!J88*SiteCalcs!$M$11))+((ChemCalcs!I88*SiteCalcs!$E$11)/(SiteCalcs!$D$11*SiteCalcs!$B$11))+((ChemCalcs!I88*SiteCalcs!$E$11)/(SiteCalcs!$L$11*SiteCalcs!$B$11))*(EXP((SiteCalcs!$L$11*DATENTER!$B$78)/(ChemCalcs!J88*SiteCalcs!$M$11))-1)))</f>
        <v>6.8961323734266576E-4</v>
      </c>
    </row>
    <row r="89" spans="1:12" x14ac:dyDescent="0.25">
      <c r="A89" s="172" t="s">
        <v>294</v>
      </c>
      <c r="B89" s="136">
        <f>IF((VLOOKUP(A89,Props,10,FALSE))=0,0,IF((VLOOKUP(A89,Props,9,FALSE))/(VLOOKUP(A89,Props,10,FALSE))&lt;0.57,(VLOOKUP(A89,Props,8,FALSE))*((1-((DATENTER!$D$14+273.15)/(VLOOKUP(A89,Props,10,FALSE))))/(1-((VLOOKUP(A89,Props,9,FALSE))/(VLOOKUP(A89,Props,10,FALSE)))))^0.3,IF(AND((VLOOKUP(A89,Props,9,FALSE))/(VLOOKUP(A89,Props,10,FALSE))&gt;=0.57,(VLOOKUP(A89,Props,9,FALSE))/(VLOOKUP(A89,Props,10,FALSE))&lt;=0.71),(VLOOKUP(A89,Props,8,FALSE))*((1-((DATENTER!$D$14+273.15)/(VLOOKUP(A89,Props,10,FALSE))))/(1-((VLOOKUP(A89,Props,9,FALSE))/(VLOOKUP(A89,Props,10,FALSE)))))^(0.74*((VLOOKUP(A89,Props,9,FALSE))/(VLOOKUP(A89,Props,10,FALSE)))-0.116),(VLOOKUP(A89,Props,8,FALSE))*((1-((DATENTER!$D$14+273.15)/(VLOOKUP(A89,Props,10,FALSE))))/(1-((VLOOKUP(A89,Props,9,FALSE))/(VLOOKUP(A89,Props,10,FALSE)))))^0.41)))</f>
        <v>0</v>
      </c>
      <c r="C89" s="135">
        <f>EXP(-1*((B89/1.9872)*((1/(DATENTER!$D$14+273.15))-(1/((VLOOKUP(A89,Props,7,FALSE))+273.15)))))*(VLOOKUP(A89,Props,6,FALSE))</f>
        <v>0</v>
      </c>
      <c r="D89" s="135">
        <f>IF(DATENTER!$D$14="",0,C89/(0.00008206*(DATENTER!$D$14+273.15)))</f>
        <v>0</v>
      </c>
      <c r="E89" s="135">
        <f>IF((VLOOKUP(A89,Props,3,FALSE))=0,0,((VLOOKUP(A89,Props,3,FALSE))*(SiteCalcs!$B$28^3.33/DATENTER!$G$41^2))+(((VLOOKUP(A89,Props,4,FALSE))/ChemCalcs!D89)*(DATENTER!$H$41^3.33/DATENTER!$G$41^2)))</f>
        <v>0</v>
      </c>
      <c r="F89" s="135"/>
      <c r="G89" s="135"/>
      <c r="H89" s="135">
        <f>IF((VLOOKUP(A89,Props,3,FALSE))=0,0,((VLOOKUP(A89,Props,3,FALSE))*(SiteCalcs!$D$19^3.33/SiteCalcs!$C$19^2))+(((VLOOKUP(A89,Props,4,FALSE))/ChemCalcs!D89)*(SiteCalcs!$E$19^3.33/SiteCalcs!$C$19^2)))</f>
        <v>0</v>
      </c>
      <c r="I89" s="205"/>
      <c r="J89" s="135"/>
      <c r="K89" s="260"/>
      <c r="L89" s="206"/>
    </row>
    <row r="90" spans="1:12" x14ac:dyDescent="0.25">
      <c r="A90" s="172" t="s">
        <v>295</v>
      </c>
      <c r="B90" s="136">
        <f>IF((VLOOKUP(A90,Props,10,FALSE))=0,0,IF((VLOOKUP(A90,Props,9,FALSE))/(VLOOKUP(A90,Props,10,FALSE))&lt;0.57,(VLOOKUP(A90,Props,8,FALSE))*((1-((DATENTER!$D$14+273.15)/(VLOOKUP(A90,Props,10,FALSE))))/(1-((VLOOKUP(A90,Props,9,FALSE))/(VLOOKUP(A90,Props,10,FALSE)))))^0.3,IF(AND((VLOOKUP(A90,Props,9,FALSE))/(VLOOKUP(A90,Props,10,FALSE))&gt;=0.57,(VLOOKUP(A90,Props,9,FALSE))/(VLOOKUP(A90,Props,10,FALSE))&lt;=0.71),(VLOOKUP(A90,Props,8,FALSE))*((1-((DATENTER!$D$14+273.15)/(VLOOKUP(A90,Props,10,FALSE))))/(1-((VLOOKUP(A90,Props,9,FALSE))/(VLOOKUP(A90,Props,10,FALSE)))))^(0.74*((VLOOKUP(A90,Props,9,FALSE))/(VLOOKUP(A90,Props,10,FALSE)))-0.116),(VLOOKUP(A90,Props,8,FALSE))*((1-((DATENTER!$D$14+273.15)/(VLOOKUP(A90,Props,10,FALSE))))/(1-((VLOOKUP(A90,Props,9,FALSE))/(VLOOKUP(A90,Props,10,FALSE)))))^0.41)))</f>
        <v>19677.888287855465</v>
      </c>
      <c r="C90" s="135">
        <f>EXP(-1*((B90/1.9872)*((1/(DATENTER!$D$14+273.15))-(1/((VLOOKUP(A90,Props,7,FALSE))+273.15)))))*(VLOOKUP(A90,Props,6,FALSE))</f>
        <v>4.2174204625021391E-9</v>
      </c>
      <c r="D90" s="135">
        <f>IF(DATENTER!$D$14="",0,C90/(0.00008206*(DATENTER!$D$14+273.15)))</f>
        <v>1.8150927507302105E-7</v>
      </c>
      <c r="E90" s="135">
        <f>IF((VLOOKUP(A90,Props,3,FALSE))=0,0,((VLOOKUP(A90,Props,3,FALSE))*(SiteCalcs!$B$28^3.33/DATENTER!$G$41^2))+(((VLOOKUP(A90,Props,4,FALSE))/ChemCalcs!D90)*(DATENTER!$H$41^3.33/DATENTER!$G$41^2)))</f>
        <v>2.6564514074594463E-2</v>
      </c>
      <c r="F90" s="135">
        <f>IF(DATENTER!$C$28=0,0,(ChemProps!C90*(SiteCalcs!$H$28^3.33/DATENTER!$D$53^2))+((ChemProps!D90/ChemCalcs!D90)*(DATENTER!$E$53^3.33/DATENTER!$D$53^2)))</f>
        <v>0</v>
      </c>
      <c r="G90" s="135">
        <f>IF(DATENTER!$D$28=0,0,(ChemProps!C90*(SiteCalcs!$J$28^3.33/DATENTER!$D$65^2))+((ChemProps!D90/ChemCalcs!D90)*(DATENTER!$E$65^3.33/DATENTER!$D$65^2)))</f>
        <v>0</v>
      </c>
      <c r="H90" s="135">
        <f>IF((VLOOKUP(A90,Props,3,FALSE))=0,0,((VLOOKUP(A90,Props,3,FALSE))*(SiteCalcs!$D$19^3.33/SiteCalcs!$C$19^2))+(((VLOOKUP(A90,Props,4,FALSE))/ChemCalcs!D90)*(SiteCalcs!$E$19^3.33/SiteCalcs!$C$19^2)))</f>
        <v>1.8774936944035894</v>
      </c>
      <c r="I90" s="205">
        <f>IF(AND(E90&gt;0,F90&gt;0,G90&gt;0),SiteCalcs!$B$11/(((IF(SiteCalcs!$B$11=1,1,DATENTER!$B$28-DATENTER!$B$14))/E90)+(DATENTER!$C$28/F90)+((DATENTER!$D$28-SiteCalcs!$B$19)/G90)+(SiteCalcs!$B$19/H90)),IF(AND(E90&gt;0,F90&gt;0,G90=0),SiteCalcs!$B$11/(((IF(SiteCalcs!$B$11=1,1,DATENTER!$B$28-DATENTER!$B$14))/E90)+((DATENTER!$C$28-SiteCalcs!$B$19)/F90)+(SiteCalcs!$B$19/H90)),IF(AND(E90&gt;0,F90=0,G90=0),SiteCalcs!$B$11/(((IF(SiteCalcs!$B$11=1,1,DATENTER!$B$28-DATENTER!$B$14)-SiteCalcs!$B$19)/E90)+(SiteCalcs!$B$19/H90)))))</f>
        <v>6.0393476462567437E-2</v>
      </c>
      <c r="J90" s="135">
        <f>ChemCalcs!E90</f>
        <v>2.6564514074594463E-2</v>
      </c>
      <c r="K90" s="260">
        <f>IF(DATENTER!$B$78="","ERROR",EXP((SiteCalcs!$L$11*DATENTER!$B$78)/(ChemCalcs!J90*SiteCalcs!$M$11)))</f>
        <v>8.4926154662718604E+41</v>
      </c>
      <c r="L90" s="206">
        <f>IF(ISERROR(K90),((ChemCalcs!I90*SiteCalcs!$E$11)/(SiteCalcs!$D$11*SiteCalcs!$B$11))/(((ChemCalcs!I90*SiteCalcs!$E$11)/(SiteCalcs!$L$11*SiteCalcs!$B$11))+1),(((ChemCalcs!I90*SiteCalcs!$E$11)/(SiteCalcs!$D$11*SiteCalcs!$B$11))*EXP((SiteCalcs!$L$11*DATENTER!$B$78)/(ChemCalcs!J90*SiteCalcs!$M$11)))/(EXP((SiteCalcs!$L$11*DATENTER!$B$78)/(ChemCalcs!J90*SiteCalcs!$M$11))+((ChemCalcs!I90*SiteCalcs!$E$11)/(SiteCalcs!$D$11*SiteCalcs!$B$11))+((ChemCalcs!I90*SiteCalcs!$E$11)/(SiteCalcs!$L$11*SiteCalcs!$B$11))*(EXP((SiteCalcs!$L$11*DATENTER!$B$78)/(ChemCalcs!J90*SiteCalcs!$M$11))-1)))</f>
        <v>1.1437192933171994E-3</v>
      </c>
    </row>
    <row r="91" spans="1:12" ht="23" x14ac:dyDescent="0.25">
      <c r="A91" s="172" t="s">
        <v>394</v>
      </c>
      <c r="B91" s="136">
        <f>IF((VLOOKUP(A91,Props,10,FALSE))=0,0,IF((VLOOKUP(A91,Props,9,FALSE))/(VLOOKUP(A91,Props,10,FALSE))&lt;0.57,(VLOOKUP(A91,Props,8,FALSE))*((1-((DATENTER!$D$14+273.15)/(VLOOKUP(A91,Props,10,FALSE))))/(1-((VLOOKUP(A91,Props,9,FALSE))/(VLOOKUP(A91,Props,10,FALSE)))))^0.3,IF(AND((VLOOKUP(A91,Props,9,FALSE))/(VLOOKUP(A91,Props,10,FALSE))&gt;=0.57,(VLOOKUP(A91,Props,9,FALSE))/(VLOOKUP(A91,Props,10,FALSE))&lt;=0.71),(VLOOKUP(A91,Props,8,FALSE))*((1-((DATENTER!$D$14+273.15)/(VLOOKUP(A91,Props,10,FALSE))))/(1-((VLOOKUP(A91,Props,9,FALSE))/(VLOOKUP(A91,Props,10,FALSE)))))^(0.74*((VLOOKUP(A91,Props,9,FALSE))/(VLOOKUP(A91,Props,10,FALSE)))-0.116),(VLOOKUP(A91,Props,8,FALSE))*((1-((DATENTER!$D$14+273.15)/(VLOOKUP(A91,Props,10,FALSE))))/(1-((VLOOKUP(A91,Props,9,FALSE))/(VLOOKUP(A91,Props,10,FALSE)))))^0.41)))</f>
        <v>0</v>
      </c>
      <c r="C91" s="135">
        <f>EXP(-1*((B91/1.9872)*((1/(DATENTER!$D$14+273.15))-(1/((VLOOKUP(A91,Props,7,FALSE))+273.15)))))*(VLOOKUP(A91,Props,6,FALSE))</f>
        <v>0</v>
      </c>
      <c r="D91" s="135">
        <f>IF(DATENTER!$D$14="",0,C91/(0.00008206*(DATENTER!$D$14+273.15)))</f>
        <v>0</v>
      </c>
      <c r="E91" s="135">
        <f>IF((VLOOKUP(A91,Props,3,FALSE))=0,0,((VLOOKUP(A91,Props,3,FALSE))*(SiteCalcs!$B$28^3.33/DATENTER!$G$41^2))+(((VLOOKUP(A91,Props,4,FALSE))/ChemCalcs!D91)*(DATENTER!$H$41^3.33/DATENTER!$G$41^2)))</f>
        <v>0</v>
      </c>
      <c r="F91" s="135"/>
      <c r="G91" s="135"/>
      <c r="H91" s="135">
        <f>IF((VLOOKUP(A91,Props,3,FALSE))=0,0,((VLOOKUP(A91,Props,3,FALSE))*(SiteCalcs!$D$19^3.33/SiteCalcs!$C$19^2))+(((VLOOKUP(A91,Props,4,FALSE))/ChemCalcs!D91)*(SiteCalcs!$E$19^3.33/SiteCalcs!$C$19^2)))</f>
        <v>0</v>
      </c>
      <c r="I91" s="205"/>
      <c r="J91" s="135"/>
      <c r="K91" s="260"/>
      <c r="L91" s="206"/>
    </row>
    <row r="92" spans="1:12" x14ac:dyDescent="0.25">
      <c r="A92" s="172" t="s">
        <v>395</v>
      </c>
      <c r="B92" s="136"/>
      <c r="C92" s="135"/>
      <c r="D92" s="135"/>
      <c r="E92" s="135"/>
      <c r="F92" s="135"/>
      <c r="G92" s="135"/>
      <c r="H92" s="135"/>
      <c r="I92" s="205"/>
      <c r="J92" s="135"/>
      <c r="K92" s="260"/>
      <c r="L92" s="206"/>
    </row>
    <row r="93" spans="1:12" x14ac:dyDescent="0.25">
      <c r="A93" s="172" t="s">
        <v>390</v>
      </c>
      <c r="B93" s="136">
        <f>IF((VLOOKUP(A93,Props,10,FALSE))=0,0,IF((VLOOKUP(A93,Props,9,FALSE))/(VLOOKUP(A93,Props,10,FALSE))&lt;0.57,(VLOOKUP(A93,Props,8,FALSE))*((1-((DATENTER!$D$14+273.15)/(VLOOKUP(A93,Props,10,FALSE))))/(1-((VLOOKUP(A93,Props,9,FALSE))/(VLOOKUP(A93,Props,10,FALSE)))))^0.3,IF(AND((VLOOKUP(A93,Props,9,FALSE))/(VLOOKUP(A93,Props,10,FALSE))&gt;=0.57,(VLOOKUP(A93,Props,9,FALSE))/(VLOOKUP(A93,Props,10,FALSE))&lt;=0.71),(VLOOKUP(A93,Props,8,FALSE))*((1-((DATENTER!$D$14+273.15)/(VLOOKUP(A93,Props,10,FALSE))))/(1-((VLOOKUP(A93,Props,9,FALSE))/(VLOOKUP(A93,Props,10,FALSE)))))^(0.74*((VLOOKUP(A93,Props,9,FALSE))/(VLOOKUP(A93,Props,10,FALSE)))-0.116),(VLOOKUP(A93,Props,8,FALSE))*((1-((DATENTER!$D$14+273.15)/(VLOOKUP(A93,Props,10,FALSE))))/(1-((VLOOKUP(A93,Props,9,FALSE))/(VLOOKUP(A93,Props,10,FALSE)))))^0.41)))</f>
        <v>0</v>
      </c>
      <c r="C93" s="135">
        <f>EXP(-1*((B93/1.9872)*((1/(DATENTER!$D$14+273.15))-(1/((VLOOKUP(A93,Props,7,FALSE))+273.15)))))*(VLOOKUP(A93,Props,6,FALSE))</f>
        <v>0</v>
      </c>
      <c r="D93" s="135">
        <f>IF(DATENTER!$D$14="",0,C93/(0.00008206*(DATENTER!$D$14+273.15)))</f>
        <v>0</v>
      </c>
      <c r="E93" s="135">
        <f>IF((VLOOKUP(A93,Props,3,FALSE))=0,0,((VLOOKUP(A93,Props,3,FALSE))*(SiteCalcs!$B$28^3.33/DATENTER!$G$41^2))+(((VLOOKUP(A93,Props,4,FALSE))/ChemCalcs!D93)*(DATENTER!$H$41^3.33/DATENTER!$G$41^2)))</f>
        <v>0</v>
      </c>
      <c r="F93" s="135"/>
      <c r="G93" s="135"/>
      <c r="H93" s="135">
        <f>IF((VLOOKUP(A93,Props,3,FALSE))=0,0,((VLOOKUP(A93,Props,3,FALSE))*(SiteCalcs!$D$19^3.33/SiteCalcs!$C$19^2))+(((VLOOKUP(A93,Props,4,FALSE))/ChemCalcs!D93)*(SiteCalcs!$E$19^3.33/SiteCalcs!$C$19^2)))</f>
        <v>0</v>
      </c>
      <c r="I93" s="205"/>
      <c r="J93" s="135"/>
      <c r="K93" s="260"/>
      <c r="L93" s="206"/>
    </row>
    <row r="94" spans="1:12" ht="23" x14ac:dyDescent="0.25">
      <c r="A94" s="172" t="s">
        <v>391</v>
      </c>
      <c r="B94" s="136">
        <f>IF((VLOOKUP(A94,Props,10,FALSE))=0,0,IF((VLOOKUP(A94,Props,9,FALSE))/(VLOOKUP(A94,Props,10,FALSE))&lt;0.57,(VLOOKUP(A94,Props,8,FALSE))*((1-((DATENTER!$D$14+273.15)/(VLOOKUP(A94,Props,10,FALSE))))/(1-((VLOOKUP(A94,Props,9,FALSE))/(VLOOKUP(A94,Props,10,FALSE)))))^0.3,IF(AND((VLOOKUP(A94,Props,9,FALSE))/(VLOOKUP(A94,Props,10,FALSE))&gt;=0.57,(VLOOKUP(A94,Props,9,FALSE))/(VLOOKUP(A94,Props,10,FALSE))&lt;=0.71),(VLOOKUP(A94,Props,8,FALSE))*((1-((DATENTER!$D$14+273.15)/(VLOOKUP(A94,Props,10,FALSE))))/(1-((VLOOKUP(A94,Props,9,FALSE))/(VLOOKUP(A94,Props,10,FALSE)))))^(0.74*((VLOOKUP(A94,Props,9,FALSE))/(VLOOKUP(A94,Props,10,FALSE)))-0.116),(VLOOKUP(A94,Props,8,FALSE))*((1-((DATENTER!$D$14+273.15)/(VLOOKUP(A94,Props,10,FALSE))))/(1-((VLOOKUP(A94,Props,9,FALSE))/(VLOOKUP(A94,Props,10,FALSE)))))^0.41)))</f>
        <v>0</v>
      </c>
      <c r="C94" s="135">
        <f>EXP(-1*((B94/1.9872)*((1/(DATENTER!$D$14+273.15))-(1/((VLOOKUP(A94,Props,7,FALSE))+273.15)))))*(VLOOKUP(A94,Props,6,FALSE))</f>
        <v>0</v>
      </c>
      <c r="D94" s="135">
        <f>IF(DATENTER!$D$14="",0,C94/(0.00008206*(DATENTER!$D$14+273.15)))</f>
        <v>0</v>
      </c>
      <c r="E94" s="135">
        <f>IF((VLOOKUP(A94,Props,3,FALSE))=0,0,((VLOOKUP(A94,Props,3,FALSE))*(SiteCalcs!$B$28^3.33/DATENTER!$G$41^2))+(((VLOOKUP(A94,Props,4,FALSE))/ChemCalcs!D94)*(DATENTER!$H$41^3.33/DATENTER!$G$41^2)))</f>
        <v>0</v>
      </c>
      <c r="F94" s="135"/>
      <c r="G94" s="135"/>
      <c r="H94" s="135">
        <f>IF((VLOOKUP(A94,Props,3,FALSE))=0,0,((VLOOKUP(A94,Props,3,FALSE))*(SiteCalcs!$D$19^3.33/SiteCalcs!$C$19^2))+(((VLOOKUP(A94,Props,4,FALSE))/ChemCalcs!D94)*(SiteCalcs!$E$19^3.33/SiteCalcs!$C$19^2)))</f>
        <v>0</v>
      </c>
      <c r="I94" s="205"/>
      <c r="J94" s="135"/>
      <c r="K94" s="260"/>
      <c r="L94" s="206"/>
    </row>
    <row r="95" spans="1:12" x14ac:dyDescent="0.25">
      <c r="A95" s="172" t="s">
        <v>389</v>
      </c>
      <c r="B95" s="136">
        <f>IF((VLOOKUP(A95,Props,10,FALSE))=0,0,IF((VLOOKUP(A95,Props,9,FALSE))/(VLOOKUP(A95,Props,10,FALSE))&lt;0.57,(VLOOKUP(A95,Props,8,FALSE))*((1-((DATENTER!$D$14+273.15)/(VLOOKUP(A95,Props,10,FALSE))))/(1-((VLOOKUP(A95,Props,9,FALSE))/(VLOOKUP(A95,Props,10,FALSE)))))^0.3,IF(AND((VLOOKUP(A95,Props,9,FALSE))/(VLOOKUP(A95,Props,10,FALSE))&gt;=0.57,(VLOOKUP(A95,Props,9,FALSE))/(VLOOKUP(A95,Props,10,FALSE))&lt;=0.71),(VLOOKUP(A95,Props,8,FALSE))*((1-((DATENTER!$D$14+273.15)/(VLOOKUP(A95,Props,10,FALSE))))/(1-((VLOOKUP(A95,Props,9,FALSE))/(VLOOKUP(A95,Props,10,FALSE)))))^(0.74*((VLOOKUP(A95,Props,9,FALSE))/(VLOOKUP(A95,Props,10,FALSE)))-0.116),(VLOOKUP(A95,Props,8,FALSE))*((1-((DATENTER!$D$14+273.15)/(VLOOKUP(A95,Props,10,FALSE))))/(1-((VLOOKUP(A95,Props,9,FALSE))/(VLOOKUP(A95,Props,10,FALSE)))))^0.41)))</f>
        <v>0</v>
      </c>
      <c r="C95" s="135">
        <f>EXP(-1*((B95/1.9872)*((1/(DATENTER!$D$14+273.15))-(1/((VLOOKUP(A95,Props,7,FALSE))+273.15)))))*(VLOOKUP(A95,Props,6,FALSE))</f>
        <v>0</v>
      </c>
      <c r="D95" s="135">
        <f>IF(DATENTER!$D$14="",0,C95/(0.00008206*(DATENTER!$D$14+273.15)))</f>
        <v>0</v>
      </c>
      <c r="E95" s="135">
        <f>IF((VLOOKUP(A95,Props,3,FALSE))=0,0,((VLOOKUP(A95,Props,3,FALSE))*(SiteCalcs!$B$28^3.33/DATENTER!$G$41^2))+(((VLOOKUP(A95,Props,4,FALSE))/ChemCalcs!D95)*(DATENTER!$H$41^3.33/DATENTER!$G$41^2)))</f>
        <v>0</v>
      </c>
      <c r="F95" s="135"/>
      <c r="G95" s="135"/>
      <c r="H95" s="135">
        <f>IF((VLOOKUP(A95,Props,3,FALSE))=0,0,((VLOOKUP(A95,Props,3,FALSE))*(SiteCalcs!$D$19^3.33/SiteCalcs!$C$19^2))+(((VLOOKUP(A95,Props,4,FALSE))/ChemCalcs!D95)*(SiteCalcs!$E$19^3.33/SiteCalcs!$C$19^2)))</f>
        <v>0</v>
      </c>
      <c r="I95" s="205"/>
      <c r="J95" s="135"/>
      <c r="K95" s="260"/>
      <c r="L95" s="206"/>
    </row>
    <row r="96" spans="1:12" ht="23" x14ac:dyDescent="0.25">
      <c r="A96" s="172" t="s">
        <v>393</v>
      </c>
      <c r="B96" s="136">
        <f>IF((VLOOKUP(A96,Props,10,FALSE))=0,0,IF((VLOOKUP(A96,Props,9,FALSE))/(VLOOKUP(A96,Props,10,FALSE))&lt;0.57,(VLOOKUP(A96,Props,8,FALSE))*((1-((DATENTER!$D$14+273.15)/(VLOOKUP(A96,Props,10,FALSE))))/(1-((VLOOKUP(A96,Props,9,FALSE))/(VLOOKUP(A96,Props,10,FALSE)))))^0.3,IF(AND((VLOOKUP(A96,Props,9,FALSE))/(VLOOKUP(A96,Props,10,FALSE))&gt;=0.57,(VLOOKUP(A96,Props,9,FALSE))/(VLOOKUP(A96,Props,10,FALSE))&lt;=0.71),(VLOOKUP(A96,Props,8,FALSE))*((1-((DATENTER!$D$14+273.15)/(VLOOKUP(A96,Props,10,FALSE))))/(1-((VLOOKUP(A96,Props,9,FALSE))/(VLOOKUP(A96,Props,10,FALSE)))))^(0.74*((VLOOKUP(A96,Props,9,FALSE))/(VLOOKUP(A96,Props,10,FALSE)))-0.116),(VLOOKUP(A96,Props,8,FALSE))*((1-((DATENTER!$D$14+273.15)/(VLOOKUP(A96,Props,10,FALSE))))/(1-((VLOOKUP(A96,Props,9,FALSE))/(VLOOKUP(A96,Props,10,FALSE)))))^0.41)))</f>
        <v>0</v>
      </c>
      <c r="C96" s="135">
        <f>EXP(-1*((B96/1.9872)*((1/(DATENTER!$D$14+273.15))-(1/((VLOOKUP(A96,Props,7,FALSE))+273.15)))))*(VLOOKUP(A96,Props,6,FALSE))</f>
        <v>0</v>
      </c>
      <c r="D96" s="135">
        <f>IF(DATENTER!$D$14="",0,C96/(0.00008206*(DATENTER!$D$14+273.15)))</f>
        <v>0</v>
      </c>
      <c r="E96" s="135">
        <f>IF((VLOOKUP(A96,Props,3,FALSE))=0,0,((VLOOKUP(A96,Props,3,FALSE))*(SiteCalcs!$B$28^3.33/DATENTER!$G$41^2))+(((VLOOKUP(A96,Props,4,FALSE))/ChemCalcs!D96)*(DATENTER!$H$41^3.33/DATENTER!$G$41^2)))</f>
        <v>0</v>
      </c>
      <c r="F96" s="135"/>
      <c r="G96" s="135"/>
      <c r="H96" s="135">
        <f>IF((VLOOKUP(A96,Props,3,FALSE))=0,0,((VLOOKUP(A96,Props,3,FALSE))*(SiteCalcs!$D$19^3.33/SiteCalcs!$C$19^2))+(((VLOOKUP(A96,Props,4,FALSE))/ChemCalcs!D96)*(SiteCalcs!$E$19^3.33/SiteCalcs!$C$19^2)))</f>
        <v>0</v>
      </c>
      <c r="I96" s="205"/>
      <c r="J96" s="135"/>
      <c r="K96" s="260"/>
      <c r="L96" s="206"/>
    </row>
    <row r="97" spans="1:12" x14ac:dyDescent="0.25">
      <c r="A97" s="172" t="s">
        <v>392</v>
      </c>
      <c r="B97" s="136">
        <f>IF((VLOOKUP(A97,Props,10,FALSE))=0,0,IF((VLOOKUP(A97,Props,9,FALSE))/(VLOOKUP(A97,Props,10,FALSE))&lt;0.57,(VLOOKUP(A97,Props,8,FALSE))*((1-((DATENTER!$D$14+273.15)/(VLOOKUP(A97,Props,10,FALSE))))/(1-((VLOOKUP(A97,Props,9,FALSE))/(VLOOKUP(A97,Props,10,FALSE)))))^0.3,IF(AND((VLOOKUP(A97,Props,9,FALSE))/(VLOOKUP(A97,Props,10,FALSE))&gt;=0.57,(VLOOKUP(A97,Props,9,FALSE))/(VLOOKUP(A97,Props,10,FALSE))&lt;=0.71),(VLOOKUP(A97,Props,8,FALSE))*((1-((DATENTER!$D$14+273.15)/(VLOOKUP(A97,Props,10,FALSE))))/(1-((VLOOKUP(A97,Props,9,FALSE))/(VLOOKUP(A97,Props,10,FALSE)))))^(0.74*((VLOOKUP(A97,Props,9,FALSE))/(VLOOKUP(A97,Props,10,FALSE)))-0.116),(VLOOKUP(A97,Props,8,FALSE))*((1-((DATENTER!$D$14+273.15)/(VLOOKUP(A97,Props,10,FALSE))))/(1-((VLOOKUP(A97,Props,9,FALSE))/(VLOOKUP(A97,Props,10,FALSE)))))^0.41)))</f>
        <v>0</v>
      </c>
      <c r="C97" s="135">
        <f>EXP(-1*((B97/1.9872)*((1/(DATENTER!$D$14+273.15))-(1/((VLOOKUP(A97,Props,7,FALSE))+273.15)))))*(VLOOKUP(A97,Props,6,FALSE))</f>
        <v>0</v>
      </c>
      <c r="D97" s="135">
        <f>IF(DATENTER!$D$14="",0,C97/(0.00008206*(DATENTER!$D$14+273.15)))</f>
        <v>0</v>
      </c>
      <c r="E97" s="135">
        <f>IF((VLOOKUP(A97,Props,3,FALSE))=0,0,((VLOOKUP(A97,Props,3,FALSE))*(SiteCalcs!$B$28^3.33/DATENTER!$G$41^2))+(((VLOOKUP(A97,Props,4,FALSE))/ChemCalcs!D97)*(DATENTER!$H$41^3.33/DATENTER!$G$41^2)))</f>
        <v>0</v>
      </c>
      <c r="F97" s="135"/>
      <c r="G97" s="135"/>
      <c r="H97" s="135">
        <f>IF((VLOOKUP(A97,Props,3,FALSE))=0,0,((VLOOKUP(A97,Props,3,FALSE))*(SiteCalcs!$D$19^3.33/SiteCalcs!$C$19^2))+(((VLOOKUP(A97,Props,4,FALSE))/ChemCalcs!D97)*(SiteCalcs!$E$19^3.33/SiteCalcs!$C$19^2)))</f>
        <v>0</v>
      </c>
      <c r="I97" s="205"/>
      <c r="J97" s="135"/>
      <c r="K97" s="260"/>
      <c r="L97" s="206"/>
    </row>
    <row r="98" spans="1:12" x14ac:dyDescent="0.25">
      <c r="A98" s="172" t="s">
        <v>381</v>
      </c>
      <c r="B98" s="136">
        <f>IF((VLOOKUP(A98,Props,10,FALSE))=0,0,IF((VLOOKUP(A98,Props,9,FALSE))/(VLOOKUP(A98,Props,10,FALSE))&lt;0.57,(VLOOKUP(A98,Props,8,FALSE))*((1-((DATENTER!$D$14+273.15)/(VLOOKUP(A98,Props,10,FALSE))))/(1-((VLOOKUP(A98,Props,9,FALSE))/(VLOOKUP(A98,Props,10,FALSE)))))^0.3,IF(AND((VLOOKUP(A98,Props,9,FALSE))/(VLOOKUP(A98,Props,10,FALSE))&gt;=0.57,(VLOOKUP(A98,Props,9,FALSE))/(VLOOKUP(A98,Props,10,FALSE))&lt;=0.71),(VLOOKUP(A98,Props,8,FALSE))*((1-((DATENTER!$D$14+273.15)/(VLOOKUP(A98,Props,10,FALSE))))/(1-((VLOOKUP(A98,Props,9,FALSE))/(VLOOKUP(A98,Props,10,FALSE)))))^(0.74*((VLOOKUP(A98,Props,9,FALSE))/(VLOOKUP(A98,Props,10,FALSE)))-0.116),(VLOOKUP(A98,Props,8,FALSE))*((1-((DATENTER!$D$14+273.15)/(VLOOKUP(A98,Props,10,FALSE))))/(1-((VLOOKUP(A98,Props,9,FALSE))/(VLOOKUP(A98,Props,10,FALSE)))))^0.41)))</f>
        <v>0</v>
      </c>
      <c r="C98" s="135">
        <f>EXP(-1*((B98/1.9872)*((1/(DATENTER!$D$14+273.15))-(1/((VLOOKUP(A98,Props,7,FALSE))+273.15)))))*(VLOOKUP(A98,Props,6,FALSE))</f>
        <v>0</v>
      </c>
      <c r="D98" s="135">
        <f>IF(DATENTER!$D$14="",0,C98/(0.00008206*(DATENTER!$D$14+273.15)))</f>
        <v>0</v>
      </c>
      <c r="E98" s="135">
        <f>IF((VLOOKUP(A98,Props,3,FALSE))=0,0,((VLOOKUP(A98,Props,3,FALSE))*(SiteCalcs!$B$28^3.33/DATENTER!$G$41^2))+(((VLOOKUP(A98,Props,4,FALSE))/ChemCalcs!D98)*(DATENTER!$H$41^3.33/DATENTER!$G$41^2)))</f>
        <v>0</v>
      </c>
      <c r="F98" s="135"/>
      <c r="G98" s="135"/>
      <c r="H98" s="135">
        <f>IF((VLOOKUP(A98,Props,3,FALSE))=0,0,((VLOOKUP(A98,Props,3,FALSE))*(SiteCalcs!$D$19^3.33/SiteCalcs!$C$19^2))+(((VLOOKUP(A98,Props,4,FALSE))/ChemCalcs!D98)*(SiteCalcs!$E$19^3.33/SiteCalcs!$C$19^2)))</f>
        <v>0</v>
      </c>
      <c r="I98" s="205"/>
      <c r="J98" s="135"/>
      <c r="K98" s="260"/>
      <c r="L98" s="206"/>
    </row>
    <row r="99" spans="1:12" x14ac:dyDescent="0.25">
      <c r="A99" s="172" t="s">
        <v>296</v>
      </c>
      <c r="B99" s="136">
        <f>IF((VLOOKUP(A99,Props,10,FALSE))=0,0,IF((VLOOKUP(A99,Props,9,FALSE))/(VLOOKUP(A99,Props,10,FALSE))&lt;0.57,(VLOOKUP(A99,Props,8,FALSE))*((1-((DATENTER!$D$14+273.15)/(VLOOKUP(A99,Props,10,FALSE))))/(1-((VLOOKUP(A99,Props,9,FALSE))/(VLOOKUP(A99,Props,10,FALSE)))))^0.3,IF(AND((VLOOKUP(A99,Props,9,FALSE))/(VLOOKUP(A99,Props,10,FALSE))&gt;=0.57,(VLOOKUP(A99,Props,9,FALSE))/(VLOOKUP(A99,Props,10,FALSE))&lt;=0.71),(VLOOKUP(A99,Props,8,FALSE))*((1-((DATENTER!$D$14+273.15)/(VLOOKUP(A99,Props,10,FALSE))))/(1-((VLOOKUP(A99,Props,9,FALSE))/(VLOOKUP(A99,Props,10,FALSE)))))^(0.74*((VLOOKUP(A99,Props,9,FALSE))/(VLOOKUP(A99,Props,10,FALSE)))-0.116),(VLOOKUP(A99,Props,8,FALSE))*((1-((DATENTER!$D$14+273.15)/(VLOOKUP(A99,Props,10,FALSE))))/(1-((VLOOKUP(A99,Props,9,FALSE))/(VLOOKUP(A99,Props,10,FALSE)))))^0.41)))</f>
        <v>0</v>
      </c>
      <c r="C99" s="135">
        <f>EXP(-1*((B99/1.9872)*((1/(DATENTER!$D$14+273.15))-(1/((VLOOKUP(A99,Props,7,FALSE))+273.15)))))*(VLOOKUP(A99,Props,6,FALSE))</f>
        <v>0</v>
      </c>
      <c r="D99" s="135">
        <f>IF(DATENTER!$D$14="",0,C99/(0.00008206*(DATENTER!$D$14+273.15)))</f>
        <v>0</v>
      </c>
      <c r="E99" s="135">
        <f>IF((VLOOKUP(A99,Props,3,FALSE))=0,0,((VLOOKUP(A99,Props,3,FALSE))*(SiteCalcs!$B$28^3.33/DATENTER!$G$41^2))+(((VLOOKUP(A99,Props,4,FALSE))/ChemCalcs!D99)*(DATENTER!$H$41^3.33/DATENTER!$G$41^2)))</f>
        <v>0</v>
      </c>
      <c r="F99" s="135"/>
      <c r="G99" s="135"/>
      <c r="H99" s="135">
        <f>IF((VLOOKUP(A99,Props,3,FALSE))=0,0,((VLOOKUP(A99,Props,3,FALSE))*(SiteCalcs!$D$19^3.33/SiteCalcs!$C$19^2))+(((VLOOKUP(A99,Props,4,FALSE))/ChemCalcs!D99)*(SiteCalcs!$E$19^3.33/SiteCalcs!$C$19^2)))</f>
        <v>0</v>
      </c>
      <c r="I99" s="205"/>
      <c r="J99" s="135"/>
      <c r="K99" s="260"/>
      <c r="L99" s="206"/>
    </row>
    <row r="100" spans="1:12" ht="23" x14ac:dyDescent="0.25">
      <c r="A100" s="267" t="s">
        <v>413</v>
      </c>
      <c r="B100" s="136">
        <f>IF((VLOOKUP(A100,Props,10,FALSE))=0,0,IF((VLOOKUP(A100,Props,9,FALSE))/(VLOOKUP(A100,Props,10,FALSE))&lt;0.57,(VLOOKUP(A100,Props,8,FALSE))*((1-((DATENTER!$D$14+273.15)/(VLOOKUP(A100,Props,10,FALSE))))/(1-((VLOOKUP(A100,Props,9,FALSE))/(VLOOKUP(A100,Props,10,FALSE)))))^0.3,IF(AND((VLOOKUP(A100,Props,9,FALSE))/(VLOOKUP(A100,Props,10,FALSE))&gt;=0.57,(VLOOKUP(A100,Props,9,FALSE))/(VLOOKUP(A100,Props,10,FALSE))&lt;=0.71),(VLOOKUP(A100,Props,8,FALSE))*((1-((DATENTER!$D$14+273.15)/(VLOOKUP(A100,Props,10,FALSE))))/(1-((VLOOKUP(A100,Props,9,FALSE))/(VLOOKUP(A100,Props,10,FALSE)))))^(0.74*((VLOOKUP(A100,Props,9,FALSE))/(VLOOKUP(A100,Props,10,FALSE)))-0.116),(VLOOKUP(A100,Props,8,FALSE))*((1-((DATENTER!$D$14+273.15)/(VLOOKUP(A100,Props,10,FALSE))))/(1-((VLOOKUP(A100,Props,9,FALSE))/(VLOOKUP(A100,Props,10,FALSE)))))^0.41)))</f>
        <v>0</v>
      </c>
      <c r="C100" s="135">
        <f t="shared" ref="C100:C105" si="0">(VLOOKUP(A100,Props,6,FALSE))/2</f>
        <v>0.64800000000000002</v>
      </c>
      <c r="D100" s="135">
        <f>IF(DATENTER!$D$14="",0,C100/(0.00008206*(DATENTER!$D$14+273.15)))</f>
        <v>27.888613737492147</v>
      </c>
      <c r="E100" s="135">
        <f>IF((VLOOKUP(A100,Props,3,FALSE))=0,0,((VLOOKUP(A100,Props,3,FALSE))*(SiteCalcs!$B$28^3.33/DATENTER!$G$41^2))+(((VLOOKUP(A100,Props,4,FALSE))/ChemCalcs!D100)*(DATENTER!$H$41^3.33/DATENTER!$G$41^2)))</f>
        <v>1.5785735346617612E-2</v>
      </c>
      <c r="F100" s="135">
        <f>IF(DATENTER!$C$28=0,0,(ChemProps!C100*(SiteCalcs!$H$28^3.33/DATENTER!$D$53^2))+((ChemProps!D100/ChemCalcs!D100)*(DATENTER!$E$53^3.33/DATENTER!$D$53^2)))</f>
        <v>0</v>
      </c>
      <c r="G100" s="135">
        <f>IF(DATENTER!$D$28=0,0,(ChemProps!C100*(SiteCalcs!$J$28^3.33/DATENTER!$D$65^2))+((ChemProps!D100/ChemCalcs!D100)*(DATENTER!$E$65^3.33/DATENTER!$D$65^2)))</f>
        <v>0</v>
      </c>
      <c r="H100" s="135">
        <f>IF((VLOOKUP(A100,Props,3,FALSE))=0,0,((VLOOKUP(A100,Props,3,FALSE))*(SiteCalcs!$D$19^3.33/SiteCalcs!$C$19^2))+(((VLOOKUP(A100,Props,4,FALSE))/ChemCalcs!D100)*(SiteCalcs!$E$19^3.33/SiteCalcs!$C$19^2)))</f>
        <v>1.348323852186083E-3</v>
      </c>
      <c r="I100" s="205">
        <f>IF(AND(E100&gt;0,F100&gt;0,G100&gt;0),SiteCalcs!$B$11/(((IF(SiteCalcs!$B$11=1,1,DATENTER!$B$28-DATENTER!$B$14))/E100)+(DATENTER!$C$28/F100)+((DATENTER!$D$28-SiteCalcs!$B$19)/G100)+(SiteCalcs!$B$19/H100)),IF(AND(E100&gt;0,F100&gt;0,G100=0),SiteCalcs!$B$11/(((IF(SiteCalcs!$B$11=1,1,DATENTER!$B$28-DATENTER!$B$14))/E100)+((DATENTER!$C$28-SiteCalcs!$B$19)/F100)+(SiteCalcs!$B$19/H100)),IF(AND(E100&gt;0,F100=0,G100=0),SiteCalcs!$B$11/(((IF(SiteCalcs!$B$11=1,1,DATENTER!$B$28-DATENTER!$B$14)-SiteCalcs!$B$19)/E100)+(SiteCalcs!$B$19/H100)))))</f>
        <v>2.2283944437507231E-3</v>
      </c>
      <c r="J100" s="135">
        <f>ChemCalcs!E100</f>
        <v>1.5785735346617612E-2</v>
      </c>
      <c r="K100" s="260">
        <f>IF(DATENTER!$B$78="","ERROR",EXP((SiteCalcs!$L$11*DATENTER!$B$78)/(ChemCalcs!J100*SiteCalcs!$M$11)))</f>
        <v>3.6218549794336732E+70</v>
      </c>
      <c r="L100" s="206">
        <f>IF(ISERROR(K100),((ChemCalcs!I100*SiteCalcs!$E$11)/(SiteCalcs!$D$11*SiteCalcs!$B$11))/(((ChemCalcs!I100*SiteCalcs!$E$11)/(SiteCalcs!$L$11*SiteCalcs!$B$11))+1),(((ChemCalcs!I100*SiteCalcs!$E$11)/(SiteCalcs!$D$11*SiteCalcs!$B$11))*EXP((SiteCalcs!$L$11*DATENTER!$B$78)/(ChemCalcs!J100*SiteCalcs!$M$11)))/(EXP((SiteCalcs!$L$11*DATENTER!$B$78)/(ChemCalcs!J100*SiteCalcs!$M$11))+((ChemCalcs!I100*SiteCalcs!$E$11)/(SiteCalcs!$D$11*SiteCalcs!$B$11))+((ChemCalcs!I100*SiteCalcs!$E$11)/(SiteCalcs!$L$11*SiteCalcs!$B$11))*(EXP((SiteCalcs!$L$11*DATENTER!$B$78)/(ChemCalcs!J100*SiteCalcs!$M$11))-1)))</f>
        <v>7.5569213879359649E-4</v>
      </c>
    </row>
    <row r="101" spans="1:12" ht="23" x14ac:dyDescent="0.25">
      <c r="A101" s="172" t="s">
        <v>414</v>
      </c>
      <c r="B101" s="136">
        <f>IF((VLOOKUP(A101,Props,10,FALSE))=0,0,IF((VLOOKUP(A101,Props,9,FALSE))/(VLOOKUP(A101,Props,10,FALSE))&lt;0.57,(VLOOKUP(A101,Props,8,FALSE))*((1-((DATENTER!$D$14+273.15)/(VLOOKUP(A101,Props,10,FALSE))))/(1-((VLOOKUP(A101,Props,9,FALSE))/(VLOOKUP(A101,Props,10,FALSE)))))^0.3,IF(AND((VLOOKUP(A101,Props,9,FALSE))/(VLOOKUP(A101,Props,10,FALSE))&gt;=0.57,(VLOOKUP(A101,Props,9,FALSE))/(VLOOKUP(A101,Props,10,FALSE))&lt;=0.71),(VLOOKUP(A101,Props,8,FALSE))*((1-((DATENTER!$D$14+273.15)/(VLOOKUP(A101,Props,10,FALSE))))/(1-((VLOOKUP(A101,Props,9,FALSE))/(VLOOKUP(A101,Props,10,FALSE)))))^(0.74*((VLOOKUP(A101,Props,9,FALSE))/(VLOOKUP(A101,Props,10,FALSE)))-0.116),(VLOOKUP(A101,Props,8,FALSE))*((1-((DATENTER!$D$14+273.15)/(VLOOKUP(A101,Props,10,FALSE))))/(1-((VLOOKUP(A101,Props,9,FALSE))/(VLOOKUP(A101,Props,10,FALSE)))))^0.41)))</f>
        <v>0</v>
      </c>
      <c r="C101" s="135">
        <f t="shared" si="0"/>
        <v>0.78</v>
      </c>
      <c r="D101" s="135">
        <f>IF(DATENTER!$D$14="",0,C101/(0.00008206*(DATENTER!$D$14+273.15)))</f>
        <v>33.569627646981289</v>
      </c>
      <c r="E101" s="135">
        <f>IF((VLOOKUP(A101,Props,3,FALSE))=0,0,((VLOOKUP(A101,Props,3,FALSE))*(SiteCalcs!$B$28^3.33/DATENTER!$G$41^2))+(((VLOOKUP(A101,Props,4,FALSE))/ChemCalcs!D101)*(DATENTER!$H$41^3.33/DATENTER!$G$41^2)))</f>
        <v>1.381251842755825E-2</v>
      </c>
      <c r="F101" s="135">
        <f>IF(DATENTER!$C$28=0,0,(ChemProps!C101*(SiteCalcs!$H$28^3.33/DATENTER!$D$53^2))+((ChemProps!D101/ChemCalcs!D101)*(DATENTER!$E$53^3.33/DATENTER!$D$53^2)))</f>
        <v>0</v>
      </c>
      <c r="G101" s="135">
        <f>IF(DATENTER!$D$28=0,0,(ChemProps!C101*(SiteCalcs!$J$28^3.33/DATENTER!$D$65^2))+((ChemProps!D101/ChemCalcs!D101)*(DATENTER!$E$65^3.33/DATENTER!$D$65^2)))</f>
        <v>0</v>
      </c>
      <c r="H101" s="135">
        <f>IF((VLOOKUP(A101,Props,3,FALSE))=0,0,((VLOOKUP(A101,Props,3,FALSE))*(SiteCalcs!$D$19^3.33/SiteCalcs!$C$19^2))+(((VLOOKUP(A101,Props,4,FALSE))/ChemCalcs!D101)*(SiteCalcs!$E$19^3.33/SiteCalcs!$C$19^2)))</f>
        <v>1.1797832821050546E-3</v>
      </c>
      <c r="I101" s="205">
        <f>IF(AND(E101&gt;0,F101&gt;0,G101&gt;0),SiteCalcs!$B$11/(((IF(SiteCalcs!$B$11=1,1,DATENTER!$B$28-DATENTER!$B$14))/E101)+(DATENTER!$C$28/F101)+((DATENTER!$D$28-SiteCalcs!$B$19)/G101)+(SiteCalcs!$B$19/H101)),IF(AND(E101&gt;0,F101&gt;0,G101=0),SiteCalcs!$B$11/(((IF(SiteCalcs!$B$11=1,1,DATENTER!$B$28-DATENTER!$B$14))/E101)+((DATENTER!$C$28-SiteCalcs!$B$19)/F101)+(SiteCalcs!$B$19/H101)),IF(AND(E101&gt;0,F101=0,G101=0),SiteCalcs!$B$11/(((IF(SiteCalcs!$B$11=1,1,DATENTER!$B$28-DATENTER!$B$14)-SiteCalcs!$B$19)/E101)+(SiteCalcs!$B$19/H101)))))</f>
        <v>1.9498450008366744E-3</v>
      </c>
      <c r="J101" s="135">
        <f>ChemCalcs!E101</f>
        <v>1.381251842755825E-2</v>
      </c>
      <c r="K101" s="260">
        <f>IF(DATENTER!$B$78="","ERROR",EXP((SiteCalcs!$L$11*DATENTER!$B$78)/(ChemCalcs!J101*SiteCalcs!$M$11)))</f>
        <v>4.352896642170563E+80</v>
      </c>
      <c r="L101" s="206">
        <f>IF(ISERROR(K101),((ChemCalcs!I101*SiteCalcs!$E$11)/(SiteCalcs!$D$11*SiteCalcs!$B$11))/(((ChemCalcs!I101*SiteCalcs!$E$11)/(SiteCalcs!$L$11*SiteCalcs!$B$11))+1),(((ChemCalcs!I101*SiteCalcs!$E$11)/(SiteCalcs!$D$11*SiteCalcs!$B$11))*EXP((SiteCalcs!$L$11*DATENTER!$B$78)/(ChemCalcs!J101*SiteCalcs!$M$11)))/(EXP((SiteCalcs!$L$11*DATENTER!$B$78)/(ChemCalcs!J101*SiteCalcs!$M$11))+((ChemCalcs!I101*SiteCalcs!$E$11)/(SiteCalcs!$D$11*SiteCalcs!$B$11))+((ChemCalcs!I101*SiteCalcs!$E$11)/(SiteCalcs!$L$11*SiteCalcs!$B$11))*(EXP((SiteCalcs!$L$11*DATENTER!$B$78)/(ChemCalcs!J101*SiteCalcs!$M$11))-1)))</f>
        <v>7.1948499214427705E-4</v>
      </c>
    </row>
    <row r="102" spans="1:12" ht="23" x14ac:dyDescent="0.25">
      <c r="A102" s="268" t="s">
        <v>415</v>
      </c>
      <c r="B102" s="136">
        <f>IF((VLOOKUP(A102,Props,10,FALSE))=0,0,IF((VLOOKUP(A102,Props,9,FALSE))/(VLOOKUP(A102,Props,10,FALSE))&lt;0.57,(VLOOKUP(A102,Props,8,FALSE))*((1-((DATENTER!$D$14+273.15)/(VLOOKUP(A102,Props,10,FALSE))))/(1-((VLOOKUP(A102,Props,9,FALSE))/(VLOOKUP(A102,Props,10,FALSE)))))^0.3,IF(AND((VLOOKUP(A102,Props,9,FALSE))/(VLOOKUP(A102,Props,10,FALSE))&gt;=0.57,(VLOOKUP(A102,Props,9,FALSE))/(VLOOKUP(A102,Props,10,FALSE))&lt;=0.71),(VLOOKUP(A102,Props,8,FALSE))*((1-((DATENTER!$D$14+273.15)/(VLOOKUP(A102,Props,10,FALSE))))/(1-((VLOOKUP(A102,Props,9,FALSE))/(VLOOKUP(A102,Props,10,FALSE)))))^(0.74*((VLOOKUP(A102,Props,9,FALSE))/(VLOOKUP(A102,Props,10,FALSE)))-0.116),(VLOOKUP(A102,Props,8,FALSE))*((1-((DATENTER!$D$14+273.15)/(VLOOKUP(A102,Props,10,FALSE))))/(1-((VLOOKUP(A102,Props,9,FALSE))/(VLOOKUP(A102,Props,10,FALSE)))))^0.41)))</f>
        <v>0</v>
      </c>
      <c r="C102" s="135">
        <f t="shared" si="0"/>
        <v>0.82800000000000007</v>
      </c>
      <c r="D102" s="135">
        <f>IF(DATENTER!$D$14="",0,C102/(0.00008206*(DATENTER!$D$14+273.15)))</f>
        <v>35.635450886795525</v>
      </c>
      <c r="E102" s="135">
        <f>IF((VLOOKUP(A102,Props,3,FALSE))=0,0,((VLOOKUP(A102,Props,3,FALSE))*(SiteCalcs!$B$28^3.33/DATENTER!$G$41^2))+(((VLOOKUP(A102,Props,4,FALSE))/ChemCalcs!D102)*(DATENTER!$H$41^3.33/DATENTER!$G$41^2)))</f>
        <v>1.3812518478579502E-2</v>
      </c>
      <c r="F102" s="135">
        <f>IF(DATENTER!$C$28=0,0,(ChemProps!C102*(SiteCalcs!$H$28^3.33/DATENTER!$D$53^2))+((ChemProps!D102/ChemCalcs!D102)*(DATENTER!$E$53^3.33/DATENTER!$D$53^2)))</f>
        <v>0</v>
      </c>
      <c r="G102" s="135">
        <f>IF(DATENTER!$D$28=0,0,(ChemProps!C102*(SiteCalcs!$J$28^3.33/DATENTER!$D$65^2))+((ChemProps!D102/ChemCalcs!D102)*(DATENTER!$E$65^3.33/DATENTER!$D$65^2)))</f>
        <v>0</v>
      </c>
      <c r="H102" s="135">
        <f>IF((VLOOKUP(A102,Props,3,FALSE))=0,0,((VLOOKUP(A102,Props,3,FALSE))*(SiteCalcs!$D$19^3.33/SiteCalcs!$C$19^2))+(((VLOOKUP(A102,Props,4,FALSE))/ChemCalcs!D102)*(SiteCalcs!$E$19^3.33/SiteCalcs!$C$19^2)))</f>
        <v>1.1797894533594274E-3</v>
      </c>
      <c r="I102" s="205">
        <f>IF(AND(E102&gt;0,F102&gt;0,G102&gt;0),SiteCalcs!$B$11/(((IF(SiteCalcs!$B$11=1,1,DATENTER!$B$28-DATENTER!$B$14))/E102)+(DATENTER!$C$28/F102)+((DATENTER!$D$28-SiteCalcs!$B$19)/G102)+(SiteCalcs!$B$19/H102)),IF(AND(E102&gt;0,F102&gt;0,G102=0),SiteCalcs!$B$11/(((IF(SiteCalcs!$B$11=1,1,DATENTER!$B$28-DATENTER!$B$14))/E102)+((DATENTER!$C$28-SiteCalcs!$B$19)/F102)+(SiteCalcs!$B$19/H102)),IF(AND(E102&gt;0,F102=0,G102=0),SiteCalcs!$B$11/(((IF(SiteCalcs!$B$11=1,1,DATENTER!$B$28-DATENTER!$B$14)-SiteCalcs!$B$19)/E102)+(SiteCalcs!$B$19/H102)))))</f>
        <v>1.9498545788679937E-3</v>
      </c>
      <c r="J102" s="135">
        <f>ChemCalcs!E102</f>
        <v>1.3812518478579502E-2</v>
      </c>
      <c r="K102" s="260">
        <f>IF(DATENTER!$B$78="","ERROR",EXP((SiteCalcs!$L$11*DATENTER!$B$78)/(ChemCalcs!J102*SiteCalcs!$M$11)))</f>
        <v>4.3528936566773719E+80</v>
      </c>
      <c r="L102" s="206">
        <f>IF(ISERROR(K102),((ChemCalcs!I102*SiteCalcs!$E$11)/(SiteCalcs!$D$11*SiteCalcs!$B$11))/(((ChemCalcs!I102*SiteCalcs!$E$11)/(SiteCalcs!$L$11*SiteCalcs!$B$11))+1),(((ChemCalcs!I102*SiteCalcs!$E$11)/(SiteCalcs!$D$11*SiteCalcs!$B$11))*EXP((SiteCalcs!$L$11*DATENTER!$B$78)/(ChemCalcs!J102*SiteCalcs!$M$11)))/(EXP((SiteCalcs!$L$11*DATENTER!$B$78)/(ChemCalcs!J102*SiteCalcs!$M$11))+((ChemCalcs!I102*SiteCalcs!$E$11)/(SiteCalcs!$D$11*SiteCalcs!$B$11))+((ChemCalcs!I102*SiteCalcs!$E$11)/(SiteCalcs!$L$11*SiteCalcs!$B$11))*(EXP((SiteCalcs!$L$11*DATENTER!$B$78)/(ChemCalcs!J102*SiteCalcs!$M$11))-1)))</f>
        <v>7.1948634682127458E-4</v>
      </c>
    </row>
    <row r="103" spans="1:12" ht="23" x14ac:dyDescent="0.25">
      <c r="A103" s="172" t="s">
        <v>416</v>
      </c>
      <c r="B103" s="136">
        <f>IF((VLOOKUP(A103,Props,10,FALSE))=0,0,IF((VLOOKUP(A103,Props,9,FALSE))/(VLOOKUP(A103,Props,10,FALSE))&lt;0.57,(VLOOKUP(A103,Props,8,FALSE))*((1-((DATENTER!$D$14+273.15)/(VLOOKUP(A103,Props,10,FALSE))))/(1-((VLOOKUP(A103,Props,9,FALSE))/(VLOOKUP(A103,Props,10,FALSE)))))^0.3,IF(AND((VLOOKUP(A103,Props,9,FALSE))/(VLOOKUP(A103,Props,10,FALSE))&gt;=0.57,(VLOOKUP(A103,Props,9,FALSE))/(VLOOKUP(A103,Props,10,FALSE))&lt;=0.71),(VLOOKUP(A103,Props,8,FALSE))*((1-((DATENTER!$D$14+273.15)/(VLOOKUP(A103,Props,10,FALSE))))/(1-((VLOOKUP(A103,Props,9,FALSE))/(VLOOKUP(A103,Props,10,FALSE)))))^(0.74*((VLOOKUP(A103,Props,9,FALSE))/(VLOOKUP(A103,Props,10,FALSE)))-0.116),(VLOOKUP(A103,Props,8,FALSE))*((1-((DATENTER!$D$14+273.15)/(VLOOKUP(A103,Props,10,FALSE))))/(1-((VLOOKUP(A103,Props,9,FALSE))/(VLOOKUP(A103,Props,10,FALSE)))))^0.41)))</f>
        <v>0</v>
      </c>
      <c r="C103" s="135">
        <f t="shared" si="0"/>
        <v>0</v>
      </c>
      <c r="D103" s="135">
        <f>IF(DATENTER!$D$14="",0,C103/(0.00008206*(DATENTER!$D$14+273.15)))</f>
        <v>0</v>
      </c>
      <c r="E103" s="135">
        <f>IF((VLOOKUP(A103,Props,3,FALSE))=0,0,((VLOOKUP(A103,Props,3,FALSE))*(SiteCalcs!$B$28^3.33/DATENTER!$G$41^2))+(((VLOOKUP(A103,Props,4,FALSE))/ChemCalcs!D103)*(DATENTER!$H$41^3.33/DATENTER!$G$41^2)))</f>
        <v>0</v>
      </c>
      <c r="F103" s="135"/>
      <c r="G103" s="135"/>
      <c r="H103" s="135">
        <f>IF((VLOOKUP(A103,Props,3,FALSE))=0,0,((VLOOKUP(A103,Props,3,FALSE))*(SiteCalcs!$D$19^3.33/SiteCalcs!$C$19^2))+(((VLOOKUP(A103,Props,4,FALSE))/ChemCalcs!D103)*(SiteCalcs!$E$19^3.33/SiteCalcs!$C$19^2)))</f>
        <v>0</v>
      </c>
      <c r="I103" s="205"/>
      <c r="J103" s="135"/>
      <c r="K103" s="260"/>
      <c r="L103" s="206"/>
    </row>
    <row r="104" spans="1:12" ht="23" x14ac:dyDescent="0.25">
      <c r="A104" s="267" t="s">
        <v>417</v>
      </c>
      <c r="B104" s="136">
        <f>IF((VLOOKUP(A104,Props,10,FALSE))=0,0,IF((VLOOKUP(A104,Props,9,FALSE))/(VLOOKUP(A104,Props,10,FALSE))&lt;0.57,(VLOOKUP(A104,Props,8,FALSE))*((1-((DATENTER!$D$14+273.15)/(VLOOKUP(A104,Props,10,FALSE))))/(1-((VLOOKUP(A104,Props,9,FALSE))/(VLOOKUP(A104,Props,10,FALSE)))))^0.3,IF(AND((VLOOKUP(A104,Props,9,FALSE))/(VLOOKUP(A104,Props,10,FALSE))&gt;=0.57,(VLOOKUP(A104,Props,9,FALSE))/(VLOOKUP(A104,Props,10,FALSE))&lt;=0.71),(VLOOKUP(A104,Props,8,FALSE))*((1-((DATENTER!$D$14+273.15)/(VLOOKUP(A104,Props,10,FALSE))))/(1-((VLOOKUP(A104,Props,9,FALSE))/(VLOOKUP(A104,Props,10,FALSE)))))^(0.74*((VLOOKUP(A104,Props,9,FALSE))/(VLOOKUP(A104,Props,10,FALSE)))-0.116),(VLOOKUP(A104,Props,8,FALSE))*((1-((DATENTER!$D$14+273.15)/(VLOOKUP(A104,Props,10,FALSE))))/(1-((VLOOKUP(A104,Props,9,FALSE))/(VLOOKUP(A104,Props,10,FALSE)))))^0.41)))</f>
        <v>0</v>
      </c>
      <c r="C104" s="135">
        <f t="shared" si="0"/>
        <v>3.96E-3</v>
      </c>
      <c r="D104" s="135">
        <f>IF(DATENTER!$D$14="",0,C104/(0.00008206*(DATENTER!$D$14+273.15)))</f>
        <v>0.17043041728467423</v>
      </c>
      <c r="E104" s="135">
        <f>IF((VLOOKUP(A104,Props,3,FALSE))=0,0,((VLOOKUP(A104,Props,3,FALSE))*(SiteCalcs!$B$28^3.33/DATENTER!$G$41^2))+(((VLOOKUP(A104,Props,4,FALSE))/ChemCalcs!D104)*(DATENTER!$H$41^3.33/DATENTER!$G$41^2)))</f>
        <v>1.3812521122498556E-2</v>
      </c>
      <c r="F104" s="135">
        <f>IF(DATENTER!$C$28=0,0,(ChemProps!C104*(SiteCalcs!$H$28^3.33/DATENTER!$D$53^2))+((ChemProps!D104/ChemCalcs!D104)*(DATENTER!$E$53^3.33/DATENTER!$D$53^2)))</f>
        <v>0</v>
      </c>
      <c r="G104" s="135">
        <f>IF(DATENTER!$D$28=0,0,(ChemProps!C104*(SiteCalcs!$J$28^3.33/DATENTER!$D$65^2))+((ChemProps!D104/ChemCalcs!D104)*(DATENTER!$E$65^3.33/DATENTER!$D$65^2)))</f>
        <v>0</v>
      </c>
      <c r="H104" s="135">
        <f>IF((VLOOKUP(A104,Props,3,FALSE))=0,0,((VLOOKUP(A104,Props,3,FALSE))*(SiteCalcs!$D$19^3.33/SiteCalcs!$C$19^2))+(((VLOOKUP(A104,Props,4,FALSE))/ChemCalcs!D104)*(SiteCalcs!$E$19^3.33/SiteCalcs!$C$19^2)))</f>
        <v>1.18010924749805E-3</v>
      </c>
      <c r="I104" s="205">
        <f>IF(AND(E104&gt;0,F104&gt;0,G104&gt;0),SiteCalcs!$B$11/(((IF(SiteCalcs!$B$11=1,1,DATENTER!$B$28-DATENTER!$B$14))/E104)+(DATENTER!$C$28/F104)+((DATENTER!$D$28-SiteCalcs!$B$19)/G104)+(SiteCalcs!$B$19/H104)),IF(AND(E104&gt;0,F104&gt;0,G104=0),SiteCalcs!$B$11/(((IF(SiteCalcs!$B$11=1,1,DATENTER!$B$28-DATENTER!$B$14))/E104)+((DATENTER!$C$28-SiteCalcs!$B$19)/F104)+(SiteCalcs!$B$19/H104)),IF(AND(E104&gt;0,F104=0,G104=0),SiteCalcs!$B$11/(((IF(SiteCalcs!$B$11=1,1,DATENTER!$B$28-DATENTER!$B$14)-SiteCalcs!$B$19)/E104)+(SiteCalcs!$B$19/H104)))))</f>
        <v>1.9503509036958126E-3</v>
      </c>
      <c r="J104" s="135">
        <f>ChemCalcs!E104</f>
        <v>1.3812521122498556E-2</v>
      </c>
      <c r="K104" s="260">
        <f>IF(DATENTER!$B$78="","ERROR",EXP((SiteCalcs!$L$11*DATENTER!$B$78)/(ChemCalcs!J104*SiteCalcs!$M$11)))</f>
        <v>4.3527389513868625E+80</v>
      </c>
      <c r="L104" s="206">
        <f>IF(ISERROR(K104),((ChemCalcs!I104*SiteCalcs!$E$11)/(SiteCalcs!$D$11*SiteCalcs!$B$11))/(((ChemCalcs!I104*SiteCalcs!$E$11)/(SiteCalcs!$L$11*SiteCalcs!$B$11))+1),(((ChemCalcs!I104*SiteCalcs!$E$11)/(SiteCalcs!$D$11*SiteCalcs!$B$11))*EXP((SiteCalcs!$L$11*DATENTER!$B$78)/(ChemCalcs!J104*SiteCalcs!$M$11)))/(EXP((SiteCalcs!$L$11*DATENTER!$B$78)/(ChemCalcs!J104*SiteCalcs!$M$11))+((ChemCalcs!I104*SiteCalcs!$E$11)/(SiteCalcs!$D$11*SiteCalcs!$B$11))+((ChemCalcs!I104*SiteCalcs!$E$11)/(SiteCalcs!$L$11*SiteCalcs!$B$11))*(EXP((SiteCalcs!$L$11*DATENTER!$B$78)/(ChemCalcs!J104*SiteCalcs!$M$11))-1)))</f>
        <v>7.1955653371454955E-4</v>
      </c>
    </row>
    <row r="105" spans="1:12" ht="23" x14ac:dyDescent="0.25">
      <c r="A105" s="172" t="s">
        <v>418</v>
      </c>
      <c r="B105" s="136">
        <f>IF((VLOOKUP(A105,Props,10,FALSE))=0,0,IF((VLOOKUP(A105,Props,9,FALSE))/(VLOOKUP(A105,Props,10,FALSE))&lt;0.57,(VLOOKUP(A105,Props,8,FALSE))*((1-((DATENTER!$D$14+273.15)/(VLOOKUP(A105,Props,10,FALSE))))/(1-((VLOOKUP(A105,Props,9,FALSE))/(VLOOKUP(A105,Props,10,FALSE)))))^0.3,IF(AND((VLOOKUP(A105,Props,9,FALSE))/(VLOOKUP(A105,Props,10,FALSE))&gt;=0.57,(VLOOKUP(A105,Props,9,FALSE))/(VLOOKUP(A105,Props,10,FALSE))&lt;=0.71),(VLOOKUP(A105,Props,8,FALSE))*((1-((DATENTER!$D$14+273.15)/(VLOOKUP(A105,Props,10,FALSE))))/(1-((VLOOKUP(A105,Props,9,FALSE))/(VLOOKUP(A105,Props,10,FALSE)))))^(0.74*((VLOOKUP(A105,Props,9,FALSE))/(VLOOKUP(A105,Props,10,FALSE)))-0.116),(VLOOKUP(A105,Props,8,FALSE))*((1-((DATENTER!$D$14+273.15)/(VLOOKUP(A105,Props,10,FALSE))))/(1-((VLOOKUP(A105,Props,9,FALSE))/(VLOOKUP(A105,Props,10,FALSE)))))^0.41)))</f>
        <v>0</v>
      </c>
      <c r="C105" s="135">
        <f t="shared" si="0"/>
        <v>3.5999999999999997E-4</v>
      </c>
      <c r="D105" s="135">
        <f>IF(DATENTER!$D$14="",0,C105/(0.00008206*(DATENTER!$D$14+273.15)))</f>
        <v>1.5493674298606746E-2</v>
      </c>
      <c r="E105" s="135">
        <f>IF((VLOOKUP(A105,Props,3,FALSE))=0,0,((VLOOKUP(A105,Props,3,FALSE))*(SiteCalcs!$B$28^3.33/DATENTER!$G$41^2))+(((VLOOKUP(A105,Props,4,FALSE))/ChemCalcs!D105)*(DATENTER!$H$41^3.33/DATENTER!$G$41^2)))</f>
        <v>1.1839331293161753E-2</v>
      </c>
      <c r="F105" s="135">
        <f>IF(DATENTER!$C$28=0,0,(ChemProps!C105*(SiteCalcs!$H$28^3.33/DATENTER!$D$53^2))+((ChemProps!D105/ChemCalcs!D105)*(DATENTER!$E$53^3.33/DATENTER!$D$53^2)))</f>
        <v>0</v>
      </c>
      <c r="G105" s="135">
        <f>IF(DATENTER!$D$28=0,0,(ChemProps!C105*(SiteCalcs!$J$28^3.33/DATENTER!$D$65^2))+((ChemProps!D105/ChemCalcs!D105)*(DATENTER!$E$65^3.33/DATENTER!$D$65^2)))</f>
        <v>0</v>
      </c>
      <c r="H105" s="135">
        <f>IF((VLOOKUP(A105,Props,3,FALSE))=0,0,((VLOOKUP(A105,Props,3,FALSE))*(SiteCalcs!$D$19^3.33/SiteCalcs!$C$19^2))+(((VLOOKUP(A105,Props,4,FALSE))/ChemCalcs!D105)*(SiteCalcs!$E$19^3.33/SiteCalcs!$C$19^2)))</f>
        <v>1.0148453036357495E-3</v>
      </c>
      <c r="I105" s="205">
        <f>IF(AND(E105&gt;0,F105&gt;0,G105&gt;0),SiteCalcs!$B$11/(((IF(SiteCalcs!$B$11=1,1,DATENTER!$B$28-DATENTER!$B$14))/E105)+(DATENTER!$C$28/F105)+((DATENTER!$D$28-SiteCalcs!$B$19)/G105)+(SiteCalcs!$B$19/H105)),IF(AND(E105&gt;0,F105&gt;0,G105=0),SiteCalcs!$B$11/(((IF(SiteCalcs!$B$11=1,1,DATENTER!$B$28-DATENTER!$B$14))/E105)+((DATENTER!$C$28-SiteCalcs!$B$19)/F105)+(SiteCalcs!$B$19/H105)),IF(AND(E105&gt;0,F105=0,G105=0),SiteCalcs!$B$11/(((IF(SiteCalcs!$B$11=1,1,DATENTER!$B$28-DATENTER!$B$14)-SiteCalcs!$B$19)/E105)+(SiteCalcs!$B$19/H105)))))</f>
        <v>1.6768857124958058E-3</v>
      </c>
      <c r="J105" s="135">
        <f>ChemCalcs!E105</f>
        <v>1.1839331293161753E-2</v>
      </c>
      <c r="K105" s="260">
        <f>IF(DATENTER!$B$78="","ERROR",EXP((SiteCalcs!$L$11*DATENTER!$B$78)/(ChemCalcs!J105*SiteCalcs!$M$11)))</f>
        <v>1.1976724984771874E+94</v>
      </c>
      <c r="L105" s="206">
        <f>IF(ISERROR(K105),((ChemCalcs!I105*SiteCalcs!$E$11)/(SiteCalcs!$D$11*SiteCalcs!$B$11))/(((ChemCalcs!I105*SiteCalcs!$E$11)/(SiteCalcs!$L$11*SiteCalcs!$B$11))+1),(((ChemCalcs!I105*SiteCalcs!$E$11)/(SiteCalcs!$D$11*SiteCalcs!$B$11))*EXP((SiteCalcs!$L$11*DATENTER!$B$78)/(ChemCalcs!J105*SiteCalcs!$M$11)))/(EXP((SiteCalcs!$L$11*DATENTER!$B$78)/(ChemCalcs!J105*SiteCalcs!$M$11))+((ChemCalcs!I105*SiteCalcs!$E$11)/(SiteCalcs!$D$11*SiteCalcs!$B$11))+((ChemCalcs!I105*SiteCalcs!$E$11)/(SiteCalcs!$L$11*SiteCalcs!$B$11))*(EXP((SiteCalcs!$L$11*DATENTER!$B$78)/(ChemCalcs!J105*SiteCalcs!$M$11))-1)))</f>
        <v>6.7723075599586749E-4</v>
      </c>
    </row>
    <row r="106" spans="1:12" x14ac:dyDescent="0.25">
      <c r="A106" s="172" t="s">
        <v>297</v>
      </c>
      <c r="B106" s="136">
        <f>IF((VLOOKUP(A106,Props,10,FALSE))=0,0,IF((VLOOKUP(A106,Props,9,FALSE))/(VLOOKUP(A106,Props,10,FALSE))&lt;0.57,(VLOOKUP(A106,Props,8,FALSE))*((1-((DATENTER!$D$14+273.15)/(VLOOKUP(A106,Props,10,FALSE))))/(1-((VLOOKUP(A106,Props,9,FALSE))/(VLOOKUP(A106,Props,10,FALSE)))))^0.3,IF(AND((VLOOKUP(A106,Props,9,FALSE))/(VLOOKUP(A106,Props,10,FALSE))&gt;=0.57,(VLOOKUP(A106,Props,9,FALSE))/(VLOOKUP(A106,Props,10,FALSE))&lt;=0.71),(VLOOKUP(A106,Props,8,FALSE))*((1-((DATENTER!$D$14+273.15)/(VLOOKUP(A106,Props,10,FALSE))))/(1-((VLOOKUP(A106,Props,9,FALSE))/(VLOOKUP(A106,Props,10,FALSE)))))^(0.74*((VLOOKUP(A106,Props,9,FALSE))/(VLOOKUP(A106,Props,10,FALSE)))-0.116),(VLOOKUP(A106,Props,8,FALSE))*((1-((DATENTER!$D$14+273.15)/(VLOOKUP(A106,Props,10,FALSE))))/(1-((VLOOKUP(A106,Props,9,FALSE))/(VLOOKUP(A106,Props,10,FALSE)))))^0.41)))</f>
        <v>18403.937425837659</v>
      </c>
      <c r="C106" s="135">
        <f>EXP(-1*((B106/1.9872)*((1/(DATENTER!$D$14+273.15))-(1/((VLOOKUP(A106,Props,7,FALSE))+273.15)))))*(VLOOKUP(A106,Props,6,FALSE))</f>
        <v>8.1600050902325074E-6</v>
      </c>
      <c r="D106" s="135">
        <f>IF(DATENTER!$D$14="",0,C106/(0.00008206*(DATENTER!$D$14+273.15)))</f>
        <v>3.5119016984176563E-4</v>
      </c>
      <c r="E106" s="135">
        <f>IF((VLOOKUP(A106,Props,3,FALSE))=0,0,((VLOOKUP(A106,Props,3,FALSE))*(SiteCalcs!$B$28^3.33/DATENTER!$G$41^2))+(((VLOOKUP(A106,Props,4,FALSE))/ChemCalcs!D106)*(DATENTER!$H$41^3.33/DATENTER!$G$41^2)))</f>
        <v>6.5806317323079963E-3</v>
      </c>
      <c r="F106" s="135">
        <f>IF(DATENTER!$C$28=0,0,(ChemProps!C106*(SiteCalcs!$H$28^3.33/DATENTER!$D$53^2))+((ChemProps!D106/ChemCalcs!D106)*(DATENTER!$E$53^3.33/DATENTER!$D$53^2)))</f>
        <v>0</v>
      </c>
      <c r="G106" s="135">
        <f>IF(DATENTER!$D$28=0,0,(ChemProps!C106*(SiteCalcs!$J$28^3.33/DATENTER!$D$65^2))+((ChemProps!D106/ChemCalcs!D106)*(DATENTER!$E$65^3.33/DATENTER!$D$65^2)))</f>
        <v>0</v>
      </c>
      <c r="H106" s="135">
        <f>IF((VLOOKUP(A106,Props,3,FALSE))=0,0,((VLOOKUP(A106,Props,3,FALSE))*(SiteCalcs!$D$19^3.33/SiteCalcs!$C$19^2))+(((VLOOKUP(A106,Props,4,FALSE))/ChemCalcs!D106)*(SiteCalcs!$E$19^3.33/SiteCalcs!$C$19^2)))</f>
        <v>1.7489405883867907E-3</v>
      </c>
      <c r="I106" s="205">
        <f>IF(AND(E106&gt;0,F106&gt;0,G106&gt;0),SiteCalcs!$B$11/(((IF(SiteCalcs!$B$11=1,1,DATENTER!$B$28-DATENTER!$B$14))/E106)+(DATENTER!$C$28/F106)+((DATENTER!$D$28-SiteCalcs!$B$19)/G106)+(SiteCalcs!$B$19/H106)),IF(AND(E106&gt;0,F106&gt;0,G106=0),SiteCalcs!$B$11/(((IF(SiteCalcs!$B$11=1,1,DATENTER!$B$28-DATENTER!$B$14))/E106)+((DATENTER!$C$28-SiteCalcs!$B$19)/F106)+(SiteCalcs!$B$19/H106)),IF(AND(E106&gt;0,F106=0,G106=0),SiteCalcs!$B$11/(((IF(SiteCalcs!$B$11=1,1,DATENTER!$B$28-DATENTER!$B$14)-SiteCalcs!$B$19)/E106)+(SiteCalcs!$B$19/H106)))))</f>
        <v>2.5608748207118621E-3</v>
      </c>
      <c r="J106" s="135">
        <f>ChemCalcs!E106</f>
        <v>6.5806317323079963E-3</v>
      </c>
      <c r="K106" s="260">
        <f>IF(DATENTER!$B$78="","ERROR",EXP((SiteCalcs!$L$11*DATENTER!$B$78)/(ChemCalcs!J106*SiteCalcs!$M$11)))</f>
        <v>1.8113694115266352E+169</v>
      </c>
      <c r="L106" s="206">
        <f>IF(ISERROR(K106),((ChemCalcs!I106*SiteCalcs!$E$11)/(SiteCalcs!$D$11*SiteCalcs!$B$11))/(((ChemCalcs!I106*SiteCalcs!$E$11)/(SiteCalcs!$L$11*SiteCalcs!$B$11))+1),(((ChemCalcs!I106*SiteCalcs!$E$11)/(SiteCalcs!$D$11*SiteCalcs!$B$11))*EXP((SiteCalcs!$L$11*DATENTER!$B$78)/(ChemCalcs!J106*SiteCalcs!$M$11)))/(EXP((SiteCalcs!$L$11*DATENTER!$B$78)/(ChemCalcs!J106*SiteCalcs!$M$11))+((ChemCalcs!I106*SiteCalcs!$E$11)/(SiteCalcs!$D$11*SiteCalcs!$B$11))+((ChemCalcs!I106*SiteCalcs!$E$11)/(SiteCalcs!$L$11*SiteCalcs!$B$11))*(EXP((SiteCalcs!$L$11*DATENTER!$B$78)/(ChemCalcs!J106*SiteCalcs!$M$11))-1)))</f>
        <v>7.9191009194142696E-4</v>
      </c>
    </row>
    <row r="107" spans="1:12" x14ac:dyDescent="0.25">
      <c r="A107" s="172" t="s">
        <v>298</v>
      </c>
      <c r="B107" s="136">
        <f>IF((VLOOKUP(A107,Props,10,FALSE))=0,0,IF((VLOOKUP(A107,Props,9,FALSE))/(VLOOKUP(A107,Props,10,FALSE))&lt;0.57,(VLOOKUP(A107,Props,8,FALSE))*((1-((DATENTER!$D$14+273.15)/(VLOOKUP(A107,Props,10,FALSE))))/(1-((VLOOKUP(A107,Props,9,FALSE))/(VLOOKUP(A107,Props,10,FALSE)))))^0.3,IF(AND((VLOOKUP(A107,Props,9,FALSE))/(VLOOKUP(A107,Props,10,FALSE))&gt;=0.57,(VLOOKUP(A107,Props,9,FALSE))/(VLOOKUP(A107,Props,10,FALSE))&lt;=0.71),(VLOOKUP(A107,Props,8,FALSE))*((1-((DATENTER!$D$14+273.15)/(VLOOKUP(A107,Props,10,FALSE))))/(1-((VLOOKUP(A107,Props,9,FALSE))/(VLOOKUP(A107,Props,10,FALSE)))))^(0.74*((VLOOKUP(A107,Props,9,FALSE))/(VLOOKUP(A107,Props,10,FALSE)))-0.116),(VLOOKUP(A107,Props,8,FALSE))*((1-((DATENTER!$D$14+273.15)/(VLOOKUP(A107,Props,10,FALSE))))/(1-((VLOOKUP(A107,Props,9,FALSE))/(VLOOKUP(A107,Props,10,FALSE)))))^0.41)))</f>
        <v>13335.512440534729</v>
      </c>
      <c r="C107" s="135">
        <f>EXP(-1*((B107/1.9872)*((1/(DATENTER!$D$14+273.15))-(1/((VLOOKUP(A107,Props,7,FALSE))+273.15)))))*(VLOOKUP(A107,Props,6,FALSE))</f>
        <v>1.0106671176276667E-7</v>
      </c>
      <c r="D107" s="135">
        <f>IF(DATENTER!$D$14="",0,C107/(0.00008206*(DATENTER!$D$14+273.15)))</f>
        <v>4.3497075402318726E-6</v>
      </c>
      <c r="E107" s="135">
        <f>IF((VLOOKUP(A107,Props,3,FALSE))=0,0,((VLOOKUP(A107,Props,3,FALSE))*(SiteCalcs!$B$28^3.33/DATENTER!$G$41^2))+(((VLOOKUP(A107,Props,4,FALSE))/ChemCalcs!D107)*(DATENTER!$H$41^3.33/DATENTER!$G$41^2)))</f>
        <v>1.7146180684627914E-2</v>
      </c>
      <c r="F107" s="135">
        <f>IF(DATENTER!$C$28=0,0,(ChemProps!C107*(SiteCalcs!$H$28^3.33/DATENTER!$D$53^2))+((ChemProps!D107/ChemCalcs!D107)*(DATENTER!$E$53^3.33/DATENTER!$D$53^2)))</f>
        <v>0</v>
      </c>
      <c r="G107" s="135">
        <f>IF(DATENTER!$D$28=0,0,(ChemProps!C107*(SiteCalcs!$J$28^3.33/DATENTER!$D$65^2))+((ChemProps!D107/ChemCalcs!D107)*(DATENTER!$E$65^3.33/DATENTER!$D$65^2)))</f>
        <v>0</v>
      </c>
      <c r="H107" s="135">
        <f>IF((VLOOKUP(A107,Props,3,FALSE))=0,0,((VLOOKUP(A107,Props,3,FALSE))*(SiteCalcs!$D$19^3.33/SiteCalcs!$C$19^2))+(((VLOOKUP(A107,Props,4,FALSE))/ChemCalcs!D107)*(SiteCalcs!$E$19^3.33/SiteCalcs!$C$19^2)))</f>
        <v>0.11820020898906827</v>
      </c>
      <c r="I107" s="205">
        <f>IF(AND(E107&gt;0,F107&gt;0,G107&gt;0),SiteCalcs!$B$11/(((IF(SiteCalcs!$B$11=1,1,DATENTER!$B$28-DATENTER!$B$14))/E107)+(DATENTER!$C$28/F107)+((DATENTER!$D$28-SiteCalcs!$B$19)/G107)+(SiteCalcs!$B$19/H107)),IF(AND(E107&gt;0,F107&gt;0,G107=0),SiteCalcs!$B$11/(((IF(SiteCalcs!$B$11=1,1,DATENTER!$B$28-DATENTER!$B$14))/E107)+((DATENTER!$C$28-SiteCalcs!$B$19)/F107)+(SiteCalcs!$B$19/H107)),IF(AND(E107&gt;0,F107=0,G107=0),SiteCalcs!$B$11/(((IF(SiteCalcs!$B$11=1,1,DATENTER!$B$28-DATENTER!$B$14)-SiteCalcs!$B$19)/E107)+(SiteCalcs!$B$19/H107)))))</f>
        <v>3.3342829801182125E-2</v>
      </c>
      <c r="J107" s="135">
        <f>ChemCalcs!E107</f>
        <v>1.7146180684627914E-2</v>
      </c>
      <c r="K107" s="260">
        <f>IF(DATENTER!$B$78="","ERROR",EXP((SiteCalcs!$L$11*DATENTER!$B$78)/(ChemCalcs!J107*SiteCalcs!$M$11)))</f>
        <v>9.130788031051125E+64</v>
      </c>
      <c r="L107" s="206">
        <f>IF(ISERROR(K107),((ChemCalcs!I107*SiteCalcs!$E$11)/(SiteCalcs!$D$11*SiteCalcs!$B$11))/(((ChemCalcs!I107*SiteCalcs!$E$11)/(SiteCalcs!$L$11*SiteCalcs!$B$11))+1),(((ChemCalcs!I107*SiteCalcs!$E$11)/(SiteCalcs!$D$11*SiteCalcs!$B$11))*EXP((SiteCalcs!$L$11*DATENTER!$B$78)/(ChemCalcs!J107*SiteCalcs!$M$11)))/(EXP((SiteCalcs!$L$11*DATENTER!$B$78)/(ChemCalcs!J107*SiteCalcs!$M$11))+((ChemCalcs!I107*SiteCalcs!$E$11)/(SiteCalcs!$D$11*SiteCalcs!$B$11))+((ChemCalcs!I107*SiteCalcs!$E$11)/(SiteCalcs!$L$11*SiteCalcs!$B$11))*(EXP((SiteCalcs!$L$11*DATENTER!$B$78)/(ChemCalcs!J107*SiteCalcs!$M$11))-1)))</f>
        <v>1.1257527247352257E-3</v>
      </c>
    </row>
    <row r="108" spans="1:12" x14ac:dyDescent="0.25">
      <c r="A108" s="172" t="s">
        <v>299</v>
      </c>
      <c r="B108" s="136">
        <f>IF((VLOOKUP(A108,Props,10,FALSE))=0,0,IF((VLOOKUP(A108,Props,9,FALSE))/(VLOOKUP(A108,Props,10,FALSE))&lt;0.57,(VLOOKUP(A108,Props,8,FALSE))*((1-((DATENTER!$D$14+273.15)/(VLOOKUP(A108,Props,10,FALSE))))/(1-((VLOOKUP(A108,Props,9,FALSE))/(VLOOKUP(A108,Props,10,FALSE)))))^0.3,IF(AND((VLOOKUP(A108,Props,9,FALSE))/(VLOOKUP(A108,Props,10,FALSE))&gt;=0.57,(VLOOKUP(A108,Props,9,FALSE))/(VLOOKUP(A108,Props,10,FALSE))&lt;=0.71),(VLOOKUP(A108,Props,8,FALSE))*((1-((DATENTER!$D$14+273.15)/(VLOOKUP(A108,Props,10,FALSE))))/(1-((VLOOKUP(A108,Props,9,FALSE))/(VLOOKUP(A108,Props,10,FALSE)))))^(0.74*((VLOOKUP(A108,Props,9,FALSE))/(VLOOKUP(A108,Props,10,FALSE)))-0.116),(VLOOKUP(A108,Props,8,FALSE))*((1-((DATENTER!$D$14+273.15)/(VLOOKUP(A108,Props,10,FALSE))))/(1-((VLOOKUP(A108,Props,9,FALSE))/(VLOOKUP(A108,Props,10,FALSE)))))^0.41)))</f>
        <v>24569.626379564452</v>
      </c>
      <c r="C108" s="135">
        <f>EXP(-1*((B108/1.9872)*((1/(DATENTER!$D$14+273.15))-(1/((VLOOKUP(A108,Props,7,FALSE))+273.15)))))*(VLOOKUP(A108,Props,6,FALSE))</f>
        <v>4.6129215151570264E-5</v>
      </c>
      <c r="D108" s="135">
        <f>IF(DATENTER!$D$14="",0,C108/(0.00008206*(DATENTER!$D$14+273.15)))</f>
        <v>1.9853084311355143E-3</v>
      </c>
      <c r="E108" s="135">
        <f>IF((VLOOKUP(A108,Props,3,FALSE))=0,0,((VLOOKUP(A108,Props,3,FALSE))*(SiteCalcs!$B$28^3.33/DATENTER!$G$41^2))+(((VLOOKUP(A108,Props,4,FALSE))/ChemCalcs!D108)*(DATENTER!$H$41^3.33/DATENTER!$G$41^2)))</f>
        <v>2.724043873513556E-3</v>
      </c>
      <c r="F108" s="135">
        <f>IF(DATENTER!$C$28=0,0,(ChemProps!C108*(SiteCalcs!$H$28^3.33/DATENTER!$D$53^2))+((ChemProps!D108/ChemCalcs!D108)*(DATENTER!$E$53^3.33/DATENTER!$D$53^2)))</f>
        <v>0</v>
      </c>
      <c r="G108" s="135">
        <f>IF(DATENTER!$D$28=0,0,(ChemProps!C108*(SiteCalcs!$J$28^3.33/DATENTER!$D$65^2))+((ChemProps!D108/ChemCalcs!D108)*(DATENTER!$E$65^3.33/DATENTER!$D$65^2)))</f>
        <v>0</v>
      </c>
      <c r="H108" s="135">
        <f>IF((VLOOKUP(A108,Props,3,FALSE))=0,0,((VLOOKUP(A108,Props,3,FALSE))*(SiteCalcs!$D$19^3.33/SiteCalcs!$C$19^2))+(((VLOOKUP(A108,Props,4,FALSE))/ChemCalcs!D108)*(SiteCalcs!$E$19^3.33/SiteCalcs!$C$19^2)))</f>
        <v>3.5408791936719696E-4</v>
      </c>
      <c r="I108" s="205">
        <f>IF(AND(E108&gt;0,F108&gt;0,G108&gt;0),SiteCalcs!$B$11/(((IF(SiteCalcs!$B$11=1,1,DATENTER!$B$28-DATENTER!$B$14))/E108)+(DATENTER!$C$28/F108)+((DATENTER!$D$28-SiteCalcs!$B$19)/G108)+(SiteCalcs!$B$19/H108)),IF(AND(E108&gt;0,F108&gt;0,G108=0),SiteCalcs!$B$11/(((IF(SiteCalcs!$B$11=1,1,DATENTER!$B$28-DATENTER!$B$14))/E108)+((DATENTER!$C$28-SiteCalcs!$B$19)/F108)+(SiteCalcs!$B$19/H108)),IF(AND(E108&gt;0,F108=0,G108=0),SiteCalcs!$B$11/(((IF(SiteCalcs!$B$11=1,1,DATENTER!$B$28-DATENTER!$B$14)-SiteCalcs!$B$19)/E108)+(SiteCalcs!$B$19/H108)))))</f>
        <v>5.671648315920617E-4</v>
      </c>
      <c r="J108" s="135">
        <f>ChemCalcs!E108</f>
        <v>2.724043873513556E-3</v>
      </c>
      <c r="K108" s="260" t="e">
        <f>IF(DATENTER!$B$78="","ERROR",EXP((SiteCalcs!$L$11*DATENTER!$B$78)/(ChemCalcs!J108*SiteCalcs!$M$11)))</f>
        <v>#NUM!</v>
      </c>
      <c r="L108" s="206">
        <f>IF(ISERROR(K108),((ChemCalcs!I108*SiteCalcs!$E$11)/(SiteCalcs!$D$11*SiteCalcs!$B$11))/(((ChemCalcs!I108*SiteCalcs!$E$11)/(SiteCalcs!$L$11*SiteCalcs!$B$11))+1),(((ChemCalcs!I108*SiteCalcs!$E$11)/(SiteCalcs!$D$11*SiteCalcs!$B$11))*EXP((SiteCalcs!$L$11*DATENTER!$B$78)/(ChemCalcs!J108*SiteCalcs!$M$11)))/(EXP((SiteCalcs!$L$11*DATENTER!$B$78)/(ChemCalcs!J108*SiteCalcs!$M$11))+((ChemCalcs!I108*SiteCalcs!$E$11)/(SiteCalcs!$D$11*SiteCalcs!$B$11))+((ChemCalcs!I108*SiteCalcs!$E$11)/(SiteCalcs!$L$11*SiteCalcs!$B$11))*(EXP((SiteCalcs!$L$11*DATENTER!$B$78)/(ChemCalcs!J108*SiteCalcs!$M$11))-1)))</f>
        <v>3.7193443104038365E-4</v>
      </c>
    </row>
    <row r="109" spans="1:12" x14ac:dyDescent="0.25">
      <c r="A109" s="172" t="s">
        <v>300</v>
      </c>
      <c r="B109" s="136">
        <f>IF((VLOOKUP(A109,Props,10,FALSE))=0,0,IF((VLOOKUP(A109,Props,9,FALSE))/(VLOOKUP(A109,Props,10,FALSE))&lt;0.57,(VLOOKUP(A109,Props,8,FALSE))*((1-((DATENTER!$D$14+273.15)/(VLOOKUP(A109,Props,10,FALSE))))/(1-((VLOOKUP(A109,Props,9,FALSE))/(VLOOKUP(A109,Props,10,FALSE)))))^0.3,IF(AND((VLOOKUP(A109,Props,9,FALSE))/(VLOOKUP(A109,Props,10,FALSE))&gt;=0.57,(VLOOKUP(A109,Props,9,FALSE))/(VLOOKUP(A109,Props,10,FALSE))&lt;=0.71),(VLOOKUP(A109,Props,8,FALSE))*((1-((DATENTER!$D$14+273.15)/(VLOOKUP(A109,Props,10,FALSE))))/(1-((VLOOKUP(A109,Props,9,FALSE))/(VLOOKUP(A109,Props,10,FALSE)))))^(0.74*((VLOOKUP(A109,Props,9,FALSE))/(VLOOKUP(A109,Props,10,FALSE)))-0.116),(VLOOKUP(A109,Props,8,FALSE))*((1-((DATENTER!$D$14+273.15)/(VLOOKUP(A109,Props,10,FALSE))))/(1-((VLOOKUP(A109,Props,9,FALSE))/(VLOOKUP(A109,Props,10,FALSE)))))^0.41)))</f>
        <v>20699.591880496919</v>
      </c>
      <c r="C109" s="135">
        <f>EXP(-1*((B109/1.9872)*((1/(DATENTER!$D$14+273.15))-(1/((VLOOKUP(A109,Props,7,FALSE))+273.15)))))*(VLOOKUP(A109,Props,6,FALSE))</f>
        <v>1.8696212555354377E-6</v>
      </c>
      <c r="D109" s="135">
        <f>IF(DATENTER!$D$14="",0,C109/(0.00008206*(DATENTER!$D$14+273.15)))</f>
        <v>8.0464729986161912E-5</v>
      </c>
      <c r="E109" s="135">
        <f>IF((VLOOKUP(A109,Props,3,FALSE))=0,0,((VLOOKUP(A109,Props,3,FALSE))*(SiteCalcs!$B$28^3.33/DATENTER!$G$41^2))+(((VLOOKUP(A109,Props,4,FALSE))/ChemCalcs!D109)*(DATENTER!$H$41^3.33/DATENTER!$G$41^2)))</f>
        <v>5.4086874554344971E-3</v>
      </c>
      <c r="F109" s="135">
        <f>IF(DATENTER!$C$28=0,0,(ChemProps!C109*(SiteCalcs!$H$28^3.33/DATENTER!$D$53^2))+((ChemProps!D109/ChemCalcs!D109)*(DATENTER!$E$53^3.33/DATENTER!$D$53^2)))</f>
        <v>0</v>
      </c>
      <c r="G109" s="135">
        <f>IF(DATENTER!$D$28=0,0,(ChemProps!C109*(SiteCalcs!$J$28^3.33/DATENTER!$D$65^2))+((ChemProps!D109/ChemCalcs!D109)*(DATENTER!$E$65^3.33/DATENTER!$D$65^2)))</f>
        <v>0</v>
      </c>
      <c r="H109" s="135">
        <f>IF((VLOOKUP(A109,Props,3,FALSE))=0,0,((VLOOKUP(A109,Props,3,FALSE))*(SiteCalcs!$D$19^3.33/SiteCalcs!$C$19^2))+(((VLOOKUP(A109,Props,4,FALSE))/ChemCalcs!D109)*(SiteCalcs!$E$19^3.33/SiteCalcs!$C$19^2)))</f>
        <v>5.4825737405674764E-3</v>
      </c>
      <c r="I109" s="205">
        <f>IF(AND(E109&gt;0,F109&gt;0,G109&gt;0),SiteCalcs!$B$11/(((IF(SiteCalcs!$B$11=1,1,DATENTER!$B$28-DATENTER!$B$14))/E109)+(DATENTER!$C$28/F109)+((DATENTER!$D$28-SiteCalcs!$B$19)/G109)+(SiteCalcs!$B$19/H109)),IF(AND(E109&gt;0,F109&gt;0,G109=0),SiteCalcs!$B$11/(((IF(SiteCalcs!$B$11=1,1,DATENTER!$B$28-DATENTER!$B$14))/E109)+((DATENTER!$C$28-SiteCalcs!$B$19)/F109)+(SiteCalcs!$B$19/H109)),IF(AND(E109&gt;0,F109=0,G109=0),SiteCalcs!$B$11/(((IF(SiteCalcs!$B$11=1,1,DATENTER!$B$28-DATENTER!$B$14)-SiteCalcs!$B$19)/E109)+(SiteCalcs!$B$19/H109)))))</f>
        <v>5.4504221096674599E-3</v>
      </c>
      <c r="J109" s="135">
        <f>ChemCalcs!E109</f>
        <v>5.4086874554344971E-3</v>
      </c>
      <c r="K109" s="260">
        <f>IF(DATENTER!$B$78="","ERROR",EXP((SiteCalcs!$L$11*DATENTER!$B$78)/(ChemCalcs!J109*SiteCalcs!$M$11)))</f>
        <v>8.5608181108960963E+205</v>
      </c>
      <c r="L109" s="206">
        <f>IF(ISERROR(K109),((ChemCalcs!I109*SiteCalcs!$E$11)/(SiteCalcs!$D$11*SiteCalcs!$B$11))/(((ChemCalcs!I109*SiteCalcs!$E$11)/(SiteCalcs!$L$11*SiteCalcs!$B$11))+1),(((ChemCalcs!I109*SiteCalcs!$E$11)/(SiteCalcs!$D$11*SiteCalcs!$B$11))*EXP((SiteCalcs!$L$11*DATENTER!$B$78)/(ChemCalcs!J109*SiteCalcs!$M$11)))/(EXP((SiteCalcs!$L$11*DATENTER!$B$78)/(ChemCalcs!J109*SiteCalcs!$M$11))+((ChemCalcs!I109*SiteCalcs!$E$11)/(SiteCalcs!$D$11*SiteCalcs!$B$11))+((ChemCalcs!I109*SiteCalcs!$E$11)/(SiteCalcs!$L$11*SiteCalcs!$B$11))*(EXP((SiteCalcs!$L$11*DATENTER!$B$78)/(ChemCalcs!J109*SiteCalcs!$M$11))-1)))</f>
        <v>9.5444904732837506E-4</v>
      </c>
    </row>
    <row r="110" spans="1:12" x14ac:dyDescent="0.25">
      <c r="A110" s="172" t="s">
        <v>301</v>
      </c>
      <c r="B110" s="136">
        <f>IF((VLOOKUP(A110,Props,10,FALSE))=0,0,IF((VLOOKUP(A110,Props,9,FALSE))/(VLOOKUP(A110,Props,10,FALSE))&lt;0.57,(VLOOKUP(A110,Props,8,FALSE))*((1-((DATENTER!$D$14+273.15)/(VLOOKUP(A110,Props,10,FALSE))))/(1-((VLOOKUP(A110,Props,9,FALSE))/(VLOOKUP(A110,Props,10,FALSE)))))^0.3,IF(AND((VLOOKUP(A110,Props,9,FALSE))/(VLOOKUP(A110,Props,10,FALSE))&gt;=0.57,(VLOOKUP(A110,Props,9,FALSE))/(VLOOKUP(A110,Props,10,FALSE))&lt;=0.71),(VLOOKUP(A110,Props,8,FALSE))*((1-((DATENTER!$D$14+273.15)/(VLOOKUP(A110,Props,10,FALSE))))/(1-((VLOOKUP(A110,Props,9,FALSE))/(VLOOKUP(A110,Props,10,FALSE)))))^(0.74*((VLOOKUP(A110,Props,9,FALSE))/(VLOOKUP(A110,Props,10,FALSE)))-0.116),(VLOOKUP(A110,Props,8,FALSE))*((1-((DATENTER!$D$14+273.15)/(VLOOKUP(A110,Props,10,FALSE))))/(1-((VLOOKUP(A110,Props,9,FALSE))/(VLOOKUP(A110,Props,10,FALSE)))))^0.41)))</f>
        <v>0</v>
      </c>
      <c r="C110" s="135">
        <f>(VLOOKUP(A110,Props,6,FALSE))/2</f>
        <v>3.1599999999999998E-8</v>
      </c>
      <c r="D110" s="135">
        <f>IF(DATENTER!$D$14="",0,C110/(0.00008206*(DATENTER!$D$14+273.15)))</f>
        <v>1.3600002995443699E-6</v>
      </c>
      <c r="E110" s="135">
        <f>IF((VLOOKUP(A110,Props,3,FALSE))=0,0,((VLOOKUP(A110,Props,3,FALSE))*(SiteCalcs!$B$28^3.33/DATENTER!$G$41^2))+(((VLOOKUP(A110,Props,4,FALSE))/ChemCalcs!D110)*(DATENTER!$H$41^3.33/DATENTER!$G$41^2)))</f>
        <v>1.2297390145397725E-2</v>
      </c>
      <c r="F110" s="135">
        <f>IF(DATENTER!$C$28=0,0,(ChemProps!C110*(SiteCalcs!$H$28^3.33/DATENTER!$D$53^2))+((ChemProps!D110/ChemCalcs!D110)*(DATENTER!$E$53^3.33/DATENTER!$D$53^2)))</f>
        <v>0</v>
      </c>
      <c r="G110" s="135">
        <f>IF(DATENTER!$D$28=0,0,(ChemProps!C110*(SiteCalcs!$J$28^3.33/DATENTER!$D$65^2))+((ChemProps!D110/ChemCalcs!D110)*(DATENTER!$E$65^3.33/DATENTER!$D$65^2)))</f>
        <v>0</v>
      </c>
      <c r="H110" s="135">
        <f>IF((VLOOKUP(A110,Props,3,FALSE))=0,0,((VLOOKUP(A110,Props,3,FALSE))*(SiteCalcs!$D$19^3.33/SiteCalcs!$C$19^2))+(((VLOOKUP(A110,Props,4,FALSE))/ChemCalcs!D110)*(SiteCalcs!$E$19^3.33/SiteCalcs!$C$19^2)))</f>
        <v>0.24722004326198735</v>
      </c>
      <c r="I110" s="205">
        <f>IF(AND(E110&gt;0,F110&gt;0,G110&gt;0),SiteCalcs!$B$11/(((IF(SiteCalcs!$B$11=1,1,DATENTER!$B$28-DATENTER!$B$14))/E110)+(DATENTER!$C$28/F110)+((DATENTER!$D$28-SiteCalcs!$B$19)/G110)+(SiteCalcs!$B$19/H110)),IF(AND(E110&gt;0,F110&gt;0,G110=0),SiteCalcs!$B$11/(((IF(SiteCalcs!$B$11=1,1,DATENTER!$B$28-DATENTER!$B$14))/E110)+((DATENTER!$C$28-SiteCalcs!$B$19)/F110)+(SiteCalcs!$B$19/H110)),IF(AND(E110&gt;0,F110=0,G110=0),SiteCalcs!$B$11/(((IF(SiteCalcs!$B$11=1,1,DATENTER!$B$28-DATENTER!$B$14)-SiteCalcs!$B$19)/E110)+(SiteCalcs!$B$19/H110)))))</f>
        <v>2.6728745939458648E-2</v>
      </c>
      <c r="J110" s="135">
        <f>ChemCalcs!E110</f>
        <v>1.2297390145397725E-2</v>
      </c>
      <c r="K110" s="260">
        <f>IF(DATENTER!$B$78="","ERROR",EXP((SiteCalcs!$L$11*DATENTER!$B$78)/(ChemCalcs!J110*SiteCalcs!$M$11)))</f>
        <v>3.7502896264160695E+90</v>
      </c>
      <c r="L110" s="206">
        <f>IF(ISERROR(K110),((ChemCalcs!I110*SiteCalcs!$E$11)/(SiteCalcs!$D$11*SiteCalcs!$B$11))/(((ChemCalcs!I110*SiteCalcs!$E$11)/(SiteCalcs!$L$11*SiteCalcs!$B$11))+1),(((ChemCalcs!I110*SiteCalcs!$E$11)/(SiteCalcs!$D$11*SiteCalcs!$B$11))*EXP((SiteCalcs!$L$11*DATENTER!$B$78)/(ChemCalcs!J110*SiteCalcs!$M$11)))/(EXP((SiteCalcs!$L$11*DATENTER!$B$78)/(ChemCalcs!J110*SiteCalcs!$M$11))+((ChemCalcs!I110*SiteCalcs!$E$11)/(SiteCalcs!$D$11*SiteCalcs!$B$11))+((ChemCalcs!I110*SiteCalcs!$E$11)/(SiteCalcs!$L$11*SiteCalcs!$B$11))*(EXP((SiteCalcs!$L$11*DATENTER!$B$78)/(ChemCalcs!J110*SiteCalcs!$M$11))-1)))</f>
        <v>1.1160668379447453E-3</v>
      </c>
    </row>
    <row r="111" spans="1:12" x14ac:dyDescent="0.25">
      <c r="A111" s="172" t="s">
        <v>302</v>
      </c>
      <c r="B111" s="136">
        <f>IF((VLOOKUP(A111,Props,10,FALSE))=0,0,IF((VLOOKUP(A111,Props,9,FALSE))/(VLOOKUP(A111,Props,10,FALSE))&lt;0.57,(VLOOKUP(A111,Props,8,FALSE))*((1-((DATENTER!$D$14+273.15)/(VLOOKUP(A111,Props,10,FALSE))))/(1-((VLOOKUP(A111,Props,9,FALSE))/(VLOOKUP(A111,Props,10,FALSE)))))^0.3,IF(AND((VLOOKUP(A111,Props,9,FALSE))/(VLOOKUP(A111,Props,10,FALSE))&gt;=0.57,(VLOOKUP(A111,Props,9,FALSE))/(VLOOKUP(A111,Props,10,FALSE))&lt;=0.71),(VLOOKUP(A111,Props,8,FALSE))*((1-((DATENTER!$D$14+273.15)/(VLOOKUP(A111,Props,10,FALSE))))/(1-((VLOOKUP(A111,Props,9,FALSE))/(VLOOKUP(A111,Props,10,FALSE)))))^(0.74*((VLOOKUP(A111,Props,9,FALSE))/(VLOOKUP(A111,Props,10,FALSE)))-0.116),(VLOOKUP(A111,Props,8,FALSE))*((1-((DATENTER!$D$14+273.15)/(VLOOKUP(A111,Props,10,FALSE))))/(1-((VLOOKUP(A111,Props,9,FALSE))/(VLOOKUP(A111,Props,10,FALSE)))))^0.41)))</f>
        <v>0</v>
      </c>
      <c r="C111" s="135">
        <f>EXP(-1*((B111/1.9872)*((1/(DATENTER!$D$14+273.15))-(1/((VLOOKUP(A111,Props,7,FALSE))+273.15)))))*(VLOOKUP(A111,Props,6,FALSE))</f>
        <v>0</v>
      </c>
      <c r="D111" s="135">
        <f>IF(DATENTER!$D$14="",0,C111/(0.00008206*(DATENTER!$D$14+273.15)))</f>
        <v>0</v>
      </c>
      <c r="E111" s="135">
        <f>IF((VLOOKUP(A111,Props,3,FALSE))=0,0,((VLOOKUP(A111,Props,3,FALSE))*(SiteCalcs!$B$28^3.33/DATENTER!$G$41^2))+(((VLOOKUP(A111,Props,4,FALSE))/ChemCalcs!D111)*(DATENTER!$H$41^3.33/DATENTER!$G$41^2)))</f>
        <v>0</v>
      </c>
      <c r="F111" s="135"/>
      <c r="G111" s="135"/>
      <c r="H111" s="135">
        <f>IF((VLOOKUP(A111,Props,3,FALSE))=0,0,((VLOOKUP(A111,Props,3,FALSE))*(SiteCalcs!$D$19^3.33/SiteCalcs!$C$19^2))+(((VLOOKUP(A111,Props,4,FALSE))/ChemCalcs!D111)*(SiteCalcs!$E$19^3.33/SiteCalcs!$C$19^2)))</f>
        <v>0</v>
      </c>
      <c r="I111" s="205"/>
      <c r="J111" s="135"/>
      <c r="K111" s="260"/>
      <c r="L111" s="206"/>
    </row>
    <row r="112" spans="1:12" x14ac:dyDescent="0.25">
      <c r="A112" s="172" t="s">
        <v>303</v>
      </c>
      <c r="B112" s="136">
        <f>IF((VLOOKUP(A112,Props,10,FALSE))=0,0,IF((VLOOKUP(A112,Props,9,FALSE))/(VLOOKUP(A112,Props,10,FALSE))&lt;0.57,(VLOOKUP(A112,Props,8,FALSE))*((1-((DATENTER!$D$14+273.15)/(VLOOKUP(A112,Props,10,FALSE))))/(1-((VLOOKUP(A112,Props,9,FALSE))/(VLOOKUP(A112,Props,10,FALSE)))))^0.3,IF(AND((VLOOKUP(A112,Props,9,FALSE))/(VLOOKUP(A112,Props,10,FALSE))&gt;=0.57,(VLOOKUP(A112,Props,9,FALSE))/(VLOOKUP(A112,Props,10,FALSE))&lt;=0.71),(VLOOKUP(A112,Props,8,FALSE))*((1-((DATENTER!$D$14+273.15)/(VLOOKUP(A112,Props,10,FALSE))))/(1-((VLOOKUP(A112,Props,9,FALSE))/(VLOOKUP(A112,Props,10,FALSE)))))^(0.74*((VLOOKUP(A112,Props,9,FALSE))/(VLOOKUP(A112,Props,10,FALSE)))-0.116),(VLOOKUP(A112,Props,8,FALSE))*((1-((DATENTER!$D$14+273.15)/(VLOOKUP(A112,Props,10,FALSE))))/(1-((VLOOKUP(A112,Props,9,FALSE))/(VLOOKUP(A112,Props,10,FALSE)))))^0.41)))</f>
        <v>0</v>
      </c>
      <c r="C112" s="135">
        <f>EXP(-1*((B112/1.9872)*((1/(DATENTER!$D$14+273.15))-(1/((VLOOKUP(A112,Props,7,FALSE))+273.15)))))*(VLOOKUP(A112,Props,6,FALSE))</f>
        <v>0</v>
      </c>
      <c r="D112" s="135">
        <f>IF(DATENTER!$D$14="",0,C112/(0.00008206*(DATENTER!$D$14+273.15)))</f>
        <v>0</v>
      </c>
      <c r="E112" s="135">
        <f>IF((VLOOKUP(A112,Props,3,FALSE))=0,0,((VLOOKUP(A112,Props,3,FALSE))*(SiteCalcs!$B$28^3.33/DATENTER!$G$41^2))+(((VLOOKUP(A112,Props,4,FALSE))/ChemCalcs!D112)*(DATENTER!$H$41^3.33/DATENTER!$G$41^2)))</f>
        <v>0</v>
      </c>
      <c r="F112" s="135"/>
      <c r="G112" s="135"/>
      <c r="H112" s="135">
        <f>IF((VLOOKUP(A112,Props,3,FALSE))=0,0,((VLOOKUP(A112,Props,3,FALSE))*(SiteCalcs!$D$19^3.33/SiteCalcs!$C$19^2))+(((VLOOKUP(A112,Props,4,FALSE))/ChemCalcs!D112)*(SiteCalcs!$E$19^3.33/SiteCalcs!$C$19^2)))</f>
        <v>0</v>
      </c>
      <c r="I112" s="205"/>
      <c r="J112" s="135"/>
      <c r="K112" s="260"/>
      <c r="L112" s="206"/>
    </row>
    <row r="113" spans="1:12" x14ac:dyDescent="0.25">
      <c r="A113" s="172" t="s">
        <v>304</v>
      </c>
      <c r="B113" s="136">
        <f>IF((VLOOKUP(A113,Props,10,FALSE))=0,0,IF((VLOOKUP(A113,Props,9,FALSE))/(VLOOKUP(A113,Props,10,FALSE))&lt;0.57,(VLOOKUP(A113,Props,8,FALSE))*((1-((DATENTER!$D$14+273.15)/(VLOOKUP(A113,Props,10,FALSE))))/(1-((VLOOKUP(A113,Props,9,FALSE))/(VLOOKUP(A113,Props,10,FALSE)))))^0.3,IF(AND((VLOOKUP(A113,Props,9,FALSE))/(VLOOKUP(A113,Props,10,FALSE))&gt;=0.57,(VLOOKUP(A113,Props,9,FALSE))/(VLOOKUP(A113,Props,10,FALSE))&lt;=0.71),(VLOOKUP(A113,Props,8,FALSE))*((1-((DATENTER!$D$14+273.15)/(VLOOKUP(A113,Props,10,FALSE))))/(1-((VLOOKUP(A113,Props,9,FALSE))/(VLOOKUP(A113,Props,10,FALSE)))))^(0.74*((VLOOKUP(A113,Props,9,FALSE))/(VLOOKUP(A113,Props,10,FALSE)))-0.116),(VLOOKUP(A113,Props,8,FALSE))*((1-((DATENTER!$D$14+273.15)/(VLOOKUP(A113,Props,10,FALSE))))/(1-((VLOOKUP(A113,Props,9,FALSE))/(VLOOKUP(A113,Props,10,FALSE)))))^0.41)))</f>
        <v>10450.088631589968</v>
      </c>
      <c r="C113" s="135">
        <f>EXP(-1*((B113/1.9872)*((1/(DATENTER!$D$14+273.15))-(1/((VLOOKUP(A113,Props,7,FALSE))+273.15)))))*(VLOOKUP(A113,Props,6,FALSE))</f>
        <v>1.0802929200821459E-3</v>
      </c>
      <c r="D113" s="135">
        <f>IF(DATENTER!$D$14="",0,C113/(0.00008206*(DATENTER!$D$14+273.15)))</f>
        <v>4.6493629585676606E-2</v>
      </c>
      <c r="E113" s="135">
        <f>IF((VLOOKUP(A113,Props,3,FALSE))=0,0,((VLOOKUP(A113,Props,3,FALSE))*(SiteCalcs!$B$28^3.33/DATENTER!$G$41^2))+(((VLOOKUP(A113,Props,4,FALSE))/ChemCalcs!D113)*(DATENTER!$H$41^3.33/DATENTER!$G$41^2)))</f>
        <v>1.4009919538857147E-2</v>
      </c>
      <c r="F113" s="135">
        <f>IF(DATENTER!$C$28=0,0,(ChemProps!C113*(SiteCalcs!$H$28^3.33/DATENTER!$D$53^2))+((ChemProps!D113/ChemCalcs!D113)*(DATENTER!$E$53^3.33/DATENTER!$D$53^2)))</f>
        <v>0</v>
      </c>
      <c r="G113" s="135">
        <f>IF(DATENTER!$D$28=0,0,(ChemProps!C113*(SiteCalcs!$J$28^3.33/DATENTER!$D$65^2))+((ChemProps!D113/ChemCalcs!D113)*(DATENTER!$E$65^3.33/DATENTER!$D$65^2)))</f>
        <v>0</v>
      </c>
      <c r="H113" s="135">
        <f>IF((VLOOKUP(A113,Props,3,FALSE))=0,0,((VLOOKUP(A113,Props,3,FALSE))*(SiteCalcs!$D$19^3.33/SiteCalcs!$C$19^2))+(((VLOOKUP(A113,Props,4,FALSE))/ChemCalcs!D113)*(SiteCalcs!$E$19^3.33/SiteCalcs!$C$19^2)))</f>
        <v>1.2062434790323596E-3</v>
      </c>
      <c r="I113" s="205">
        <f>IF(AND(E113&gt;0,F113&gt;0,G113&gt;0),SiteCalcs!$B$11/(((IF(SiteCalcs!$B$11=1,1,DATENTER!$B$28-DATENTER!$B$14))/E113)+(DATENTER!$C$28/F113)+((DATENTER!$D$28-SiteCalcs!$B$19)/G113)+(SiteCalcs!$B$19/H113)),IF(AND(E113&gt;0,F113&gt;0,G113=0),SiteCalcs!$B$11/(((IF(SiteCalcs!$B$11=1,1,DATENTER!$B$28-DATENTER!$B$14))/E113)+((DATENTER!$C$28-SiteCalcs!$B$19)/F113)+(SiteCalcs!$B$19/H113)),IF(AND(E113&gt;0,F113=0,G113=0),SiteCalcs!$B$11/(((IF(SiteCalcs!$B$11=1,1,DATENTER!$B$28-DATENTER!$B$14)-SiteCalcs!$B$19)/E113)+(SiteCalcs!$B$19/H113)))))</f>
        <v>1.9926017781987044E-3</v>
      </c>
      <c r="J113" s="135">
        <f>ChemCalcs!E113</f>
        <v>1.4009919538857147E-2</v>
      </c>
      <c r="K113" s="260">
        <f>IF(DATENTER!$B$78="","ERROR",EXP((SiteCalcs!$L$11*DATENTER!$B$78)/(ChemCalcs!J113*SiteCalcs!$M$11)))</f>
        <v>3.1810480303322295E+79</v>
      </c>
      <c r="L113" s="206">
        <f>IF(ISERROR(K113),((ChemCalcs!I113*SiteCalcs!$E$11)/(SiteCalcs!$D$11*SiteCalcs!$B$11))/(((ChemCalcs!I113*SiteCalcs!$E$11)/(SiteCalcs!$L$11*SiteCalcs!$B$11))+1),(((ChemCalcs!I113*SiteCalcs!$E$11)/(SiteCalcs!$D$11*SiteCalcs!$B$11))*EXP((SiteCalcs!$L$11*DATENTER!$B$78)/(ChemCalcs!J113*SiteCalcs!$M$11)))/(EXP((SiteCalcs!$L$11*DATENTER!$B$78)/(ChemCalcs!J113*SiteCalcs!$M$11))+((ChemCalcs!I113*SiteCalcs!$E$11)/(SiteCalcs!$D$11*SiteCalcs!$B$11))+((ChemCalcs!I113*SiteCalcs!$E$11)/(SiteCalcs!$L$11*SiteCalcs!$B$11))*(EXP((SiteCalcs!$L$11*DATENTER!$B$78)/(ChemCalcs!J113*SiteCalcs!$M$11))-1)))</f>
        <v>7.2545166327125411E-4</v>
      </c>
    </row>
    <row r="114" spans="1:12" x14ac:dyDescent="0.25">
      <c r="A114" s="172" t="s">
        <v>305</v>
      </c>
      <c r="B114" s="136">
        <f>IF((VLOOKUP(A114,Props,10,FALSE))=0,0,IF((VLOOKUP(A114,Props,9,FALSE))/(VLOOKUP(A114,Props,10,FALSE))&lt;0.57,(VLOOKUP(A114,Props,8,FALSE))*((1-((DATENTER!$D$14+273.15)/(VLOOKUP(A114,Props,10,FALSE))))/(1-((VLOOKUP(A114,Props,9,FALSE))/(VLOOKUP(A114,Props,10,FALSE)))))^0.3,IF(AND((VLOOKUP(A114,Props,9,FALSE))/(VLOOKUP(A114,Props,10,FALSE))&gt;=0.57,(VLOOKUP(A114,Props,9,FALSE))/(VLOOKUP(A114,Props,10,FALSE))&lt;=0.71),(VLOOKUP(A114,Props,8,FALSE))*((1-((DATENTER!$D$14+273.15)/(VLOOKUP(A114,Props,10,FALSE))))/(1-((VLOOKUP(A114,Props,9,FALSE))/(VLOOKUP(A114,Props,10,FALSE)))))^(0.74*((VLOOKUP(A114,Props,9,FALSE))/(VLOOKUP(A114,Props,10,FALSE)))-0.116),(VLOOKUP(A114,Props,8,FALSE))*((1-((DATENTER!$D$14+273.15)/(VLOOKUP(A114,Props,10,FALSE))))/(1-((VLOOKUP(A114,Props,9,FALSE))/(VLOOKUP(A114,Props,10,FALSE)))))^0.41)))</f>
        <v>30061.826733445894</v>
      </c>
      <c r="C114" s="135">
        <f>EXP(-1*((B114/1.9872)*((1/(DATENTER!$D$14+273.15))-(1/((VLOOKUP(A114,Props,7,FALSE))+273.15)))))*(VLOOKUP(A114,Props,6,FALSE))</f>
        <v>3.4011701479043296E-6</v>
      </c>
      <c r="D114" s="135">
        <f>IF(DATENTER!$D$14="",0,C114/(0.00008206*(DATENTER!$D$14+273.15)))</f>
        <v>1.4637950696048285E-4</v>
      </c>
      <c r="E114" s="135">
        <f>IF((VLOOKUP(A114,Props,3,FALSE))=0,0,((VLOOKUP(A114,Props,3,FALSE))*(SiteCalcs!$B$28^3.33/DATENTER!$G$41^2))+(((VLOOKUP(A114,Props,4,FALSE))/ChemCalcs!D114)*(DATENTER!$H$41^3.33/DATENTER!$G$41^2)))</f>
        <v>9.2993494604645156E-3</v>
      </c>
      <c r="F114" s="135">
        <f>IF(DATENTER!$C$28=0,0,(ChemProps!C114*(SiteCalcs!$H$28^3.33/DATENTER!$D$53^2))+((ChemProps!D114/ChemCalcs!D114)*(DATENTER!$E$53^3.33/DATENTER!$D$53^2)))</f>
        <v>0</v>
      </c>
      <c r="G114" s="135">
        <f>IF(DATENTER!$D$28=0,0,(ChemProps!C114*(SiteCalcs!$J$28^3.33/DATENTER!$D$65^2))+((ChemProps!D114/ChemCalcs!D114)*(DATENTER!$E$65^3.33/DATENTER!$D$65^2)))</f>
        <v>0</v>
      </c>
      <c r="H114" s="135">
        <f>IF((VLOOKUP(A114,Props,3,FALSE))=0,0,((VLOOKUP(A114,Props,3,FALSE))*(SiteCalcs!$D$19^3.33/SiteCalcs!$C$19^2))+(((VLOOKUP(A114,Props,4,FALSE))/ChemCalcs!D114)*(SiteCalcs!$E$19^3.33/SiteCalcs!$C$19^2)))</f>
        <v>3.8438177730439308E-3</v>
      </c>
      <c r="I114" s="205">
        <f>IF(AND(E114&gt;0,F114&gt;0,G114&gt;0),SiteCalcs!$B$11/(((IF(SiteCalcs!$B$11=1,1,DATENTER!$B$28-DATENTER!$B$14))/E114)+(DATENTER!$C$28/F114)+((DATENTER!$D$28-SiteCalcs!$B$19)/G114)+(SiteCalcs!$B$19/H114)),IF(AND(E114&gt;0,F114&gt;0,G114=0),SiteCalcs!$B$11/(((IF(SiteCalcs!$B$11=1,1,DATENTER!$B$28-DATENTER!$B$14))/E114)+((DATENTER!$C$28-SiteCalcs!$B$19)/F114)+(SiteCalcs!$B$19/H114)),IF(AND(E114&gt;0,F114=0,G114=0),SiteCalcs!$B$11/(((IF(SiteCalcs!$B$11=1,1,DATENTER!$B$28-DATENTER!$B$14)-SiteCalcs!$B$19)/E114)+(SiteCalcs!$B$19/H114)))))</f>
        <v>5.1479424865726632E-3</v>
      </c>
      <c r="J114" s="135">
        <f>ChemCalcs!E114</f>
        <v>9.2993494604645156E-3</v>
      </c>
      <c r="K114" s="260">
        <f>IF(DATENTER!$B$78="","ERROR",EXP((SiteCalcs!$L$11*DATENTER!$B$78)/(ChemCalcs!J114*SiteCalcs!$M$11)))</f>
        <v>5.9492962396501537E+119</v>
      </c>
      <c r="L114" s="206">
        <f>IF(ISERROR(K114),((ChemCalcs!I114*SiteCalcs!$E$11)/(SiteCalcs!$D$11*SiteCalcs!$B$11))/(((ChemCalcs!I114*SiteCalcs!$E$11)/(SiteCalcs!$L$11*SiteCalcs!$B$11))+1),(((ChemCalcs!I114*SiteCalcs!$E$11)/(SiteCalcs!$D$11*SiteCalcs!$B$11))*EXP((SiteCalcs!$L$11*DATENTER!$B$78)/(ChemCalcs!J114*SiteCalcs!$M$11)))/(EXP((SiteCalcs!$L$11*DATENTER!$B$78)/(ChemCalcs!J114*SiteCalcs!$M$11))+((ChemCalcs!I114*SiteCalcs!$E$11)/(SiteCalcs!$D$11*SiteCalcs!$B$11))+((ChemCalcs!I114*SiteCalcs!$E$11)/(SiteCalcs!$L$11*SiteCalcs!$B$11))*(EXP((SiteCalcs!$L$11*DATENTER!$B$78)/(ChemCalcs!J114*SiteCalcs!$M$11))-1)))</f>
        <v>9.4435563204730731E-4</v>
      </c>
    </row>
    <row r="115" spans="1:12" x14ac:dyDescent="0.25">
      <c r="A115" s="172" t="s">
        <v>306</v>
      </c>
      <c r="B115" s="136">
        <f>IF((VLOOKUP(A115,Props,10,FALSE))=0,0,IF((VLOOKUP(A115,Props,9,FALSE))/(VLOOKUP(A115,Props,10,FALSE))&lt;0.57,(VLOOKUP(A115,Props,8,FALSE))*((1-((DATENTER!$D$14+273.15)/(VLOOKUP(A115,Props,10,FALSE))))/(1-((VLOOKUP(A115,Props,9,FALSE))/(VLOOKUP(A115,Props,10,FALSE)))))^0.3,IF(AND((VLOOKUP(A115,Props,9,FALSE))/(VLOOKUP(A115,Props,10,FALSE))&gt;=0.57,(VLOOKUP(A115,Props,9,FALSE))/(VLOOKUP(A115,Props,10,FALSE))&lt;=0.71),(VLOOKUP(A115,Props,8,FALSE))*((1-((DATENTER!$D$14+273.15)/(VLOOKUP(A115,Props,10,FALSE))))/(1-((VLOOKUP(A115,Props,9,FALSE))/(VLOOKUP(A115,Props,10,FALSE)))))^(0.74*((VLOOKUP(A115,Props,9,FALSE))/(VLOOKUP(A115,Props,10,FALSE)))-0.116),(VLOOKUP(A115,Props,8,FALSE))*((1-((DATENTER!$D$14+273.15)/(VLOOKUP(A115,Props,10,FALSE))))/(1-((VLOOKUP(A115,Props,9,FALSE))/(VLOOKUP(A115,Props,10,FALSE)))))^0.41)))</f>
        <v>11806.270711709809</v>
      </c>
      <c r="C115" s="135">
        <f>EXP(-1*((B115/1.9872)*((1/(DATENTER!$D$14+273.15))-(1/((VLOOKUP(A115,Props,7,FALSE))+273.15)))))*(VLOOKUP(A115,Props,6,FALSE))</f>
        <v>8.5253560248382885E-4</v>
      </c>
      <c r="D115" s="135">
        <f>IF(DATENTER!$D$14="",0,C115/(0.00008206*(DATENTER!$D$14+273.15)))</f>
        <v>3.6691413757919213E-2</v>
      </c>
      <c r="E115" s="135">
        <f>IF((VLOOKUP(A115,Props,3,FALSE))=0,0,((VLOOKUP(A115,Props,3,FALSE))*(SiteCalcs!$B$28^3.33/DATENTER!$G$41^2))+(((VLOOKUP(A115,Props,4,FALSE))/ChemCalcs!D115)*(DATENTER!$H$41^3.33/DATENTER!$G$41^2)))</f>
        <v>1.4009939501544518E-2</v>
      </c>
      <c r="F115" s="135">
        <f>IF(DATENTER!$C$28=0,0,(ChemProps!C115*(SiteCalcs!$H$28^3.33/DATENTER!$D$53^2))+((ChemProps!D115/ChemCalcs!D115)*(DATENTER!$E$53^3.33/DATENTER!$D$53^2)))</f>
        <v>0</v>
      </c>
      <c r="G115" s="135">
        <f>IF(DATENTER!$D$28=0,0,(ChemProps!C115*(SiteCalcs!$J$28^3.33/DATENTER!$D$65^2))+((ChemProps!D115/ChemCalcs!D115)*(DATENTER!$E$65^3.33/DATENTER!$D$65^2)))</f>
        <v>0</v>
      </c>
      <c r="H115" s="135">
        <f>IF((VLOOKUP(A115,Props,3,FALSE))=0,0,((VLOOKUP(A115,Props,3,FALSE))*(SiteCalcs!$D$19^3.33/SiteCalcs!$C$19^2))+(((VLOOKUP(A115,Props,4,FALSE))/ChemCalcs!D115)*(SiteCalcs!$E$19^3.33/SiteCalcs!$C$19^2)))</f>
        <v>1.2086580576495646E-3</v>
      </c>
      <c r="I115" s="205">
        <f>IF(AND(E115&gt;0,F115&gt;0,G115&gt;0),SiteCalcs!$B$11/(((IF(SiteCalcs!$B$11=1,1,DATENTER!$B$28-DATENTER!$B$14))/E115)+(DATENTER!$C$28/F115)+((DATENTER!$D$28-SiteCalcs!$B$19)/G115)+(SiteCalcs!$B$19/H115)),IF(AND(E115&gt;0,F115&gt;0,G115=0),SiteCalcs!$B$11/(((IF(SiteCalcs!$B$11=1,1,DATENTER!$B$28-DATENTER!$B$14))/E115)+((DATENTER!$C$28-SiteCalcs!$B$19)/F115)+(SiteCalcs!$B$19/H115)),IF(AND(E115&gt;0,F115=0,G115=0),SiteCalcs!$B$11/(((IF(SiteCalcs!$B$11=1,1,DATENTER!$B$28-DATENTER!$B$14)-SiteCalcs!$B$19)/E115)+(SiteCalcs!$B$19/H115)))))</f>
        <v>1.9963451819463595E-3</v>
      </c>
      <c r="J115" s="135">
        <f>ChemCalcs!E115</f>
        <v>1.4009939501544518E-2</v>
      </c>
      <c r="K115" s="260">
        <f>IF(DATENTER!$B$78="","ERROR",EXP((SiteCalcs!$L$11*DATENTER!$B$78)/(ChemCalcs!J115*SiteCalcs!$M$11)))</f>
        <v>3.1802183836327978E+79</v>
      </c>
      <c r="L115" s="206">
        <f>IF(ISERROR(K115),((ChemCalcs!I115*SiteCalcs!$E$11)/(SiteCalcs!$D$11*SiteCalcs!$B$11))/(((ChemCalcs!I115*SiteCalcs!$E$11)/(SiteCalcs!$L$11*SiteCalcs!$B$11))+1),(((ChemCalcs!I115*SiteCalcs!$E$11)/(SiteCalcs!$D$11*SiteCalcs!$B$11))*EXP((SiteCalcs!$L$11*DATENTER!$B$78)/(ChemCalcs!J115*SiteCalcs!$M$11)))/(EXP((SiteCalcs!$L$11*DATENTER!$B$78)/(ChemCalcs!J115*SiteCalcs!$M$11))+((ChemCalcs!I115*SiteCalcs!$E$11)/(SiteCalcs!$D$11*SiteCalcs!$B$11))+((ChemCalcs!I115*SiteCalcs!$E$11)/(SiteCalcs!$L$11*SiteCalcs!$B$11))*(EXP((SiteCalcs!$L$11*DATENTER!$B$78)/(ChemCalcs!J115*SiteCalcs!$M$11))-1)))</f>
        <v>7.259664805209738E-4</v>
      </c>
    </row>
    <row r="116" spans="1:12" x14ac:dyDescent="0.25">
      <c r="A116" s="172" t="s">
        <v>307</v>
      </c>
      <c r="B116" s="136">
        <f>IF((VLOOKUP(A116,Props,10,FALSE))=0,0,IF((VLOOKUP(A116,Props,9,FALSE))/(VLOOKUP(A116,Props,10,FALSE))&lt;0.57,(VLOOKUP(A116,Props,8,FALSE))*((1-((DATENTER!$D$14+273.15)/(VLOOKUP(A116,Props,10,FALSE))))/(1-((VLOOKUP(A116,Props,9,FALSE))/(VLOOKUP(A116,Props,10,FALSE)))))^0.3,IF(AND((VLOOKUP(A116,Props,9,FALSE))/(VLOOKUP(A116,Props,10,FALSE))&gt;=0.57,(VLOOKUP(A116,Props,9,FALSE))/(VLOOKUP(A116,Props,10,FALSE))&lt;=0.71),(VLOOKUP(A116,Props,8,FALSE))*((1-((DATENTER!$D$14+273.15)/(VLOOKUP(A116,Props,10,FALSE))))/(1-((VLOOKUP(A116,Props,9,FALSE))/(VLOOKUP(A116,Props,10,FALSE)))))^(0.74*((VLOOKUP(A116,Props,9,FALSE))/(VLOOKUP(A116,Props,10,FALSE)))-0.116),(VLOOKUP(A116,Props,8,FALSE))*((1-((DATENTER!$D$14+273.15)/(VLOOKUP(A116,Props,10,FALSE))))/(1-((VLOOKUP(A116,Props,9,FALSE))/(VLOOKUP(A116,Props,10,FALSE)))))^0.41)))</f>
        <v>10539.681375612032</v>
      </c>
      <c r="C116" s="135">
        <f>EXP(-1*((B116/1.9872)*((1/(DATENTER!$D$14+273.15))-(1/((VLOOKUP(A116,Props,7,FALSE))+273.15)))))*(VLOOKUP(A116,Props,6,FALSE))</f>
        <v>1.4301970967423442E-4</v>
      </c>
      <c r="D116" s="135">
        <f>IF(DATENTER!$D$14="",0,C116/(0.00008206*(DATENTER!$D$14+273.15)))</f>
        <v>6.1552799999274573E-3</v>
      </c>
      <c r="E116" s="135">
        <f>IF((VLOOKUP(A116,Props,3,FALSE))=0,0,((VLOOKUP(A116,Props,3,FALSE))*(SiteCalcs!$B$28^3.33/DATENTER!$G$41^2))+(((VLOOKUP(A116,Props,4,FALSE))/ChemCalcs!D116)*(DATENTER!$H$41^3.33/DATENTER!$G$41^2)))</f>
        <v>1.4010432602261268E-2</v>
      </c>
      <c r="F116" s="135">
        <f>IF(DATENTER!$C$28=0,0,(ChemProps!C116*(SiteCalcs!$H$28^3.33/DATENTER!$D$53^2))+((ChemProps!D116/ChemCalcs!D116)*(DATENTER!$E$53^3.33/DATENTER!$D$53^2)))</f>
        <v>0</v>
      </c>
      <c r="G116" s="135">
        <f>IF(DATENTER!$D$28=0,0,(ChemProps!C116*(SiteCalcs!$J$28^3.33/DATENTER!$D$65^2))+((ChemProps!D116/ChemCalcs!D116)*(DATENTER!$E$65^3.33/DATENTER!$D$65^2)))</f>
        <v>0</v>
      </c>
      <c r="H116" s="135">
        <f>IF((VLOOKUP(A116,Props,3,FALSE))=0,0,((VLOOKUP(A116,Props,3,FALSE))*(SiteCalcs!$D$19^3.33/SiteCalcs!$C$19^2))+(((VLOOKUP(A116,Props,4,FALSE))/ChemCalcs!D116)*(SiteCalcs!$E$19^3.33/SiteCalcs!$C$19^2)))</f>
        <v>1.2683008514635342E-3</v>
      </c>
      <c r="I116" s="205">
        <f>IF(AND(E116&gt;0,F116&gt;0,G116&gt;0),SiteCalcs!$B$11/(((IF(SiteCalcs!$B$11=1,1,DATENTER!$B$28-DATENTER!$B$14))/E116)+(DATENTER!$C$28/F116)+((DATENTER!$D$28-SiteCalcs!$B$19)/G116)+(SiteCalcs!$B$19/H116)),IF(AND(E116&gt;0,F116&gt;0,G116=0),SiteCalcs!$B$11/(((IF(SiteCalcs!$B$11=1,1,DATENTER!$B$28-DATENTER!$B$14))/E116)+((DATENTER!$C$28-SiteCalcs!$B$19)/F116)+(SiteCalcs!$B$19/H116)),IF(AND(E116&gt;0,F116=0,G116=0),SiteCalcs!$B$11/(((IF(SiteCalcs!$B$11=1,1,DATENTER!$B$28-DATENTER!$B$14)-SiteCalcs!$B$19)/E116)+(SiteCalcs!$B$19/H116)))))</f>
        <v>2.0885206376095042E-3</v>
      </c>
      <c r="J116" s="135">
        <f>ChemCalcs!E116</f>
        <v>1.4010432602261268E-2</v>
      </c>
      <c r="K116" s="260">
        <f>IF(DATENTER!$B$78="","ERROR",EXP((SiteCalcs!$L$11*DATENTER!$B$78)/(ChemCalcs!J116*SiteCalcs!$M$11)))</f>
        <v>3.1597944698769739E+79</v>
      </c>
      <c r="L116" s="206">
        <f>IF(ISERROR(K116),((ChemCalcs!I116*SiteCalcs!$E$11)/(SiteCalcs!$D$11*SiteCalcs!$B$11))/(((ChemCalcs!I116*SiteCalcs!$E$11)/(SiteCalcs!$L$11*SiteCalcs!$B$11))+1),(((ChemCalcs!I116*SiteCalcs!$E$11)/(SiteCalcs!$D$11*SiteCalcs!$B$11))*EXP((SiteCalcs!$L$11*DATENTER!$B$78)/(ChemCalcs!J116*SiteCalcs!$M$11)))/(EXP((SiteCalcs!$L$11*DATENTER!$B$78)/(ChemCalcs!J116*SiteCalcs!$M$11))+((ChemCalcs!I116*SiteCalcs!$E$11)/(SiteCalcs!$D$11*SiteCalcs!$B$11))+((ChemCalcs!I116*SiteCalcs!$E$11)/(SiteCalcs!$L$11*SiteCalcs!$B$11))*(EXP((SiteCalcs!$L$11*DATENTER!$B$78)/(ChemCalcs!J116*SiteCalcs!$M$11))-1)))</f>
        <v>7.3827463452142924E-4</v>
      </c>
    </row>
    <row r="117" spans="1:12" x14ac:dyDescent="0.25">
      <c r="A117" s="172" t="s">
        <v>308</v>
      </c>
      <c r="B117" s="136">
        <f>IF((VLOOKUP(A117,Props,10,FALSE))=0,0,IF((VLOOKUP(A117,Props,9,FALSE))/(VLOOKUP(A117,Props,10,FALSE))&lt;0.57,(VLOOKUP(A117,Props,8,FALSE))*((1-((DATENTER!$D$14+273.15)/(VLOOKUP(A117,Props,10,FALSE))))/(1-((VLOOKUP(A117,Props,9,FALSE))/(VLOOKUP(A117,Props,10,FALSE)))))^0.3,IF(AND((VLOOKUP(A117,Props,9,FALSE))/(VLOOKUP(A117,Props,10,FALSE))&gt;=0.57,(VLOOKUP(A117,Props,9,FALSE))/(VLOOKUP(A117,Props,10,FALSE))&lt;=0.71),(VLOOKUP(A117,Props,8,FALSE))*((1-((DATENTER!$D$14+273.15)/(VLOOKUP(A117,Props,10,FALSE))))/(1-((VLOOKUP(A117,Props,9,FALSE))/(VLOOKUP(A117,Props,10,FALSE)))))^(0.74*((VLOOKUP(A117,Props,9,FALSE))/(VLOOKUP(A117,Props,10,FALSE)))-0.116),(VLOOKUP(A117,Props,8,FALSE))*((1-((DATENTER!$D$14+273.15)/(VLOOKUP(A117,Props,10,FALSE))))/(1-((VLOOKUP(A117,Props,9,FALSE))/(VLOOKUP(A117,Props,10,FALSE)))))^0.41)))</f>
        <v>9552.9346174834373</v>
      </c>
      <c r="C117" s="135">
        <f>EXP(-1*((B117/1.9872)*((1/(DATENTER!$D$14+273.15))-(1/((VLOOKUP(A117,Props,7,FALSE))+273.15)))))*(VLOOKUP(A117,Props,6,FALSE))</f>
        <v>7.5338993478570992E-3</v>
      </c>
      <c r="D117" s="135">
        <f>IF(DATENTER!$D$14="",0,C117/(0.00008206*(DATENTER!$D$14+273.15)))</f>
        <v>0.32424384081717689</v>
      </c>
      <c r="E117" s="135">
        <f>IF((VLOOKUP(A117,Props,3,FALSE))=0,0,((VLOOKUP(A117,Props,3,FALSE))*(SiteCalcs!$B$28^3.33/DATENTER!$G$41^2))+(((VLOOKUP(A117,Props,4,FALSE))/ChemCalcs!D117)*(DATENTER!$H$41^3.33/DATENTER!$G$41^2)))</f>
        <v>1.4207173471842459E-2</v>
      </c>
      <c r="F117" s="135">
        <f>IF(DATENTER!$C$28=0,0,(ChemProps!C117*(SiteCalcs!$H$28^3.33/DATENTER!$D$53^2))+((ChemProps!D117/ChemCalcs!D117)*(DATENTER!$E$53^3.33/DATENTER!$D$53^2)))</f>
        <v>0</v>
      </c>
      <c r="G117" s="135">
        <f>IF(DATENTER!$D$28=0,0,(ChemProps!C117*(SiteCalcs!$J$28^3.33/DATENTER!$D$65^2))+((ChemProps!D117/ChemCalcs!D117)*(DATENTER!$E$65^3.33/DATENTER!$D$65^2)))</f>
        <v>0</v>
      </c>
      <c r="H117" s="135">
        <f>IF((VLOOKUP(A117,Props,3,FALSE))=0,0,((VLOOKUP(A117,Props,3,FALSE))*(SiteCalcs!$D$19^3.33/SiteCalcs!$C$19^2))+(((VLOOKUP(A117,Props,4,FALSE))/ChemCalcs!D117)*(SiteCalcs!$E$19^3.33/SiteCalcs!$C$19^2)))</f>
        <v>1.214901783743464E-3</v>
      </c>
      <c r="I117" s="205">
        <f>IF(AND(E117&gt;0,F117&gt;0,G117&gt;0),SiteCalcs!$B$11/(((IF(SiteCalcs!$B$11=1,1,DATENTER!$B$28-DATENTER!$B$14))/E117)+(DATENTER!$C$28/F117)+((DATENTER!$D$28-SiteCalcs!$B$19)/G117)+(SiteCalcs!$B$19/H117)),IF(AND(E117&gt;0,F117&gt;0,G117=0),SiteCalcs!$B$11/(((IF(SiteCalcs!$B$11=1,1,DATENTER!$B$28-DATENTER!$B$14))/E117)+((DATENTER!$C$28-SiteCalcs!$B$19)/F117)+(SiteCalcs!$B$19/H117)),IF(AND(E117&gt;0,F117=0,G117=0),SiteCalcs!$B$11/(((IF(SiteCalcs!$B$11=1,1,DATENTER!$B$28-DATENTER!$B$14)-SiteCalcs!$B$19)/E117)+(SiteCalcs!$B$19/H117)))))</f>
        <v>2.0077437127390672E-3</v>
      </c>
      <c r="J117" s="135">
        <f>ChemCalcs!E117</f>
        <v>1.4207173471842459E-2</v>
      </c>
      <c r="K117" s="260">
        <f>IF(DATENTER!$B$78="","ERROR",EXP((SiteCalcs!$L$11*DATENTER!$B$78)/(ChemCalcs!J117*SiteCalcs!$M$11)))</f>
        <v>2.5046551744397266E+78</v>
      </c>
      <c r="L117" s="206">
        <f>IF(ISERROR(K117),((ChemCalcs!I117*SiteCalcs!$E$11)/(SiteCalcs!$D$11*SiteCalcs!$B$11))/(((ChemCalcs!I117*SiteCalcs!$E$11)/(SiteCalcs!$L$11*SiteCalcs!$B$11))+1),(((ChemCalcs!I117*SiteCalcs!$E$11)/(SiteCalcs!$D$11*SiteCalcs!$B$11))*EXP((SiteCalcs!$L$11*DATENTER!$B$78)/(ChemCalcs!J117*SiteCalcs!$M$11)))/(EXP((SiteCalcs!$L$11*DATENTER!$B$78)/(ChemCalcs!J117*SiteCalcs!$M$11))+((ChemCalcs!I117*SiteCalcs!$E$11)/(SiteCalcs!$D$11*SiteCalcs!$B$11))+((ChemCalcs!I117*SiteCalcs!$E$11)/(SiteCalcs!$L$11*SiteCalcs!$B$11))*(EXP((SiteCalcs!$L$11*DATENTER!$B$78)/(ChemCalcs!J117*SiteCalcs!$M$11))-1)))</f>
        <v>7.275267082629569E-4</v>
      </c>
    </row>
    <row r="118" spans="1:12" x14ac:dyDescent="0.25">
      <c r="A118" s="172" t="s">
        <v>309</v>
      </c>
      <c r="B118" s="136">
        <f>IF((VLOOKUP(A118,Props,10,FALSE))=0,0,IF((VLOOKUP(A118,Props,9,FALSE))/(VLOOKUP(A118,Props,10,FALSE))&lt;0.57,(VLOOKUP(A118,Props,8,FALSE))*((1-((DATENTER!$D$14+273.15)/(VLOOKUP(A118,Props,10,FALSE))))/(1-((VLOOKUP(A118,Props,9,FALSE))/(VLOOKUP(A118,Props,10,FALSE)))))^0.3,IF(AND((VLOOKUP(A118,Props,9,FALSE))/(VLOOKUP(A118,Props,10,FALSE))&gt;=0.57,(VLOOKUP(A118,Props,9,FALSE))/(VLOOKUP(A118,Props,10,FALSE))&lt;=0.71),(VLOOKUP(A118,Props,8,FALSE))*((1-((DATENTER!$D$14+273.15)/(VLOOKUP(A118,Props,10,FALSE))))/(1-((VLOOKUP(A118,Props,9,FALSE))/(VLOOKUP(A118,Props,10,FALSE)))))^(0.74*((VLOOKUP(A118,Props,9,FALSE))/(VLOOKUP(A118,Props,10,FALSE)))-0.116),(VLOOKUP(A118,Props,8,FALSE))*((1-((DATENTER!$D$14+273.15)/(VLOOKUP(A118,Props,10,FALSE))))/(1-((VLOOKUP(A118,Props,9,FALSE))/(VLOOKUP(A118,Props,10,FALSE)))))^0.41)))</f>
        <v>0</v>
      </c>
      <c r="C118" s="135">
        <f>EXP(-1*((B118/1.9872)*((1/(DATENTER!$D$14+273.15))-(1/((VLOOKUP(A118,Props,7,FALSE))+273.15)))))*(VLOOKUP(A118,Props,6,FALSE))</f>
        <v>0</v>
      </c>
      <c r="D118" s="135">
        <f>IF(DATENTER!$D$14="",0,C118/(0.00008206*(DATENTER!$D$14+273.15)))</f>
        <v>0</v>
      </c>
      <c r="E118" s="135">
        <f>IF((VLOOKUP(A118,Props,3,FALSE))=0,0,((VLOOKUP(A118,Props,3,FALSE))*(SiteCalcs!$B$28^3.33/DATENTER!$G$41^2))+(((VLOOKUP(A118,Props,4,FALSE))/ChemCalcs!D118)*(DATENTER!$H$41^3.33/DATENTER!$G$41^2)))</f>
        <v>0</v>
      </c>
      <c r="F118" s="135"/>
      <c r="G118" s="135"/>
      <c r="H118" s="135">
        <f>IF((VLOOKUP(A118,Props,3,FALSE))=0,0,((VLOOKUP(A118,Props,3,FALSE))*(SiteCalcs!$D$19^3.33/SiteCalcs!$C$19^2))+(((VLOOKUP(A118,Props,4,FALSE))/ChemCalcs!D118)*(SiteCalcs!$E$19^3.33/SiteCalcs!$C$19^2)))</f>
        <v>0</v>
      </c>
      <c r="I118" s="205"/>
      <c r="J118" s="135"/>
      <c r="K118" s="260"/>
      <c r="L118" s="206"/>
    </row>
    <row r="119" spans="1:12" x14ac:dyDescent="0.25">
      <c r="A119" s="172" t="s">
        <v>310</v>
      </c>
      <c r="B119" s="136">
        <f>IF((VLOOKUP(A119,Props,10,FALSE))=0,0,IF((VLOOKUP(A119,Props,9,FALSE))/(VLOOKUP(A119,Props,10,FALSE))&lt;0.57,(VLOOKUP(A119,Props,8,FALSE))*((1-((DATENTER!$D$14+273.15)/(VLOOKUP(A119,Props,10,FALSE))))/(1-((VLOOKUP(A119,Props,9,FALSE))/(VLOOKUP(A119,Props,10,FALSE)))))^0.3,IF(AND((VLOOKUP(A119,Props,9,FALSE))/(VLOOKUP(A119,Props,10,FALSE))&gt;=0.57,(VLOOKUP(A119,Props,9,FALSE))/(VLOOKUP(A119,Props,10,FALSE))&lt;=0.71),(VLOOKUP(A119,Props,8,FALSE))*((1-((DATENTER!$D$14+273.15)/(VLOOKUP(A119,Props,10,FALSE))))/(1-((VLOOKUP(A119,Props,9,FALSE))/(VLOOKUP(A119,Props,10,FALSE)))))^(0.74*((VLOOKUP(A119,Props,9,FALSE))/(VLOOKUP(A119,Props,10,FALSE)))-0.116),(VLOOKUP(A119,Props,8,FALSE))*((1-((DATENTER!$D$14+273.15)/(VLOOKUP(A119,Props,10,FALSE))))/(1-((VLOOKUP(A119,Props,9,FALSE))/(VLOOKUP(A119,Props,10,FALSE)))))^0.41)))</f>
        <v>9154.4695464517117</v>
      </c>
      <c r="C119" s="135">
        <f>EXP(-1*((B119/1.9872)*((1/(DATENTER!$D$14+273.15))-(1/((VLOOKUP(A119,Props,7,FALSE))+273.15)))))*(VLOOKUP(A119,Props,6,FALSE))</f>
        <v>2.9287855137933813E-3</v>
      </c>
      <c r="D119" s="135">
        <f>IF(DATENTER!$D$14="",0,C119/(0.00008206*(DATENTER!$D$14+273.15)))</f>
        <v>0.12604902455886741</v>
      </c>
      <c r="E119" s="135">
        <f>IF((VLOOKUP(A119,Props,3,FALSE))=0,0,((VLOOKUP(A119,Props,3,FALSE))*(SiteCalcs!$B$28^3.33/DATENTER!$G$41^2))+(((VLOOKUP(A119,Props,4,FALSE))/ChemCalcs!D119)*(DATENTER!$H$41^3.33/DATENTER!$G$41^2)))</f>
        <v>1.7167018668193052E-2</v>
      </c>
      <c r="F119" s="135">
        <f>IF(DATENTER!$C$28=0,0,(ChemProps!C119*(SiteCalcs!$H$28^3.33/DATENTER!$D$53^2))+((ChemProps!D119/ChemCalcs!D119)*(DATENTER!$E$53^3.33/DATENTER!$D$53^2)))</f>
        <v>0</v>
      </c>
      <c r="G119" s="135">
        <f>IF(DATENTER!$D$28=0,0,(ChemProps!C119*(SiteCalcs!$J$28^3.33/DATENTER!$D$65^2))+((ChemProps!D119/ChemCalcs!D119)*(DATENTER!$E$65^3.33/DATENTER!$D$65^2)))</f>
        <v>0</v>
      </c>
      <c r="H119" s="135">
        <f>IF((VLOOKUP(A119,Props,3,FALSE))=0,0,((VLOOKUP(A119,Props,3,FALSE))*(SiteCalcs!$D$19^3.33/SiteCalcs!$C$19^2))+(((VLOOKUP(A119,Props,4,FALSE))/ChemCalcs!D119)*(SiteCalcs!$E$19^3.33/SiteCalcs!$C$19^2)))</f>
        <v>1.4701096880403441E-3</v>
      </c>
      <c r="I119" s="205">
        <f>IF(AND(E119&gt;0,F119&gt;0,G119&gt;0),SiteCalcs!$B$11/(((IF(SiteCalcs!$B$11=1,1,DATENTER!$B$28-DATENTER!$B$14))/E119)+(DATENTER!$C$28/F119)+((DATENTER!$D$28-SiteCalcs!$B$19)/G119)+(SiteCalcs!$B$19/H119)),IF(AND(E119&gt;0,F119&gt;0,G119=0),SiteCalcs!$B$11/(((IF(SiteCalcs!$B$11=1,1,DATENTER!$B$28-DATENTER!$B$14))/E119)+((DATENTER!$C$28-SiteCalcs!$B$19)/F119)+(SiteCalcs!$B$19/H119)),IF(AND(E119&gt;0,F119=0,G119=0),SiteCalcs!$B$11/(((IF(SiteCalcs!$B$11=1,1,DATENTER!$B$28-DATENTER!$B$14)-SiteCalcs!$B$19)/E119)+(SiteCalcs!$B$19/H119)))))</f>
        <v>2.4292874145301819E-3</v>
      </c>
      <c r="J119" s="135">
        <f>ChemCalcs!E119</f>
        <v>1.7167018668193052E-2</v>
      </c>
      <c r="K119" s="260">
        <f>IF(DATENTER!$B$78="","ERROR",EXP((SiteCalcs!$L$11*DATENTER!$B$78)/(ChemCalcs!J119*SiteCalcs!$M$11)))</f>
        <v>7.6147686361010133E+64</v>
      </c>
      <c r="L119" s="206">
        <f>IF(ISERROR(K119),((ChemCalcs!I119*SiteCalcs!$E$11)/(SiteCalcs!$D$11*SiteCalcs!$B$11))/(((ChemCalcs!I119*SiteCalcs!$E$11)/(SiteCalcs!$L$11*SiteCalcs!$B$11))+1),(((ChemCalcs!I119*SiteCalcs!$E$11)/(SiteCalcs!$D$11*SiteCalcs!$B$11))*EXP((SiteCalcs!$L$11*DATENTER!$B$78)/(ChemCalcs!J119*SiteCalcs!$M$11)))/(EXP((SiteCalcs!$L$11*DATENTER!$B$78)/(ChemCalcs!J119*SiteCalcs!$M$11))+((ChemCalcs!I119*SiteCalcs!$E$11)/(SiteCalcs!$D$11*SiteCalcs!$B$11))+((ChemCalcs!I119*SiteCalcs!$E$11)/(SiteCalcs!$L$11*SiteCalcs!$B$11))*(EXP((SiteCalcs!$L$11*DATENTER!$B$78)/(ChemCalcs!J119*SiteCalcs!$M$11))-1)))</f>
        <v>7.7836678356713919E-4</v>
      </c>
    </row>
    <row r="120" spans="1:12" x14ac:dyDescent="0.25">
      <c r="A120" s="172" t="s">
        <v>311</v>
      </c>
      <c r="B120" s="136">
        <f>IF((VLOOKUP(A120,Props,10,FALSE))=0,0,IF((VLOOKUP(A120,Props,9,FALSE))/(VLOOKUP(A120,Props,10,FALSE))&lt;0.57,(VLOOKUP(A120,Props,8,FALSE))*((1-((DATENTER!$D$14+273.15)/(VLOOKUP(A120,Props,10,FALSE))))/(1-((VLOOKUP(A120,Props,9,FALSE))/(VLOOKUP(A120,Props,10,FALSE)))))^0.3,IF(AND((VLOOKUP(A120,Props,9,FALSE))/(VLOOKUP(A120,Props,10,FALSE))&gt;=0.57,(VLOOKUP(A120,Props,9,FALSE))/(VLOOKUP(A120,Props,10,FALSE))&lt;=0.71),(VLOOKUP(A120,Props,8,FALSE))*((1-((DATENTER!$D$14+273.15)/(VLOOKUP(A120,Props,10,FALSE))))/(1-((VLOOKUP(A120,Props,9,FALSE))/(VLOOKUP(A120,Props,10,FALSE)))))^(0.74*((VLOOKUP(A120,Props,9,FALSE))/(VLOOKUP(A120,Props,10,FALSE)))-0.116),(VLOOKUP(A120,Props,8,FALSE))*((1-((DATENTER!$D$14+273.15)/(VLOOKUP(A120,Props,10,FALSE))))/(1-((VLOOKUP(A120,Props,9,FALSE))/(VLOOKUP(A120,Props,10,FALSE)))))^0.41)))</f>
        <v>9571.9107526909247</v>
      </c>
      <c r="C120" s="135">
        <f>EXP(-1*((B120/1.9872)*((1/(DATENTER!$D$14+273.15))-(1/((VLOOKUP(A120,Props,7,FALSE))+273.15)))))*(VLOOKUP(A120,Props,6,FALSE))</f>
        <v>6.0338988095503361E-4</v>
      </c>
      <c r="D120" s="135">
        <f>IF(DATENTER!$D$14="",0,C120/(0.00008206*(DATENTER!$D$14+273.15)))</f>
        <v>2.5968684140534413E-2</v>
      </c>
      <c r="E120" s="135">
        <f>IF((VLOOKUP(A120,Props,3,FALSE))=0,0,((VLOOKUP(A120,Props,3,FALSE))*(SiteCalcs!$B$28^3.33/DATENTER!$G$41^2))+(((VLOOKUP(A120,Props,4,FALSE))/ChemCalcs!D120)*(DATENTER!$H$41^3.33/DATENTER!$G$41^2)))</f>
        <v>1.5391248383813543E-2</v>
      </c>
      <c r="F120" s="135">
        <f>IF(DATENTER!$C$28=0,0,(ChemProps!C120*(SiteCalcs!$H$28^3.33/DATENTER!$D$53^2))+((ChemProps!D120/ChemCalcs!D120)*(DATENTER!$E$53^3.33/DATENTER!$D$53^2)))</f>
        <v>0</v>
      </c>
      <c r="G120" s="135">
        <f>IF(DATENTER!$D$28=0,0,(ChemProps!C120*(SiteCalcs!$J$28^3.33/DATENTER!$D$65^2))+((ChemProps!D120/ChemCalcs!D120)*(DATENTER!$E$65^3.33/DATENTER!$D$65^2)))</f>
        <v>0</v>
      </c>
      <c r="H120" s="135">
        <f>IF((VLOOKUP(A120,Props,3,FALSE))=0,0,((VLOOKUP(A120,Props,3,FALSE))*(SiteCalcs!$D$19^3.33/SiteCalcs!$C$19^2))+(((VLOOKUP(A120,Props,4,FALSE))/ChemCalcs!D120)*(SiteCalcs!$E$19^3.33/SiteCalcs!$C$19^2)))</f>
        <v>1.3335355766529375E-3</v>
      </c>
      <c r="I120" s="205">
        <f>IF(AND(E120&gt;0,F120&gt;0,G120&gt;0),SiteCalcs!$B$11/(((IF(SiteCalcs!$B$11=1,1,DATENTER!$B$28-DATENTER!$B$14))/E120)+(DATENTER!$C$28/F120)+((DATENTER!$D$28-SiteCalcs!$B$19)/G120)+(SiteCalcs!$B$19/H120)),IF(AND(E120&gt;0,F120&gt;0,G120=0),SiteCalcs!$B$11/(((IF(SiteCalcs!$B$11=1,1,DATENTER!$B$28-DATENTER!$B$14))/E120)+((DATENTER!$C$28-SiteCalcs!$B$19)/F120)+(SiteCalcs!$B$19/H120)),IF(AND(E120&gt;0,F120=0,G120=0),SiteCalcs!$B$11/(((IF(SiteCalcs!$B$11=1,1,DATENTER!$B$28-DATENTER!$B$14)-SiteCalcs!$B$19)/E120)+(SiteCalcs!$B$19/H120)))))</f>
        <v>2.2020232023916976E-3</v>
      </c>
      <c r="J120" s="135">
        <f>ChemCalcs!E120</f>
        <v>1.5391248383813543E-2</v>
      </c>
      <c r="K120" s="260">
        <f>IF(DATENTER!$B$78="","ERROR",EXP((SiteCalcs!$L$11*DATENTER!$B$78)/(ChemCalcs!J120*SiteCalcs!$M$11)))</f>
        <v>2.3302308196556279E+72</v>
      </c>
      <c r="L120" s="206">
        <f>IF(ISERROR(K120),((ChemCalcs!I120*SiteCalcs!$E$11)/(SiteCalcs!$D$11*SiteCalcs!$B$11))/(((ChemCalcs!I120*SiteCalcs!$E$11)/(SiteCalcs!$L$11*SiteCalcs!$B$11))+1),(((ChemCalcs!I120*SiteCalcs!$E$11)/(SiteCalcs!$D$11*SiteCalcs!$B$11))*EXP((SiteCalcs!$L$11*DATENTER!$B$78)/(ChemCalcs!J120*SiteCalcs!$M$11)))/(EXP((SiteCalcs!$L$11*DATENTER!$B$78)/(ChemCalcs!J120*SiteCalcs!$M$11))+((ChemCalcs!I120*SiteCalcs!$E$11)/(SiteCalcs!$D$11*SiteCalcs!$B$11))+((ChemCalcs!I120*SiteCalcs!$E$11)/(SiteCalcs!$L$11*SiteCalcs!$B$11))*(EXP((SiteCalcs!$L$11*DATENTER!$B$78)/(ChemCalcs!J120*SiteCalcs!$M$11))-1)))</f>
        <v>7.5251749035745198E-4</v>
      </c>
    </row>
    <row r="121" spans="1:12" x14ac:dyDescent="0.25">
      <c r="A121" s="172" t="s">
        <v>312</v>
      </c>
      <c r="B121" s="136">
        <f>IF((VLOOKUP(A121,Props,10,FALSE))=0,0,IF((VLOOKUP(A121,Props,9,FALSE))/(VLOOKUP(A121,Props,10,FALSE))&lt;0.57,(VLOOKUP(A121,Props,8,FALSE))*((1-((DATENTER!$D$14+273.15)/(VLOOKUP(A121,Props,10,FALSE))))/(1-((VLOOKUP(A121,Props,9,FALSE))/(VLOOKUP(A121,Props,10,FALSE)))))^0.3,IF(AND((VLOOKUP(A121,Props,9,FALSE))/(VLOOKUP(A121,Props,10,FALSE))&gt;=0.57,(VLOOKUP(A121,Props,9,FALSE))/(VLOOKUP(A121,Props,10,FALSE))&lt;=0.71),(VLOOKUP(A121,Props,8,FALSE))*((1-((DATENTER!$D$14+273.15)/(VLOOKUP(A121,Props,10,FALSE))))/(1-((VLOOKUP(A121,Props,9,FALSE))/(VLOOKUP(A121,Props,10,FALSE)))))^(0.74*((VLOOKUP(A121,Props,9,FALSE))/(VLOOKUP(A121,Props,10,FALSE)))-0.116),(VLOOKUP(A121,Props,8,FALSE))*((1-((DATENTER!$D$14+273.15)/(VLOOKUP(A121,Props,10,FALSE))))/(1-((VLOOKUP(A121,Props,9,FALSE))/(VLOOKUP(A121,Props,10,FALSE)))))^0.41)))</f>
        <v>7884.8438698974833</v>
      </c>
      <c r="C121" s="135">
        <f>EXP(-1*((B121/1.9872)*((1/(DATENTER!$D$14+273.15))-(1/((VLOOKUP(A121,Props,7,FALSE))+273.15)))))*(VLOOKUP(A121,Props,6,FALSE))</f>
        <v>8.4986359934090105E-3</v>
      </c>
      <c r="D121" s="135">
        <f>IF(DATENTER!$D$14="",0,C121/(0.00008206*(DATENTER!$D$14+273.15)))</f>
        <v>0.36576416128970946</v>
      </c>
      <c r="E121" s="135">
        <f>IF((VLOOKUP(A121,Props,3,FALSE))=0,0,((VLOOKUP(A121,Props,3,FALSE))*(SiteCalcs!$B$28^3.33/DATENTER!$G$41^2))+(((VLOOKUP(A121,Props,4,FALSE))/ChemCalcs!D121)*(DATENTER!$H$41^3.33/DATENTER!$G$41^2)))</f>
        <v>1.5391103053595576E-2</v>
      </c>
      <c r="F121" s="135">
        <f>IF(DATENTER!$C$28=0,0,(ChemProps!C121*(SiteCalcs!$H$28^3.33/DATENTER!$D$53^2))+((ChemProps!D121/ChemCalcs!D121)*(DATENTER!$E$53^3.33/DATENTER!$D$53^2)))</f>
        <v>0</v>
      </c>
      <c r="G121" s="135">
        <f>IF(DATENTER!$D$28=0,0,(ChemProps!C121*(SiteCalcs!$J$28^3.33/DATENTER!$D$65^2))+((ChemProps!D121/ChemCalcs!D121)*(DATENTER!$E$65^3.33/DATENTER!$D$65^2)))</f>
        <v>0</v>
      </c>
      <c r="H121" s="135">
        <f>IF((VLOOKUP(A121,Props,3,FALSE))=0,0,((VLOOKUP(A121,Props,3,FALSE))*(SiteCalcs!$D$19^3.33/SiteCalcs!$C$19^2))+(((VLOOKUP(A121,Props,4,FALSE))/ChemCalcs!D121)*(SiteCalcs!$E$19^3.33/SiteCalcs!$C$19^2)))</f>
        <v>1.3159572200804215E-3</v>
      </c>
      <c r="I121" s="205">
        <f>IF(AND(E121&gt;0,F121&gt;0,G121&gt;0),SiteCalcs!$B$11/(((IF(SiteCalcs!$B$11=1,1,DATENTER!$B$28-DATENTER!$B$14))/E121)+(DATENTER!$C$28/F121)+((DATENTER!$D$28-SiteCalcs!$B$19)/G121)+(SiteCalcs!$B$19/H121)),IF(AND(E121&gt;0,F121&gt;0,G121=0),SiteCalcs!$B$11/(((IF(SiteCalcs!$B$11=1,1,DATENTER!$B$28-DATENTER!$B$14))/E121)+((DATENTER!$C$28-SiteCalcs!$B$19)/F121)+(SiteCalcs!$B$19/H121)),IF(AND(E121&gt;0,F121=0,G121=0),SiteCalcs!$B$11/(((IF(SiteCalcs!$B$11=1,1,DATENTER!$B$28-DATENTER!$B$14)-SiteCalcs!$B$19)/E121)+(SiteCalcs!$B$19/H121)))))</f>
        <v>2.1747664595831687E-3</v>
      </c>
      <c r="J121" s="135">
        <f>ChemCalcs!E121</f>
        <v>1.5391103053595576E-2</v>
      </c>
      <c r="K121" s="260">
        <f>IF(DATENTER!$B$78="","ERROR",EXP((SiteCalcs!$L$11*DATENTER!$B$78)/(ChemCalcs!J121*SiteCalcs!$M$11)))</f>
        <v>2.3339001387556365E+72</v>
      </c>
      <c r="L121" s="206">
        <f>IF(ISERROR(K121),((ChemCalcs!I121*SiteCalcs!$E$11)/(SiteCalcs!$D$11*SiteCalcs!$B$11))/(((ChemCalcs!I121*SiteCalcs!$E$11)/(SiteCalcs!$L$11*SiteCalcs!$B$11))+1),(((ChemCalcs!I121*SiteCalcs!$E$11)/(SiteCalcs!$D$11*SiteCalcs!$B$11))*EXP((SiteCalcs!$L$11*DATENTER!$B$78)/(ChemCalcs!J121*SiteCalcs!$M$11)))/(EXP((SiteCalcs!$L$11*DATENTER!$B$78)/(ChemCalcs!J121*SiteCalcs!$M$11))+((ChemCalcs!I121*SiteCalcs!$E$11)/(SiteCalcs!$D$11*SiteCalcs!$B$11))+((ChemCalcs!I121*SiteCalcs!$E$11)/(SiteCalcs!$L$11*SiteCalcs!$B$11))*(EXP((SiteCalcs!$L$11*DATENTER!$B$78)/(ChemCalcs!J121*SiteCalcs!$M$11))-1)))</f>
        <v>7.4918428389551166E-4</v>
      </c>
    </row>
    <row r="122" spans="1:12" x14ac:dyDescent="0.25">
      <c r="A122" s="172" t="s">
        <v>313</v>
      </c>
      <c r="B122" s="136">
        <f>IF((VLOOKUP(A122,Props,10,FALSE))=0,0,IF((VLOOKUP(A122,Props,9,FALSE))/(VLOOKUP(A122,Props,10,FALSE))&lt;0.57,(VLOOKUP(A122,Props,8,FALSE))*((1-((DATENTER!$D$14+273.15)/(VLOOKUP(A122,Props,10,FALSE))))/(1-((VLOOKUP(A122,Props,9,FALSE))/(VLOOKUP(A122,Props,10,FALSE)))))^0.3,IF(AND((VLOOKUP(A122,Props,9,FALSE))/(VLOOKUP(A122,Props,10,FALSE))&gt;=0.57,(VLOOKUP(A122,Props,9,FALSE))/(VLOOKUP(A122,Props,10,FALSE))&lt;=0.71),(VLOOKUP(A122,Props,8,FALSE))*((1-((DATENTER!$D$14+273.15)/(VLOOKUP(A122,Props,10,FALSE))))/(1-((VLOOKUP(A122,Props,9,FALSE))/(VLOOKUP(A122,Props,10,FALSE)))))^(0.74*((VLOOKUP(A122,Props,9,FALSE))/(VLOOKUP(A122,Props,10,FALSE)))-0.116),(VLOOKUP(A122,Props,8,FALSE))*((1-((DATENTER!$D$14+273.15)/(VLOOKUP(A122,Props,10,FALSE))))/(1-((VLOOKUP(A122,Props,9,FALSE))/(VLOOKUP(A122,Props,10,FALSE)))))^0.41)))</f>
        <v>9571.9107526909247</v>
      </c>
      <c r="C122" s="135">
        <f>EXP(-1*((B122/1.9872)*((1/(DATENTER!$D$14+273.15))-(1/((VLOOKUP(A122,Props,7,FALSE))+273.15)))))*(VLOOKUP(A122,Props,6,FALSE))</f>
        <v>3.5013609993447017E-4</v>
      </c>
      <c r="D122" s="135">
        <f>IF(DATENTER!$D$14="",0,C122/(0.00008206*(DATENTER!$D$14+273.15)))</f>
        <v>1.5069151923803066E-2</v>
      </c>
      <c r="E122" s="135">
        <f>IF((VLOOKUP(A122,Props,3,FALSE))=0,0,((VLOOKUP(A122,Props,3,FALSE))*(SiteCalcs!$B$28^3.33/DATENTER!$G$41^2))+(((VLOOKUP(A122,Props,4,FALSE))/ChemCalcs!D122)*(DATENTER!$H$41^3.33/DATENTER!$G$41^2)))</f>
        <v>1.5391361534848005E-2</v>
      </c>
      <c r="F122" s="135">
        <f>IF(DATENTER!$C$28=0,0,(ChemProps!C122*(SiteCalcs!$H$28^3.33/DATENTER!$D$53^2))+((ChemProps!D122/ChemCalcs!D122)*(DATENTER!$E$53^3.33/DATENTER!$D$53^2)))</f>
        <v>0</v>
      </c>
      <c r="G122" s="135">
        <f>IF(DATENTER!$D$28=0,0,(ChemProps!C122*(SiteCalcs!$J$28^3.33/DATENTER!$D$65^2))+((ChemProps!D122/ChemCalcs!D122)*(DATENTER!$E$65^3.33/DATENTER!$D$65^2)))</f>
        <v>0</v>
      </c>
      <c r="H122" s="135">
        <f>IF((VLOOKUP(A122,Props,3,FALSE))=0,0,((VLOOKUP(A122,Props,3,FALSE))*(SiteCalcs!$D$19^3.33/SiteCalcs!$C$19^2))+(((VLOOKUP(A122,Props,4,FALSE))/ChemCalcs!D122)*(SiteCalcs!$E$19^3.33/SiteCalcs!$C$19^2)))</f>
        <v>1.3472217133569113E-3</v>
      </c>
      <c r="I122" s="205">
        <f>IF(AND(E122&gt;0,F122&gt;0,G122&gt;0),SiteCalcs!$B$11/(((IF(SiteCalcs!$B$11=1,1,DATENTER!$B$28-DATENTER!$B$14))/E122)+(DATENTER!$C$28/F122)+((DATENTER!$D$28-SiteCalcs!$B$19)/G122)+(SiteCalcs!$B$19/H122)),IF(AND(E122&gt;0,F122&gt;0,G122=0),SiteCalcs!$B$11/(((IF(SiteCalcs!$B$11=1,1,DATENTER!$B$28-DATENTER!$B$14))/E122)+((DATENTER!$C$28-SiteCalcs!$B$19)/F122)+(SiteCalcs!$B$19/H122)),IF(AND(E122&gt;0,F122=0,G122=0),SiteCalcs!$B$11/(((IF(SiteCalcs!$B$11=1,1,DATENTER!$B$28-DATENTER!$B$14)-SiteCalcs!$B$19)/E122)+(SiteCalcs!$B$19/H122)))))</f>
        <v>2.2232140530056045E-3</v>
      </c>
      <c r="J122" s="135">
        <f>ChemCalcs!E122</f>
        <v>1.5391361534848005E-2</v>
      </c>
      <c r="K122" s="260">
        <f>IF(DATENTER!$B$78="","ERROR",EXP((SiteCalcs!$L$11*DATENTER!$B$78)/(ChemCalcs!J122*SiteCalcs!$M$11)))</f>
        <v>2.3273780079857762E+72</v>
      </c>
      <c r="L122" s="206">
        <f>IF(ISERROR(K122),((ChemCalcs!I122*SiteCalcs!$E$11)/(SiteCalcs!$D$11*SiteCalcs!$B$11))/(((ChemCalcs!I122*SiteCalcs!$E$11)/(SiteCalcs!$L$11*SiteCalcs!$B$11))+1),(((ChemCalcs!I122*SiteCalcs!$E$11)/(SiteCalcs!$D$11*SiteCalcs!$B$11))*EXP((SiteCalcs!$L$11*DATENTER!$B$78)/(ChemCalcs!J122*SiteCalcs!$M$11)))/(EXP((SiteCalcs!$L$11*DATENTER!$B$78)/(ChemCalcs!J122*SiteCalcs!$M$11))+((ChemCalcs!I122*SiteCalcs!$E$11)/(SiteCalcs!$D$11*SiteCalcs!$B$11))+((ChemCalcs!I122*SiteCalcs!$E$11)/(SiteCalcs!$L$11*SiteCalcs!$B$11))*(EXP((SiteCalcs!$L$11*DATENTER!$B$78)/(ChemCalcs!J122*SiteCalcs!$M$11))-1)))</f>
        <v>7.5507235507023924E-4</v>
      </c>
    </row>
    <row r="123" spans="1:12" x14ac:dyDescent="0.25">
      <c r="A123" s="172" t="s">
        <v>314</v>
      </c>
      <c r="B123" s="136">
        <f>IF((VLOOKUP(A123,Props,10,FALSE))=0,0,IF((VLOOKUP(A123,Props,9,FALSE))/(VLOOKUP(A123,Props,10,FALSE))&lt;0.57,(VLOOKUP(A123,Props,8,FALSE))*((1-((DATENTER!$D$14+273.15)/(VLOOKUP(A123,Props,10,FALSE))))/(1-((VLOOKUP(A123,Props,9,FALSE))/(VLOOKUP(A123,Props,10,FALSE)))))^0.3,IF(AND((VLOOKUP(A123,Props,9,FALSE))/(VLOOKUP(A123,Props,10,FALSE))&gt;=0.57,(VLOOKUP(A123,Props,9,FALSE))/(VLOOKUP(A123,Props,10,FALSE))&lt;=0.71),(VLOOKUP(A123,Props,8,FALSE))*((1-((DATENTER!$D$14+273.15)/(VLOOKUP(A123,Props,10,FALSE))))/(1-((VLOOKUP(A123,Props,9,FALSE))/(VLOOKUP(A123,Props,10,FALSE)))))^(0.74*((VLOOKUP(A123,Props,9,FALSE))/(VLOOKUP(A123,Props,10,FALSE)))-0.116),(VLOOKUP(A123,Props,8,FALSE))*((1-((DATENTER!$D$14+273.15)/(VLOOKUP(A123,Props,10,FALSE))))/(1-((VLOOKUP(A123,Props,9,FALSE))/(VLOOKUP(A123,Props,10,FALSE)))))^0.41)))</f>
        <v>8556.7165503171182</v>
      </c>
      <c r="C123" s="135">
        <f>EXP(-1*((B123/1.9872)*((1/(DATENTER!$D$14+273.15))-(1/((VLOOKUP(A123,Props,7,FALSE))+273.15)))))*(VLOOKUP(A123,Props,6,FALSE))</f>
        <v>4.5831838752977555E-3</v>
      </c>
      <c r="D123" s="135">
        <f>IF(DATENTER!$D$14="",0,C123/(0.00008206*(DATENTER!$D$14+273.15)))</f>
        <v>0.19725099504024918</v>
      </c>
      <c r="E123" s="135">
        <f>IF((VLOOKUP(A123,Props,3,FALSE))=0,0,((VLOOKUP(A123,Props,3,FALSE))*(SiteCalcs!$B$28^3.33/DATENTER!$G$41^2))+(((VLOOKUP(A123,Props,4,FALSE))/ChemCalcs!D123)*(DATENTER!$H$41^3.33/DATENTER!$G$41^2)))</f>
        <v>1.5588434935954147E-2</v>
      </c>
      <c r="F123" s="135">
        <f>IF(DATENTER!$C$28=0,0,(ChemProps!C123*(SiteCalcs!$H$28^3.33/DATENTER!$D$53^2))+((ChemProps!D123/ChemCalcs!D123)*(DATENTER!$E$53^3.33/DATENTER!$D$53^2)))</f>
        <v>0</v>
      </c>
      <c r="G123" s="135">
        <f>IF(DATENTER!$D$28=0,0,(ChemProps!C123*(SiteCalcs!$J$28^3.33/DATENTER!$D$65^2))+((ChemProps!D123/ChemCalcs!D123)*(DATENTER!$E$65^3.33/DATENTER!$D$65^2)))</f>
        <v>0</v>
      </c>
      <c r="H123" s="135">
        <f>IF((VLOOKUP(A123,Props,3,FALSE))=0,0,((VLOOKUP(A123,Props,3,FALSE))*(SiteCalcs!$D$19^3.33/SiteCalcs!$C$19^2))+(((VLOOKUP(A123,Props,4,FALSE))/ChemCalcs!D123)*(SiteCalcs!$E$19^3.33/SiteCalcs!$C$19^2)))</f>
        <v>1.334043859083959E-3</v>
      </c>
      <c r="I123" s="205">
        <f>IF(AND(E123&gt;0,F123&gt;0,G123&gt;0),SiteCalcs!$B$11/(((IF(SiteCalcs!$B$11=1,1,DATENTER!$B$28-DATENTER!$B$14))/E123)+(DATENTER!$C$28/F123)+((DATENTER!$D$28-SiteCalcs!$B$19)/G123)+(SiteCalcs!$B$19/H123)),IF(AND(E123&gt;0,F123&gt;0,G123=0),SiteCalcs!$B$11/(((IF(SiteCalcs!$B$11=1,1,DATENTER!$B$28-DATENTER!$B$14))/E123)+((DATENTER!$C$28-SiteCalcs!$B$19)/F123)+(SiteCalcs!$B$19/H123)),IF(AND(E123&gt;0,F123=0,G123=0),SiteCalcs!$B$11/(((IF(SiteCalcs!$B$11=1,1,DATENTER!$B$28-DATENTER!$B$14)-SiteCalcs!$B$19)/E123)+(SiteCalcs!$B$19/H123)))))</f>
        <v>2.2045340798160689E-3</v>
      </c>
      <c r="J123" s="135">
        <f>ChemCalcs!E123</f>
        <v>1.5588434935954147E-2</v>
      </c>
      <c r="K123" s="260">
        <f>IF(DATENTER!$B$78="","ERROR",EXP((SiteCalcs!$L$11*DATENTER!$B$78)/(ChemCalcs!J123*SiteCalcs!$M$11)))</f>
        <v>2.8312911888135753E+71</v>
      </c>
      <c r="L123" s="206">
        <f>IF(ISERROR(K123),((ChemCalcs!I123*SiteCalcs!$E$11)/(SiteCalcs!$D$11*SiteCalcs!$B$11))/(((ChemCalcs!I123*SiteCalcs!$E$11)/(SiteCalcs!$L$11*SiteCalcs!$B$11))+1),(((ChemCalcs!I123*SiteCalcs!$E$11)/(SiteCalcs!$D$11*SiteCalcs!$B$11))*EXP((SiteCalcs!$L$11*DATENTER!$B$78)/(ChemCalcs!J123*SiteCalcs!$M$11)))/(EXP((SiteCalcs!$L$11*DATENTER!$B$78)/(ChemCalcs!J123*SiteCalcs!$M$11))+((ChemCalcs!I123*SiteCalcs!$E$11)/(SiteCalcs!$D$11*SiteCalcs!$B$11))+((ChemCalcs!I123*SiteCalcs!$E$11)/(SiteCalcs!$L$11*SiteCalcs!$B$11))*(EXP((SiteCalcs!$L$11*DATENTER!$B$78)/(ChemCalcs!J123*SiteCalcs!$M$11))-1)))</f>
        <v>7.5282186827969162E-4</v>
      </c>
    </row>
    <row r="124" spans="1:12" x14ac:dyDescent="0.25">
      <c r="A124" s="172" t="s">
        <v>315</v>
      </c>
      <c r="B124" s="136">
        <f>IF((VLOOKUP(A124,Props,10,FALSE))=0,0,IF((VLOOKUP(A124,Props,9,FALSE))/(VLOOKUP(A124,Props,10,FALSE))&lt;0.57,(VLOOKUP(A124,Props,8,FALSE))*((1-((DATENTER!$D$14+273.15)/(VLOOKUP(A124,Props,10,FALSE))))/(1-((VLOOKUP(A124,Props,9,FALSE))/(VLOOKUP(A124,Props,10,FALSE)))))^0.3,IF(AND((VLOOKUP(A124,Props,9,FALSE))/(VLOOKUP(A124,Props,10,FALSE))&gt;=0.57,(VLOOKUP(A124,Props,9,FALSE))/(VLOOKUP(A124,Props,10,FALSE))&lt;=0.71),(VLOOKUP(A124,Props,8,FALSE))*((1-((DATENTER!$D$14+273.15)/(VLOOKUP(A124,Props,10,FALSE))))/(1-((VLOOKUP(A124,Props,9,FALSE))/(VLOOKUP(A124,Props,10,FALSE)))))^(0.74*((VLOOKUP(A124,Props,9,FALSE))/(VLOOKUP(A124,Props,10,FALSE)))-0.116),(VLOOKUP(A124,Props,8,FALSE))*((1-((DATENTER!$D$14+273.15)/(VLOOKUP(A124,Props,10,FALSE))))/(1-((VLOOKUP(A124,Props,9,FALSE))/(VLOOKUP(A124,Props,10,FALSE)))))^0.41)))</f>
        <v>17261.827436291631</v>
      </c>
      <c r="C124" s="135">
        <f>EXP(-1*((B124/1.9872)*((1/(DATENTER!$D$14+273.15))-(1/((VLOOKUP(A124,Props,7,FALSE))+273.15)))))*(VLOOKUP(A124,Props,6,FALSE))</f>
        <v>3.4611048994234702E-7</v>
      </c>
      <c r="D124" s="135">
        <f>IF(DATENTER!$D$14="",0,C124/(0.00008206*(DATENTER!$D$14+273.15)))</f>
        <v>1.4895897784716475E-5</v>
      </c>
      <c r="E124" s="135">
        <f>IF((VLOOKUP(A124,Props,3,FALSE))=0,0,((VLOOKUP(A124,Props,3,FALSE))*(SiteCalcs!$B$28^3.33/DATENTER!$G$41^2))+(((VLOOKUP(A124,Props,4,FALSE))/ChemCalcs!D124)*(DATENTER!$H$41^3.33/DATENTER!$G$41^2)))</f>
        <v>5.959930203270754E-3</v>
      </c>
      <c r="F124" s="135">
        <f>IF(DATENTER!$C$28=0,0,(ChemProps!C124*(SiteCalcs!$H$28^3.33/DATENTER!$D$53^2))+((ChemProps!D124/ChemCalcs!D124)*(DATENTER!$E$53^3.33/DATENTER!$D$53^2)))</f>
        <v>0</v>
      </c>
      <c r="G124" s="135">
        <f>IF(DATENTER!$D$28=0,0,(ChemProps!C124*(SiteCalcs!$J$28^3.33/DATENTER!$D$65^2))+((ChemProps!D124/ChemCalcs!D124)*(DATENTER!$E$65^3.33/DATENTER!$D$65^2)))</f>
        <v>0</v>
      </c>
      <c r="H124" s="135">
        <f>IF((VLOOKUP(A124,Props,3,FALSE))=0,0,((VLOOKUP(A124,Props,3,FALSE))*(SiteCalcs!$D$19^3.33/SiteCalcs!$C$19^2))+(((VLOOKUP(A124,Props,4,FALSE))/ChemCalcs!D124)*(SiteCalcs!$E$19^3.33/SiteCalcs!$C$19^2)))</f>
        <v>2.6842704320559876E-2</v>
      </c>
      <c r="I124" s="205">
        <f>IF(AND(E124&gt;0,F124&gt;0,G124&gt;0),SiteCalcs!$B$11/(((IF(SiteCalcs!$B$11=1,1,DATENTER!$B$28-DATENTER!$B$14))/E124)+(DATENTER!$C$28/F124)+((DATENTER!$D$28-SiteCalcs!$B$19)/G124)+(SiteCalcs!$B$19/H124)),IF(AND(E124&gt;0,F124&gt;0,G124=0),SiteCalcs!$B$11/(((IF(SiteCalcs!$B$11=1,1,DATENTER!$B$28-DATENTER!$B$14))/E124)+((DATENTER!$C$28-SiteCalcs!$B$19)/F124)+(SiteCalcs!$B$19/H124)),IF(AND(E124&gt;0,F124=0,G124=0),SiteCalcs!$B$11/(((IF(SiteCalcs!$B$11=1,1,DATENTER!$B$28-DATENTER!$B$14)-SiteCalcs!$B$19)/E124)+(SiteCalcs!$B$19/H124)))))</f>
        <v>1.0681404259542848E-2</v>
      </c>
      <c r="J124" s="135">
        <f>ChemCalcs!E124</f>
        <v>5.959930203270754E-3</v>
      </c>
      <c r="K124" s="260">
        <f>IF(DATENTER!$B$78="","ERROR",EXP((SiteCalcs!$L$11*DATENTER!$B$78)/(ChemCalcs!J124*SiteCalcs!$M$11)))</f>
        <v>7.6826801414016343E+186</v>
      </c>
      <c r="L124" s="206">
        <f>IF(ISERROR(K124),((ChemCalcs!I124*SiteCalcs!$E$11)/(SiteCalcs!$D$11*SiteCalcs!$B$11))/(((ChemCalcs!I124*SiteCalcs!$E$11)/(SiteCalcs!$L$11*SiteCalcs!$B$11))+1),(((ChemCalcs!I124*SiteCalcs!$E$11)/(SiteCalcs!$D$11*SiteCalcs!$B$11))*EXP((SiteCalcs!$L$11*DATENTER!$B$78)/(ChemCalcs!J124*SiteCalcs!$M$11)))/(EXP((SiteCalcs!$L$11*DATENTER!$B$78)/(ChemCalcs!J124*SiteCalcs!$M$11))+((ChemCalcs!I124*SiteCalcs!$E$11)/(SiteCalcs!$D$11*SiteCalcs!$B$11))+((ChemCalcs!I124*SiteCalcs!$E$11)/(SiteCalcs!$L$11*SiteCalcs!$B$11))*(EXP((SiteCalcs!$L$11*DATENTER!$B$78)/(ChemCalcs!J124*SiteCalcs!$M$11))-1)))</f>
        <v>1.0477893007788189E-3</v>
      </c>
    </row>
    <row r="125" spans="1:12" x14ac:dyDescent="0.25">
      <c r="A125" s="172" t="s">
        <v>316</v>
      </c>
      <c r="B125" s="136">
        <f>IF((VLOOKUP(A125,Props,10,FALSE))=0,0,IF((VLOOKUP(A125,Props,9,FALSE))/(VLOOKUP(A125,Props,10,FALSE))&lt;0.57,(VLOOKUP(A125,Props,8,FALSE))*((1-((DATENTER!$D$14+273.15)/(VLOOKUP(A125,Props,10,FALSE))))/(1-((VLOOKUP(A125,Props,9,FALSE))/(VLOOKUP(A125,Props,10,FALSE)))))^0.3,IF(AND((VLOOKUP(A125,Props,9,FALSE))/(VLOOKUP(A125,Props,10,FALSE))&gt;=0.57,(VLOOKUP(A125,Props,9,FALSE))/(VLOOKUP(A125,Props,10,FALSE))&lt;=0.71),(VLOOKUP(A125,Props,8,FALSE))*((1-((DATENTER!$D$14+273.15)/(VLOOKUP(A125,Props,10,FALSE))))/(1-((VLOOKUP(A125,Props,9,FALSE))/(VLOOKUP(A125,Props,10,FALSE)))))^(0.74*((VLOOKUP(A125,Props,9,FALSE))/(VLOOKUP(A125,Props,10,FALSE)))-0.116),(VLOOKUP(A125,Props,8,FALSE))*((1-((DATENTER!$D$14+273.15)/(VLOOKUP(A125,Props,10,FALSE))))/(1-((VLOOKUP(A125,Props,9,FALSE))/(VLOOKUP(A125,Props,10,FALSE)))))^0.41)))</f>
        <v>15883.153922743313</v>
      </c>
      <c r="C125" s="135">
        <f>EXP(-1*((B125/1.9872)*((1/(DATENTER!$D$14+273.15))-(1/((VLOOKUP(A125,Props,7,FALSE))+273.15)))))*(VLOOKUP(A125,Props,6,FALSE))</f>
        <v>6.2836048239158884E-7</v>
      </c>
      <c r="D125" s="135">
        <f>IF(DATENTER!$D$14="",0,C125/(0.00008206*(DATENTER!$D$14+273.15)))</f>
        <v>2.7043368489696383E-5</v>
      </c>
      <c r="E125" s="135">
        <f>IF((VLOOKUP(A125,Props,3,FALSE))=0,0,((VLOOKUP(A125,Props,3,FALSE))*(SiteCalcs!$B$28^3.33/DATENTER!$G$41^2))+(((VLOOKUP(A125,Props,4,FALSE))/ChemCalcs!D125)*(DATENTER!$H$41^3.33/DATENTER!$G$41^2)))</f>
        <v>6.3815203511091417E-3</v>
      </c>
      <c r="F125" s="135">
        <f>IF(DATENTER!$C$28=0,0,(ChemProps!C125*(SiteCalcs!$H$28^3.33/DATENTER!$D$53^2))+((ChemProps!D125/ChemCalcs!D125)*(DATENTER!$E$53^3.33/DATENTER!$D$53^2)))</f>
        <v>0</v>
      </c>
      <c r="G125" s="135">
        <f>IF(DATENTER!$D$28=0,0,(ChemProps!C125*(SiteCalcs!$J$28^3.33/DATENTER!$D$65^2))+((ChemProps!D125/ChemCalcs!D125)*(DATENTER!$E$65^3.33/DATENTER!$D$65^2)))</f>
        <v>0</v>
      </c>
      <c r="H125" s="135">
        <f>IF((VLOOKUP(A125,Props,3,FALSE))=0,0,((VLOOKUP(A125,Props,3,FALSE))*(SiteCalcs!$D$19^3.33/SiteCalcs!$C$19^2))+(((VLOOKUP(A125,Props,4,FALSE))/ChemCalcs!D125)*(SiteCalcs!$E$19^3.33/SiteCalcs!$C$19^2)))</f>
        <v>1.3440670301962854E-2</v>
      </c>
      <c r="I125" s="205">
        <f>IF(AND(E125&gt;0,F125&gt;0,G125&gt;0),SiteCalcs!$B$11/(((IF(SiteCalcs!$B$11=1,1,DATENTER!$B$28-DATENTER!$B$14))/E125)+(DATENTER!$C$28/F125)+((DATENTER!$D$28-SiteCalcs!$B$19)/G125)+(SiteCalcs!$B$19/H125)),IF(AND(E125&gt;0,F125&gt;0,G125=0),SiteCalcs!$B$11/(((IF(SiteCalcs!$B$11=1,1,DATENTER!$B$28-DATENTER!$B$14))/E125)+((DATENTER!$C$28-SiteCalcs!$B$19)/F125)+(SiteCalcs!$B$19/H125)),IF(AND(E125&gt;0,F125=0,G125=0),SiteCalcs!$B$11/(((IF(SiteCalcs!$B$11=1,1,DATENTER!$B$28-DATENTER!$B$14)-SiteCalcs!$B$19)/E125)+(SiteCalcs!$B$19/H125)))))</f>
        <v>9.0958456408506434E-3</v>
      </c>
      <c r="J125" s="135">
        <f>ChemCalcs!E125</f>
        <v>6.3815203511091417E-3</v>
      </c>
      <c r="K125" s="260">
        <f>IF(DATENTER!$B$78="","ERROR",EXP((SiteCalcs!$L$11*DATENTER!$B$78)/(ChemCalcs!J125*SiteCalcs!$M$11)))</f>
        <v>3.4599323573740995E+174</v>
      </c>
      <c r="L125" s="206">
        <f>IF(ISERROR(K125),((ChemCalcs!I125*SiteCalcs!$E$11)/(SiteCalcs!$D$11*SiteCalcs!$B$11))/(((ChemCalcs!I125*SiteCalcs!$E$11)/(SiteCalcs!$L$11*SiteCalcs!$B$11))+1),(((ChemCalcs!I125*SiteCalcs!$E$11)/(SiteCalcs!$D$11*SiteCalcs!$B$11))*EXP((SiteCalcs!$L$11*DATENTER!$B$78)/(ChemCalcs!J125*SiteCalcs!$M$11)))/(EXP((SiteCalcs!$L$11*DATENTER!$B$78)/(ChemCalcs!J125*SiteCalcs!$M$11))+((ChemCalcs!I125*SiteCalcs!$E$11)/(SiteCalcs!$D$11*SiteCalcs!$B$11))+((ChemCalcs!I125*SiteCalcs!$E$11)/(SiteCalcs!$L$11*SiteCalcs!$B$11))*(EXP((SiteCalcs!$L$11*DATENTER!$B$78)/(ChemCalcs!J125*SiteCalcs!$M$11))-1)))</f>
        <v>1.0295028301611046E-3</v>
      </c>
    </row>
    <row r="126" spans="1:12" x14ac:dyDescent="0.25">
      <c r="A126" s="172" t="s">
        <v>317</v>
      </c>
      <c r="B126" s="136">
        <f>IF((VLOOKUP(A126,Props,10,FALSE))=0,0,IF((VLOOKUP(A126,Props,9,FALSE))/(VLOOKUP(A126,Props,10,FALSE))&lt;0.57,(VLOOKUP(A126,Props,8,FALSE))*((1-((DATENTER!$D$14+273.15)/(VLOOKUP(A126,Props,10,FALSE))))/(1-((VLOOKUP(A126,Props,9,FALSE))/(VLOOKUP(A126,Props,10,FALSE)))))^0.3,IF(AND((VLOOKUP(A126,Props,9,FALSE))/(VLOOKUP(A126,Props,10,FALSE))&gt;=0.57,(VLOOKUP(A126,Props,9,FALSE))/(VLOOKUP(A126,Props,10,FALSE))&lt;=0.71),(VLOOKUP(A126,Props,8,FALSE))*((1-((DATENTER!$D$14+273.15)/(VLOOKUP(A126,Props,10,FALSE))))/(1-((VLOOKUP(A126,Props,9,FALSE))/(VLOOKUP(A126,Props,10,FALSE)))))^(0.74*((VLOOKUP(A126,Props,9,FALSE))/(VLOOKUP(A126,Props,10,FALSE)))-0.116),(VLOOKUP(A126,Props,8,FALSE))*((1-((DATENTER!$D$14+273.15)/(VLOOKUP(A126,Props,10,FALSE))))/(1-((VLOOKUP(A126,Props,9,FALSE))/(VLOOKUP(A126,Props,10,FALSE)))))^0.41)))</f>
        <v>0</v>
      </c>
      <c r="C126" s="135">
        <f>EXP(-1*((B126/1.9872)*((1/(DATENTER!$D$14+273.15))-(1/((VLOOKUP(A126,Props,7,FALSE))+273.15)))))*(VLOOKUP(A126,Props,6,FALSE))</f>
        <v>0</v>
      </c>
      <c r="D126" s="135">
        <f>IF(DATENTER!$D$14="",0,C126/(0.00008206*(DATENTER!$D$14+273.15)))</f>
        <v>0</v>
      </c>
      <c r="E126" s="135">
        <f>IF((VLOOKUP(A126,Props,3,FALSE))=0,0,((VLOOKUP(A126,Props,3,FALSE))*(SiteCalcs!$B$28^3.33/DATENTER!$G$41^2))+(((VLOOKUP(A126,Props,4,FALSE))/ChemCalcs!D126)*(DATENTER!$H$41^3.33/DATENTER!$G$41^2)))</f>
        <v>0</v>
      </c>
      <c r="F126" s="135"/>
      <c r="G126" s="135"/>
      <c r="H126" s="135">
        <f>IF((VLOOKUP(A126,Props,3,FALSE))=0,0,((VLOOKUP(A126,Props,3,FALSE))*(SiteCalcs!$D$19^3.33/SiteCalcs!$C$19^2))+(((VLOOKUP(A126,Props,4,FALSE))/ChemCalcs!D126)*(SiteCalcs!$E$19^3.33/SiteCalcs!$C$19^2)))</f>
        <v>0</v>
      </c>
      <c r="I126" s="205"/>
      <c r="J126" s="135"/>
      <c r="K126" s="260"/>
      <c r="L126" s="206"/>
    </row>
    <row r="127" spans="1:12" x14ac:dyDescent="0.25">
      <c r="A127" s="172" t="s">
        <v>318</v>
      </c>
      <c r="B127" s="136">
        <f>IF((VLOOKUP(A127,Props,10,FALSE))=0,0,IF((VLOOKUP(A127,Props,9,FALSE))/(VLOOKUP(A127,Props,10,FALSE))&lt;0.57,(VLOOKUP(A127,Props,8,FALSE))*((1-((DATENTER!$D$14+273.15)/(VLOOKUP(A127,Props,10,FALSE))))/(1-((VLOOKUP(A127,Props,9,FALSE))/(VLOOKUP(A127,Props,10,FALSE)))))^0.3,IF(AND((VLOOKUP(A127,Props,9,FALSE))/(VLOOKUP(A127,Props,10,FALSE))&gt;=0.57,(VLOOKUP(A127,Props,9,FALSE))/(VLOOKUP(A127,Props,10,FALSE))&lt;=0.71),(VLOOKUP(A127,Props,8,FALSE))*((1-((DATENTER!$D$14+273.15)/(VLOOKUP(A127,Props,10,FALSE))))/(1-((VLOOKUP(A127,Props,9,FALSE))/(VLOOKUP(A127,Props,10,FALSE)))))^(0.74*((VLOOKUP(A127,Props,9,FALSE))/(VLOOKUP(A127,Props,10,FALSE)))-0.116),(VLOOKUP(A127,Props,8,FALSE))*((1-((DATENTER!$D$14+273.15)/(VLOOKUP(A127,Props,10,FALSE))))/(1-((VLOOKUP(A127,Props,9,FALSE))/(VLOOKUP(A127,Props,10,FALSE)))))^0.41)))</f>
        <v>4999.6806079672815</v>
      </c>
      <c r="C127" s="135">
        <f>EXP(-1*((B127/1.9872)*((1/(DATENTER!$D$14+273.15))-(1/((VLOOKUP(A127,Props,7,FALSE))+273.15)))))*(VLOOKUP(A127,Props,6,FALSE))</f>
        <v>1.7778716037784519E-2</v>
      </c>
      <c r="D127" s="135">
        <f>IF(DATENTER!$D$14="",0,C127/(0.00008206*(DATENTER!$D$14+273.15)))</f>
        <v>0.76516009926902662</v>
      </c>
      <c r="E127" s="135">
        <f>IF((VLOOKUP(A127,Props,3,FALSE))=0,0,((VLOOKUP(A127,Props,3,FALSE))*(SiteCalcs!$B$28^3.33/DATENTER!$G$41^2))+(((VLOOKUP(A127,Props,4,FALSE))/ChemCalcs!D127)*(DATENTER!$H$41^3.33/DATENTER!$G$41^2)))</f>
        <v>2.0916100054430526E-2</v>
      </c>
      <c r="F127" s="135">
        <f>IF(DATENTER!$C$28=0,0,(ChemProps!C127*(SiteCalcs!$H$28^3.33/DATENTER!$D$53^2))+((ChemProps!D127/ChemCalcs!D127)*(DATENTER!$E$53^3.33/DATENTER!$D$53^2)))</f>
        <v>0</v>
      </c>
      <c r="G127" s="135">
        <f>IF(DATENTER!$D$28=0,0,(ChemProps!C127*(SiteCalcs!$J$28^3.33/DATENTER!$D$65^2))+((ChemProps!D127/ChemCalcs!D127)*(DATENTER!$E$65^3.33/DATENTER!$D$65^2)))</f>
        <v>0</v>
      </c>
      <c r="H127" s="135">
        <f>IF((VLOOKUP(A127,Props,3,FALSE))=0,0,((VLOOKUP(A127,Props,3,FALSE))*(SiteCalcs!$D$19^3.33/SiteCalcs!$C$19^2))+(((VLOOKUP(A127,Props,4,FALSE))/ChemCalcs!D127)*(SiteCalcs!$E$19^3.33/SiteCalcs!$C$19^2)))</f>
        <v>1.786616211067546E-3</v>
      </c>
      <c r="I127" s="205">
        <f>IF(AND(E127&gt;0,F127&gt;0,G127&gt;0),SiteCalcs!$B$11/(((IF(SiteCalcs!$B$11=1,1,DATENTER!$B$28-DATENTER!$B$14))/E127)+(DATENTER!$C$28/F127)+((DATENTER!$D$28-SiteCalcs!$B$19)/G127)+(SiteCalcs!$B$19/H127)),IF(AND(E127&gt;0,F127&gt;0,G127=0),SiteCalcs!$B$11/(((IF(SiteCalcs!$B$11=1,1,DATENTER!$B$28-DATENTER!$B$14))/E127)+((DATENTER!$C$28-SiteCalcs!$B$19)/F127)+(SiteCalcs!$B$19/H127)),IF(AND(E127&gt;0,F127=0,G127=0),SiteCalcs!$B$11/(((IF(SiteCalcs!$B$11=1,1,DATENTER!$B$28-DATENTER!$B$14)-SiteCalcs!$B$19)/E127)+(SiteCalcs!$B$19/H127)))))</f>
        <v>2.9527578310032227E-3</v>
      </c>
      <c r="J127" s="135">
        <f>ChemCalcs!E127</f>
        <v>2.0916100054430526E-2</v>
      </c>
      <c r="K127" s="260">
        <f>IF(DATENTER!$B$78="","ERROR",EXP((SiteCalcs!$L$11*DATENTER!$B$78)/(ChemCalcs!J127*SiteCalcs!$M$11)))</f>
        <v>1.7865764530573058E+53</v>
      </c>
      <c r="L127" s="206">
        <f>IF(ISERROR(K127),((ChemCalcs!I127*SiteCalcs!$E$11)/(SiteCalcs!$D$11*SiteCalcs!$B$11))/(((ChemCalcs!I127*SiteCalcs!$E$11)/(SiteCalcs!$L$11*SiteCalcs!$B$11))+1),(((ChemCalcs!I127*SiteCalcs!$E$11)/(SiteCalcs!$D$11*SiteCalcs!$B$11))*EXP((SiteCalcs!$L$11*DATENTER!$B$78)/(ChemCalcs!J127*SiteCalcs!$M$11)))/(EXP((SiteCalcs!$L$11*DATENTER!$B$78)/(ChemCalcs!J127*SiteCalcs!$M$11))+((ChemCalcs!I127*SiteCalcs!$E$11)/(SiteCalcs!$D$11*SiteCalcs!$B$11))+((ChemCalcs!I127*SiteCalcs!$E$11)/(SiteCalcs!$L$11*SiteCalcs!$B$11))*(EXP((SiteCalcs!$L$11*DATENTER!$B$78)/(ChemCalcs!J127*SiteCalcs!$M$11))-1)))</f>
        <v>8.2717400736670682E-4</v>
      </c>
    </row>
    <row r="128" spans="1:12" x14ac:dyDescent="0.25">
      <c r="A128" s="172" t="s">
        <v>319</v>
      </c>
      <c r="B128" s="136">
        <f>IF((VLOOKUP(A128,Props,10,FALSE))=0,0,IF((VLOOKUP(A128,Props,9,FALSE))/(VLOOKUP(A128,Props,10,FALSE))&lt;0.57,(VLOOKUP(A128,Props,8,FALSE))*((1-((DATENTER!$D$14+273.15)/(VLOOKUP(A128,Props,10,FALSE))))/(1-((VLOOKUP(A128,Props,9,FALSE))/(VLOOKUP(A128,Props,10,FALSE)))))^0.3,IF(AND((VLOOKUP(A128,Props,9,FALSE))/(VLOOKUP(A128,Props,10,FALSE))&gt;=0.57,(VLOOKUP(A128,Props,9,FALSE))/(VLOOKUP(A128,Props,10,FALSE))&lt;=0.71),(VLOOKUP(A128,Props,8,FALSE))*((1-((DATENTER!$D$14+273.15)/(VLOOKUP(A128,Props,10,FALSE))))/(1-((VLOOKUP(A128,Props,9,FALSE))/(VLOOKUP(A128,Props,10,FALSE)))))^(0.74*((VLOOKUP(A128,Props,9,FALSE))/(VLOOKUP(A128,Props,10,FALSE)))-0.116),(VLOOKUP(A128,Props,8,FALSE))*((1-((DATENTER!$D$14+273.15)/(VLOOKUP(A128,Props,10,FALSE))))/(1-((VLOOKUP(A128,Props,9,FALSE))/(VLOOKUP(A128,Props,10,FALSE)))))^0.41)))</f>
        <v>10248.452963724338</v>
      </c>
      <c r="C128" s="135">
        <f>EXP(-1*((B128/1.9872)*((1/(DATENTER!$D$14+273.15))-(1/((VLOOKUP(A128,Props,7,FALSE))+273.15)))))*(VLOOKUP(A128,Props,6,FALSE))</f>
        <v>2.651869521146408E-3</v>
      </c>
      <c r="D128" s="135">
        <f>IF(DATENTER!$D$14="",0,C128/(0.00008206*(DATENTER!$D$14+273.15)))</f>
        <v>0.1141311184529019</v>
      </c>
      <c r="E128" s="135">
        <f>IF((VLOOKUP(A128,Props,3,FALSE))=0,0,((VLOOKUP(A128,Props,3,FALSE))*(SiteCalcs!$B$28^3.33/DATENTER!$G$41^2))+(((VLOOKUP(A128,Props,4,FALSE))/ChemCalcs!D128)*(DATENTER!$H$41^3.33/DATENTER!$G$41^2)))</f>
        <v>1.5174072224578816E-2</v>
      </c>
      <c r="F128" s="135">
        <f>IF(DATENTER!$C$28=0,0,(ChemProps!C128*(SiteCalcs!$H$28^3.33/DATENTER!$D$53^2))+((ChemProps!D128/ChemCalcs!D128)*(DATENTER!$E$53^3.33/DATENTER!$D$53^2)))</f>
        <v>0</v>
      </c>
      <c r="G128" s="135">
        <f>IF(DATENTER!$D$28=0,0,(ChemProps!C128*(SiteCalcs!$J$28^3.33/DATENTER!$D$65^2))+((ChemProps!D128/ChemCalcs!D128)*(DATENTER!$E$65^3.33/DATENTER!$D$65^2)))</f>
        <v>0</v>
      </c>
      <c r="H128" s="135">
        <f>IF((VLOOKUP(A128,Props,3,FALSE))=0,0,((VLOOKUP(A128,Props,3,FALSE))*(SiteCalcs!$D$19^3.33/SiteCalcs!$C$19^2))+(((VLOOKUP(A128,Props,4,FALSE))/ChemCalcs!D128)*(SiteCalcs!$E$19^3.33/SiteCalcs!$C$19^2)))</f>
        <v>1.3002035930805603E-3</v>
      </c>
      <c r="I128" s="205">
        <f>IF(AND(E128&gt;0,F128&gt;0,G128&gt;0),SiteCalcs!$B$11/(((IF(SiteCalcs!$B$11=1,1,DATENTER!$B$28-DATENTER!$B$14))/E128)+(DATENTER!$C$28/F128)+((DATENTER!$D$28-SiteCalcs!$B$19)/G128)+(SiteCalcs!$B$19/H128)),IF(AND(E128&gt;0,F128&gt;0,G128=0),SiteCalcs!$B$11/(((IF(SiteCalcs!$B$11=1,1,DATENTER!$B$28-DATENTER!$B$14))/E128)+((DATENTER!$C$28-SiteCalcs!$B$19)/F128)+(SiteCalcs!$B$19/H128)),IF(AND(E128&gt;0,F128=0,G128=0),SiteCalcs!$B$11/(((IF(SiteCalcs!$B$11=1,1,DATENTER!$B$28-DATENTER!$B$14)-SiteCalcs!$B$19)/E128)+(SiteCalcs!$B$19/H128)))))</f>
        <v>2.1484486375163833E-3</v>
      </c>
      <c r="J128" s="135">
        <f>ChemCalcs!E128</f>
        <v>1.5174072224578816E-2</v>
      </c>
      <c r="K128" s="260">
        <f>IF(DATENTER!$B$78="","ERROR",EXP((SiteCalcs!$L$11*DATENTER!$B$78)/(ChemCalcs!J128*SiteCalcs!$M$11)))</f>
        <v>2.5301381008162918E+73</v>
      </c>
      <c r="L128" s="206">
        <f>IF(ISERROR(K128),((ChemCalcs!I128*SiteCalcs!$E$11)/(SiteCalcs!$D$11*SiteCalcs!$B$11))/(((ChemCalcs!I128*SiteCalcs!$E$11)/(SiteCalcs!$L$11*SiteCalcs!$B$11))+1),(((ChemCalcs!I128*SiteCalcs!$E$11)/(SiteCalcs!$D$11*SiteCalcs!$B$11))*EXP((SiteCalcs!$L$11*DATENTER!$B$78)/(ChemCalcs!J128*SiteCalcs!$M$11)))/(EXP((SiteCalcs!$L$11*DATENTER!$B$78)/(ChemCalcs!J128*SiteCalcs!$M$11))+((ChemCalcs!I128*SiteCalcs!$E$11)/(SiteCalcs!$D$11*SiteCalcs!$B$11))+((ChemCalcs!I128*SiteCalcs!$E$11)/(SiteCalcs!$L$11*SiteCalcs!$B$11))*(EXP((SiteCalcs!$L$11*DATENTER!$B$78)/(ChemCalcs!J128*SiteCalcs!$M$11))-1)))</f>
        <v>7.4591458604617673E-4</v>
      </c>
    </row>
    <row r="129" spans="1:12" ht="12" thickBot="1" x14ac:dyDescent="0.3">
      <c r="A129" s="175" t="s">
        <v>320</v>
      </c>
      <c r="B129" s="138">
        <f>IF((VLOOKUP(A129,Props,10,FALSE))=0,0,IF((VLOOKUP(A129,Props,9,FALSE))/(VLOOKUP(A129,Props,10,FALSE))&lt;0.57,(VLOOKUP(A129,Props,8,FALSE))*((1-((DATENTER!$D$14+273.15)/(VLOOKUP(A129,Props,10,FALSE))))/(1-((VLOOKUP(A129,Props,9,FALSE))/(VLOOKUP(A129,Props,10,FALSE)))))^0.3,IF(AND((VLOOKUP(A129,Props,9,FALSE))/(VLOOKUP(A129,Props,10,FALSE))&gt;=0.57,(VLOOKUP(A129,Props,9,FALSE))/(VLOOKUP(A129,Props,10,FALSE))&lt;=0.71),(VLOOKUP(A129,Props,8,FALSE))*((1-((DATENTER!$D$14+273.15)/(VLOOKUP(A129,Props,10,FALSE))))/(1-((VLOOKUP(A129,Props,9,FALSE))/(VLOOKUP(A129,Props,10,FALSE)))))^(0.74*((VLOOKUP(A129,Props,9,FALSE))/(VLOOKUP(A129,Props,10,FALSE)))-0.116),(VLOOKUP(A129,Props,8,FALSE))*((1-((DATENTER!$D$14+273.15)/(VLOOKUP(A129,Props,10,FALSE))))/(1-((VLOOKUP(A129,Props,9,FALSE))/(VLOOKUP(A129,Props,10,FALSE)))))^0.41)))</f>
        <v>0</v>
      </c>
      <c r="C129" s="137">
        <f>EXP(-1*((B129/1.9872)*((1/(DATENTER!$D$14+273.15))-(1/((VLOOKUP(A129,Props,7,FALSE))+273.15)))))*(VLOOKUP(A129,Props,6,FALSE))</f>
        <v>0</v>
      </c>
      <c r="D129" s="137">
        <f>IF(DATENTER!$D$14="",0,C129/(0.00008206*(DATENTER!$D$14+273.15)))</f>
        <v>0</v>
      </c>
      <c r="E129" s="137">
        <f>IF((VLOOKUP(A129,Props,3,FALSE))=0,0,((VLOOKUP(A129,Props,3,FALSE))*(SiteCalcs!$B$28^3.33/DATENTER!$G$41^2))+(((VLOOKUP(A129,Props,4,FALSE))/ChemCalcs!D129)*(DATENTER!$H$41^3.33/DATENTER!$G$41^2)))</f>
        <v>0</v>
      </c>
      <c r="F129" s="137"/>
      <c r="G129" s="137"/>
      <c r="H129" s="137">
        <f>IF((VLOOKUP(A129,Props,3,FALSE))=0,0,((VLOOKUP(A129,Props,3,FALSE))*(SiteCalcs!$D$19^3.33/SiteCalcs!$C$19^2))+(((VLOOKUP(A129,Props,4,FALSE))/ChemCalcs!D129)*(SiteCalcs!$E$19^3.33/SiteCalcs!$C$19^2)))</f>
        <v>0</v>
      </c>
      <c r="I129" s="207"/>
      <c r="J129" s="137"/>
      <c r="K129" s="261"/>
      <c r="L129" s="208"/>
    </row>
    <row r="130" spans="1:12" ht="12" thickTop="1" x14ac:dyDescent="0.25">
      <c r="A130" s="187"/>
      <c r="B130" s="156"/>
      <c r="C130" s="188"/>
      <c r="D130" s="188"/>
      <c r="E130" s="188"/>
      <c r="F130" s="188"/>
      <c r="G130" s="188"/>
      <c r="H130" s="188"/>
      <c r="I130" s="188"/>
      <c r="J130" s="188"/>
      <c r="L130" s="188"/>
    </row>
    <row r="131" spans="1:12" x14ac:dyDescent="0.25">
      <c r="A131" s="187"/>
      <c r="B131" s="156"/>
      <c r="C131" s="188"/>
      <c r="D131" s="188"/>
      <c r="E131" s="188"/>
      <c r="F131" s="188"/>
      <c r="G131" s="188"/>
      <c r="H131" s="188"/>
      <c r="I131" s="188"/>
      <c r="J131" s="188"/>
      <c r="L131" s="188"/>
    </row>
    <row r="132" spans="1:12" x14ac:dyDescent="0.25">
      <c r="A132" s="187"/>
      <c r="B132" s="156"/>
      <c r="C132" s="188"/>
      <c r="D132" s="188"/>
      <c r="E132" s="188"/>
      <c r="F132" s="188"/>
      <c r="G132" s="188"/>
      <c r="H132" s="188"/>
      <c r="I132" s="188"/>
      <c r="J132" s="188"/>
      <c r="L132" s="188"/>
    </row>
    <row r="133" spans="1:12" x14ac:dyDescent="0.25">
      <c r="A133" s="187"/>
      <c r="B133" s="156"/>
      <c r="C133" s="188"/>
      <c r="D133" s="188"/>
      <c r="E133" s="188"/>
      <c r="F133" s="188"/>
      <c r="G133" s="188"/>
      <c r="H133" s="188"/>
      <c r="I133" s="188"/>
      <c r="J133" s="188"/>
      <c r="L133" s="188"/>
    </row>
    <row r="134" spans="1:12" x14ac:dyDescent="0.25">
      <c r="A134" s="187"/>
      <c r="B134" s="156"/>
      <c r="C134" s="188"/>
      <c r="D134" s="188"/>
      <c r="E134" s="188"/>
      <c r="F134" s="188"/>
      <c r="G134" s="188"/>
      <c r="H134" s="188"/>
      <c r="I134" s="188"/>
      <c r="J134" s="188"/>
      <c r="L134" s="188"/>
    </row>
    <row r="135" spans="1:12" x14ac:dyDescent="0.25">
      <c r="A135" s="187"/>
      <c r="B135" s="156"/>
      <c r="C135" s="188"/>
      <c r="D135" s="188"/>
      <c r="E135" s="188"/>
      <c r="F135" s="188"/>
      <c r="G135" s="188"/>
      <c r="H135" s="188"/>
      <c r="I135" s="188"/>
      <c r="J135" s="188"/>
      <c r="L135" s="188"/>
    </row>
    <row r="136" spans="1:12" x14ac:dyDescent="0.25">
      <c r="A136" s="187"/>
      <c r="B136" s="156"/>
      <c r="C136" s="188"/>
      <c r="D136" s="188"/>
      <c r="E136" s="188"/>
      <c r="F136" s="188"/>
      <c r="G136" s="188"/>
      <c r="H136" s="188"/>
      <c r="I136" s="188"/>
      <c r="J136" s="188"/>
      <c r="L136" s="188"/>
    </row>
    <row r="137" spans="1:12" x14ac:dyDescent="0.25">
      <c r="A137" s="187"/>
      <c r="B137" s="156"/>
      <c r="C137" s="188"/>
      <c r="D137" s="188"/>
      <c r="E137" s="188"/>
      <c r="F137" s="188"/>
      <c r="G137" s="188"/>
      <c r="H137" s="188"/>
      <c r="I137" s="188"/>
      <c r="J137" s="188"/>
      <c r="L137" s="188"/>
    </row>
    <row r="138" spans="1:12" x14ac:dyDescent="0.25">
      <c r="A138" s="187"/>
      <c r="B138" s="156"/>
      <c r="C138" s="188"/>
      <c r="D138" s="188"/>
      <c r="E138" s="188"/>
      <c r="F138" s="188"/>
      <c r="G138" s="188"/>
      <c r="H138" s="188"/>
      <c r="I138" s="188"/>
      <c r="J138" s="188"/>
      <c r="L138" s="188"/>
    </row>
    <row r="139" spans="1:12" x14ac:dyDescent="0.25">
      <c r="A139" s="187"/>
      <c r="B139" s="156"/>
      <c r="C139" s="188"/>
      <c r="D139" s="188"/>
      <c r="E139" s="188"/>
      <c r="F139" s="188"/>
      <c r="G139" s="188"/>
      <c r="H139" s="188"/>
      <c r="I139" s="188"/>
      <c r="J139" s="188"/>
      <c r="L139" s="188"/>
    </row>
    <row r="140" spans="1:12" x14ac:dyDescent="0.25">
      <c r="A140" s="187"/>
      <c r="B140" s="156"/>
      <c r="C140" s="188"/>
      <c r="D140" s="188"/>
      <c r="E140" s="188"/>
      <c r="F140" s="188"/>
      <c r="G140" s="188"/>
      <c r="H140" s="188"/>
      <c r="I140" s="188"/>
      <c r="J140" s="188"/>
      <c r="L140" s="188"/>
    </row>
    <row r="141" spans="1:12" x14ac:dyDescent="0.25">
      <c r="A141" s="187"/>
      <c r="B141" s="156"/>
      <c r="C141" s="188"/>
      <c r="D141" s="188"/>
      <c r="E141" s="188"/>
      <c r="F141" s="188"/>
      <c r="G141" s="188"/>
      <c r="H141" s="188"/>
      <c r="I141" s="188"/>
      <c r="J141" s="188"/>
      <c r="L141" s="188"/>
    </row>
    <row r="142" spans="1:12" x14ac:dyDescent="0.25">
      <c r="A142" s="187"/>
      <c r="B142" s="156"/>
      <c r="C142" s="188"/>
      <c r="D142" s="188"/>
      <c r="E142" s="188"/>
      <c r="F142" s="188"/>
      <c r="G142" s="188"/>
      <c r="H142" s="188"/>
      <c r="I142" s="188"/>
      <c r="J142" s="188"/>
      <c r="L142" s="188"/>
    </row>
    <row r="143" spans="1:12" x14ac:dyDescent="0.25">
      <c r="A143" s="187"/>
      <c r="B143" s="156"/>
      <c r="C143" s="188"/>
      <c r="D143" s="188"/>
      <c r="E143" s="188"/>
      <c r="F143" s="188"/>
      <c r="G143" s="188"/>
      <c r="H143" s="188"/>
      <c r="I143" s="188"/>
      <c r="J143" s="188"/>
      <c r="L143" s="188"/>
    </row>
    <row r="144" spans="1:12" x14ac:dyDescent="0.25">
      <c r="A144" s="187"/>
      <c r="B144" s="156"/>
      <c r="C144" s="188"/>
      <c r="D144" s="188"/>
      <c r="E144" s="188"/>
      <c r="F144" s="188"/>
      <c r="G144" s="188"/>
      <c r="H144" s="188"/>
      <c r="I144" s="188"/>
      <c r="J144" s="188"/>
      <c r="L144" s="188"/>
    </row>
    <row r="145" spans="1:12" x14ac:dyDescent="0.25">
      <c r="A145" s="187"/>
      <c r="B145" s="156"/>
      <c r="C145" s="188"/>
      <c r="D145" s="188"/>
      <c r="E145" s="188"/>
      <c r="F145" s="188"/>
      <c r="G145" s="188"/>
      <c r="H145" s="188"/>
      <c r="I145" s="188"/>
      <c r="J145" s="188"/>
      <c r="L145" s="188"/>
    </row>
    <row r="146" spans="1:12" x14ac:dyDescent="0.25">
      <c r="A146" s="187"/>
      <c r="B146" s="156"/>
      <c r="C146" s="188"/>
      <c r="D146" s="188"/>
      <c r="E146" s="188"/>
      <c r="F146" s="188"/>
      <c r="G146" s="188"/>
      <c r="H146" s="188"/>
      <c r="I146" s="188"/>
      <c r="J146" s="188"/>
      <c r="L146" s="188"/>
    </row>
    <row r="147" spans="1:12" x14ac:dyDescent="0.25">
      <c r="A147" s="187"/>
      <c r="B147" s="156"/>
      <c r="C147" s="188"/>
      <c r="D147" s="188"/>
      <c r="E147" s="188"/>
      <c r="F147" s="188"/>
      <c r="G147" s="188"/>
      <c r="H147" s="188"/>
      <c r="I147" s="188"/>
      <c r="J147" s="188"/>
      <c r="L147" s="188"/>
    </row>
    <row r="148" spans="1:12" x14ac:dyDescent="0.25">
      <c r="A148" s="187"/>
      <c r="B148" s="156"/>
      <c r="C148" s="188"/>
      <c r="D148" s="188"/>
      <c r="E148" s="188"/>
      <c r="F148" s="188"/>
      <c r="G148" s="188"/>
      <c r="H148" s="188"/>
      <c r="I148" s="188"/>
      <c r="J148" s="188"/>
      <c r="L148" s="188"/>
    </row>
    <row r="149" spans="1:12" x14ac:dyDescent="0.25">
      <c r="A149" s="187"/>
      <c r="B149" s="156"/>
      <c r="C149" s="188"/>
      <c r="D149" s="188"/>
      <c r="E149" s="188"/>
      <c r="F149" s="188"/>
      <c r="G149" s="188"/>
      <c r="H149" s="188"/>
      <c r="I149" s="188"/>
      <c r="J149" s="188"/>
      <c r="L149" s="188"/>
    </row>
    <row r="150" spans="1:12" x14ac:dyDescent="0.25">
      <c r="A150" s="187"/>
      <c r="B150" s="156"/>
      <c r="C150" s="188"/>
      <c r="D150" s="188"/>
      <c r="E150" s="188"/>
      <c r="F150" s="188"/>
      <c r="G150" s="188"/>
      <c r="H150" s="188"/>
      <c r="I150" s="188"/>
      <c r="J150" s="188"/>
      <c r="L150" s="188"/>
    </row>
    <row r="151" spans="1:12" x14ac:dyDescent="0.25">
      <c r="A151" s="187"/>
      <c r="B151" s="156"/>
      <c r="C151" s="188"/>
      <c r="D151" s="188"/>
      <c r="E151" s="188"/>
      <c r="F151" s="188"/>
      <c r="G151" s="188"/>
      <c r="H151" s="188"/>
      <c r="I151" s="188"/>
      <c r="J151" s="188"/>
      <c r="L151" s="188"/>
    </row>
    <row r="152" spans="1:12" x14ac:dyDescent="0.25">
      <c r="A152" s="187"/>
      <c r="B152" s="156"/>
      <c r="C152" s="188"/>
      <c r="D152" s="188"/>
      <c r="E152" s="188"/>
      <c r="F152" s="188"/>
      <c r="G152" s="188"/>
      <c r="H152" s="188"/>
      <c r="I152" s="188"/>
      <c r="J152" s="188"/>
      <c r="L152" s="188"/>
    </row>
    <row r="153" spans="1:12" x14ac:dyDescent="0.25">
      <c r="A153" s="187"/>
      <c r="B153" s="156"/>
      <c r="C153" s="188"/>
      <c r="D153" s="188"/>
      <c r="E153" s="188"/>
      <c r="F153" s="188"/>
      <c r="G153" s="188"/>
      <c r="H153" s="188"/>
      <c r="I153" s="188"/>
      <c r="J153" s="188"/>
      <c r="L153" s="188"/>
    </row>
    <row r="154" spans="1:12" x14ac:dyDescent="0.25">
      <c r="A154" s="187"/>
      <c r="B154" s="156"/>
      <c r="C154" s="188"/>
      <c r="D154" s="188"/>
      <c r="E154" s="188"/>
      <c r="F154" s="188"/>
      <c r="G154" s="188"/>
      <c r="H154" s="188"/>
      <c r="I154" s="188"/>
      <c r="J154" s="188"/>
      <c r="L154" s="188"/>
    </row>
    <row r="155" spans="1:12" x14ac:dyDescent="0.25">
      <c r="A155" s="187"/>
      <c r="B155" s="156"/>
      <c r="C155" s="188"/>
      <c r="D155" s="188"/>
      <c r="E155" s="188"/>
      <c r="F155" s="188"/>
      <c r="G155" s="188"/>
      <c r="H155" s="188"/>
      <c r="I155" s="188"/>
      <c r="J155" s="188"/>
      <c r="L155" s="188"/>
    </row>
    <row r="156" spans="1:12" x14ac:dyDescent="0.25">
      <c r="A156" s="187"/>
      <c r="B156" s="156"/>
      <c r="C156" s="188"/>
      <c r="D156" s="188"/>
      <c r="E156" s="188"/>
      <c r="F156" s="188"/>
      <c r="G156" s="188"/>
      <c r="H156" s="188"/>
      <c r="I156" s="188"/>
      <c r="J156" s="188"/>
      <c r="L156" s="188"/>
    </row>
    <row r="157" spans="1:12" x14ac:dyDescent="0.25">
      <c r="A157" s="187"/>
      <c r="B157" s="156"/>
      <c r="C157" s="188"/>
      <c r="D157" s="188"/>
      <c r="E157" s="188"/>
      <c r="F157" s="188"/>
      <c r="G157" s="188"/>
      <c r="H157" s="188"/>
      <c r="I157" s="188"/>
      <c r="J157" s="188"/>
      <c r="L157" s="188"/>
    </row>
    <row r="158" spans="1:12" x14ac:dyDescent="0.25">
      <c r="A158" s="187"/>
      <c r="B158" s="156"/>
      <c r="C158" s="188"/>
      <c r="D158" s="188"/>
      <c r="E158" s="188"/>
      <c r="F158" s="188"/>
      <c r="G158" s="188"/>
      <c r="H158" s="188"/>
      <c r="I158" s="188"/>
      <c r="J158" s="188"/>
      <c r="L158" s="188"/>
    </row>
    <row r="159" spans="1:12" x14ac:dyDescent="0.25">
      <c r="A159" s="189"/>
      <c r="B159" s="190"/>
      <c r="C159" s="191"/>
      <c r="D159" s="191"/>
      <c r="E159" s="191"/>
      <c r="F159" s="191"/>
      <c r="G159" s="191"/>
      <c r="H159" s="191"/>
      <c r="I159" s="191"/>
      <c r="J159" s="191"/>
      <c r="L159" s="191"/>
    </row>
  </sheetData>
  <sheetProtection sheet="1" objects="1" scenarios="1"/>
  <phoneticPr fontId="0" type="noConversion"/>
  <printOptions horizontalCentered="1"/>
  <pageMargins left="0.5" right="0.5" top="1" bottom="1" header="0.5" footer="0.4"/>
  <pageSetup scale="83" pageOrder="overThenDown" orientation="landscape" horizontalDpi="1200" verticalDpi="1200" r:id="rId1"/>
  <headerFooter>
    <oddHeader>&amp;CMCP Numerical Standards Derivation</oddHeader>
    <oddFooter>&amp;L&amp;8MassDEP&amp;C&amp;8 2024&amp;R&amp;8Workbook: &amp;F
Sheet: &amp;A
Page &amp;P of &amp;N</oddFooter>
  </headerFooter>
  <rowBreaks count="2" manualBreakCount="2">
    <brk id="45" max="11" man="1"/>
    <brk id="84" max="11" man="1"/>
  </rowBreaks>
  <ignoredErrors>
    <ignoredError sqref="C78 C85"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43"/>
  <sheetViews>
    <sheetView showGridLines="0" showZeros="0" zoomScaleNormal="10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8.90625" defaultRowHeight="11.5" x14ac:dyDescent="0.25"/>
  <cols>
    <col min="1" max="1" width="39.6328125" style="171" bestFit="1" customWidth="1"/>
    <col min="2" max="2" width="10.08984375" style="178" bestFit="1" customWidth="1"/>
    <col min="3" max="4" width="10.453125" style="171" bestFit="1" customWidth="1"/>
    <col min="5" max="5" width="11.453125" style="171" bestFit="1" customWidth="1"/>
    <col min="6" max="6" width="12.36328125" style="171" bestFit="1" customWidth="1"/>
    <col min="7" max="7" width="11.90625" style="171" bestFit="1" customWidth="1"/>
    <col min="8" max="8" width="13.6328125" style="171" bestFit="1" customWidth="1"/>
    <col min="9" max="9" width="8" style="171" bestFit="1" customWidth="1"/>
    <col min="10" max="10" width="11.90625" style="171" bestFit="1" customWidth="1"/>
    <col min="11" max="11" width="12.08984375" style="178" bestFit="1" customWidth="1"/>
    <col min="12" max="16384" width="8.90625" style="171"/>
  </cols>
  <sheetData>
    <row r="1" spans="1:20" s="157" customFormat="1" ht="20.399999999999999" customHeight="1" thickTop="1" x14ac:dyDescent="0.25">
      <c r="A1" s="297" t="s">
        <v>388</v>
      </c>
      <c r="B1" s="282"/>
      <c r="C1" s="151"/>
      <c r="D1" s="151"/>
      <c r="E1" s="151"/>
      <c r="F1" s="151"/>
      <c r="G1" s="152" t="s">
        <v>89</v>
      </c>
      <c r="H1" s="153" t="s">
        <v>90</v>
      </c>
      <c r="I1" s="154"/>
      <c r="J1" s="154"/>
      <c r="K1" s="155" t="s">
        <v>91</v>
      </c>
      <c r="L1" s="156"/>
      <c r="M1" s="156"/>
      <c r="N1" s="156"/>
      <c r="O1" s="156"/>
      <c r="P1" s="156"/>
      <c r="Q1" s="156"/>
      <c r="R1" s="156"/>
      <c r="S1" s="156"/>
      <c r="T1" s="156"/>
    </row>
    <row r="2" spans="1:20" s="157" customFormat="1" x14ac:dyDescent="0.25">
      <c r="A2" s="298"/>
      <c r="B2" s="283"/>
      <c r="C2" s="158"/>
      <c r="D2" s="158"/>
      <c r="E2" s="158"/>
      <c r="F2" s="158" t="s">
        <v>89</v>
      </c>
      <c r="G2" s="159" t="s">
        <v>92</v>
      </c>
      <c r="H2" s="160" t="s">
        <v>93</v>
      </c>
      <c r="I2" s="161" t="s">
        <v>94</v>
      </c>
      <c r="J2" s="161"/>
      <c r="K2" s="162" t="s">
        <v>95</v>
      </c>
      <c r="L2" s="156"/>
      <c r="M2" s="156"/>
      <c r="N2" s="156"/>
      <c r="O2" s="156"/>
      <c r="P2" s="156"/>
      <c r="Q2" s="156"/>
      <c r="R2" s="156"/>
      <c r="S2" s="156"/>
      <c r="T2" s="156"/>
    </row>
    <row r="3" spans="1:20" s="157" customFormat="1" x14ac:dyDescent="0.25">
      <c r="A3" s="298"/>
      <c r="B3" s="284"/>
      <c r="C3" s="158" t="s">
        <v>96</v>
      </c>
      <c r="D3" s="158" t="s">
        <v>96</v>
      </c>
      <c r="E3" s="158" t="s">
        <v>89</v>
      </c>
      <c r="F3" s="158" t="s">
        <v>92</v>
      </c>
      <c r="G3" s="159" t="s">
        <v>97</v>
      </c>
      <c r="H3" s="160" t="s">
        <v>98</v>
      </c>
      <c r="I3" s="161" t="s">
        <v>99</v>
      </c>
      <c r="J3" s="161" t="s">
        <v>100</v>
      </c>
      <c r="K3" s="162" t="s">
        <v>101</v>
      </c>
      <c r="L3" s="156"/>
      <c r="M3" s="156"/>
      <c r="N3" s="156"/>
      <c r="O3" s="156"/>
      <c r="P3" s="156"/>
      <c r="Q3" s="156"/>
      <c r="R3" s="156"/>
      <c r="S3" s="156"/>
      <c r="T3" s="156"/>
    </row>
    <row r="4" spans="1:20" s="157" customFormat="1" x14ac:dyDescent="0.25">
      <c r="A4" s="298"/>
      <c r="B4" s="283"/>
      <c r="C4" s="158" t="s">
        <v>102</v>
      </c>
      <c r="D4" s="158" t="s">
        <v>103</v>
      </c>
      <c r="E4" s="158" t="s">
        <v>92</v>
      </c>
      <c r="F4" s="158" t="s">
        <v>326</v>
      </c>
      <c r="G4" s="159" t="s">
        <v>20</v>
      </c>
      <c r="H4" s="160" t="s">
        <v>104</v>
      </c>
      <c r="I4" s="161" t="s">
        <v>105</v>
      </c>
      <c r="J4" s="161" t="s">
        <v>20</v>
      </c>
      <c r="K4" s="162" t="s">
        <v>107</v>
      </c>
      <c r="L4" s="156"/>
      <c r="M4" s="156"/>
      <c r="N4" s="156"/>
      <c r="O4" s="156"/>
      <c r="P4" s="156"/>
      <c r="Q4" s="156"/>
      <c r="R4" s="156"/>
      <c r="S4" s="156"/>
      <c r="T4" s="156"/>
    </row>
    <row r="5" spans="1:20" s="157" customFormat="1" ht="13.5" x14ac:dyDescent="0.25">
      <c r="A5" s="163"/>
      <c r="B5" s="283"/>
      <c r="C5" s="158" t="s">
        <v>321</v>
      </c>
      <c r="D5" s="158" t="s">
        <v>322</v>
      </c>
      <c r="E5" s="158" t="s">
        <v>206</v>
      </c>
      <c r="F5" s="158" t="s">
        <v>108</v>
      </c>
      <c r="G5" s="158" t="s">
        <v>88</v>
      </c>
      <c r="H5" s="160" t="s">
        <v>396</v>
      </c>
      <c r="I5" s="161" t="s">
        <v>397</v>
      </c>
      <c r="J5" s="161" t="s">
        <v>398</v>
      </c>
      <c r="K5" s="162" t="s">
        <v>109</v>
      </c>
      <c r="L5" s="156"/>
      <c r="M5" s="156"/>
      <c r="N5" s="156"/>
      <c r="O5" s="156"/>
      <c r="P5" s="156"/>
      <c r="Q5" s="156"/>
      <c r="R5" s="156"/>
      <c r="S5" s="156"/>
      <c r="T5" s="156"/>
    </row>
    <row r="6" spans="1:20" s="157" customFormat="1" ht="23.5" thickBot="1" x14ac:dyDescent="0.3">
      <c r="A6" s="266" t="s">
        <v>211</v>
      </c>
      <c r="B6" s="285" t="s">
        <v>400</v>
      </c>
      <c r="C6" s="164" t="s">
        <v>323</v>
      </c>
      <c r="D6" s="164" t="s">
        <v>323</v>
      </c>
      <c r="E6" s="164" t="s">
        <v>62</v>
      </c>
      <c r="F6" s="165" t="s">
        <v>324</v>
      </c>
      <c r="G6" s="164" t="s">
        <v>325</v>
      </c>
      <c r="H6" s="166" t="s">
        <v>110</v>
      </c>
      <c r="I6" s="167" t="s">
        <v>399</v>
      </c>
      <c r="J6" s="167" t="s">
        <v>399</v>
      </c>
      <c r="K6" s="168" t="s">
        <v>111</v>
      </c>
      <c r="L6" s="156"/>
      <c r="M6" s="156"/>
      <c r="N6" s="156"/>
      <c r="O6" s="156"/>
      <c r="P6" s="156"/>
      <c r="Q6" s="156"/>
      <c r="R6" s="156"/>
      <c r="S6" s="156"/>
      <c r="T6" s="156"/>
    </row>
    <row r="7" spans="1:20" x14ac:dyDescent="0.25">
      <c r="A7" s="169" t="s">
        <v>212</v>
      </c>
      <c r="B7" s="286" t="str">
        <f>VLOOKUP(A7,[1]!TOX, 2, FALSE)</f>
        <v>83-32-9</v>
      </c>
      <c r="C7" s="139">
        <v>4.2099999999999999E-2</v>
      </c>
      <c r="D7" s="139">
        <v>7.6899999999999992E-6</v>
      </c>
      <c r="E7" s="139">
        <f>VLOOKUP(A7,[1]!TOX,56,FALSE)</f>
        <v>7.5298739564576859E-3</v>
      </c>
      <c r="F7" s="139">
        <f>VLOOKUP(A7,[1]!TOX,54,FALSE)</f>
        <v>1.84E-4</v>
      </c>
      <c r="G7" s="140">
        <v>25</v>
      </c>
      <c r="H7" s="141">
        <v>12155</v>
      </c>
      <c r="I7" s="142">
        <v>550.54</v>
      </c>
      <c r="J7" s="142">
        <v>803.15</v>
      </c>
      <c r="K7" s="170">
        <f>(VLOOKUP(A7,[1]!TOX,52,FALSE))/1000</f>
        <v>3.9</v>
      </c>
      <c r="L7" s="156"/>
      <c r="M7" s="156"/>
      <c r="N7" s="156"/>
      <c r="O7" s="156"/>
      <c r="P7" s="156"/>
    </row>
    <row r="8" spans="1:20" x14ac:dyDescent="0.25">
      <c r="A8" s="172" t="s">
        <v>213</v>
      </c>
      <c r="B8" s="287" t="str">
        <f>VLOOKUP(A8,[1]!TOX, 2, FALSE)</f>
        <v>208-96-8</v>
      </c>
      <c r="C8" s="143">
        <v>4.3900000000000002E-2</v>
      </c>
      <c r="D8" s="143">
        <v>7.0700000000000001E-6</v>
      </c>
      <c r="E8" s="143">
        <f>VLOOKUP(A8,[1]!TOX,56,FALSE)</f>
        <v>4.6652479947618276E-3</v>
      </c>
      <c r="F8" s="143">
        <f>VLOOKUP(A8,[1]!TOX,54,FALSE)</f>
        <v>1.1400000000000001E-4</v>
      </c>
      <c r="G8" s="144">
        <v>25</v>
      </c>
      <c r="H8" s="145">
        <v>13575.187961335127</v>
      </c>
      <c r="I8" s="146">
        <v>543.15</v>
      </c>
      <c r="J8" s="146">
        <v>910.52230769185451</v>
      </c>
      <c r="K8" s="173">
        <f>(VLOOKUP(A8,[1]!TOX,52,FALSE))/1000</f>
        <v>16.100000000000001</v>
      </c>
      <c r="L8" s="156"/>
      <c r="M8" s="156"/>
      <c r="N8" s="156"/>
      <c r="O8" s="156"/>
      <c r="P8" s="156"/>
    </row>
    <row r="9" spans="1:20" x14ac:dyDescent="0.25">
      <c r="A9" s="172" t="s">
        <v>214</v>
      </c>
      <c r="B9" s="287" t="str">
        <f>VLOOKUP(A9,[1]!TOX, 2, FALSE)</f>
        <v>67-64-1</v>
      </c>
      <c r="C9" s="143">
        <v>0.124</v>
      </c>
      <c r="D9" s="143">
        <v>1.1399999999999999E-5</v>
      </c>
      <c r="E9" s="143">
        <f>VLOOKUP(A9,[1]!TOX,56,FALSE)</f>
        <v>1.6246521525617942E-3</v>
      </c>
      <c r="F9" s="143">
        <f>VLOOKUP(A9,[1]!TOX,54,FALSE)</f>
        <v>3.9700000000000003E-5</v>
      </c>
      <c r="G9" s="144">
        <v>25</v>
      </c>
      <c r="H9" s="145">
        <v>6955</v>
      </c>
      <c r="I9" s="146">
        <v>329.2</v>
      </c>
      <c r="J9" s="146">
        <v>508.1</v>
      </c>
      <c r="K9" s="173">
        <f>(VLOOKUP(A9,[1]!TOX,52,FALSE))/1000</f>
        <v>1000000</v>
      </c>
      <c r="L9" s="156"/>
      <c r="M9" s="156"/>
      <c r="N9" s="156"/>
      <c r="O9" s="156"/>
      <c r="P9" s="156"/>
    </row>
    <row r="10" spans="1:20" x14ac:dyDescent="0.25">
      <c r="A10" s="172" t="s">
        <v>215</v>
      </c>
      <c r="B10" s="287" t="str">
        <f>VLOOKUP(A10,[1]!TOX, 2, FALSE)</f>
        <v>309-00-2</v>
      </c>
      <c r="C10" s="143">
        <v>1.32E-2</v>
      </c>
      <c r="D10" s="143">
        <v>4.8600000000000001E-6</v>
      </c>
      <c r="E10" s="143">
        <f>VLOOKUP(A10,[1]!TOX,56,FALSE)</f>
        <v>1.8006220330659681E-3</v>
      </c>
      <c r="F10" s="143">
        <f>VLOOKUP(A10,[1]!TOX,54,FALSE)</f>
        <v>4.3999999999999999E-5</v>
      </c>
      <c r="G10" s="144">
        <v>25</v>
      </c>
      <c r="H10" s="145">
        <v>13000</v>
      </c>
      <c r="I10" s="146">
        <v>603.01</v>
      </c>
      <c r="J10" s="146">
        <v>839.37</v>
      </c>
      <c r="K10" s="173">
        <f>(VLOOKUP(A10,[1]!TOX,52,FALSE))/1000</f>
        <v>1.7000000000000001E-2</v>
      </c>
      <c r="L10" s="156"/>
      <c r="M10" s="156"/>
      <c r="N10" s="156"/>
      <c r="O10" s="156"/>
      <c r="P10" s="156"/>
    </row>
    <row r="11" spans="1:20" x14ac:dyDescent="0.25">
      <c r="A11" s="172" t="s">
        <v>216</v>
      </c>
      <c r="B11" s="287" t="str">
        <f>VLOOKUP(A11,[1]!TOX, 2, FALSE)</f>
        <v>120-12-7</v>
      </c>
      <c r="C11" s="143">
        <v>3.2399999999999998E-2</v>
      </c>
      <c r="D11" s="143">
        <v>7.7400000000000004E-6</v>
      </c>
      <c r="E11" s="143">
        <f>VLOOKUP(A11,[1]!TOX,56,FALSE)</f>
        <v>2.2753314781469966E-3</v>
      </c>
      <c r="F11" s="143">
        <f>VLOOKUP(A11,[1]!TOX,54,FALSE)</f>
        <v>5.5600000000000003E-5</v>
      </c>
      <c r="G11" s="144">
        <v>25</v>
      </c>
      <c r="H11" s="145">
        <v>13121</v>
      </c>
      <c r="I11" s="146">
        <v>615.17999999999995</v>
      </c>
      <c r="J11" s="146">
        <v>873</v>
      </c>
      <c r="K11" s="173">
        <f>(VLOOKUP(A11,[1]!TOX,52,FALSE))/1000</f>
        <v>4.3400000000000001E-2</v>
      </c>
      <c r="L11" s="156"/>
      <c r="M11" s="156"/>
      <c r="N11" s="156"/>
      <c r="O11" s="156"/>
      <c r="P11" s="156"/>
    </row>
    <row r="12" spans="1:20" x14ac:dyDescent="0.25">
      <c r="A12" s="172" t="s">
        <v>217</v>
      </c>
      <c r="B12" s="287" t="str">
        <f>VLOOKUP(A12,[1]!TOX, 2, FALSE)</f>
        <v>7440-36-0</v>
      </c>
      <c r="C12" s="143">
        <v>0</v>
      </c>
      <c r="D12" s="143">
        <v>0</v>
      </c>
      <c r="E12" s="143">
        <f>VLOOKUP(A12,[1]!TOX,56,FALSE)</f>
        <v>0</v>
      </c>
      <c r="F12" s="143">
        <f>VLOOKUP(A12,[1]!TOX,54,FALSE)</f>
        <v>0</v>
      </c>
      <c r="G12" s="144">
        <v>25</v>
      </c>
      <c r="H12" s="145">
        <v>0</v>
      </c>
      <c r="I12" s="146">
        <v>0</v>
      </c>
      <c r="J12" s="146">
        <v>0</v>
      </c>
      <c r="K12" s="173">
        <f>[1]Toxicity!$AZ8/1000</f>
        <v>0</v>
      </c>
      <c r="L12" s="156"/>
      <c r="M12" s="156"/>
      <c r="N12" s="156"/>
      <c r="O12" s="156"/>
      <c r="P12" s="156"/>
    </row>
    <row r="13" spans="1:20" x14ac:dyDescent="0.25">
      <c r="A13" s="172" t="s">
        <v>218</v>
      </c>
      <c r="B13" s="287" t="str">
        <f>VLOOKUP(A13,[1]!TOX, 2, FALSE)</f>
        <v>7440-38-2</v>
      </c>
      <c r="C13" s="143">
        <v>0</v>
      </c>
      <c r="D13" s="143">
        <v>0</v>
      </c>
      <c r="E13" s="143">
        <f>VLOOKUP(A13,[1]!TOX,56,FALSE)</f>
        <v>0</v>
      </c>
      <c r="F13" s="143">
        <f>VLOOKUP(A13,[1]!TOX,54,FALSE)</f>
        <v>0</v>
      </c>
      <c r="G13" s="144">
        <v>25</v>
      </c>
      <c r="H13" s="145">
        <v>0</v>
      </c>
      <c r="I13" s="146">
        <v>0</v>
      </c>
      <c r="J13" s="146">
        <v>0</v>
      </c>
      <c r="K13" s="173">
        <f>[1]Toxicity!$AZ9/1000</f>
        <v>0</v>
      </c>
      <c r="L13" s="156"/>
      <c r="M13" s="156"/>
      <c r="N13" s="156"/>
      <c r="O13" s="156"/>
      <c r="P13" s="156"/>
    </row>
    <row r="14" spans="1:20" x14ac:dyDescent="0.25">
      <c r="A14" s="172" t="s">
        <v>219</v>
      </c>
      <c r="B14" s="287" t="str">
        <f>VLOOKUP(A14,[1]!TOX, 2, FALSE)</f>
        <v>7440-39-3</v>
      </c>
      <c r="C14" s="143">
        <v>0</v>
      </c>
      <c r="D14" s="143">
        <v>0</v>
      </c>
      <c r="E14" s="143">
        <f>VLOOKUP(A14,[1]!TOX,56,FALSE)</f>
        <v>0</v>
      </c>
      <c r="F14" s="143">
        <f>VLOOKUP(A14,[1]!TOX,54,FALSE)</f>
        <v>0</v>
      </c>
      <c r="G14" s="144">
        <v>25</v>
      </c>
      <c r="H14" s="145">
        <v>0</v>
      </c>
      <c r="I14" s="146">
        <v>0</v>
      </c>
      <c r="J14" s="146">
        <v>0</v>
      </c>
      <c r="K14" s="173">
        <f>[1]Toxicity!$AZ10/1000</f>
        <v>0</v>
      </c>
      <c r="L14" s="156"/>
      <c r="M14" s="156"/>
      <c r="N14" s="156"/>
      <c r="O14" s="156"/>
      <c r="P14" s="156"/>
    </row>
    <row r="15" spans="1:20" x14ac:dyDescent="0.25">
      <c r="A15" s="172" t="s">
        <v>220</v>
      </c>
      <c r="B15" s="287" t="str">
        <f>VLOOKUP(A15,[1]!TOX, 2, FALSE)</f>
        <v>71-43-2</v>
      </c>
      <c r="C15" s="143">
        <v>8.7999999999999995E-2</v>
      </c>
      <c r="D15" s="143">
        <v>9.7999999999999993E-6</v>
      </c>
      <c r="E15" s="143">
        <f>VLOOKUP(A15,[1]!TOX,56,FALSE)</f>
        <v>0.22712391553445738</v>
      </c>
      <c r="F15" s="143">
        <f>VLOOKUP(A15,[1]!TOX,54,FALSE)</f>
        <v>5.5500000000000002E-3</v>
      </c>
      <c r="G15" s="144">
        <v>25</v>
      </c>
      <c r="H15" s="145">
        <v>7342</v>
      </c>
      <c r="I15" s="146">
        <v>353.24</v>
      </c>
      <c r="J15" s="146">
        <v>562.16</v>
      </c>
      <c r="K15" s="173">
        <f>[1]Toxicity!$AZ11/1000</f>
        <v>1790</v>
      </c>
      <c r="L15" s="156"/>
      <c r="M15" s="156"/>
      <c r="N15" s="156"/>
      <c r="O15" s="156"/>
      <c r="P15" s="156"/>
    </row>
    <row r="16" spans="1:20" x14ac:dyDescent="0.25">
      <c r="A16" s="172" t="s">
        <v>221</v>
      </c>
      <c r="B16" s="287" t="str">
        <f>VLOOKUP(A16,[1]!TOX, 2, FALSE)</f>
        <v>56-55-3</v>
      </c>
      <c r="C16" s="143">
        <v>5.0999999999999997E-2</v>
      </c>
      <c r="D16" s="143">
        <v>9.0000000000000002E-6</v>
      </c>
      <c r="E16" s="143">
        <f>VLOOKUP(A16,[1]!TOX,56,FALSE)</f>
        <v>4.9107873629071865E-4</v>
      </c>
      <c r="F16" s="143">
        <f>VLOOKUP(A16,[1]!TOX,54,FALSE)</f>
        <v>1.2E-5</v>
      </c>
      <c r="G16" s="144">
        <v>25</v>
      </c>
      <c r="H16" s="145">
        <v>15000</v>
      </c>
      <c r="I16" s="146">
        <v>708.15</v>
      </c>
      <c r="J16" s="146">
        <v>1004.79</v>
      </c>
      <c r="K16" s="173">
        <f>[1]Toxicity!$AZ12/1000</f>
        <v>9.4000000000000004E-3</v>
      </c>
      <c r="L16" s="156"/>
      <c r="M16" s="156"/>
      <c r="N16" s="156"/>
      <c r="O16" s="156"/>
      <c r="P16" s="156"/>
    </row>
    <row r="17" spans="1:16" x14ac:dyDescent="0.25">
      <c r="A17" s="172" t="s">
        <v>222</v>
      </c>
      <c r="B17" s="287" t="str">
        <f>VLOOKUP(A17,[1]!TOX, 2, FALSE)</f>
        <v>50-32-8</v>
      </c>
      <c r="C17" s="143">
        <v>4.2999999999999997E-2</v>
      </c>
      <c r="D17" s="143">
        <v>9.0000000000000002E-6</v>
      </c>
      <c r="E17" s="143">
        <f>VLOOKUP(A17,[1]!TOX,56,FALSE)</f>
        <v>1.8701915207071535E-5</v>
      </c>
      <c r="F17" s="143">
        <f>VLOOKUP(A17,[1]!TOX,54,FALSE)</f>
        <v>4.5699999999999998E-7</v>
      </c>
      <c r="G17" s="144">
        <v>25</v>
      </c>
      <c r="H17" s="145">
        <v>15000</v>
      </c>
      <c r="I17" s="146">
        <v>715.9</v>
      </c>
      <c r="J17" s="146">
        <v>969.27</v>
      </c>
      <c r="K17" s="173">
        <f>[1]Toxicity!$AZ13/1000</f>
        <v>1.6200000000000001E-3</v>
      </c>
      <c r="L17" s="156"/>
      <c r="M17" s="156"/>
      <c r="N17" s="156"/>
      <c r="O17" s="156"/>
      <c r="P17" s="156"/>
    </row>
    <row r="18" spans="1:16" x14ac:dyDescent="0.25">
      <c r="A18" s="172" t="s">
        <v>223</v>
      </c>
      <c r="B18" s="287" t="str">
        <f>VLOOKUP(A18,[1]!TOX, 2, FALSE)</f>
        <v>205-99-2</v>
      </c>
      <c r="C18" s="143">
        <v>2.2599999999999999E-2</v>
      </c>
      <c r="D18" s="143">
        <v>5.5600000000000001E-6</v>
      </c>
      <c r="E18" s="143">
        <f>VLOOKUP(A18,[1]!TOX,56,FALSE)</f>
        <v>2.6886560811916847E-5</v>
      </c>
      <c r="F18" s="143">
        <f>VLOOKUP(A18,[1]!TOX,54,FALSE)</f>
        <v>6.5700000000000002E-7</v>
      </c>
      <c r="G18" s="144">
        <v>25</v>
      </c>
      <c r="H18" s="145">
        <v>15000</v>
      </c>
      <c r="I18" s="146">
        <v>715.9</v>
      </c>
      <c r="J18" s="146">
        <v>969.27</v>
      </c>
      <c r="K18" s="173">
        <f>[1]Toxicity!$AZ14/1000</f>
        <v>1.5E-3</v>
      </c>
      <c r="L18" s="156"/>
      <c r="M18" s="156"/>
      <c r="N18" s="156"/>
      <c r="O18" s="156"/>
      <c r="P18" s="156"/>
    </row>
    <row r="19" spans="1:16" x14ac:dyDescent="0.25">
      <c r="A19" s="172" t="s">
        <v>224</v>
      </c>
      <c r="B19" s="287" t="str">
        <f>VLOOKUP(A19,[1]!TOX, 2, FALSE)</f>
        <v>191-24-2</v>
      </c>
      <c r="C19" s="174">
        <v>4.9000000000000002E-2</v>
      </c>
      <c r="D19" s="143">
        <v>5.6499999999999998E-5</v>
      </c>
      <c r="E19" s="143">
        <f>VLOOKUP(A19,[1]!TOX,56,FALSE)</f>
        <v>1.3545588476018988E-5</v>
      </c>
      <c r="F19" s="143">
        <f>VLOOKUP(A19,[1]!TOX,54,FALSE)</f>
        <v>3.3099999999999999E-7</v>
      </c>
      <c r="G19" s="144">
        <v>25</v>
      </c>
      <c r="H19" s="145">
        <v>21855.298280075731</v>
      </c>
      <c r="I19" s="146">
        <v>773.15</v>
      </c>
      <c r="J19" s="146">
        <v>1186.3676827128766</v>
      </c>
      <c r="K19" s="173">
        <f>[1]Toxicity!$AZ15/1000</f>
        <v>2.6000000000000003E-4</v>
      </c>
      <c r="L19" s="156"/>
      <c r="M19" s="156"/>
      <c r="N19" s="156"/>
      <c r="O19" s="156"/>
      <c r="P19" s="156"/>
    </row>
    <row r="20" spans="1:16" x14ac:dyDescent="0.25">
      <c r="A20" s="172" t="s">
        <v>225</v>
      </c>
      <c r="B20" s="287" t="str">
        <f>VLOOKUP(A20,[1]!TOX, 2, FALSE)</f>
        <v>207-08-9</v>
      </c>
      <c r="C20" s="143">
        <v>2.2599999999999999E-2</v>
      </c>
      <c r="D20" s="143">
        <v>5.5600000000000001E-6</v>
      </c>
      <c r="E20" s="143">
        <f>VLOOKUP(A20,[1]!TOX,56,FALSE)</f>
        <v>2.3899165166148309E-5</v>
      </c>
      <c r="F20" s="143">
        <f>VLOOKUP(A20,[1]!TOX,54,FALSE)</f>
        <v>5.8400000000000004E-7</v>
      </c>
      <c r="G20" s="144">
        <v>25</v>
      </c>
      <c r="H20" s="145">
        <v>16000</v>
      </c>
      <c r="I20" s="146">
        <v>753.15</v>
      </c>
      <c r="J20" s="146">
        <v>1019.7</v>
      </c>
      <c r="K20" s="173">
        <f>[1]Toxicity!$AZ16/1000</f>
        <v>8.0000000000000004E-4</v>
      </c>
      <c r="L20" s="156"/>
      <c r="M20" s="156"/>
      <c r="N20" s="156"/>
      <c r="O20" s="156"/>
      <c r="P20" s="156"/>
    </row>
    <row r="21" spans="1:16" x14ac:dyDescent="0.25">
      <c r="A21" s="172" t="s">
        <v>226</v>
      </c>
      <c r="B21" s="287" t="str">
        <f>VLOOKUP(A21,[1]!TOX, 2, FALSE)</f>
        <v>7440-41-7</v>
      </c>
      <c r="C21" s="143">
        <v>0</v>
      </c>
      <c r="D21" s="143">
        <v>0</v>
      </c>
      <c r="E21" s="143">
        <f>VLOOKUP(A21,[1]!TOX,56,FALSE)</f>
        <v>0</v>
      </c>
      <c r="F21" s="143">
        <f>VLOOKUP(A21,[1]!TOX,54,FALSE)</f>
        <v>0</v>
      </c>
      <c r="G21" s="144">
        <v>25</v>
      </c>
      <c r="H21" s="145">
        <v>0</v>
      </c>
      <c r="I21" s="146">
        <v>0</v>
      </c>
      <c r="J21" s="146">
        <v>0</v>
      </c>
      <c r="K21" s="173">
        <f>[1]Toxicity!$AZ17/1000</f>
        <v>0</v>
      </c>
      <c r="L21" s="156"/>
      <c r="M21" s="156"/>
      <c r="N21" s="156"/>
      <c r="O21" s="156"/>
      <c r="P21" s="156"/>
    </row>
    <row r="22" spans="1:16" x14ac:dyDescent="0.25">
      <c r="A22" s="172" t="s">
        <v>227</v>
      </c>
      <c r="B22" s="287" t="str">
        <f>VLOOKUP(A22,[1]!TOX, 2, FALSE)</f>
        <v xml:space="preserve">92-52-4 </v>
      </c>
      <c r="C22" s="143">
        <v>5.7299999999999997E-2</v>
      </c>
      <c r="D22" s="143">
        <v>6.7100000000000001E-6</v>
      </c>
      <c r="E22" s="143">
        <f>VLOOKUP(A22,[1]!TOX,56,FALSE)</f>
        <v>1.2604354231461778E-2</v>
      </c>
      <c r="F22" s="143">
        <f>VLOOKUP(A22,[1]!TOX,54,FALSE)</f>
        <v>3.0800000000000001E-4</v>
      </c>
      <c r="G22" s="144">
        <v>25</v>
      </c>
      <c r="H22" s="145">
        <v>11460.05</v>
      </c>
      <c r="I22" s="146">
        <v>528.65</v>
      </c>
      <c r="J22" s="146">
        <v>788.85</v>
      </c>
      <c r="K22" s="173">
        <f>[1]Toxicity!$AZ18/1000</f>
        <v>6.94</v>
      </c>
      <c r="L22" s="156"/>
      <c r="M22" s="156"/>
      <c r="N22" s="156"/>
      <c r="O22" s="156"/>
      <c r="P22" s="156"/>
    </row>
    <row r="23" spans="1:16" x14ac:dyDescent="0.25">
      <c r="A23" s="172" t="s">
        <v>228</v>
      </c>
      <c r="B23" s="287" t="str">
        <f>VLOOKUP(A23,[1]!TOX, 2, FALSE)</f>
        <v>111-44-4</v>
      </c>
      <c r="C23" s="143">
        <v>6.9199999999999998E-2</v>
      </c>
      <c r="D23" s="143">
        <v>7.5299999999999999E-6</v>
      </c>
      <c r="E23" s="143">
        <f>VLOOKUP(A23,[1]!TOX,56,FALSE)</f>
        <v>6.9569487641185136E-4</v>
      </c>
      <c r="F23" s="143">
        <f>VLOOKUP(A23,[1]!TOX,54,FALSE)</f>
        <v>1.7E-5</v>
      </c>
      <c r="G23" s="144">
        <v>25</v>
      </c>
      <c r="H23" s="145">
        <v>9000</v>
      </c>
      <c r="I23" s="146">
        <v>451.15</v>
      </c>
      <c r="J23" s="146">
        <v>659.79</v>
      </c>
      <c r="K23" s="173">
        <f>[1]Toxicity!$AZ19/1000</f>
        <v>17200</v>
      </c>
      <c r="L23" s="156"/>
      <c r="M23" s="156"/>
      <c r="N23" s="156"/>
      <c r="O23" s="156"/>
      <c r="P23" s="156"/>
    </row>
    <row r="24" spans="1:16" x14ac:dyDescent="0.25">
      <c r="A24" s="172" t="s">
        <v>229</v>
      </c>
      <c r="B24" s="287" t="str">
        <f>VLOOKUP(A24,[1]!TOX, 2, FALSE)</f>
        <v>108-60-1</v>
      </c>
      <c r="C24" s="143">
        <v>0.06</v>
      </c>
      <c r="D24" s="143">
        <v>6.3999999999999997E-6</v>
      </c>
      <c r="E24" s="143">
        <f>VLOOKUP(A24,[1]!TOX,56,FALSE)</f>
        <v>1.3599999999999999E-2</v>
      </c>
      <c r="F24" s="143">
        <f>VLOOKUP(A24,[1]!TOX,54,FALSE)</f>
        <v>3.3199999999999999E-4</v>
      </c>
      <c r="G24" s="144">
        <v>25</v>
      </c>
      <c r="H24" s="145">
        <v>19895.23067848579</v>
      </c>
      <c r="I24" s="146">
        <v>460.45</v>
      </c>
      <c r="J24" s="146">
        <v>1311.9604678168052</v>
      </c>
      <c r="K24" s="173">
        <f>[1]Toxicity!$AZ20/1000</f>
        <v>39.93</v>
      </c>
      <c r="L24" s="156"/>
      <c r="M24" s="156"/>
      <c r="N24" s="156"/>
      <c r="O24" s="156"/>
      <c r="P24" s="156"/>
    </row>
    <row r="25" spans="1:16" x14ac:dyDescent="0.25">
      <c r="A25" s="172" t="s">
        <v>230</v>
      </c>
      <c r="B25" s="287" t="str">
        <f>VLOOKUP(A25,[1]!TOX, 2, FALSE)</f>
        <v>117-81-7</v>
      </c>
      <c r="C25" s="143">
        <v>3.5099999999999999E-2</v>
      </c>
      <c r="D25" s="143">
        <v>3.6600000000000001E-6</v>
      </c>
      <c r="E25" s="143">
        <f>VLOOKUP(A25,[1]!TOX,56,FALSE)</f>
        <v>1.104927156654117E-5</v>
      </c>
      <c r="F25" s="143">
        <f>VLOOKUP(A25,[1]!TOX,54,FALSE)</f>
        <v>2.7000000000000001E-7</v>
      </c>
      <c r="G25" s="144">
        <v>25</v>
      </c>
      <c r="H25" s="145">
        <v>15999</v>
      </c>
      <c r="I25" s="146">
        <v>657.15</v>
      </c>
      <c r="J25" s="146">
        <v>806</v>
      </c>
      <c r="K25" s="173">
        <f>[1]Toxicity!$AZ21/1000</f>
        <v>0.27</v>
      </c>
      <c r="L25" s="156"/>
      <c r="M25" s="156"/>
      <c r="N25" s="156"/>
      <c r="O25" s="156"/>
      <c r="P25" s="156"/>
    </row>
    <row r="26" spans="1:16" x14ac:dyDescent="0.25">
      <c r="A26" s="172" t="s">
        <v>231</v>
      </c>
      <c r="B26" s="287" t="str">
        <f>VLOOKUP(A26,[1]!TOX, 2, FALSE)</f>
        <v>75-27-4</v>
      </c>
      <c r="C26" s="143">
        <v>2.98E-2</v>
      </c>
      <c r="D26" s="143">
        <v>1.06E-5</v>
      </c>
      <c r="E26" s="143">
        <f>VLOOKUP(A26,[1]!TOX,56,FALSE)</f>
        <v>8.6757243411360291E-2</v>
      </c>
      <c r="F26" s="143">
        <f>VLOOKUP(A26,[1]!TOX,54,FALSE)</f>
        <v>2.1199999999999999E-3</v>
      </c>
      <c r="G26" s="144">
        <v>25</v>
      </c>
      <c r="H26" s="145">
        <v>7000</v>
      </c>
      <c r="I26" s="146">
        <v>363.15</v>
      </c>
      <c r="J26" s="146">
        <v>585.85</v>
      </c>
      <c r="K26" s="173">
        <f>[1]Toxicity!$AZ22/1000</f>
        <v>3030</v>
      </c>
      <c r="L26" s="156"/>
      <c r="M26" s="156"/>
      <c r="N26" s="156"/>
      <c r="O26" s="156"/>
      <c r="P26" s="156"/>
    </row>
    <row r="27" spans="1:16" x14ac:dyDescent="0.25">
      <c r="A27" s="172" t="s">
        <v>232</v>
      </c>
      <c r="B27" s="287" t="str">
        <f>VLOOKUP(A27,[1]!TOX, 2, FALSE)</f>
        <v>75-25-2</v>
      </c>
      <c r="C27" s="143">
        <v>1.49E-2</v>
      </c>
      <c r="D27" s="143">
        <v>1.03E-5</v>
      </c>
      <c r="E27" s="143">
        <f>VLOOKUP(A27,[1]!TOX,56,FALSE)</f>
        <v>2.1893926992961204E-2</v>
      </c>
      <c r="F27" s="143">
        <f>VLOOKUP(A27,[1]!TOX,54,FALSE)</f>
        <v>5.3499999999999999E-4</v>
      </c>
      <c r="G27" s="144">
        <v>25</v>
      </c>
      <c r="H27" s="145">
        <v>9479</v>
      </c>
      <c r="I27" s="146">
        <v>422.35</v>
      </c>
      <c r="J27" s="146">
        <v>696</v>
      </c>
      <c r="K27" s="173">
        <f>[1]Toxicity!$AZ23/1000</f>
        <v>3100</v>
      </c>
      <c r="L27" s="156"/>
      <c r="M27" s="156"/>
      <c r="N27" s="156"/>
      <c r="O27" s="156"/>
      <c r="P27" s="156"/>
    </row>
    <row r="28" spans="1:16" x14ac:dyDescent="0.25">
      <c r="A28" s="172" t="s">
        <v>233</v>
      </c>
      <c r="B28" s="287" t="str">
        <f>VLOOKUP(A28,[1]!TOX, 2, FALSE)</f>
        <v>74-83-9</v>
      </c>
      <c r="C28" s="143">
        <v>7.2800000000000004E-2</v>
      </c>
      <c r="D28" s="143">
        <v>1.2099999999999999E-5</v>
      </c>
      <c r="E28" s="143">
        <f>VLOOKUP(A28,[1]!TOX,56,FALSE)</f>
        <v>0.30037649369782288</v>
      </c>
      <c r="F28" s="143">
        <f>VLOOKUP(A28,[1]!TOX,54,FALSE)</f>
        <v>7.3400000000000002E-3</v>
      </c>
      <c r="G28" s="144">
        <v>25</v>
      </c>
      <c r="H28" s="145">
        <v>5714</v>
      </c>
      <c r="I28" s="146">
        <v>276.70999999999998</v>
      </c>
      <c r="J28" s="146">
        <v>467</v>
      </c>
      <c r="K28" s="173">
        <f>[1]Toxicity!$AZ24/1000</f>
        <v>15200</v>
      </c>
      <c r="L28" s="156"/>
      <c r="M28" s="156"/>
      <c r="N28" s="156"/>
      <c r="O28" s="156"/>
      <c r="P28" s="156"/>
    </row>
    <row r="29" spans="1:16" x14ac:dyDescent="0.25">
      <c r="A29" s="172" t="s">
        <v>234</v>
      </c>
      <c r="B29" s="287" t="str">
        <f>VLOOKUP(A29,[1]!TOX, 2, FALSE)</f>
        <v>7440-43-9</v>
      </c>
      <c r="C29" s="143">
        <v>0</v>
      </c>
      <c r="D29" s="143">
        <v>0</v>
      </c>
      <c r="E29" s="143">
        <f>VLOOKUP(A29,[1]!TOX,56,FALSE)</f>
        <v>0</v>
      </c>
      <c r="F29" s="143">
        <f>VLOOKUP(A29,[1]!TOX,54,FALSE)</f>
        <v>0</v>
      </c>
      <c r="G29" s="144">
        <v>25</v>
      </c>
      <c r="H29" s="145">
        <v>0</v>
      </c>
      <c r="I29" s="146">
        <v>0</v>
      </c>
      <c r="J29" s="146">
        <v>0</v>
      </c>
      <c r="K29" s="173">
        <f>[1]Toxicity!$AZ25/1000</f>
        <v>0</v>
      </c>
      <c r="L29" s="156"/>
      <c r="M29" s="156"/>
      <c r="N29" s="156"/>
      <c r="O29" s="156"/>
      <c r="P29" s="156"/>
    </row>
    <row r="30" spans="1:16" x14ac:dyDescent="0.25">
      <c r="A30" s="172" t="s">
        <v>235</v>
      </c>
      <c r="B30" s="287" t="str">
        <f>VLOOKUP(A30,[1]!TOX, 2, FALSE)</f>
        <v>56-23-5</v>
      </c>
      <c r="C30" s="143">
        <v>7.8E-2</v>
      </c>
      <c r="D30" s="143">
        <v>8.8000000000000004E-6</v>
      </c>
      <c r="E30" s="143">
        <f>VLOOKUP(A30,[1]!TOX,56,FALSE)</f>
        <v>1.1294810934686528</v>
      </c>
      <c r="F30" s="143">
        <f>VLOOKUP(A30,[1]!TOX,54,FALSE)</f>
        <v>2.76E-2</v>
      </c>
      <c r="G30" s="144">
        <v>25</v>
      </c>
      <c r="H30" s="145">
        <v>7127</v>
      </c>
      <c r="I30" s="146">
        <v>349.9</v>
      </c>
      <c r="J30" s="146">
        <v>556.6</v>
      </c>
      <c r="K30" s="173">
        <f>[1]Toxicity!$AZ26/1000</f>
        <v>793</v>
      </c>
      <c r="L30" s="156"/>
      <c r="M30" s="156"/>
      <c r="N30" s="156"/>
      <c r="O30" s="156"/>
      <c r="P30" s="156"/>
    </row>
    <row r="31" spans="1:16" x14ac:dyDescent="0.25">
      <c r="A31" s="172" t="s">
        <v>236</v>
      </c>
      <c r="B31" s="287" t="str">
        <f>VLOOKUP(A31,[1]!TOX, 2, FALSE)</f>
        <v>12789-03-6</v>
      </c>
      <c r="C31" s="143">
        <v>1.18E-2</v>
      </c>
      <c r="D31" s="143">
        <v>4.3699999999999997E-6</v>
      </c>
      <c r="E31" s="143">
        <f>VLOOKUP(A31,[1]!TOX,56,FALSE)</f>
        <v>2.8769029301031267E-3</v>
      </c>
      <c r="F31" s="143">
        <f>VLOOKUP(A31,[1]!TOX,54,FALSE)</f>
        <v>7.0300000000000001E-5</v>
      </c>
      <c r="G31" s="144">
        <v>25</v>
      </c>
      <c r="H31" s="145">
        <v>13000</v>
      </c>
      <c r="I31" s="146">
        <v>624.24</v>
      </c>
      <c r="J31" s="146">
        <v>885.73</v>
      </c>
      <c r="K31" s="173">
        <f>[1]Toxicity!$AZ27/1000</f>
        <v>1.2999999999999999E-2</v>
      </c>
      <c r="L31" s="156"/>
      <c r="M31" s="156"/>
      <c r="N31" s="156"/>
      <c r="O31" s="156"/>
      <c r="P31" s="156"/>
    </row>
    <row r="32" spans="1:16" x14ac:dyDescent="0.25">
      <c r="A32" s="172" t="s">
        <v>237</v>
      </c>
      <c r="B32" s="287" t="str">
        <f>VLOOKUP(A32,[1]!TOX, 2, FALSE)</f>
        <v>106-47-8</v>
      </c>
      <c r="C32" s="143">
        <v>4.8300000000000003E-2</v>
      </c>
      <c r="D32" s="143">
        <v>1.01E-5</v>
      </c>
      <c r="E32" s="143">
        <f>VLOOKUP(A32,[1]!TOX,56,FALSE)</f>
        <v>4.7470944508102797E-5</v>
      </c>
      <c r="F32" s="143">
        <f>VLOOKUP(A32,[1]!TOX,54,FALSE)</f>
        <v>1.1599999999999999E-6</v>
      </c>
      <c r="G32" s="144">
        <v>25</v>
      </c>
      <c r="H32" s="145">
        <v>11689</v>
      </c>
      <c r="I32" s="146">
        <v>503.65</v>
      </c>
      <c r="J32" s="146">
        <v>754</v>
      </c>
      <c r="K32" s="173">
        <f>[1]Toxicity!$AZ28/1000</f>
        <v>3900</v>
      </c>
      <c r="L32" s="156"/>
      <c r="M32" s="156"/>
      <c r="N32" s="156"/>
      <c r="O32" s="156"/>
      <c r="P32" s="156"/>
    </row>
    <row r="33" spans="1:16" x14ac:dyDescent="0.25">
      <c r="A33" s="172" t="s">
        <v>238</v>
      </c>
      <c r="B33" s="287" t="str">
        <f>VLOOKUP(A33,[1]!TOX, 2, FALSE)</f>
        <v>108-90-7</v>
      </c>
      <c r="C33" s="143">
        <v>7.2999999999999995E-2</v>
      </c>
      <c r="D33" s="143">
        <v>8.6999999999999997E-6</v>
      </c>
      <c r="E33" s="143">
        <f>VLOOKUP(A33,[1]!TOX,56,FALSE)</f>
        <v>0.12727123915534458</v>
      </c>
      <c r="F33" s="143">
        <f>VLOOKUP(A33,[1]!TOX,54,FALSE)</f>
        <v>3.1099999999999999E-3</v>
      </c>
      <c r="G33" s="144">
        <v>25</v>
      </c>
      <c r="H33" s="145">
        <v>8410</v>
      </c>
      <c r="I33" s="146">
        <v>404.87</v>
      </c>
      <c r="J33" s="146">
        <v>632.4</v>
      </c>
      <c r="K33" s="173">
        <f>[1]Toxicity!$AZ29/1000</f>
        <v>498</v>
      </c>
      <c r="L33" s="156"/>
      <c r="M33" s="156"/>
      <c r="N33" s="156"/>
      <c r="O33" s="156"/>
      <c r="P33" s="156"/>
    </row>
    <row r="34" spans="1:16" x14ac:dyDescent="0.25">
      <c r="A34" s="172" t="s">
        <v>239</v>
      </c>
      <c r="B34" s="287" t="str">
        <f>VLOOKUP(A34,[1]!TOX, 2, FALSE)</f>
        <v>67-66-3</v>
      </c>
      <c r="C34" s="143">
        <v>0.104</v>
      </c>
      <c r="D34" s="143">
        <v>1.0000000000000001E-5</v>
      </c>
      <c r="E34" s="143">
        <f>VLOOKUP(A34,[1]!TOX,56,FALSE)</f>
        <v>0.15018824684891144</v>
      </c>
      <c r="F34" s="143">
        <f>VLOOKUP(A34,[1]!TOX,54,FALSE)</f>
        <v>3.6700000000000001E-3</v>
      </c>
      <c r="G34" s="144">
        <v>25</v>
      </c>
      <c r="H34" s="145">
        <v>6988</v>
      </c>
      <c r="I34" s="146">
        <v>334.32</v>
      </c>
      <c r="J34" s="146">
        <v>536.4</v>
      </c>
      <c r="K34" s="173">
        <f>[1]Toxicity!$AZ30/1000</f>
        <v>7950</v>
      </c>
      <c r="L34" s="156"/>
      <c r="M34" s="156"/>
      <c r="N34" s="156"/>
      <c r="O34" s="156"/>
      <c r="P34" s="156"/>
    </row>
    <row r="35" spans="1:16" x14ac:dyDescent="0.25">
      <c r="A35" s="172" t="s">
        <v>240</v>
      </c>
      <c r="B35" s="287" t="str">
        <f>VLOOKUP(A35,[1]!TOX, 2, FALSE)</f>
        <v>95-57-8</v>
      </c>
      <c r="C35" s="143">
        <v>5.0099999999999999E-2</v>
      </c>
      <c r="D35" s="143">
        <v>9.4599999999999992E-6</v>
      </c>
      <c r="E35" s="143">
        <f>VLOOKUP(A35,[1]!TOX,56,FALSE)</f>
        <v>4.5834015387133734E-4</v>
      </c>
      <c r="F35" s="143">
        <f>VLOOKUP(A35,[1]!TOX,54,FALSE)</f>
        <v>1.1199999999999999E-5</v>
      </c>
      <c r="G35" s="144">
        <v>25</v>
      </c>
      <c r="H35" s="145">
        <v>9572</v>
      </c>
      <c r="I35" s="146">
        <v>447.53</v>
      </c>
      <c r="J35" s="146">
        <v>675</v>
      </c>
      <c r="K35" s="173">
        <f>[1]Toxicity!$AZ31/1000</f>
        <v>11300</v>
      </c>
      <c r="L35" s="156"/>
      <c r="M35" s="156"/>
      <c r="N35" s="156"/>
      <c r="O35" s="156"/>
      <c r="P35" s="156"/>
    </row>
    <row r="36" spans="1:16" x14ac:dyDescent="0.25">
      <c r="A36" s="172" t="s">
        <v>241</v>
      </c>
      <c r="B36" s="287" t="str">
        <f>VLOOKUP(A36,[1]!TOX, 2, FALSE)</f>
        <v>7440-47-3</v>
      </c>
      <c r="C36" s="143"/>
      <c r="D36" s="143"/>
      <c r="E36" s="143">
        <f>VLOOKUP(A36,[1]!TOX,56,FALSE)</f>
        <v>0</v>
      </c>
      <c r="F36" s="143">
        <f>VLOOKUP(A36,[1]!TOX,54,FALSE)</f>
        <v>0</v>
      </c>
      <c r="G36" s="144"/>
      <c r="H36" s="145"/>
      <c r="I36" s="146"/>
      <c r="J36" s="146"/>
      <c r="K36" s="173">
        <f>[1]Toxicity!$AZ32/1000</f>
        <v>0</v>
      </c>
      <c r="L36" s="156"/>
      <c r="M36" s="156"/>
      <c r="N36" s="156"/>
      <c r="O36" s="156"/>
      <c r="P36" s="156"/>
    </row>
    <row r="37" spans="1:16" x14ac:dyDescent="0.25">
      <c r="A37" s="172" t="s">
        <v>242</v>
      </c>
      <c r="B37" s="287" t="str">
        <f>VLOOKUP(A37,[1]!TOX, 2, FALSE)</f>
        <v>16065-83-1</v>
      </c>
      <c r="C37" s="143">
        <v>0</v>
      </c>
      <c r="D37" s="143">
        <v>0</v>
      </c>
      <c r="E37" s="143">
        <f>VLOOKUP(A37,[1]!TOX,56,FALSE)</f>
        <v>0</v>
      </c>
      <c r="F37" s="143">
        <f>VLOOKUP(A37,[1]!TOX,54,FALSE)</f>
        <v>0</v>
      </c>
      <c r="G37" s="144">
        <v>25</v>
      </c>
      <c r="H37" s="145">
        <v>0</v>
      </c>
      <c r="I37" s="146">
        <v>0</v>
      </c>
      <c r="J37" s="146">
        <v>0</v>
      </c>
      <c r="K37" s="173">
        <f>[1]Toxicity!$AZ33/1000</f>
        <v>0</v>
      </c>
      <c r="L37" s="156"/>
      <c r="M37" s="156"/>
      <c r="N37" s="156"/>
      <c r="O37" s="156"/>
      <c r="P37" s="156"/>
    </row>
    <row r="38" spans="1:16" x14ac:dyDescent="0.25">
      <c r="A38" s="172" t="s">
        <v>243</v>
      </c>
      <c r="B38" s="287" t="str">
        <f>VLOOKUP(A38,[1]!TOX, 2, FALSE)</f>
        <v>18540-29-9</v>
      </c>
      <c r="C38" s="143">
        <v>0</v>
      </c>
      <c r="D38" s="143">
        <v>0</v>
      </c>
      <c r="E38" s="143">
        <f>VLOOKUP(A38,[1]!TOX,56,FALSE)</f>
        <v>0</v>
      </c>
      <c r="F38" s="143">
        <f>VLOOKUP(A38,[1]!TOX,54,FALSE)</f>
        <v>0</v>
      </c>
      <c r="G38" s="144">
        <v>25</v>
      </c>
      <c r="H38" s="145">
        <v>0</v>
      </c>
      <c r="I38" s="146">
        <v>0</v>
      </c>
      <c r="J38" s="146">
        <v>0</v>
      </c>
      <c r="K38" s="173">
        <f>[1]Toxicity!$AZ34/1000</f>
        <v>0</v>
      </c>
      <c r="L38" s="156"/>
      <c r="M38" s="156"/>
      <c r="N38" s="156"/>
      <c r="O38" s="156"/>
      <c r="P38" s="156"/>
    </row>
    <row r="39" spans="1:16" x14ac:dyDescent="0.25">
      <c r="A39" s="172" t="s">
        <v>244</v>
      </c>
      <c r="B39" s="287" t="str">
        <f>VLOOKUP(A39,[1]!TOX, 2, FALSE)</f>
        <v>218-01-9</v>
      </c>
      <c r="C39" s="143">
        <v>2.4799999999999999E-2</v>
      </c>
      <c r="D39" s="143">
        <v>6.2099999999999998E-6</v>
      </c>
      <c r="E39" s="143">
        <f>VLOOKUP(A39,[1]!TOX,56,FALSE)</f>
        <v>2.1402848256670486E-4</v>
      </c>
      <c r="F39" s="143">
        <f>VLOOKUP(A39,[1]!TOX,54,FALSE)</f>
        <v>5.2299999999999999E-6</v>
      </c>
      <c r="G39" s="144">
        <v>25</v>
      </c>
      <c r="H39" s="145">
        <v>16455</v>
      </c>
      <c r="I39" s="146">
        <v>714.15</v>
      </c>
      <c r="J39" s="146">
        <v>979</v>
      </c>
      <c r="K39" s="173">
        <f>[1]Toxicity!$AZ35/1000</f>
        <v>2E-3</v>
      </c>
      <c r="L39" s="156"/>
      <c r="M39" s="156"/>
      <c r="N39" s="156"/>
      <c r="O39" s="156"/>
      <c r="P39" s="156"/>
    </row>
    <row r="40" spans="1:16" x14ac:dyDescent="0.25">
      <c r="A40" s="172" t="s">
        <v>245</v>
      </c>
      <c r="B40" s="287" t="str">
        <f>VLOOKUP(A40,[1]!TOX, 2, FALSE)</f>
        <v>57-12-5</v>
      </c>
      <c r="C40" s="143">
        <v>0</v>
      </c>
      <c r="D40" s="143">
        <v>0</v>
      </c>
      <c r="E40" s="143">
        <f>VLOOKUP(A40,[1]!TOX,56,FALSE)</f>
        <v>0.99034211818628248</v>
      </c>
      <c r="F40" s="143">
        <f>VLOOKUP(A40,[1]!TOX,54,FALSE)</f>
        <v>2.4199999999999999E-2</v>
      </c>
      <c r="G40" s="144">
        <v>25</v>
      </c>
      <c r="H40" s="145">
        <v>0</v>
      </c>
      <c r="I40" s="146">
        <v>0</v>
      </c>
      <c r="J40" s="146">
        <v>0</v>
      </c>
      <c r="K40" s="173">
        <f>[1]Toxicity!$AZ36/1000</f>
        <v>95400</v>
      </c>
      <c r="L40" s="156"/>
      <c r="M40" s="156"/>
      <c r="N40" s="156"/>
      <c r="O40" s="156"/>
      <c r="P40" s="156"/>
    </row>
    <row r="41" spans="1:16" x14ac:dyDescent="0.25">
      <c r="A41" s="172" t="s">
        <v>246</v>
      </c>
      <c r="B41" s="287" t="str">
        <f>VLOOKUP(A41,[1]!TOX, 2, FALSE)</f>
        <v xml:space="preserve">53-70-3 </v>
      </c>
      <c r="C41" s="143">
        <v>2.0199999999999999E-2</v>
      </c>
      <c r="D41" s="143">
        <v>5.1800000000000004E-6</v>
      </c>
      <c r="E41" s="143">
        <f>VLOOKUP(A41,[1]!TOX,56,FALSE)</f>
        <v>5.0335570469798661E-6</v>
      </c>
      <c r="F41" s="143">
        <f>VLOOKUP(A41,[1]!TOX,54,FALSE)</f>
        <v>1.23E-7</v>
      </c>
      <c r="G41" s="144">
        <v>25</v>
      </c>
      <c r="H41" s="145">
        <v>16000</v>
      </c>
      <c r="I41" s="146">
        <v>743.24</v>
      </c>
      <c r="J41" s="146">
        <v>990.41</v>
      </c>
      <c r="K41" s="173">
        <f>[1]Toxicity!$AZ37/1000</f>
        <v>2.49E-3</v>
      </c>
      <c r="L41" s="156"/>
      <c r="M41" s="156"/>
      <c r="N41" s="156"/>
      <c r="O41" s="156"/>
      <c r="P41" s="156"/>
    </row>
    <row r="42" spans="1:16" x14ac:dyDescent="0.25">
      <c r="A42" s="172" t="s">
        <v>247</v>
      </c>
      <c r="B42" s="287" t="str">
        <f>VLOOKUP(A42,[1]!TOX, 2, FALSE)</f>
        <v>124-48-1</v>
      </c>
      <c r="C42" s="143">
        <v>1.9599999999999999E-2</v>
      </c>
      <c r="D42" s="143">
        <v>1.0499999999999999E-5</v>
      </c>
      <c r="E42" s="143">
        <f>VLOOKUP(A42,[1]!TOX,56,FALSE)</f>
        <v>3.2042887542969391E-2</v>
      </c>
      <c r="F42" s="143">
        <f>VLOOKUP(A42,[1]!TOX,54,FALSE)</f>
        <v>7.8299999999999995E-4</v>
      </c>
      <c r="G42" s="144">
        <v>25</v>
      </c>
      <c r="H42" s="145">
        <v>8000</v>
      </c>
      <c r="I42" s="146">
        <v>416.14</v>
      </c>
      <c r="J42" s="146">
        <v>678.2</v>
      </c>
      <c r="K42" s="173">
        <f>[1]Toxicity!$AZ38/1000</f>
        <v>2700</v>
      </c>
      <c r="L42" s="156"/>
      <c r="M42" s="156"/>
      <c r="N42" s="156"/>
      <c r="O42" s="156"/>
      <c r="P42" s="156"/>
    </row>
    <row r="43" spans="1:16" x14ac:dyDescent="0.25">
      <c r="A43" s="172" t="s">
        <v>248</v>
      </c>
      <c r="B43" s="287" t="str">
        <f>VLOOKUP(A43,[1]!TOX, 2, FALSE)</f>
        <v>95-50-1</v>
      </c>
      <c r="C43" s="143">
        <v>6.9000000000000006E-2</v>
      </c>
      <c r="D43" s="143">
        <v>7.9000000000000006E-6</v>
      </c>
      <c r="E43" s="143">
        <f>VLOOKUP(A43,[1]!TOX,56,FALSE)</f>
        <v>7.8572597806514988E-2</v>
      </c>
      <c r="F43" s="143">
        <f>VLOOKUP(A43,[1]!TOX,54,FALSE)</f>
        <v>1.92E-3</v>
      </c>
      <c r="G43" s="144">
        <v>25</v>
      </c>
      <c r="H43" s="145">
        <v>9700</v>
      </c>
      <c r="I43" s="146">
        <v>453.57</v>
      </c>
      <c r="J43" s="146">
        <v>705</v>
      </c>
      <c r="K43" s="173">
        <f>[1]Toxicity!$AZ39/1000</f>
        <v>156</v>
      </c>
      <c r="L43" s="156"/>
      <c r="M43" s="156"/>
      <c r="N43" s="156"/>
      <c r="O43" s="156"/>
      <c r="P43" s="156"/>
    </row>
    <row r="44" spans="1:16" x14ac:dyDescent="0.25">
      <c r="A44" s="172" t="s">
        <v>249</v>
      </c>
      <c r="B44" s="287" t="str">
        <f>VLOOKUP(A44,[1]!TOX, 2, FALSE)</f>
        <v>541-73-1</v>
      </c>
      <c r="C44" s="143">
        <v>6.8000000000000005E-2</v>
      </c>
      <c r="D44" s="143">
        <v>8.1300000000000001E-6</v>
      </c>
      <c r="E44" s="143">
        <f>VLOOKUP(A44,[1]!TOX,56,FALSE)</f>
        <v>0.10762808970371583</v>
      </c>
      <c r="F44" s="143">
        <f>VLOOKUP(A44,[1]!TOX,54,FALSE)</f>
        <v>2.63E-3</v>
      </c>
      <c r="G44" s="144">
        <v>25</v>
      </c>
      <c r="H44" s="145">
        <v>10428</v>
      </c>
      <c r="I44" s="146">
        <v>446.15</v>
      </c>
      <c r="J44" s="146">
        <v>688.45</v>
      </c>
      <c r="K44" s="173">
        <f>[1]Toxicity!$AZ40/1000</f>
        <v>125</v>
      </c>
      <c r="L44" s="156"/>
      <c r="M44" s="156"/>
      <c r="N44" s="156"/>
      <c r="O44" s="156"/>
      <c r="P44" s="156"/>
    </row>
    <row r="45" spans="1:16" x14ac:dyDescent="0.25">
      <c r="A45" s="172" t="s">
        <v>250</v>
      </c>
      <c r="B45" s="287" t="str">
        <f>VLOOKUP(A45,[1]!TOX, 2, FALSE)</f>
        <v>106-46-7</v>
      </c>
      <c r="C45" s="143">
        <v>6.9000000000000006E-2</v>
      </c>
      <c r="D45" s="143">
        <v>7.9000000000000006E-6</v>
      </c>
      <c r="E45" s="143">
        <f>VLOOKUP(A45,[1]!TOX,56,FALSE)</f>
        <v>9.8624979538385976E-2</v>
      </c>
      <c r="F45" s="143">
        <f>VLOOKUP(A45,[1]!TOX,54,FALSE)</f>
        <v>2.4099999999999998E-3</v>
      </c>
      <c r="G45" s="144">
        <v>25</v>
      </c>
      <c r="H45" s="145">
        <v>9271</v>
      </c>
      <c r="I45" s="146">
        <v>447.21</v>
      </c>
      <c r="J45" s="146">
        <v>684.75</v>
      </c>
      <c r="K45" s="173">
        <f>[1]Toxicity!$AZ41/1000</f>
        <v>81.3</v>
      </c>
      <c r="L45" s="156"/>
      <c r="M45" s="156"/>
      <c r="N45" s="156"/>
      <c r="O45" s="156"/>
      <c r="P45" s="156"/>
    </row>
    <row r="46" spans="1:16" x14ac:dyDescent="0.25">
      <c r="A46" s="172" t="s">
        <v>251</v>
      </c>
      <c r="B46" s="287" t="str">
        <f>VLOOKUP(A46,[1]!TOX, 2, FALSE)</f>
        <v>91-94-1</v>
      </c>
      <c r="C46" s="143">
        <v>1.9400000000000001E-2</v>
      </c>
      <c r="D46" s="143">
        <v>6.7399999999999998E-6</v>
      </c>
      <c r="E46" s="143">
        <f>VLOOKUP(A46,[1]!TOX,56,FALSE)</f>
        <v>1.1622196758880341E-9</v>
      </c>
      <c r="F46" s="143">
        <f>VLOOKUP(A46,[1]!TOX,54,FALSE)</f>
        <v>2.84E-11</v>
      </c>
      <c r="G46" s="144">
        <v>25</v>
      </c>
      <c r="H46" s="145">
        <v>13000</v>
      </c>
      <c r="I46" s="146">
        <v>560.26</v>
      </c>
      <c r="J46" s="146">
        <v>754.03</v>
      </c>
      <c r="K46" s="173">
        <f>[1]Toxicity!$AZ42/1000</f>
        <v>3.1</v>
      </c>
      <c r="L46" s="156"/>
      <c r="M46" s="156"/>
      <c r="N46" s="156"/>
      <c r="O46" s="156"/>
      <c r="P46" s="156"/>
    </row>
    <row r="47" spans="1:16" ht="23" x14ac:dyDescent="0.25">
      <c r="A47" s="172" t="s">
        <v>252</v>
      </c>
      <c r="B47" s="287" t="str">
        <f>VLOOKUP(A47,[1]!TOX, 2, FALSE)</f>
        <v>72-54-8</v>
      </c>
      <c r="C47" s="143">
        <v>1.6899999999999998E-2</v>
      </c>
      <c r="D47" s="143">
        <v>4.7600000000000002E-6</v>
      </c>
      <c r="E47" s="143">
        <f>VLOOKUP(A47,[1]!TOX,56,FALSE)</f>
        <v>2.7009330495989523E-4</v>
      </c>
      <c r="F47" s="143">
        <f>VLOOKUP(A47,[1]!TOX,54,FALSE)</f>
        <v>6.6000000000000003E-6</v>
      </c>
      <c r="G47" s="144">
        <v>25</v>
      </c>
      <c r="H47" s="145">
        <v>14000</v>
      </c>
      <c r="I47" s="146">
        <v>639.9</v>
      </c>
      <c r="J47" s="146">
        <v>863.77</v>
      </c>
      <c r="K47" s="173">
        <f>[1]Toxicity!$AZ43/1000</f>
        <v>0.09</v>
      </c>
      <c r="L47" s="156"/>
      <c r="M47" s="156"/>
      <c r="N47" s="156"/>
      <c r="O47" s="156"/>
      <c r="P47" s="156"/>
    </row>
    <row r="48" spans="1:16" ht="23" x14ac:dyDescent="0.25">
      <c r="A48" s="172" t="s">
        <v>253</v>
      </c>
      <c r="B48" s="287" t="str">
        <f>VLOOKUP(A48,[1]!TOX, 2, FALSE)</f>
        <v>72-55-9</v>
      </c>
      <c r="C48" s="143">
        <v>1.44E-2</v>
      </c>
      <c r="D48" s="143">
        <v>5.8699999999999997E-6</v>
      </c>
      <c r="E48" s="143">
        <f>VLOOKUP(A48,[1]!TOX,56,FALSE)</f>
        <v>1.7024062858078247E-3</v>
      </c>
      <c r="F48" s="143">
        <f>VLOOKUP(A48,[1]!TOX,54,FALSE)</f>
        <v>4.1600000000000002E-5</v>
      </c>
      <c r="G48" s="144">
        <v>25</v>
      </c>
      <c r="H48" s="145">
        <v>13000</v>
      </c>
      <c r="I48" s="146">
        <v>636.44000000000005</v>
      </c>
      <c r="J48" s="146">
        <v>860.38</v>
      </c>
      <c r="K48" s="173">
        <f>[1]Toxicity!$AZ44/1000</f>
        <v>0.04</v>
      </c>
      <c r="L48" s="156"/>
      <c r="M48" s="156"/>
      <c r="N48" s="156"/>
      <c r="O48" s="156"/>
      <c r="P48" s="156"/>
    </row>
    <row r="49" spans="1:16" ht="23" x14ac:dyDescent="0.25">
      <c r="A49" s="172" t="s">
        <v>254</v>
      </c>
      <c r="B49" s="287" t="str">
        <f>VLOOKUP(A49,[1]!TOX, 2, FALSE)</f>
        <v>50-29-3</v>
      </c>
      <c r="C49" s="143">
        <v>1.37E-2</v>
      </c>
      <c r="D49" s="143">
        <v>4.95E-6</v>
      </c>
      <c r="E49" s="143">
        <f>VLOOKUP(A49,[1]!TOX,56,FALSE)</f>
        <v>3.4048125716156489E-4</v>
      </c>
      <c r="F49" s="143">
        <f>VLOOKUP(A49,[1]!TOX,54,FALSE)</f>
        <v>8.32E-6</v>
      </c>
      <c r="G49" s="144">
        <v>25</v>
      </c>
      <c r="H49" s="145">
        <v>11000</v>
      </c>
      <c r="I49" s="146">
        <v>533.15</v>
      </c>
      <c r="J49" s="146">
        <v>720.75</v>
      </c>
      <c r="K49" s="173">
        <f>[1]Toxicity!$AZ45/1000</f>
        <v>5.4999999999999997E-3</v>
      </c>
      <c r="L49" s="156"/>
      <c r="M49" s="156"/>
      <c r="N49" s="156"/>
      <c r="O49" s="156"/>
      <c r="P49" s="156"/>
    </row>
    <row r="50" spans="1:16" x14ac:dyDescent="0.25">
      <c r="A50" s="172" t="s">
        <v>255</v>
      </c>
      <c r="B50" s="287" t="str">
        <f>VLOOKUP(A50,[1]!TOX, 2, FALSE)</f>
        <v xml:space="preserve">75-34-3 </v>
      </c>
      <c r="C50" s="143">
        <v>7.4200000000000002E-2</v>
      </c>
      <c r="D50" s="143">
        <v>1.0499999999999999E-5</v>
      </c>
      <c r="E50" s="143">
        <f>VLOOKUP(A50,[1]!TOX,56,FALSE)</f>
        <v>0.22998854149615322</v>
      </c>
      <c r="F50" s="143">
        <f>VLOOKUP(A50,[1]!TOX,54,FALSE)</f>
        <v>5.62E-3</v>
      </c>
      <c r="G50" s="144">
        <v>25</v>
      </c>
      <c r="H50" s="145">
        <v>6895</v>
      </c>
      <c r="I50" s="146">
        <v>330.55</v>
      </c>
      <c r="J50" s="146">
        <v>523</v>
      </c>
      <c r="K50" s="173">
        <f>[1]Toxicity!$AZ46/1000</f>
        <v>5040</v>
      </c>
      <c r="L50" s="156"/>
      <c r="M50" s="156"/>
      <c r="N50" s="156"/>
      <c r="O50" s="156"/>
      <c r="P50" s="156"/>
    </row>
    <row r="51" spans="1:16" x14ac:dyDescent="0.25">
      <c r="A51" s="172" t="s">
        <v>256</v>
      </c>
      <c r="B51" s="287" t="str">
        <f>VLOOKUP(A51,[1]!TOX, 2, FALSE)</f>
        <v>107-06-2</v>
      </c>
      <c r="C51" s="143">
        <v>0.104</v>
      </c>
      <c r="D51" s="143">
        <v>9.9000000000000001E-6</v>
      </c>
      <c r="E51" s="143">
        <f>VLOOKUP(A51,[1]!TOX,56,FALSE)</f>
        <v>4.8289409068587336E-2</v>
      </c>
      <c r="F51" s="143">
        <f>VLOOKUP(A51,[1]!TOX,54,FALSE)</f>
        <v>1.1800000000000001E-3</v>
      </c>
      <c r="G51" s="144">
        <v>25</v>
      </c>
      <c r="H51" s="145">
        <v>7643</v>
      </c>
      <c r="I51" s="146">
        <v>356.65</v>
      </c>
      <c r="J51" s="146">
        <v>561</v>
      </c>
      <c r="K51" s="173">
        <f>[1]Toxicity!$AZ47/1000</f>
        <v>8600</v>
      </c>
      <c r="L51" s="156"/>
      <c r="M51" s="156"/>
      <c r="N51" s="156"/>
      <c r="O51" s="156"/>
      <c r="P51" s="156"/>
    </row>
    <row r="52" spans="1:16" x14ac:dyDescent="0.25">
      <c r="A52" s="172" t="s">
        <v>257</v>
      </c>
      <c r="B52" s="287" t="str">
        <f>VLOOKUP(A52,[1]!TOX, 2, FALSE)</f>
        <v>75-35-4</v>
      </c>
      <c r="C52" s="143">
        <v>0.09</v>
      </c>
      <c r="D52" s="143">
        <v>1.04E-5</v>
      </c>
      <c r="E52" s="143">
        <f>VLOOKUP(A52,[1]!TOX,56,FALSE)</f>
        <v>1.0680962514323131</v>
      </c>
      <c r="F52" s="143">
        <f>VLOOKUP(A52,[1]!TOX,54,FALSE)</f>
        <v>2.6100000000000002E-2</v>
      </c>
      <c r="G52" s="144">
        <v>25</v>
      </c>
      <c r="H52" s="145">
        <v>6247</v>
      </c>
      <c r="I52" s="146">
        <v>304.75</v>
      </c>
      <c r="J52" s="146">
        <v>576.04999999999995</v>
      </c>
      <c r="K52" s="173">
        <f>[1]Toxicity!$AZ48/1000</f>
        <v>2420</v>
      </c>
      <c r="L52" s="156"/>
      <c r="M52" s="156"/>
      <c r="N52" s="156"/>
      <c r="O52" s="156"/>
      <c r="P52" s="156"/>
    </row>
    <row r="53" spans="1:16" x14ac:dyDescent="0.25">
      <c r="A53" s="172" t="s">
        <v>258</v>
      </c>
      <c r="B53" s="287" t="str">
        <f>VLOOKUP(A53,[1]!TOX, 2, FALSE)</f>
        <v>156-59-2</v>
      </c>
      <c r="C53" s="143">
        <v>7.3599999999999999E-2</v>
      </c>
      <c r="D53" s="143">
        <v>1.13E-5</v>
      </c>
      <c r="E53" s="143">
        <f>VLOOKUP(A53,[1]!TOX,56,FALSE)</f>
        <v>0.16696677033884436</v>
      </c>
      <c r="F53" s="143">
        <f>VLOOKUP(A53,[1]!TOX,54,FALSE)</f>
        <v>4.0800000000000003E-3</v>
      </c>
      <c r="G53" s="144">
        <v>25</v>
      </c>
      <c r="H53" s="145">
        <v>7192</v>
      </c>
      <c r="I53" s="146">
        <v>333.65</v>
      </c>
      <c r="J53" s="146">
        <v>544</v>
      </c>
      <c r="K53" s="173">
        <f>[1]Toxicity!$AZ49/1000</f>
        <v>6410</v>
      </c>
      <c r="L53" s="156"/>
      <c r="M53" s="156"/>
      <c r="N53" s="156"/>
      <c r="O53" s="156"/>
      <c r="P53" s="156"/>
    </row>
    <row r="54" spans="1:16" x14ac:dyDescent="0.25">
      <c r="A54" s="172" t="s">
        <v>259</v>
      </c>
      <c r="B54" s="287" t="str">
        <f>VLOOKUP(A54,[1]!TOX, 2, FALSE)</f>
        <v>156-60-5</v>
      </c>
      <c r="C54" s="143">
        <v>7.0699999999999999E-2</v>
      </c>
      <c r="D54" s="143">
        <v>1.19E-5</v>
      </c>
      <c r="E54" s="143">
        <f>VLOOKUP(A54,[1]!TOX,56,FALSE)</f>
        <v>0.38385987886724504</v>
      </c>
      <c r="F54" s="143">
        <f>VLOOKUP(A54,[1]!TOX,54,FALSE)</f>
        <v>9.3799999999999994E-3</v>
      </c>
      <c r="G54" s="144">
        <v>25</v>
      </c>
      <c r="H54" s="145">
        <v>6717</v>
      </c>
      <c r="I54" s="146">
        <v>320.85000000000002</v>
      </c>
      <c r="J54" s="146">
        <v>516.5</v>
      </c>
      <c r="K54" s="173">
        <f>[1]Toxicity!$AZ50/1000</f>
        <v>4520</v>
      </c>
      <c r="L54" s="156"/>
      <c r="M54" s="156"/>
      <c r="N54" s="156"/>
      <c r="O54" s="156"/>
      <c r="P54" s="156"/>
    </row>
    <row r="55" spans="1:16" x14ac:dyDescent="0.25">
      <c r="A55" s="172" t="s">
        <v>260</v>
      </c>
      <c r="B55" s="287" t="str">
        <f>VLOOKUP(A55,[1]!TOX, 2, FALSE)</f>
        <v>75-09-2</v>
      </c>
      <c r="C55" s="143">
        <v>0.10100000000000001</v>
      </c>
      <c r="D55" s="143">
        <v>1.17E-5</v>
      </c>
      <c r="E55" s="143">
        <f>VLOOKUP(A55,[1]!TOX,56,FALSE)</f>
        <v>0.13300049107873629</v>
      </c>
      <c r="F55" s="143">
        <f>VLOOKUP(A55,[1]!TOX,54,FALSE)</f>
        <v>3.2499999999999999E-3</v>
      </c>
      <c r="G55" s="144">
        <v>25</v>
      </c>
      <c r="H55" s="145">
        <v>6706</v>
      </c>
      <c r="I55" s="146">
        <v>313</v>
      </c>
      <c r="J55" s="146">
        <v>510</v>
      </c>
      <c r="K55" s="173">
        <f>[1]Toxicity!$AZ51/1000</f>
        <v>13000</v>
      </c>
      <c r="L55" s="156"/>
      <c r="M55" s="156"/>
      <c r="N55" s="156"/>
      <c r="O55" s="156"/>
      <c r="P55" s="156"/>
    </row>
    <row r="56" spans="1:16" x14ac:dyDescent="0.25">
      <c r="A56" s="172" t="s">
        <v>261</v>
      </c>
      <c r="B56" s="287" t="str">
        <f>VLOOKUP(A56,[1]!TOX, 2, FALSE)</f>
        <v>120-83-2</v>
      </c>
      <c r="C56" s="143">
        <v>3.4599999999999999E-2</v>
      </c>
      <c r="D56" s="143">
        <v>8.7700000000000007E-6</v>
      </c>
      <c r="E56" s="143">
        <f>VLOOKUP(A56,[1]!TOX,56,FALSE)</f>
        <v>2.254869864134883E-4</v>
      </c>
      <c r="F56" s="143">
        <f>VLOOKUP(A56,[1]!TOX,54,FALSE)</f>
        <v>5.5099999999999998E-6</v>
      </c>
      <c r="G56" s="144">
        <v>25</v>
      </c>
      <c r="H56" s="145">
        <v>11000</v>
      </c>
      <c r="I56" s="146">
        <v>482.15</v>
      </c>
      <c r="J56" s="146">
        <v>708.17</v>
      </c>
      <c r="K56" s="173">
        <f>[1]Toxicity!$AZ52/1000</f>
        <v>4500</v>
      </c>
      <c r="L56" s="156"/>
      <c r="M56" s="156"/>
      <c r="N56" s="156"/>
      <c r="O56" s="156"/>
      <c r="P56" s="156"/>
    </row>
    <row r="57" spans="1:16" x14ac:dyDescent="0.25">
      <c r="A57" s="172" t="s">
        <v>262</v>
      </c>
      <c r="B57" s="287" t="str">
        <f>VLOOKUP(A57,[1]!TOX, 2, FALSE)</f>
        <v>78-87-5</v>
      </c>
      <c r="C57" s="143">
        <v>7.8200000000000006E-2</v>
      </c>
      <c r="D57" s="143">
        <v>8.7299999999999994E-6</v>
      </c>
      <c r="E57" s="143">
        <f>VLOOKUP(A57,[1]!TOX,56,FALSE)</f>
        <v>0.11540350302831888</v>
      </c>
      <c r="F57" s="143">
        <f>VLOOKUP(A57,[1]!TOX,54,FALSE)</f>
        <v>2.82E-3</v>
      </c>
      <c r="G57" s="144">
        <v>25</v>
      </c>
      <c r="H57" s="145">
        <v>7590</v>
      </c>
      <c r="I57" s="146">
        <v>369.52</v>
      </c>
      <c r="J57" s="146">
        <v>572</v>
      </c>
      <c r="K57" s="173">
        <f>[1]Toxicity!$AZ53/1000</f>
        <v>2800</v>
      </c>
      <c r="L57" s="156"/>
      <c r="M57" s="156"/>
      <c r="N57" s="156"/>
      <c r="O57" s="156"/>
      <c r="P57" s="156"/>
    </row>
    <row r="58" spans="1:16" x14ac:dyDescent="0.25">
      <c r="A58" s="172" t="s">
        <v>263</v>
      </c>
      <c r="B58" s="287" t="str">
        <f>VLOOKUP(A58,[1]!TOX, 2, FALSE)</f>
        <v>542-75-6</v>
      </c>
      <c r="C58" s="143">
        <v>6.2600000000000003E-2</v>
      </c>
      <c r="D58" s="143">
        <v>1.0000000000000001E-5</v>
      </c>
      <c r="E58" s="143">
        <f>VLOOKUP(A58,[1]!TOX,56,FALSE)</f>
        <v>0.14527745948600426</v>
      </c>
      <c r="F58" s="143">
        <f>VLOOKUP(A58,[1]!TOX,54,FALSE)</f>
        <v>3.5500000000000002E-3</v>
      </c>
      <c r="G58" s="144">
        <v>25</v>
      </c>
      <c r="H58" s="145">
        <v>7000</v>
      </c>
      <c r="I58" s="146">
        <v>381.15</v>
      </c>
      <c r="J58" s="146">
        <v>587.38</v>
      </c>
      <c r="K58" s="173">
        <f>[1]Toxicity!$AZ54/1000</f>
        <v>2800</v>
      </c>
      <c r="L58" s="156"/>
      <c r="M58" s="156"/>
      <c r="N58" s="156"/>
      <c r="O58" s="156"/>
      <c r="P58" s="156"/>
    </row>
    <row r="59" spans="1:16" x14ac:dyDescent="0.25">
      <c r="A59" s="172" t="s">
        <v>264</v>
      </c>
      <c r="B59" s="287" t="str">
        <f>VLOOKUP(A59,[1]!TOX, 2, FALSE)</f>
        <v>60-57-1</v>
      </c>
      <c r="C59" s="143">
        <v>1.2500000000000001E-2</v>
      </c>
      <c r="D59" s="143">
        <v>4.7400000000000004E-6</v>
      </c>
      <c r="E59" s="143">
        <f>VLOOKUP(A59,[1]!TOX,56,FALSE)</f>
        <v>4.0923228024226558E-4</v>
      </c>
      <c r="F59" s="143">
        <f>VLOOKUP(A59,[1]!TOX,54,FALSE)</f>
        <v>1.0000000000000001E-5</v>
      </c>
      <c r="G59" s="144">
        <v>25</v>
      </c>
      <c r="H59" s="145">
        <v>13000</v>
      </c>
      <c r="I59" s="146">
        <v>613.32000000000005</v>
      </c>
      <c r="J59" s="146">
        <v>842.25</v>
      </c>
      <c r="K59" s="173">
        <f>[1]Toxicity!$AZ55/1000</f>
        <v>0.19500000000000001</v>
      </c>
      <c r="L59" s="156"/>
      <c r="M59" s="156"/>
      <c r="N59" s="156"/>
      <c r="O59" s="156"/>
      <c r="P59" s="156"/>
    </row>
    <row r="60" spans="1:16" x14ac:dyDescent="0.25">
      <c r="A60" s="172" t="s">
        <v>265</v>
      </c>
      <c r="B60" s="287" t="str">
        <f>VLOOKUP(A60,[1]!TOX, 2, FALSE)</f>
        <v>84-66-2</v>
      </c>
      <c r="C60" s="143">
        <v>2.5600000000000001E-2</v>
      </c>
      <c r="D60" s="143">
        <v>6.3500000000000002E-6</v>
      </c>
      <c r="E60" s="143">
        <f>VLOOKUP(A60,[1]!TOX,56,FALSE)</f>
        <v>2.4963169094778196E-5</v>
      </c>
      <c r="F60" s="143">
        <f>VLOOKUP(A60,[1]!TOX,54,FALSE)</f>
        <v>6.0999999999999998E-7</v>
      </c>
      <c r="G60" s="144">
        <v>25</v>
      </c>
      <c r="H60" s="145">
        <v>13733</v>
      </c>
      <c r="I60" s="146">
        <v>567.15</v>
      </c>
      <c r="J60" s="146">
        <v>757</v>
      </c>
      <c r="K60" s="173">
        <f>[1]Toxicity!$AZ56/1000</f>
        <v>1080</v>
      </c>
      <c r="L60" s="156"/>
      <c r="M60" s="156"/>
      <c r="N60" s="156"/>
      <c r="O60" s="156"/>
      <c r="P60" s="156"/>
    </row>
    <row r="61" spans="1:16" x14ac:dyDescent="0.25">
      <c r="A61" s="172" t="s">
        <v>266</v>
      </c>
      <c r="B61" s="287" t="str">
        <f>VLOOKUP(A61,[1]!TOX, 2, FALSE)</f>
        <v>131-11-3</v>
      </c>
      <c r="C61" s="143">
        <v>5.6800000000000003E-2</v>
      </c>
      <c r="D61" s="143">
        <v>6.2999999999999998E-6</v>
      </c>
      <c r="E61" s="143">
        <f>VLOOKUP(A61,[1]!TOX,56,FALSE)</f>
        <v>8.0618759207726302E-6</v>
      </c>
      <c r="F61" s="143">
        <f>VLOOKUP(A61,[1]!TOX,54,FALSE)</f>
        <v>1.97E-7</v>
      </c>
      <c r="G61" s="144">
        <v>25</v>
      </c>
      <c r="H61" s="145">
        <v>4666.7907255538876</v>
      </c>
      <c r="I61" s="146">
        <v>556.85</v>
      </c>
      <c r="J61" s="146">
        <v>732.5515149615137</v>
      </c>
      <c r="K61" s="173">
        <f>[1]Toxicity!$AZ57/1000</f>
        <v>4000</v>
      </c>
      <c r="L61" s="156"/>
      <c r="M61" s="156"/>
      <c r="N61" s="156"/>
      <c r="O61" s="156"/>
      <c r="P61" s="156"/>
    </row>
    <row r="62" spans="1:16" x14ac:dyDescent="0.25">
      <c r="A62" s="172" t="s">
        <v>267</v>
      </c>
      <c r="B62" s="287" t="str">
        <f>VLOOKUP(A62,[1]!TOX, 2, FALSE)</f>
        <v>105-67-9</v>
      </c>
      <c r="C62" s="143">
        <v>5.8400000000000001E-2</v>
      </c>
      <c r="D62" s="143">
        <v>8.6899999999999998E-6</v>
      </c>
      <c r="E62" s="143">
        <f>VLOOKUP(A62,[1]!TOX,56,FALSE)</f>
        <v>3.8917989851039453E-5</v>
      </c>
      <c r="F62" s="143">
        <f>VLOOKUP(A62,[1]!TOX,54,FALSE)</f>
        <v>9.5099999999999998E-7</v>
      </c>
      <c r="G62" s="144">
        <v>26</v>
      </c>
      <c r="H62" s="145">
        <v>11329</v>
      </c>
      <c r="I62" s="146">
        <v>484.13</v>
      </c>
      <c r="J62" s="146">
        <v>707.6</v>
      </c>
      <c r="K62" s="173">
        <f>[1]Toxicity!$AZ58/1000</f>
        <v>7870</v>
      </c>
      <c r="L62" s="156"/>
      <c r="M62" s="156"/>
      <c r="N62" s="156"/>
      <c r="O62" s="156"/>
      <c r="P62" s="156"/>
    </row>
    <row r="63" spans="1:16" x14ac:dyDescent="0.25">
      <c r="A63" s="172" t="s">
        <v>268</v>
      </c>
      <c r="B63" s="287" t="str">
        <f>VLOOKUP(A63,[1]!TOX, 2, FALSE)</f>
        <v>51-28-5</v>
      </c>
      <c r="C63" s="143">
        <v>2.7300000000000001E-2</v>
      </c>
      <c r="D63" s="143">
        <v>9.0599999999999997E-6</v>
      </c>
      <c r="E63" s="143">
        <f>VLOOKUP(A63,[1]!TOX,56,FALSE)</f>
        <v>3.5193976100834837E-6</v>
      </c>
      <c r="F63" s="143">
        <f>VLOOKUP(A63,[1]!TOX,54,FALSE)</f>
        <v>8.6000000000000002E-8</v>
      </c>
      <c r="G63" s="144">
        <v>25</v>
      </c>
      <c r="H63" s="145">
        <v>15000</v>
      </c>
      <c r="I63" s="146">
        <v>605.28</v>
      </c>
      <c r="J63" s="146">
        <v>827.85</v>
      </c>
      <c r="K63" s="173">
        <f>[1]Toxicity!$AZ59/1000</f>
        <v>2790</v>
      </c>
      <c r="L63" s="156"/>
      <c r="M63" s="156"/>
      <c r="N63" s="156"/>
      <c r="O63" s="156"/>
      <c r="P63" s="156"/>
    </row>
    <row r="64" spans="1:16" x14ac:dyDescent="0.25">
      <c r="A64" s="172" t="s">
        <v>269</v>
      </c>
      <c r="B64" s="287" t="str">
        <f>VLOOKUP(A64,[1]!TOX, 2, FALSE)</f>
        <v>121-14-2</v>
      </c>
      <c r="C64" s="143">
        <v>0.20300000000000001</v>
      </c>
      <c r="D64" s="143">
        <v>7.0600000000000002E-6</v>
      </c>
      <c r="E64" s="143">
        <f>VLOOKUP(A64,[1]!TOX,56,FALSE)</f>
        <v>2.209854313308234E-6</v>
      </c>
      <c r="F64" s="143">
        <f>VLOOKUP(A64,[1]!TOX,54,FALSE)</f>
        <v>5.4E-8</v>
      </c>
      <c r="G64" s="144">
        <v>25</v>
      </c>
      <c r="H64" s="145">
        <v>13467</v>
      </c>
      <c r="I64" s="146">
        <v>590</v>
      </c>
      <c r="J64" s="146">
        <v>814</v>
      </c>
      <c r="K64" s="173">
        <f>[1]Toxicity!$AZ60/1000</f>
        <v>270</v>
      </c>
      <c r="L64" s="156"/>
      <c r="M64" s="156"/>
      <c r="N64" s="156"/>
      <c r="O64" s="156"/>
      <c r="P64" s="156"/>
    </row>
    <row r="65" spans="1:16" x14ac:dyDescent="0.25">
      <c r="A65" s="172" t="s">
        <v>270</v>
      </c>
      <c r="B65" s="287" t="str">
        <f>VLOOKUP(A65,[1]!TOX, 2, FALSE)</f>
        <v>123-91-1</v>
      </c>
      <c r="C65" s="143">
        <v>0.23</v>
      </c>
      <c r="D65" s="174">
        <v>1.0000000000000001E-5</v>
      </c>
      <c r="E65" s="143">
        <f>VLOOKUP(A65,[1]!TOX,56,FALSE)</f>
        <v>1.9643149451628743E-4</v>
      </c>
      <c r="F65" s="143">
        <f>VLOOKUP(A65,[1]!TOX,54,FALSE)</f>
        <v>4.7999999999999998E-6</v>
      </c>
      <c r="G65" s="144">
        <v>25</v>
      </c>
      <c r="H65" s="145">
        <v>8687.2515999999996</v>
      </c>
      <c r="I65" s="146">
        <v>374.25</v>
      </c>
      <c r="J65" s="146">
        <v>3712.9039074679577</v>
      </c>
      <c r="K65" s="173">
        <f>[1]Toxicity!$AZ61/1000</f>
        <v>1000000</v>
      </c>
      <c r="L65" s="156"/>
      <c r="M65" s="156"/>
      <c r="N65" s="156"/>
      <c r="O65" s="156"/>
      <c r="P65" s="156"/>
    </row>
    <row r="66" spans="1:16" x14ac:dyDescent="0.25">
      <c r="A66" s="172" t="s">
        <v>271</v>
      </c>
      <c r="B66" s="287" t="str">
        <f>VLOOKUP(A66,[1]!TOX, 2, FALSE)</f>
        <v>115-29-7</v>
      </c>
      <c r="C66" s="143">
        <v>1.15E-2</v>
      </c>
      <c r="D66" s="143">
        <v>4.5499999999999996E-6</v>
      </c>
      <c r="E66" s="143">
        <f>VLOOKUP(A66,[1]!TOX,56,FALSE)</f>
        <v>2.6600098215747259E-3</v>
      </c>
      <c r="F66" s="143">
        <f>VLOOKUP(A66,[1]!TOX,54,FALSE)</f>
        <v>6.4999999999999994E-5</v>
      </c>
      <c r="G66" s="144">
        <v>25</v>
      </c>
      <c r="H66" s="145">
        <v>14000</v>
      </c>
      <c r="I66" s="146">
        <v>674.43</v>
      </c>
      <c r="J66" s="146">
        <v>942.94</v>
      </c>
      <c r="K66" s="173">
        <f>[1]Toxicity!$AZ62/1000</f>
        <v>0.32500000000000001</v>
      </c>
      <c r="L66" s="156"/>
      <c r="M66" s="156"/>
      <c r="N66" s="156"/>
      <c r="O66" s="156"/>
      <c r="P66" s="156"/>
    </row>
    <row r="67" spans="1:16" x14ac:dyDescent="0.25">
      <c r="A67" s="172" t="s">
        <v>272</v>
      </c>
      <c r="B67" s="287" t="str">
        <f>VLOOKUP(A67,[1]!TOX, 2, FALSE)</f>
        <v>72-20-8</v>
      </c>
      <c r="C67" s="143">
        <v>1.2500000000000001E-2</v>
      </c>
      <c r="D67" s="143">
        <v>4.7400000000000004E-6</v>
      </c>
      <c r="E67" s="143">
        <f>VLOOKUP(A67,[1]!TOX,56,FALSE)</f>
        <v>2.602717302340809E-4</v>
      </c>
      <c r="F67" s="143">
        <f>VLOOKUP(A67,[1]!TOX,54,FALSE)</f>
        <v>6.3600000000000001E-6</v>
      </c>
      <c r="G67" s="144">
        <v>25</v>
      </c>
      <c r="H67" s="145">
        <v>12000</v>
      </c>
      <c r="I67" s="146">
        <v>718.15</v>
      </c>
      <c r="J67" s="146">
        <v>986.2</v>
      </c>
      <c r="K67" s="173">
        <f>[1]Toxicity!$AZ63/1000</f>
        <v>0.25</v>
      </c>
      <c r="L67" s="156"/>
      <c r="M67" s="156"/>
      <c r="N67" s="156"/>
      <c r="O67" s="156"/>
      <c r="P67" s="156"/>
    </row>
    <row r="68" spans="1:16" x14ac:dyDescent="0.25">
      <c r="A68" s="172" t="s">
        <v>273</v>
      </c>
      <c r="B68" s="287" t="str">
        <f>VLOOKUP(A68,[1]!TOX, 2, FALSE)</f>
        <v>100-41-4</v>
      </c>
      <c r="C68" s="143">
        <v>7.4999999999999997E-2</v>
      </c>
      <c r="D68" s="143">
        <v>7.7999999999999999E-6</v>
      </c>
      <c r="E68" s="143">
        <f>VLOOKUP(A68,[1]!TOX,56,FALSE)</f>
        <v>0.32247503683090523</v>
      </c>
      <c r="F68" s="143">
        <f>VLOOKUP(A68,[1]!TOX,54,FALSE)</f>
        <v>7.8799999999999999E-3</v>
      </c>
      <c r="G68" s="144">
        <v>25</v>
      </c>
      <c r="H68" s="145">
        <v>8501</v>
      </c>
      <c r="I68" s="146">
        <v>409.34</v>
      </c>
      <c r="J68" s="146">
        <v>617.20000000000005</v>
      </c>
      <c r="K68" s="173">
        <f>[1]Toxicity!$AZ64/1000</f>
        <v>169</v>
      </c>
      <c r="L68" s="156"/>
      <c r="M68" s="156"/>
      <c r="N68" s="156"/>
      <c r="O68" s="156"/>
      <c r="P68" s="156"/>
    </row>
    <row r="69" spans="1:16" x14ac:dyDescent="0.25">
      <c r="A69" s="172" t="s">
        <v>274</v>
      </c>
      <c r="B69" s="287" t="str">
        <f>VLOOKUP(A69,[1]!TOX, 2, FALSE)</f>
        <v>106-93-4</v>
      </c>
      <c r="C69" s="143">
        <v>2.1700000000000001E-2</v>
      </c>
      <c r="D69" s="143">
        <v>1.9000000000000001E-5</v>
      </c>
      <c r="E69" s="143">
        <f>VLOOKUP(A69,[1]!TOX,56,FALSE)</f>
        <v>2.6600098215747256E-2</v>
      </c>
      <c r="F69" s="143">
        <f>VLOOKUP(A69,[1]!TOX,54,FALSE)</f>
        <v>6.4999999999999997E-4</v>
      </c>
      <c r="G69" s="144">
        <v>25</v>
      </c>
      <c r="H69" s="145">
        <v>8566.4889600000006</v>
      </c>
      <c r="I69" s="146">
        <v>404.65</v>
      </c>
      <c r="J69" s="146">
        <v>582.95000000000005</v>
      </c>
      <c r="K69" s="173">
        <f>[1]Toxicity!$AZ65/1000</f>
        <v>3910</v>
      </c>
      <c r="L69" s="156"/>
      <c r="M69" s="156"/>
      <c r="N69" s="156"/>
      <c r="O69" s="156"/>
      <c r="P69" s="156"/>
    </row>
    <row r="70" spans="1:16" x14ac:dyDescent="0.25">
      <c r="A70" s="172" t="s">
        <v>275</v>
      </c>
      <c r="B70" s="287" t="str">
        <f>VLOOKUP(A70,[1]!TOX, 2, FALSE)</f>
        <v>206-44-0</v>
      </c>
      <c r="C70" s="143">
        <v>3.0200000000000001E-2</v>
      </c>
      <c r="D70" s="143">
        <v>6.3500000000000002E-6</v>
      </c>
      <c r="E70" s="143">
        <f>VLOOKUP(A70,[1]!TOX,56,FALSE)</f>
        <v>3.6257980029464726E-4</v>
      </c>
      <c r="F70" s="143">
        <f>VLOOKUP(A70,[1]!TOX,54,FALSE)</f>
        <v>8.8599999999999999E-6</v>
      </c>
      <c r="G70" s="144">
        <v>25</v>
      </c>
      <c r="H70" s="145">
        <v>13815</v>
      </c>
      <c r="I70" s="146">
        <v>655.95</v>
      </c>
      <c r="J70" s="146">
        <v>905</v>
      </c>
      <c r="K70" s="173">
        <f>[1]Toxicity!$AZ66/1000</f>
        <v>0.26</v>
      </c>
      <c r="L70" s="156"/>
      <c r="M70" s="156"/>
      <c r="N70" s="156"/>
      <c r="O70" s="156"/>
      <c r="P70" s="156"/>
    </row>
    <row r="71" spans="1:16" x14ac:dyDescent="0.25">
      <c r="A71" s="172" t="s">
        <v>276</v>
      </c>
      <c r="B71" s="287" t="str">
        <f>VLOOKUP(A71,[1]!TOX, 2, FALSE)</f>
        <v>86-73-7</v>
      </c>
      <c r="C71" s="143">
        <v>3.6299999999999999E-2</v>
      </c>
      <c r="D71" s="143">
        <v>7.8800000000000008E-6</v>
      </c>
      <c r="E71" s="143">
        <f>VLOOKUP(A71,[1]!TOX,56,FALSE)</f>
        <v>3.9368145359305945E-3</v>
      </c>
      <c r="F71" s="143">
        <f>VLOOKUP(A71,[1]!TOX,54,FALSE)</f>
        <v>9.6199999999999994E-5</v>
      </c>
      <c r="G71" s="144">
        <v>25</v>
      </c>
      <c r="H71" s="145">
        <v>12666</v>
      </c>
      <c r="I71" s="146">
        <v>570.44000000000005</v>
      </c>
      <c r="J71" s="146">
        <v>870</v>
      </c>
      <c r="K71" s="173">
        <f>[1]Toxicity!$AZ67/1000</f>
        <v>1.89</v>
      </c>
      <c r="L71" s="156"/>
      <c r="M71" s="156"/>
      <c r="N71" s="156"/>
      <c r="O71" s="156"/>
      <c r="P71" s="156"/>
    </row>
    <row r="72" spans="1:16" x14ac:dyDescent="0.25">
      <c r="A72" s="172" t="s">
        <v>277</v>
      </c>
      <c r="B72" s="287" t="str">
        <f>VLOOKUP(A72,[1]!TOX, 2, FALSE)</f>
        <v>76-44-8</v>
      </c>
      <c r="C72" s="143">
        <v>1.12E-2</v>
      </c>
      <c r="D72" s="143">
        <v>5.6899999999999997E-6</v>
      </c>
      <c r="E72" s="143">
        <f>VLOOKUP(A72,[1]!TOX,56,FALSE)</f>
        <v>1.2031429039122606E-2</v>
      </c>
      <c r="F72" s="143">
        <f>VLOOKUP(A72,[1]!TOX,54,FALSE)</f>
        <v>2.9399999999999999E-4</v>
      </c>
      <c r="G72" s="144">
        <v>25</v>
      </c>
      <c r="H72" s="145">
        <v>13000</v>
      </c>
      <c r="I72" s="146">
        <v>603.69000000000005</v>
      </c>
      <c r="J72" s="146">
        <v>846.31</v>
      </c>
      <c r="K72" s="173">
        <f>[1]Toxicity!$AZ68/1000</f>
        <v>0.18</v>
      </c>
      <c r="L72" s="156"/>
      <c r="M72" s="156"/>
      <c r="N72" s="156"/>
      <c r="O72" s="156"/>
      <c r="P72" s="156"/>
    </row>
    <row r="73" spans="1:16" x14ac:dyDescent="0.25">
      <c r="A73" s="172" t="s">
        <v>278</v>
      </c>
      <c r="B73" s="287" t="str">
        <f>VLOOKUP(A73,[1]!TOX, 2, FALSE)</f>
        <v>1024-57-3</v>
      </c>
      <c r="C73" s="143">
        <v>1.32E-2</v>
      </c>
      <c r="D73" s="143">
        <v>4.2300000000000002E-6</v>
      </c>
      <c r="E73" s="143">
        <f>VLOOKUP(A73,[1]!TOX,56,FALSE)</f>
        <v>8.593877885087575E-4</v>
      </c>
      <c r="F73" s="143">
        <f>VLOOKUP(A73,[1]!TOX,54,FALSE)</f>
        <v>2.0999999999999999E-5</v>
      </c>
      <c r="G73" s="144">
        <v>25</v>
      </c>
      <c r="H73" s="145">
        <v>13000</v>
      </c>
      <c r="I73" s="146">
        <v>613.96</v>
      </c>
      <c r="J73" s="146">
        <v>848.76</v>
      </c>
      <c r="K73" s="173">
        <f>[1]Toxicity!$AZ69/1000</f>
        <v>0.2</v>
      </c>
      <c r="L73" s="156"/>
      <c r="M73" s="156"/>
      <c r="N73" s="156"/>
      <c r="O73" s="156"/>
      <c r="P73" s="156"/>
    </row>
    <row r="74" spans="1:16" x14ac:dyDescent="0.25">
      <c r="A74" s="172" t="s">
        <v>279</v>
      </c>
      <c r="B74" s="287" t="str">
        <f>VLOOKUP(A74,[1]!TOX, 2, FALSE)</f>
        <v>118-74-1</v>
      </c>
      <c r="C74" s="143">
        <v>5.4199999999999998E-2</v>
      </c>
      <c r="D74" s="143">
        <v>5.9100000000000002E-6</v>
      </c>
      <c r="E74" s="143">
        <f>VLOOKUP(A74,[1]!TOX,56,FALSE)</f>
        <v>6.9569487641185132E-2</v>
      </c>
      <c r="F74" s="143">
        <f>VLOOKUP(A74,[1]!TOX,54,FALSE)</f>
        <v>1.6999999999999999E-3</v>
      </c>
      <c r="G74" s="144">
        <v>25</v>
      </c>
      <c r="H74" s="145">
        <v>14447</v>
      </c>
      <c r="I74" s="146">
        <v>582.54999999999995</v>
      </c>
      <c r="J74" s="146">
        <v>825</v>
      </c>
      <c r="K74" s="173">
        <f>[1]Toxicity!$AZ70/1000</f>
        <v>6.1999999999999998E-3</v>
      </c>
      <c r="L74" s="156"/>
      <c r="M74" s="156"/>
      <c r="N74" s="156"/>
      <c r="O74" s="156"/>
      <c r="P74" s="156"/>
    </row>
    <row r="75" spans="1:16" x14ac:dyDescent="0.25">
      <c r="A75" s="172" t="s">
        <v>280</v>
      </c>
      <c r="B75" s="287" t="str">
        <f>VLOOKUP(A75,[1]!TOX, 2, FALSE)</f>
        <v>87-68-3</v>
      </c>
      <c r="C75" s="143">
        <v>5.6099999999999997E-2</v>
      </c>
      <c r="D75" s="143">
        <v>6.1600000000000003E-6</v>
      </c>
      <c r="E75" s="143">
        <f>VLOOKUP(A75,[1]!TOX,56,FALSE)</f>
        <v>0.42150924864953349</v>
      </c>
      <c r="F75" s="143">
        <f>VLOOKUP(A75,[1]!TOX,54,FALSE)</f>
        <v>1.03E-2</v>
      </c>
      <c r="G75" s="144">
        <v>25</v>
      </c>
      <c r="H75" s="145">
        <v>10206</v>
      </c>
      <c r="I75" s="146">
        <v>486.15</v>
      </c>
      <c r="J75" s="146">
        <v>738</v>
      </c>
      <c r="K75" s="173">
        <f>[1]Toxicity!$AZ71/1000</f>
        <v>3.2</v>
      </c>
      <c r="L75" s="156"/>
      <c r="M75" s="156"/>
      <c r="N75" s="156"/>
      <c r="O75" s="156"/>
      <c r="P75" s="156"/>
    </row>
    <row r="76" spans="1:16" ht="23" x14ac:dyDescent="0.25">
      <c r="A76" s="172" t="s">
        <v>281</v>
      </c>
      <c r="B76" s="287" t="str">
        <f>VLOOKUP(A76,[1]!TOX, 2, FALSE)</f>
        <v>58-89-9</v>
      </c>
      <c r="C76" s="143">
        <v>1.4200000000000001E-2</v>
      </c>
      <c r="D76" s="143">
        <v>7.34E-6</v>
      </c>
      <c r="E76" s="143">
        <f>VLOOKUP(A76,[1]!TOX,56,FALSE)</f>
        <v>2.1034539204452447E-4</v>
      </c>
      <c r="F76" s="143">
        <f>VLOOKUP(A76,[1]!TOX,54,FALSE)</f>
        <v>5.1399999999999999E-6</v>
      </c>
      <c r="G76" s="144">
        <v>25</v>
      </c>
      <c r="H76" s="145">
        <v>13000</v>
      </c>
      <c r="I76" s="146">
        <v>596.54999999999995</v>
      </c>
      <c r="J76" s="146">
        <v>839.36</v>
      </c>
      <c r="K76" s="173">
        <f>[1]Toxicity!$AZ72/1000</f>
        <v>7.3</v>
      </c>
      <c r="L76" s="156"/>
      <c r="M76" s="156"/>
      <c r="N76" s="156"/>
      <c r="O76" s="156"/>
      <c r="P76" s="156"/>
    </row>
    <row r="77" spans="1:16" x14ac:dyDescent="0.25">
      <c r="A77" s="172" t="s">
        <v>282</v>
      </c>
      <c r="B77" s="287" t="str">
        <f>VLOOKUP(A77,[1]!TOX, 2, FALSE)</f>
        <v>67-72-1</v>
      </c>
      <c r="C77" s="143">
        <v>2.5000000000000001E-3</v>
      </c>
      <c r="D77" s="143">
        <v>6.8000000000000001E-6</v>
      </c>
      <c r="E77" s="143">
        <f>VLOOKUP(A77,[1]!TOX,56,FALSE)</f>
        <v>0.15919135701424128</v>
      </c>
      <c r="F77" s="143">
        <f>VLOOKUP(A77,[1]!TOX,54,FALSE)</f>
        <v>3.8899999999999998E-3</v>
      </c>
      <c r="G77" s="144">
        <v>25</v>
      </c>
      <c r="H77" s="145">
        <v>9510</v>
      </c>
      <c r="I77" s="146">
        <v>458</v>
      </c>
      <c r="J77" s="146">
        <v>695</v>
      </c>
      <c r="K77" s="173">
        <f>[1]Toxicity!$AZ73/1000</f>
        <v>50</v>
      </c>
      <c r="L77" s="156"/>
      <c r="M77" s="156"/>
      <c r="N77" s="156"/>
      <c r="O77" s="156"/>
      <c r="P77" s="156"/>
    </row>
    <row r="78" spans="1:16" x14ac:dyDescent="0.25">
      <c r="A78" s="172" t="s">
        <v>283</v>
      </c>
      <c r="B78" s="287" t="str">
        <f>VLOOKUP(A78,[1]!TOX, 2, FALSE)</f>
        <v>2691-41-0</v>
      </c>
      <c r="C78" s="143">
        <v>4.2999999999999997E-2</v>
      </c>
      <c r="D78" s="143">
        <v>4.95E-6</v>
      </c>
      <c r="E78" s="143">
        <f>VLOOKUP(A78,[1]!TOX,56,FALSE)</f>
        <v>3.5480438697004418E-8</v>
      </c>
      <c r="F78" s="143">
        <f>VLOOKUP(A78,[1]!TOX,54,FALSE)</f>
        <v>8.67E-10</v>
      </c>
      <c r="G78" s="144">
        <v>25</v>
      </c>
      <c r="H78" s="145">
        <v>0</v>
      </c>
      <c r="I78" s="146">
        <v>0</v>
      </c>
      <c r="J78" s="146">
        <v>0</v>
      </c>
      <c r="K78" s="173">
        <f>[1]Toxicity!$AZ74/1000</f>
        <v>2556</v>
      </c>
      <c r="L78" s="156"/>
      <c r="M78" s="156"/>
      <c r="N78" s="156"/>
      <c r="O78" s="156"/>
      <c r="P78" s="156"/>
    </row>
    <row r="79" spans="1:16" x14ac:dyDescent="0.25">
      <c r="A79" s="172" t="s">
        <v>284</v>
      </c>
      <c r="B79" s="287" t="str">
        <f>VLOOKUP(A79,[1]!TOX, 2, FALSE)</f>
        <v>193-39-5</v>
      </c>
      <c r="C79" s="143">
        <v>1.9E-2</v>
      </c>
      <c r="D79" s="143">
        <v>5.66E-6</v>
      </c>
      <c r="E79" s="143">
        <f>VLOOKUP(A79,[1]!TOX,56,FALSE)</f>
        <v>1.424128335243084E-5</v>
      </c>
      <c r="F79" s="143">
        <f>VLOOKUP(A79,[1]!TOX,54,FALSE)</f>
        <v>3.4799999999999999E-7</v>
      </c>
      <c r="G79" s="144">
        <v>25</v>
      </c>
      <c r="H79" s="145">
        <v>17000</v>
      </c>
      <c r="I79" s="146">
        <v>809.15</v>
      </c>
      <c r="J79" s="146">
        <v>1078.24</v>
      </c>
      <c r="K79" s="173">
        <f>[1]Toxicity!$AZ75/1000</f>
        <v>1.9000000000000001E-4</v>
      </c>
      <c r="L79" s="156"/>
      <c r="M79" s="156"/>
      <c r="N79" s="156"/>
      <c r="O79" s="156"/>
      <c r="P79" s="156"/>
    </row>
    <row r="80" spans="1:16" x14ac:dyDescent="0.25">
      <c r="A80" s="172" t="s">
        <v>285</v>
      </c>
      <c r="B80" s="287" t="str">
        <f>VLOOKUP(A80,[1]!TOX, 2, FALSE)</f>
        <v>7439-92-1</v>
      </c>
      <c r="C80" s="143">
        <v>0</v>
      </c>
      <c r="D80" s="143">
        <v>0</v>
      </c>
      <c r="E80" s="143">
        <f>VLOOKUP(A80,[1]!TOX,56,FALSE)</f>
        <v>0</v>
      </c>
      <c r="F80" s="143">
        <f>VLOOKUP(A80,[1]!TOX,54,FALSE)</f>
        <v>0</v>
      </c>
      <c r="G80" s="144">
        <v>25</v>
      </c>
      <c r="H80" s="145">
        <v>0</v>
      </c>
      <c r="I80" s="146">
        <v>0</v>
      </c>
      <c r="J80" s="146">
        <v>0</v>
      </c>
      <c r="K80" s="173">
        <f>[1]Toxicity!$AZ76/1000</f>
        <v>0</v>
      </c>
      <c r="L80" s="156"/>
      <c r="M80" s="156"/>
      <c r="N80" s="156"/>
      <c r="O80" s="156"/>
      <c r="P80" s="156"/>
    </row>
    <row r="81" spans="1:16" x14ac:dyDescent="0.25">
      <c r="A81" s="172" t="s">
        <v>286</v>
      </c>
      <c r="B81" s="287" t="str">
        <f>VLOOKUP(A81,[1]!TOX, 2, FALSE)</f>
        <v>7439-97-6</v>
      </c>
      <c r="C81" s="143"/>
      <c r="D81" s="143">
        <v>6.2999999999999998E-6</v>
      </c>
      <c r="E81" s="143">
        <f>VLOOKUP(A81,[1]!TOX,56,FALSE)</f>
        <v>0</v>
      </c>
      <c r="F81" s="143">
        <f>VLOOKUP(A81,[1]!TOX,54,FALSE)</f>
        <v>0</v>
      </c>
      <c r="G81" s="144">
        <v>25</v>
      </c>
      <c r="H81" s="145">
        <v>14127</v>
      </c>
      <c r="I81" s="146">
        <v>629.88</v>
      </c>
      <c r="J81" s="146">
        <v>1750</v>
      </c>
      <c r="K81" s="173">
        <f>[1]Toxicity!$AZ77/1000</f>
        <v>0.06</v>
      </c>
      <c r="L81" s="156"/>
      <c r="M81" s="156"/>
      <c r="N81" s="156"/>
      <c r="O81" s="156"/>
      <c r="P81" s="156"/>
    </row>
    <row r="82" spans="1:16" x14ac:dyDescent="0.25">
      <c r="A82" s="172" t="s">
        <v>287</v>
      </c>
      <c r="B82" s="287" t="str">
        <f>VLOOKUP(A82,[1]!TOX, 2, FALSE)</f>
        <v>72-43-5</v>
      </c>
      <c r="C82" s="143">
        <v>1.5599999999999999E-2</v>
      </c>
      <c r="D82" s="143">
        <v>4.4599999999999996E-6</v>
      </c>
      <c r="E82" s="143">
        <f>VLOOKUP(A82,[1]!TOX,56,FALSE)</f>
        <v>8.3074152889179904E-6</v>
      </c>
      <c r="F82" s="143">
        <f>VLOOKUP(A82,[1]!TOX,54,FALSE)</f>
        <v>2.03E-7</v>
      </c>
      <c r="G82" s="144">
        <v>25</v>
      </c>
      <c r="H82" s="145">
        <v>14000</v>
      </c>
      <c r="I82" s="146">
        <v>651.02</v>
      </c>
      <c r="J82" s="146">
        <v>848.49</v>
      </c>
      <c r="K82" s="173">
        <f>[1]Toxicity!$AZ78/1000</f>
        <v>0.1</v>
      </c>
      <c r="L82" s="156"/>
      <c r="M82" s="156"/>
      <c r="N82" s="156"/>
      <c r="O82" s="156"/>
      <c r="P82" s="156"/>
    </row>
    <row r="83" spans="1:16" x14ac:dyDescent="0.25">
      <c r="A83" s="172" t="s">
        <v>288</v>
      </c>
      <c r="B83" s="287" t="str">
        <f>VLOOKUP(A83,[1]!TOX, 2, FALSE)</f>
        <v>78-93-3</v>
      </c>
      <c r="C83" s="143">
        <v>8.0799999999999997E-2</v>
      </c>
      <c r="D83" s="143">
        <v>9.7999999999999993E-6</v>
      </c>
      <c r="E83" s="143">
        <f>VLOOKUP(A83,[1]!TOX,56,FALSE)</f>
        <v>2.3285316745784907E-3</v>
      </c>
      <c r="F83" s="143">
        <f>VLOOKUP(A83,[1]!TOX,54,FALSE)</f>
        <v>5.6900000000000001E-5</v>
      </c>
      <c r="G83" s="144">
        <v>25</v>
      </c>
      <c r="H83" s="145">
        <v>7642.6635999999999</v>
      </c>
      <c r="I83" s="146">
        <v>352.75</v>
      </c>
      <c r="J83" s="146">
        <v>535.70000000000005</v>
      </c>
      <c r="K83" s="173">
        <f>[1]Toxicity!$AZ79/1000</f>
        <v>223000</v>
      </c>
      <c r="L83" s="156"/>
      <c r="M83" s="156"/>
      <c r="N83" s="156"/>
      <c r="O83" s="156"/>
      <c r="P83" s="156"/>
    </row>
    <row r="84" spans="1:16" x14ac:dyDescent="0.25">
      <c r="A84" s="172" t="s">
        <v>289</v>
      </c>
      <c r="B84" s="287" t="str">
        <f>VLOOKUP(A84,[1]!TOX, 2, FALSE)</f>
        <v>108-10-1</v>
      </c>
      <c r="C84" s="143">
        <v>7.4999999999999997E-2</v>
      </c>
      <c r="D84" s="143">
        <v>7.7999999999999999E-6</v>
      </c>
      <c r="E84" s="143">
        <f>VLOOKUP(A84,[1]!TOX,56,FALSE)</f>
        <v>5.6474054673432642E-3</v>
      </c>
      <c r="F84" s="143">
        <f>VLOOKUP(A84,[1]!TOX,54,FALSE)</f>
        <v>1.3799999999999999E-4</v>
      </c>
      <c r="G84" s="144">
        <v>25</v>
      </c>
      <c r="H84" s="145">
        <v>8639.85</v>
      </c>
      <c r="I84" s="146">
        <v>388.95</v>
      </c>
      <c r="J84" s="146">
        <v>571.5</v>
      </c>
      <c r="K84" s="173">
        <f>[1]Toxicity!$AZ80/1000</f>
        <v>19000</v>
      </c>
      <c r="L84" s="156"/>
      <c r="M84" s="156"/>
      <c r="N84" s="156"/>
      <c r="O84" s="156"/>
      <c r="P84" s="156"/>
    </row>
    <row r="85" spans="1:16" x14ac:dyDescent="0.25">
      <c r="A85" s="172" t="s">
        <v>290</v>
      </c>
      <c r="B85" s="287" t="str">
        <f>VLOOKUP(A85,[1]!TOX, 2, FALSE)</f>
        <v>22967-92-6</v>
      </c>
      <c r="C85" s="143"/>
      <c r="D85" s="143">
        <v>6.1E-6</v>
      </c>
      <c r="E85" s="143">
        <f>VLOOKUP(A85,[1]!TOX,56,FALSE)</f>
        <v>0</v>
      </c>
      <c r="F85" s="143">
        <f>VLOOKUP(A85,[1]!TOX,54,FALSE)</f>
        <v>0</v>
      </c>
      <c r="G85" s="144">
        <v>25</v>
      </c>
      <c r="H85" s="145">
        <v>0</v>
      </c>
      <c r="I85" s="146">
        <v>0</v>
      </c>
      <c r="J85" s="146">
        <v>0</v>
      </c>
      <c r="K85" s="173">
        <f>[1]Toxicity!$AZ81/1000</f>
        <v>0</v>
      </c>
      <c r="L85" s="156"/>
      <c r="M85" s="156"/>
      <c r="N85" s="156"/>
      <c r="O85" s="156"/>
      <c r="P85" s="156"/>
    </row>
    <row r="86" spans="1:16" x14ac:dyDescent="0.25">
      <c r="A86" s="172" t="s">
        <v>291</v>
      </c>
      <c r="B86" s="287" t="str">
        <f>VLOOKUP(A86,[1]!TOX, 2, FALSE)</f>
        <v>1634-04-4</v>
      </c>
      <c r="C86" s="143">
        <v>2.37004563726663E-3</v>
      </c>
      <c r="D86" s="143">
        <v>8.6315176473240507E-6</v>
      </c>
      <c r="E86" s="143">
        <f>VLOOKUP(A86,[1]!TOX,56,FALSE)</f>
        <v>2.4021934850220986E-2</v>
      </c>
      <c r="F86" s="143">
        <f>VLOOKUP(A86,[1]!TOX,54,FALSE)</f>
        <v>5.8699999999999996E-4</v>
      </c>
      <c r="G86" s="144">
        <v>25</v>
      </c>
      <c r="H86" s="145">
        <v>7184.34</v>
      </c>
      <c r="I86" s="146">
        <v>328.35</v>
      </c>
      <c r="J86" s="146">
        <v>497.1</v>
      </c>
      <c r="K86" s="173">
        <f>[1]Toxicity!$AZ82/1000</f>
        <v>51000</v>
      </c>
      <c r="L86" s="156"/>
      <c r="M86" s="156"/>
      <c r="N86" s="156"/>
      <c r="O86" s="156"/>
      <c r="P86" s="156"/>
    </row>
    <row r="87" spans="1:16" x14ac:dyDescent="0.25">
      <c r="A87" s="172" t="s">
        <v>292</v>
      </c>
      <c r="B87" s="287" t="str">
        <f>VLOOKUP(A87,[1]!TOX, 2, FALSE)</f>
        <v>91-57-6</v>
      </c>
      <c r="C87" s="143">
        <v>6.2899999999999998E-2</v>
      </c>
      <c r="D87" s="143">
        <v>7.1999999999999997E-6</v>
      </c>
      <c r="E87" s="143">
        <f>VLOOKUP(A87,[1]!TOX,56,FALSE)</f>
        <v>2.1198232116549354E-2</v>
      </c>
      <c r="F87" s="143">
        <f>VLOOKUP(A87,[1]!TOX,54,FALSE)</f>
        <v>5.1800000000000001E-4</v>
      </c>
      <c r="G87" s="144">
        <v>25</v>
      </c>
      <c r="H87" s="145">
        <v>10829.09</v>
      </c>
      <c r="I87" s="146">
        <v>514.15</v>
      </c>
      <c r="J87" s="146">
        <v>761</v>
      </c>
      <c r="K87" s="173">
        <f>[1]Toxicity!$AZ83/1000</f>
        <v>24.6</v>
      </c>
      <c r="L87" s="156"/>
      <c r="M87" s="156"/>
      <c r="N87" s="156"/>
      <c r="O87" s="156"/>
      <c r="P87" s="156"/>
    </row>
    <row r="88" spans="1:16" x14ac:dyDescent="0.25">
      <c r="A88" s="172" t="s">
        <v>293</v>
      </c>
      <c r="B88" s="287" t="str">
        <f>VLOOKUP(A88,[1]!TOX, 2, FALSE)</f>
        <v>91-20-3</v>
      </c>
      <c r="C88" s="143">
        <v>5.8999999999999997E-2</v>
      </c>
      <c r="D88" s="143">
        <v>7.5000000000000002E-6</v>
      </c>
      <c r="E88" s="143">
        <f>VLOOKUP(A88,[1]!TOX,56,FALSE)</f>
        <v>1.8006220330659684E-2</v>
      </c>
      <c r="F88" s="143">
        <f>VLOOKUP(A88,[1]!TOX,54,FALSE)</f>
        <v>4.4000000000000002E-4</v>
      </c>
      <c r="G88" s="144">
        <v>25</v>
      </c>
      <c r="H88" s="145">
        <v>10373</v>
      </c>
      <c r="I88" s="146">
        <v>491.14</v>
      </c>
      <c r="J88" s="146">
        <v>748.4</v>
      </c>
      <c r="K88" s="173">
        <f>[1]Toxicity!$AZ84/1000</f>
        <v>31</v>
      </c>
      <c r="L88" s="156"/>
      <c r="M88" s="156"/>
      <c r="N88" s="156"/>
      <c r="O88" s="156"/>
      <c r="P88" s="156"/>
    </row>
    <row r="89" spans="1:16" x14ac:dyDescent="0.25">
      <c r="A89" s="172" t="s">
        <v>294</v>
      </c>
      <c r="B89" s="287" t="str">
        <f>VLOOKUP(A89,[1]!TOX, 2, FALSE)</f>
        <v>7440-02-0</v>
      </c>
      <c r="C89" s="143">
        <v>0</v>
      </c>
      <c r="D89" s="143">
        <v>0</v>
      </c>
      <c r="E89" s="143">
        <f>VLOOKUP(A89,[1]!TOX,56,FALSE)</f>
        <v>0</v>
      </c>
      <c r="F89" s="143">
        <f>VLOOKUP(A89,[1]!TOX,54,FALSE)</f>
        <v>0</v>
      </c>
      <c r="G89" s="144">
        <v>25</v>
      </c>
      <c r="H89" s="145">
        <v>0</v>
      </c>
      <c r="I89" s="146">
        <v>0</v>
      </c>
      <c r="J89" s="146">
        <v>0</v>
      </c>
      <c r="K89" s="173">
        <f>[1]Toxicity!$AZ85/1000</f>
        <v>0</v>
      </c>
      <c r="L89" s="156"/>
      <c r="M89" s="156"/>
      <c r="N89" s="156"/>
      <c r="O89" s="156"/>
      <c r="P89" s="156"/>
    </row>
    <row r="90" spans="1:16" x14ac:dyDescent="0.25">
      <c r="A90" s="172" t="s">
        <v>295</v>
      </c>
      <c r="B90" s="287" t="str">
        <f>VLOOKUP(A90,[1]!TOX, 2, FALSE)</f>
        <v>87-86-5</v>
      </c>
      <c r="C90" s="143">
        <v>5.6000000000000001E-2</v>
      </c>
      <c r="D90" s="143">
        <v>6.1E-6</v>
      </c>
      <c r="E90" s="143">
        <f>VLOOKUP(A90,[1]!TOX,56,FALSE)</f>
        <v>1.0026190865935506E-6</v>
      </c>
      <c r="F90" s="143">
        <f>VLOOKUP(A90,[1]!TOX,54,FALSE)</f>
        <v>2.4500000000000001E-8</v>
      </c>
      <c r="G90" s="144">
        <v>25</v>
      </c>
      <c r="H90" s="145">
        <v>14000</v>
      </c>
      <c r="I90" s="146">
        <v>582.15</v>
      </c>
      <c r="J90" s="146">
        <v>813.2</v>
      </c>
      <c r="K90" s="173">
        <f>[1]Toxicity!$AZ86/1000</f>
        <v>14</v>
      </c>
      <c r="L90" s="156"/>
      <c r="M90" s="156"/>
      <c r="N90" s="156"/>
      <c r="O90" s="156"/>
      <c r="P90" s="156"/>
    </row>
    <row r="91" spans="1:16" ht="23" x14ac:dyDescent="0.25">
      <c r="A91" s="172" t="s">
        <v>394</v>
      </c>
      <c r="B91" s="287" t="str">
        <f>VLOOKUP(A91,[1]!TOX, 2, FALSE)</f>
        <v>NA</v>
      </c>
      <c r="C91" s="143"/>
      <c r="D91" s="143"/>
      <c r="E91" s="143"/>
      <c r="F91" s="143"/>
      <c r="G91" s="144">
        <v>25</v>
      </c>
      <c r="H91" s="145"/>
      <c r="I91" s="146"/>
      <c r="J91" s="146"/>
      <c r="K91" s="173"/>
      <c r="L91" s="156"/>
      <c r="M91" s="156"/>
      <c r="N91" s="156"/>
      <c r="O91" s="156"/>
      <c r="P91" s="156"/>
    </row>
    <row r="92" spans="1:16" x14ac:dyDescent="0.25">
      <c r="A92" s="172" t="s">
        <v>395</v>
      </c>
      <c r="B92" s="287" t="str">
        <f>VLOOKUP(A92,[1]!TOX, 2, FALSE)</f>
        <v>335-76-2</v>
      </c>
      <c r="C92" s="143"/>
      <c r="D92" s="143"/>
      <c r="E92" s="143"/>
      <c r="F92" s="143"/>
      <c r="G92" s="144"/>
      <c r="H92" s="145"/>
      <c r="I92" s="146"/>
      <c r="J92" s="146"/>
      <c r="K92" s="173"/>
      <c r="L92" s="156"/>
      <c r="M92" s="156"/>
      <c r="N92" s="156"/>
      <c r="O92" s="156"/>
      <c r="P92" s="156"/>
    </row>
    <row r="93" spans="1:16" x14ac:dyDescent="0.25">
      <c r="A93" s="172" t="s">
        <v>390</v>
      </c>
      <c r="B93" s="287" t="str">
        <f>VLOOKUP(A93,[1]!TOX, 2, FALSE)</f>
        <v>375-85-9</v>
      </c>
      <c r="C93" s="143"/>
      <c r="D93" s="143"/>
      <c r="E93" s="143">
        <f>VLOOKUP(A93,[1]!TOX,56,FALSE)</f>
        <v>0</v>
      </c>
      <c r="F93" s="143">
        <f>VLOOKUP(A93,[1]!TOX,54,FALSE)</f>
        <v>0</v>
      </c>
      <c r="G93" s="144">
        <v>25</v>
      </c>
      <c r="H93" s="145"/>
      <c r="I93" s="146"/>
      <c r="J93" s="146"/>
      <c r="K93" s="173"/>
      <c r="L93" s="156"/>
      <c r="M93" s="156"/>
      <c r="N93" s="156"/>
      <c r="O93" s="156"/>
      <c r="P93" s="156"/>
    </row>
    <row r="94" spans="1:16" x14ac:dyDescent="0.25">
      <c r="A94" s="172" t="s">
        <v>391</v>
      </c>
      <c r="B94" s="287" t="str">
        <f>VLOOKUP(A94,[1]!TOX, 2, FALSE)</f>
        <v>335-46-4</v>
      </c>
      <c r="C94" s="143"/>
      <c r="D94" s="143"/>
      <c r="E94" s="143">
        <f>VLOOKUP(A94,[1]!TOX,56,FALSE)</f>
        <v>0</v>
      </c>
      <c r="F94" s="143">
        <f>VLOOKUP(A94,[1]!TOX,54,FALSE)</f>
        <v>0</v>
      </c>
      <c r="G94" s="144">
        <v>25</v>
      </c>
      <c r="H94" s="145"/>
      <c r="I94" s="146"/>
      <c r="J94" s="146"/>
      <c r="K94" s="173"/>
      <c r="L94" s="156"/>
      <c r="M94" s="156"/>
      <c r="N94" s="156"/>
      <c r="O94" s="156"/>
      <c r="P94" s="156"/>
    </row>
    <row r="95" spans="1:16" x14ac:dyDescent="0.25">
      <c r="A95" s="172" t="s">
        <v>389</v>
      </c>
      <c r="B95" s="287" t="str">
        <f>VLOOKUP(A95,[1]!TOX, 2, FALSE)</f>
        <v>335-67-1</v>
      </c>
      <c r="C95" s="143"/>
      <c r="D95" s="143"/>
      <c r="E95" s="143">
        <f>VLOOKUP(A95,[1]!TOX,56,FALSE)</f>
        <v>0</v>
      </c>
      <c r="F95" s="143">
        <f>VLOOKUP(A95,[1]!TOX,54,FALSE)</f>
        <v>0</v>
      </c>
      <c r="G95" s="144">
        <v>25</v>
      </c>
      <c r="H95" s="145"/>
      <c r="I95" s="146"/>
      <c r="J95" s="146"/>
      <c r="K95" s="173"/>
      <c r="L95" s="156"/>
      <c r="M95" s="156"/>
      <c r="N95" s="156"/>
      <c r="O95" s="156"/>
      <c r="P95" s="156"/>
    </row>
    <row r="96" spans="1:16" x14ac:dyDescent="0.25">
      <c r="A96" s="172" t="s">
        <v>393</v>
      </c>
      <c r="B96" s="287" t="str">
        <f>VLOOKUP(A96,[1]!TOX, 2, FALSE)</f>
        <v>1763-23-1</v>
      </c>
      <c r="C96" s="143"/>
      <c r="D96" s="143"/>
      <c r="E96" s="143">
        <f>VLOOKUP(A96,[1]!TOX,56,FALSE)</f>
        <v>0</v>
      </c>
      <c r="F96" s="143">
        <f>VLOOKUP(A96,[1]!TOX,54,FALSE)</f>
        <v>0</v>
      </c>
      <c r="G96" s="144">
        <v>25</v>
      </c>
      <c r="H96" s="145"/>
      <c r="I96" s="146"/>
      <c r="J96" s="146"/>
      <c r="K96" s="173"/>
      <c r="L96" s="156"/>
      <c r="M96" s="156"/>
      <c r="N96" s="156"/>
      <c r="O96" s="156"/>
      <c r="P96" s="156"/>
    </row>
    <row r="97" spans="1:16" x14ac:dyDescent="0.25">
      <c r="A97" s="172" t="s">
        <v>392</v>
      </c>
      <c r="B97" s="287" t="str">
        <f>VLOOKUP(A97,[1]!TOX, 2, FALSE)</f>
        <v>375-95-1</v>
      </c>
      <c r="C97" s="143"/>
      <c r="D97" s="143"/>
      <c r="E97" s="143">
        <f>VLOOKUP(A97,[1]!TOX,56,FALSE)</f>
        <v>0</v>
      </c>
      <c r="F97" s="143">
        <f>VLOOKUP(A97,[1]!TOX,54,FALSE)</f>
        <v>0</v>
      </c>
      <c r="G97" s="144">
        <v>25</v>
      </c>
      <c r="H97" s="145"/>
      <c r="I97" s="146"/>
      <c r="J97" s="146"/>
      <c r="K97" s="173"/>
      <c r="L97" s="156"/>
      <c r="M97" s="156"/>
      <c r="N97" s="156"/>
      <c r="O97" s="156"/>
      <c r="P97" s="156"/>
    </row>
    <row r="98" spans="1:16" x14ac:dyDescent="0.25">
      <c r="A98" s="172" t="s">
        <v>381</v>
      </c>
      <c r="B98" s="287" t="str">
        <f>VLOOKUP(A98,[1]!TOX, 2, FALSE)</f>
        <v>NA</v>
      </c>
      <c r="C98" s="143"/>
      <c r="D98" s="143"/>
      <c r="E98" s="143">
        <f>VLOOKUP(A98,[1]!TOX,56,FALSE)</f>
        <v>0</v>
      </c>
      <c r="F98" s="143">
        <f>VLOOKUP(A98,[1]!TOX,54,FALSE)</f>
        <v>0</v>
      </c>
      <c r="G98" s="144">
        <v>25</v>
      </c>
      <c r="H98" s="145"/>
      <c r="I98" s="146"/>
      <c r="J98" s="146"/>
      <c r="K98" s="173">
        <f>[1]Toxicity!$AZ94/1000</f>
        <v>0</v>
      </c>
      <c r="L98" s="156"/>
      <c r="M98" s="156"/>
      <c r="N98" s="156"/>
      <c r="O98" s="156"/>
      <c r="P98" s="156"/>
    </row>
    <row r="99" spans="1:16" x14ac:dyDescent="0.25">
      <c r="A99" s="172" t="s">
        <v>296</v>
      </c>
      <c r="B99" s="287" t="str">
        <f>VLOOKUP(A99,[1]!TOX, 2, FALSE)</f>
        <v>NA</v>
      </c>
      <c r="C99" s="143"/>
      <c r="D99" s="143"/>
      <c r="E99" s="143">
        <f>VLOOKUP(A99,[1]!TOX,56,FALSE)</f>
        <v>0</v>
      </c>
      <c r="F99" s="143">
        <f>VLOOKUP(A99,[1]!TOX,54,FALSE)</f>
        <v>0</v>
      </c>
      <c r="G99" s="144">
        <v>25</v>
      </c>
      <c r="H99" s="145"/>
      <c r="I99" s="146"/>
      <c r="J99" s="146"/>
      <c r="K99" s="173">
        <f>[1]Toxicity!$AZ95/1000</f>
        <v>0</v>
      </c>
      <c r="L99" s="156"/>
      <c r="M99" s="156"/>
      <c r="N99" s="156"/>
      <c r="O99" s="156"/>
      <c r="P99" s="156"/>
    </row>
    <row r="100" spans="1:16" ht="23" x14ac:dyDescent="0.25">
      <c r="A100" s="267" t="s">
        <v>413</v>
      </c>
      <c r="B100" s="287" t="str">
        <f>VLOOKUP(A100,[1]!TOX, 2, FALSE)</f>
        <v>NA</v>
      </c>
      <c r="C100" s="143">
        <v>0.08</v>
      </c>
      <c r="D100" s="143">
        <v>9.9999999999999995E-7</v>
      </c>
      <c r="E100" s="143">
        <f>VLOOKUP(A100,[1]!TOX,56,FALSE)</f>
        <v>54</v>
      </c>
      <c r="F100" s="143">
        <f>VLOOKUP(A100,[1]!TOX,54,FALSE)</f>
        <v>1.296</v>
      </c>
      <c r="G100" s="144">
        <v>25</v>
      </c>
      <c r="H100" s="145">
        <v>0</v>
      </c>
      <c r="I100" s="146">
        <v>0</v>
      </c>
      <c r="J100" s="146">
        <v>0</v>
      </c>
      <c r="K100" s="173">
        <f>[1]Toxicity!$AZ96/1000</f>
        <v>11</v>
      </c>
      <c r="L100" s="156"/>
      <c r="M100" s="156"/>
      <c r="N100" s="156"/>
      <c r="O100" s="156"/>
      <c r="P100" s="156"/>
    </row>
    <row r="101" spans="1:16" ht="23" x14ac:dyDescent="0.25">
      <c r="A101" s="172" t="s">
        <v>414</v>
      </c>
      <c r="B101" s="287" t="str">
        <f>VLOOKUP(A101,[1]!TOX, 2, FALSE)</f>
        <v>NA</v>
      </c>
      <c r="C101" s="143">
        <v>7.0000000000000007E-2</v>
      </c>
      <c r="D101" s="143">
        <v>9.9999999999999995E-7</v>
      </c>
      <c r="E101" s="143">
        <f>VLOOKUP(A101,[1]!TOX,56,FALSE)</f>
        <v>65</v>
      </c>
      <c r="F101" s="143">
        <f>VLOOKUP(A101,[1]!TOX,54,FALSE)</f>
        <v>1.56</v>
      </c>
      <c r="G101" s="144">
        <v>25</v>
      </c>
      <c r="H101" s="145">
        <v>0</v>
      </c>
      <c r="I101" s="146">
        <v>0</v>
      </c>
      <c r="J101" s="146">
        <v>0</v>
      </c>
      <c r="K101" s="173">
        <f>[1]Toxicity!$AZ97/1000</f>
        <v>7.0000000000000007E-2</v>
      </c>
      <c r="L101" s="156"/>
      <c r="M101" s="156"/>
      <c r="N101" s="156"/>
      <c r="O101" s="156"/>
      <c r="P101" s="156"/>
    </row>
    <row r="102" spans="1:16" ht="23" x14ac:dyDescent="0.25">
      <c r="A102" s="268" t="s">
        <v>415</v>
      </c>
      <c r="B102" s="287" t="str">
        <f>VLOOKUP(A102,[1]!TOX, 2, FALSE)</f>
        <v>NA</v>
      </c>
      <c r="C102" s="143">
        <v>7.0000000000000007E-2</v>
      </c>
      <c r="D102" s="143">
        <v>5.0000000000000004E-6</v>
      </c>
      <c r="E102" s="143">
        <f>VLOOKUP(A102,[1]!TOX,56,FALSE)</f>
        <v>69</v>
      </c>
      <c r="F102" s="143">
        <f>VLOOKUP(A102,[1]!TOX,54,FALSE)</f>
        <v>1.6560000000000001</v>
      </c>
      <c r="G102" s="144">
        <v>25</v>
      </c>
      <c r="H102" s="145">
        <v>0</v>
      </c>
      <c r="I102" s="146">
        <v>0</v>
      </c>
      <c r="J102" s="146">
        <v>0</v>
      </c>
      <c r="K102" s="173">
        <f>[1]Toxicity!$AZ98/1000</f>
        <v>0.01</v>
      </c>
      <c r="L102" s="156"/>
      <c r="M102" s="156"/>
      <c r="N102" s="156"/>
      <c r="O102" s="156"/>
      <c r="P102" s="156"/>
    </row>
    <row r="103" spans="1:16" ht="23" x14ac:dyDescent="0.25">
      <c r="A103" s="172" t="s">
        <v>416</v>
      </c>
      <c r="B103" s="287" t="str">
        <f>VLOOKUP(A103,[1]!TOX, 2, FALSE)</f>
        <v>NA</v>
      </c>
      <c r="C103" s="143">
        <v>0</v>
      </c>
      <c r="D103" s="143">
        <v>0</v>
      </c>
      <c r="E103" s="143">
        <f>VLOOKUP(A103,[1]!TOX,56,FALSE)</f>
        <v>0</v>
      </c>
      <c r="F103" s="143">
        <f>VLOOKUP(A103,[1]!TOX,54,FALSE)</f>
        <v>0</v>
      </c>
      <c r="G103" s="144">
        <v>25</v>
      </c>
      <c r="H103" s="145">
        <v>0</v>
      </c>
      <c r="I103" s="146">
        <v>0</v>
      </c>
      <c r="J103" s="146">
        <v>0</v>
      </c>
      <c r="K103" s="173">
        <f>[1]Toxicity!$AZ99/1000</f>
        <v>0</v>
      </c>
      <c r="L103" s="156"/>
      <c r="M103" s="156"/>
      <c r="N103" s="156"/>
      <c r="O103" s="156"/>
      <c r="P103" s="156"/>
    </row>
    <row r="104" spans="1:16" ht="23" x14ac:dyDescent="0.25">
      <c r="A104" s="267" t="s">
        <v>417</v>
      </c>
      <c r="B104" s="287" t="str">
        <f>VLOOKUP(A104,[1]!TOX, 2, FALSE)</f>
        <v>NA</v>
      </c>
      <c r="C104" s="143">
        <v>7.0000000000000007E-2</v>
      </c>
      <c r="D104" s="143">
        <v>9.9999999999999995E-7</v>
      </c>
      <c r="E104" s="143">
        <f>VLOOKUP(A104,[1]!TOX,56,FALSE)</f>
        <v>0.33</v>
      </c>
      <c r="F104" s="143">
        <f>VLOOKUP(A104,[1]!TOX,54,FALSE)</f>
        <v>7.92E-3</v>
      </c>
      <c r="G104" s="144">
        <v>25</v>
      </c>
      <c r="H104" s="145">
        <v>0</v>
      </c>
      <c r="I104" s="146">
        <v>0</v>
      </c>
      <c r="J104" s="146">
        <v>0</v>
      </c>
      <c r="K104" s="173">
        <f>[1]Toxicity!$AZ100/1000</f>
        <v>51</v>
      </c>
      <c r="L104" s="156"/>
      <c r="M104" s="156"/>
      <c r="N104" s="156"/>
      <c r="O104" s="156"/>
      <c r="P104" s="156"/>
    </row>
    <row r="105" spans="1:16" ht="23" x14ac:dyDescent="0.25">
      <c r="A105" s="172" t="s">
        <v>418</v>
      </c>
      <c r="B105" s="287" t="str">
        <f>VLOOKUP(A105,[1]!TOX, 2, FALSE)</f>
        <v>NA</v>
      </c>
      <c r="C105" s="143">
        <v>0.06</v>
      </c>
      <c r="D105" s="143">
        <v>9.9999999999999995E-7</v>
      </c>
      <c r="E105" s="143">
        <f>VLOOKUP(A105,[1]!TOX,56,FALSE)</f>
        <v>0.03</v>
      </c>
      <c r="F105" s="143">
        <f>VLOOKUP(A105,[1]!TOX,54,FALSE)</f>
        <v>7.1999999999999994E-4</v>
      </c>
      <c r="G105" s="144">
        <v>25</v>
      </c>
      <c r="H105" s="145">
        <v>0</v>
      </c>
      <c r="I105" s="146">
        <v>0</v>
      </c>
      <c r="J105" s="146">
        <v>0</v>
      </c>
      <c r="K105" s="173">
        <f>[1]Toxicity!$AZ101/1000</f>
        <v>5.8</v>
      </c>
      <c r="L105" s="156"/>
      <c r="M105" s="156"/>
      <c r="N105" s="156"/>
      <c r="O105" s="156"/>
      <c r="P105" s="156"/>
    </row>
    <row r="106" spans="1:16" x14ac:dyDescent="0.25">
      <c r="A106" s="172" t="s">
        <v>297</v>
      </c>
      <c r="B106" s="287" t="str">
        <f>VLOOKUP(A106,[1]!TOX, 2, FALSE)</f>
        <v>85-01-8</v>
      </c>
      <c r="C106" s="143">
        <v>3.3300000000000003E-2</v>
      </c>
      <c r="D106" s="143">
        <v>7.4699999999999996E-6</v>
      </c>
      <c r="E106" s="143">
        <f>VLOOKUP(A106,[1]!TOX,56,FALSE)</f>
        <v>1.7310525454247831E-3</v>
      </c>
      <c r="F106" s="143">
        <f>VLOOKUP(A106,[1]!TOX,54,FALSE)</f>
        <v>4.2299999999999998E-5</v>
      </c>
      <c r="G106" s="144">
        <v>25</v>
      </c>
      <c r="H106" s="145">
        <v>13145.73127428981</v>
      </c>
      <c r="I106" s="146">
        <v>613.15</v>
      </c>
      <c r="J106" s="146">
        <v>869</v>
      </c>
      <c r="K106" s="173">
        <f>[1]Toxicity!$AZ102/1000</f>
        <v>1.1499999999999999</v>
      </c>
      <c r="L106" s="156"/>
      <c r="M106" s="156"/>
      <c r="N106" s="156"/>
      <c r="O106" s="156"/>
      <c r="P106" s="156"/>
    </row>
    <row r="107" spans="1:16" x14ac:dyDescent="0.25">
      <c r="A107" s="172" t="s">
        <v>298</v>
      </c>
      <c r="B107" s="287" t="str">
        <f>VLOOKUP(A107,[1]!TOX, 2, FALSE)</f>
        <v>108-95-2</v>
      </c>
      <c r="C107" s="143">
        <v>8.2000000000000003E-2</v>
      </c>
      <c r="D107" s="143">
        <v>9.0999999999999993E-6</v>
      </c>
      <c r="E107" s="143">
        <f>VLOOKUP(A107,[1]!TOX,56,FALSE)</f>
        <v>1.3627434932067441E-5</v>
      </c>
      <c r="F107" s="143">
        <f>VLOOKUP(A107,[1]!TOX,54,FALSE)</f>
        <v>3.3299999999999998E-7</v>
      </c>
      <c r="G107" s="144">
        <v>25</v>
      </c>
      <c r="H107" s="145">
        <v>10920</v>
      </c>
      <c r="I107" s="146">
        <v>455.02</v>
      </c>
      <c r="J107" s="146">
        <v>694.2</v>
      </c>
      <c r="K107" s="173">
        <f>[1]Toxicity!$AZ103/1000</f>
        <v>82800</v>
      </c>
      <c r="L107" s="156"/>
      <c r="M107" s="156"/>
      <c r="N107" s="156"/>
      <c r="O107" s="156"/>
      <c r="P107" s="156"/>
    </row>
    <row r="108" spans="1:16" x14ac:dyDescent="0.25">
      <c r="A108" s="172" t="s">
        <v>299</v>
      </c>
      <c r="B108" s="287" t="str">
        <f>VLOOKUP(A108,[1]!TOX, 2, FALSE)</f>
        <v>1336-36-3</v>
      </c>
      <c r="C108" s="143">
        <v>1.38E-2</v>
      </c>
      <c r="D108" s="143">
        <v>4.3200000000000001E-6</v>
      </c>
      <c r="E108" s="143">
        <f>VLOOKUP(A108,[1]!TOX,56,FALSE)</f>
        <v>1.6983139630054021E-2</v>
      </c>
      <c r="F108" s="143">
        <f>VLOOKUP(A108,[1]!TOX,54,FALSE)</f>
        <v>4.15E-4</v>
      </c>
      <c r="G108" s="144">
        <v>25</v>
      </c>
      <c r="H108" s="145">
        <v>19000</v>
      </c>
      <c r="I108" s="146">
        <v>402.5</v>
      </c>
      <c r="J108" s="146">
        <v>539.37</v>
      </c>
      <c r="K108" s="173">
        <f>[1]Toxicity!$AZ104/1000</f>
        <v>0.7</v>
      </c>
      <c r="L108" s="156"/>
      <c r="M108" s="156"/>
      <c r="N108" s="156"/>
      <c r="O108" s="156"/>
      <c r="P108" s="156"/>
    </row>
    <row r="109" spans="1:16" x14ac:dyDescent="0.25">
      <c r="A109" s="172" t="s">
        <v>300</v>
      </c>
      <c r="B109" s="287" t="str">
        <f>VLOOKUP(A109,[1]!TOX, 2, FALSE)</f>
        <v>129-00-0</v>
      </c>
      <c r="C109" s="143">
        <v>2.7199999999999998E-2</v>
      </c>
      <c r="D109" s="143">
        <v>7.2400000000000001E-6</v>
      </c>
      <c r="E109" s="143">
        <f>VLOOKUP(A109,[1]!TOX,56,FALSE)</f>
        <v>4.8698641348829597E-4</v>
      </c>
      <c r="F109" s="143">
        <f>VLOOKUP(A109,[1]!TOX,54,FALSE)</f>
        <v>1.19E-5</v>
      </c>
      <c r="G109" s="144">
        <v>25</v>
      </c>
      <c r="H109" s="145">
        <v>14370</v>
      </c>
      <c r="I109" s="146">
        <v>667.95</v>
      </c>
      <c r="J109" s="146">
        <v>936</v>
      </c>
      <c r="K109" s="173">
        <f>[1]Toxicity!$AZ105/1000</f>
        <v>0.13500000000000001</v>
      </c>
      <c r="L109" s="156"/>
      <c r="M109" s="156"/>
      <c r="N109" s="156"/>
      <c r="O109" s="156"/>
      <c r="P109" s="156"/>
    </row>
    <row r="110" spans="1:16" x14ac:dyDescent="0.25">
      <c r="A110" s="172" t="s">
        <v>301</v>
      </c>
      <c r="B110" s="287" t="str">
        <f>VLOOKUP(A110,[1]!TOX, 2, FALSE)</f>
        <v>121-82-4</v>
      </c>
      <c r="C110" s="143">
        <v>5.1999999999999998E-2</v>
      </c>
      <c r="D110" s="143">
        <v>6.0000000000000002E-6</v>
      </c>
      <c r="E110" s="143">
        <f>VLOOKUP(A110,[1]!TOX,56,FALSE)</f>
        <v>2.5863480111311181E-6</v>
      </c>
      <c r="F110" s="143">
        <f>VLOOKUP(A110,[1]!TOX,54,FALSE)</f>
        <v>6.3199999999999997E-8</v>
      </c>
      <c r="G110" s="144">
        <v>25</v>
      </c>
      <c r="H110" s="145">
        <v>0</v>
      </c>
      <c r="I110" s="146">
        <v>0</v>
      </c>
      <c r="J110" s="146">
        <v>0</v>
      </c>
      <c r="K110" s="173">
        <f>[1]Toxicity!$AZ106/1000</f>
        <v>59.7</v>
      </c>
      <c r="L110" s="156"/>
      <c r="M110" s="156"/>
      <c r="N110" s="156"/>
      <c r="O110" s="156"/>
      <c r="P110" s="156"/>
    </row>
    <row r="111" spans="1:16" x14ac:dyDescent="0.25">
      <c r="A111" s="172" t="s">
        <v>302</v>
      </c>
      <c r="B111" s="287" t="str">
        <f>VLOOKUP(A111,[1]!TOX, 2, FALSE)</f>
        <v>7782-49-2</v>
      </c>
      <c r="C111" s="143">
        <v>0</v>
      </c>
      <c r="D111" s="143">
        <v>0</v>
      </c>
      <c r="E111" s="143">
        <f>VLOOKUP(A111,[1]!TOX,56,FALSE)</f>
        <v>0</v>
      </c>
      <c r="F111" s="143">
        <f>VLOOKUP(A111,[1]!TOX,54,FALSE)</f>
        <v>0</v>
      </c>
      <c r="G111" s="144">
        <v>25</v>
      </c>
      <c r="H111" s="145">
        <v>0</v>
      </c>
      <c r="I111" s="146">
        <v>0</v>
      </c>
      <c r="J111" s="146">
        <v>0</v>
      </c>
      <c r="K111" s="173">
        <f>[1]Toxicity!$AZ107/1000</f>
        <v>0</v>
      </c>
      <c r="L111" s="156"/>
      <c r="M111" s="156"/>
      <c r="N111" s="156"/>
      <c r="O111" s="156"/>
      <c r="P111" s="156"/>
    </row>
    <row r="112" spans="1:16" x14ac:dyDescent="0.25">
      <c r="A112" s="172" t="s">
        <v>303</v>
      </c>
      <c r="B112" s="287" t="str">
        <f>VLOOKUP(A112,[1]!TOX, 2, FALSE)</f>
        <v>7440-22-4</v>
      </c>
      <c r="C112" s="143">
        <v>0</v>
      </c>
      <c r="D112" s="143">
        <v>0</v>
      </c>
      <c r="E112" s="143">
        <f>VLOOKUP(A112,[1]!TOX,56,FALSE)</f>
        <v>0</v>
      </c>
      <c r="F112" s="143">
        <f>VLOOKUP(A112,[1]!TOX,54,FALSE)</f>
        <v>0</v>
      </c>
      <c r="G112" s="144">
        <v>25</v>
      </c>
      <c r="H112" s="145">
        <v>0</v>
      </c>
      <c r="I112" s="146">
        <v>0</v>
      </c>
      <c r="J112" s="146">
        <v>0</v>
      </c>
      <c r="K112" s="173">
        <f>[1]Toxicity!$AZ108/1000</f>
        <v>0</v>
      </c>
      <c r="L112" s="156"/>
      <c r="M112" s="156"/>
      <c r="N112" s="156"/>
      <c r="O112" s="156"/>
      <c r="P112" s="156"/>
    </row>
    <row r="113" spans="1:16" x14ac:dyDescent="0.25">
      <c r="A113" s="172" t="s">
        <v>304</v>
      </c>
      <c r="B113" s="287" t="str">
        <f>VLOOKUP(A113,[1]!TOX, 2, FALSE)</f>
        <v>100-42-5</v>
      </c>
      <c r="C113" s="143">
        <v>7.0999999999999994E-2</v>
      </c>
      <c r="D113" s="143">
        <v>7.9999999999999996E-6</v>
      </c>
      <c r="E113" s="143">
        <f>VLOOKUP(A113,[1]!TOX,56,FALSE)</f>
        <v>0.11253887706662301</v>
      </c>
      <c r="F113" s="143">
        <f>VLOOKUP(A113,[1]!TOX,54,FALSE)</f>
        <v>2.7499999999999998E-3</v>
      </c>
      <c r="G113" s="144">
        <v>25</v>
      </c>
      <c r="H113" s="145">
        <v>8737</v>
      </c>
      <c r="I113" s="146">
        <v>418.31</v>
      </c>
      <c r="J113" s="146">
        <v>636</v>
      </c>
      <c r="K113" s="173">
        <f>[1]Toxicity!$AZ109/1000</f>
        <v>310</v>
      </c>
      <c r="L113" s="156"/>
      <c r="M113" s="156"/>
      <c r="N113" s="156"/>
      <c r="O113" s="156"/>
      <c r="P113" s="156"/>
    </row>
    <row r="114" spans="1:16" x14ac:dyDescent="0.25">
      <c r="A114" s="172" t="s">
        <v>305</v>
      </c>
      <c r="B114" s="287" t="str">
        <f>VLOOKUP(A114,[1]!TOX, 2, FALSE)</f>
        <v>1746-01-6</v>
      </c>
      <c r="C114" s="143">
        <v>4.7E-2</v>
      </c>
      <c r="D114" s="143">
        <v>7.9999999999999996E-6</v>
      </c>
      <c r="E114" s="143">
        <f>VLOOKUP(A114,[1]!TOX,56,FALSE)</f>
        <v>2.0461614012113275E-3</v>
      </c>
      <c r="F114" s="143">
        <f>VLOOKUP(A114,[1]!TOX,54,FALSE)</f>
        <v>5.0000000000000002E-5</v>
      </c>
      <c r="G114" s="144">
        <v>25</v>
      </c>
      <c r="H114" s="145">
        <v>25362.429560764776</v>
      </c>
      <c r="I114" s="146">
        <v>694.35</v>
      </c>
      <c r="J114" s="146">
        <v>1233.7648053218234</v>
      </c>
      <c r="K114" s="173">
        <f>[1]Toxicity!$AZ110/1000</f>
        <v>2.0000000000000001E-4</v>
      </c>
      <c r="L114" s="156"/>
      <c r="M114" s="156"/>
      <c r="N114" s="156"/>
      <c r="O114" s="156"/>
      <c r="P114" s="156"/>
    </row>
    <row r="115" spans="1:16" x14ac:dyDescent="0.25">
      <c r="A115" s="172" t="s">
        <v>306</v>
      </c>
      <c r="B115" s="287" t="str">
        <f>VLOOKUP(A115,[1]!TOX, 2, FALSE)</f>
        <v>630-20-6</v>
      </c>
      <c r="C115" s="143">
        <v>7.0999999999999994E-2</v>
      </c>
      <c r="D115" s="143">
        <v>7.9000000000000006E-6</v>
      </c>
      <c r="E115" s="143">
        <f>VLOOKUP(A115,[1]!TOX,56,FALSE)</f>
        <v>0.10026190865935505</v>
      </c>
      <c r="F115" s="143">
        <f>VLOOKUP(A115,[1]!TOX,54,FALSE)</f>
        <v>2.4499999999999999E-3</v>
      </c>
      <c r="G115" s="144">
        <v>25</v>
      </c>
      <c r="H115" s="145">
        <v>10078.629999999999</v>
      </c>
      <c r="I115" s="146">
        <v>403.65</v>
      </c>
      <c r="J115" s="146">
        <v>624</v>
      </c>
      <c r="K115" s="173">
        <f>[1]Toxicity!$AZ111/1000</f>
        <v>1070</v>
      </c>
      <c r="L115" s="156"/>
      <c r="M115" s="156"/>
      <c r="N115" s="156"/>
      <c r="O115" s="156"/>
      <c r="P115" s="156"/>
    </row>
    <row r="116" spans="1:16" x14ac:dyDescent="0.25">
      <c r="A116" s="172" t="s">
        <v>307</v>
      </c>
      <c r="B116" s="287" t="str">
        <f>VLOOKUP(A116,[1]!TOX, 2, FALSE)</f>
        <v>79-34-5</v>
      </c>
      <c r="C116" s="143">
        <v>7.0999999999999994E-2</v>
      </c>
      <c r="D116" s="143">
        <v>7.9000000000000006E-6</v>
      </c>
      <c r="E116" s="143">
        <f>VLOOKUP(A116,[1]!TOX,56,FALSE)</f>
        <v>1.5018824684891144E-2</v>
      </c>
      <c r="F116" s="143">
        <f>VLOOKUP(A116,[1]!TOX,54,FALSE)</f>
        <v>3.6699999999999998E-4</v>
      </c>
      <c r="G116" s="144">
        <v>25</v>
      </c>
      <c r="H116" s="145">
        <v>8996</v>
      </c>
      <c r="I116" s="146">
        <v>419.6</v>
      </c>
      <c r="J116" s="146">
        <v>661.15</v>
      </c>
      <c r="K116" s="173">
        <f>[1]Toxicity!$AZ112/1000</f>
        <v>2830</v>
      </c>
      <c r="L116" s="156"/>
      <c r="M116" s="156"/>
      <c r="N116" s="156"/>
      <c r="O116" s="156"/>
      <c r="P116" s="156"/>
    </row>
    <row r="117" spans="1:16" x14ac:dyDescent="0.25">
      <c r="A117" s="172" t="s">
        <v>308</v>
      </c>
      <c r="B117" s="287" t="str">
        <f>VLOOKUP(A117,[1]!TOX, 2, FALSE)</f>
        <v>127-18-4</v>
      </c>
      <c r="C117" s="143">
        <v>7.1999999999999995E-2</v>
      </c>
      <c r="D117" s="143">
        <v>8.1999999999999994E-6</v>
      </c>
      <c r="E117" s="143">
        <f>VLOOKUP(A117,[1]!TOX,56,FALSE)</f>
        <v>0.72434113602881001</v>
      </c>
      <c r="F117" s="143">
        <f>VLOOKUP(A117,[1]!TOX,54,FALSE)</f>
        <v>1.77E-2</v>
      </c>
      <c r="G117" s="144">
        <v>25</v>
      </c>
      <c r="H117" s="145">
        <v>8288</v>
      </c>
      <c r="I117" s="146">
        <v>394.4</v>
      </c>
      <c r="J117" s="146">
        <v>620.20000000000005</v>
      </c>
      <c r="K117" s="173">
        <f>[1]Toxicity!$AZ113/1000</f>
        <v>206</v>
      </c>
      <c r="L117" s="156"/>
      <c r="M117" s="156"/>
      <c r="N117" s="156"/>
      <c r="O117" s="156"/>
      <c r="P117" s="156"/>
    </row>
    <row r="118" spans="1:16" x14ac:dyDescent="0.25">
      <c r="A118" s="172" t="s">
        <v>309</v>
      </c>
      <c r="B118" s="287" t="str">
        <f>VLOOKUP(A118,[1]!TOX, 2, FALSE)</f>
        <v>7440-28-0</v>
      </c>
      <c r="C118" s="143">
        <v>0</v>
      </c>
      <c r="D118" s="143">
        <v>0</v>
      </c>
      <c r="E118" s="143">
        <f>VLOOKUP(A118,[1]!TOX,56,FALSE)</f>
        <v>0</v>
      </c>
      <c r="F118" s="143">
        <f>VLOOKUP(A118,[1]!TOX,54,FALSE)</f>
        <v>0</v>
      </c>
      <c r="G118" s="144">
        <v>25</v>
      </c>
      <c r="H118" s="145">
        <v>0</v>
      </c>
      <c r="I118" s="146">
        <v>0</v>
      </c>
      <c r="J118" s="146">
        <v>0</v>
      </c>
      <c r="K118" s="173">
        <f>[1]Toxicity!$AZ114/1000</f>
        <v>0</v>
      </c>
      <c r="L118" s="156"/>
      <c r="M118" s="156"/>
      <c r="N118" s="156"/>
      <c r="O118" s="156"/>
      <c r="P118" s="156"/>
    </row>
    <row r="119" spans="1:16" x14ac:dyDescent="0.25">
      <c r="A119" s="172" t="s">
        <v>310</v>
      </c>
      <c r="B119" s="287" t="str">
        <f>VLOOKUP(A119,[1]!TOX, 2, FALSE)</f>
        <v>108-88-3</v>
      </c>
      <c r="C119" s="143">
        <v>8.6999999999999994E-2</v>
      </c>
      <c r="D119" s="143">
        <v>8.6000000000000007E-6</v>
      </c>
      <c r="E119" s="143">
        <f>VLOOKUP(A119,[1]!TOX,56,FALSE)</f>
        <v>0.27173023408086433</v>
      </c>
      <c r="F119" s="143">
        <f>VLOOKUP(A119,[1]!TOX,54,FALSE)</f>
        <v>6.6400000000000001E-3</v>
      </c>
      <c r="G119" s="144">
        <v>25</v>
      </c>
      <c r="H119" s="145">
        <v>7930</v>
      </c>
      <c r="I119" s="146">
        <v>383.78</v>
      </c>
      <c r="J119" s="146">
        <v>591.79</v>
      </c>
      <c r="K119" s="173">
        <f>[1]Toxicity!$AZ115/1000</f>
        <v>526</v>
      </c>
      <c r="L119" s="156"/>
      <c r="M119" s="156"/>
      <c r="N119" s="156"/>
      <c r="O119" s="156"/>
      <c r="P119" s="156"/>
    </row>
    <row r="120" spans="1:16" x14ac:dyDescent="0.25">
      <c r="A120" s="172" t="s">
        <v>311</v>
      </c>
      <c r="B120" s="287" t="str">
        <f>VLOOKUP(A120,[1]!TOX, 2, FALSE)</f>
        <v>120-82-1</v>
      </c>
      <c r="C120" s="143">
        <v>7.8E-2</v>
      </c>
      <c r="D120" s="143">
        <v>8.8000000000000004E-6</v>
      </c>
      <c r="E120" s="143">
        <f>VLOOKUP(A120,[1]!TOX,56,FALSE)</f>
        <v>5.8110983794401702E-2</v>
      </c>
      <c r="F120" s="143">
        <f>VLOOKUP(A120,[1]!TOX,54,FALSE)</f>
        <v>1.42E-3</v>
      </c>
      <c r="G120" s="144">
        <v>25</v>
      </c>
      <c r="H120" s="145">
        <v>8322</v>
      </c>
      <c r="I120" s="146">
        <v>386.15</v>
      </c>
      <c r="J120" s="146">
        <v>602</v>
      </c>
      <c r="K120" s="173">
        <f>[1]Toxicity!$AZ116/1000</f>
        <v>49</v>
      </c>
      <c r="L120" s="156"/>
      <c r="M120" s="156"/>
      <c r="N120" s="156"/>
      <c r="O120" s="156"/>
      <c r="P120" s="156"/>
    </row>
    <row r="121" spans="1:16" x14ac:dyDescent="0.25">
      <c r="A121" s="172" t="s">
        <v>312</v>
      </c>
      <c r="B121" s="287" t="str">
        <f>VLOOKUP(A121,[1]!TOX, 2, FALSE)</f>
        <v>71-55-6</v>
      </c>
      <c r="C121" s="143">
        <v>7.8E-2</v>
      </c>
      <c r="D121" s="143">
        <v>8.8000000000000004E-6</v>
      </c>
      <c r="E121" s="143">
        <f>VLOOKUP(A121,[1]!TOX,56,FALSE)</f>
        <v>0.70387952201669668</v>
      </c>
      <c r="F121" s="143">
        <f>VLOOKUP(A121,[1]!TOX,54,FALSE)</f>
        <v>1.72E-2</v>
      </c>
      <c r="G121" s="144">
        <v>25</v>
      </c>
      <c r="H121" s="145">
        <v>7136</v>
      </c>
      <c r="I121" s="146">
        <v>347.24</v>
      </c>
      <c r="J121" s="146">
        <v>545</v>
      </c>
      <c r="K121" s="173">
        <f>[1]Toxicity!$AZ117/1000</f>
        <v>1290</v>
      </c>
      <c r="L121" s="156"/>
      <c r="M121" s="156"/>
      <c r="N121" s="156"/>
      <c r="O121" s="156"/>
      <c r="P121" s="156"/>
    </row>
    <row r="122" spans="1:16" x14ac:dyDescent="0.25">
      <c r="A122" s="172" t="s">
        <v>313</v>
      </c>
      <c r="B122" s="287" t="str">
        <f>VLOOKUP(A122,[1]!TOX, 2, FALSE)</f>
        <v xml:space="preserve">79-00-5 </v>
      </c>
      <c r="C122" s="143">
        <v>7.8E-2</v>
      </c>
      <c r="D122" s="143">
        <v>8.8000000000000004E-6</v>
      </c>
      <c r="E122" s="143">
        <f>VLOOKUP(A122,[1]!TOX,56,FALSE)</f>
        <v>3.3720739891962677E-2</v>
      </c>
      <c r="F122" s="143">
        <f>VLOOKUP(A122,[1]!TOX,54,FALSE)</f>
        <v>8.2399999999999997E-4</v>
      </c>
      <c r="G122" s="144">
        <v>25</v>
      </c>
      <c r="H122" s="145">
        <v>8322</v>
      </c>
      <c r="I122" s="146">
        <v>386.15</v>
      </c>
      <c r="J122" s="146">
        <v>602</v>
      </c>
      <c r="K122" s="173">
        <f>[1]Toxicity!$AZ118/1000</f>
        <v>4590</v>
      </c>
      <c r="L122" s="156"/>
      <c r="M122" s="156"/>
      <c r="N122" s="156"/>
      <c r="O122" s="156"/>
      <c r="P122" s="156"/>
    </row>
    <row r="123" spans="1:16" x14ac:dyDescent="0.25">
      <c r="A123" s="172" t="s">
        <v>314</v>
      </c>
      <c r="B123" s="287" t="str">
        <f>VLOOKUP(A123,[1]!TOX, 2, FALSE)</f>
        <v>79-01-6</v>
      </c>
      <c r="C123" s="143">
        <v>7.9000000000000001E-2</v>
      </c>
      <c r="D123" s="143">
        <v>9.0999999999999993E-6</v>
      </c>
      <c r="E123" s="143">
        <f>VLOOKUP(A123,[1]!TOX,56,FALSE)</f>
        <v>0.40309379603863149</v>
      </c>
      <c r="F123" s="143">
        <f>VLOOKUP(A123,[1]!TOX,54,FALSE)</f>
        <v>9.8499999999999994E-3</v>
      </c>
      <c r="G123" s="144">
        <v>25</v>
      </c>
      <c r="H123" s="145">
        <v>7505</v>
      </c>
      <c r="I123" s="146">
        <v>360.36</v>
      </c>
      <c r="J123" s="146">
        <v>544.20000000000005</v>
      </c>
      <c r="K123" s="173">
        <f>[1]Toxicity!$AZ119/1000</f>
        <v>1280</v>
      </c>
      <c r="L123" s="156"/>
      <c r="M123" s="156"/>
      <c r="N123" s="156"/>
      <c r="O123" s="156"/>
      <c r="P123" s="156"/>
    </row>
    <row r="124" spans="1:16" x14ac:dyDescent="0.25">
      <c r="A124" s="172" t="s">
        <v>315</v>
      </c>
      <c r="B124" s="287" t="str">
        <f>VLOOKUP(A124,[1]!TOX, 2, FALSE)</f>
        <v>95-95-4</v>
      </c>
      <c r="C124" s="143">
        <v>2.9100000000000001E-2</v>
      </c>
      <c r="D124" s="143">
        <v>7.0299999999999996E-6</v>
      </c>
      <c r="E124" s="143">
        <f>VLOOKUP(A124,[1]!TOX,56,FALSE)</f>
        <v>6.629562939924701E-5</v>
      </c>
      <c r="F124" s="143">
        <f>VLOOKUP(A124,[1]!TOX,54,FALSE)</f>
        <v>1.6199999999999999E-6</v>
      </c>
      <c r="G124" s="144">
        <v>25</v>
      </c>
      <c r="H124" s="145">
        <v>13000</v>
      </c>
      <c r="I124" s="146">
        <v>526.15</v>
      </c>
      <c r="J124" s="146">
        <v>759.13</v>
      </c>
      <c r="K124" s="173">
        <f>[1]Toxicity!$AZ120/1000</f>
        <v>1200</v>
      </c>
      <c r="L124" s="156"/>
      <c r="M124" s="156"/>
      <c r="N124" s="156"/>
      <c r="O124" s="156"/>
      <c r="P124" s="156"/>
    </row>
    <row r="125" spans="1:16" x14ac:dyDescent="0.25">
      <c r="A125" s="172" t="s">
        <v>316</v>
      </c>
      <c r="B125" s="287" t="str">
        <f>VLOOKUP(A125,[1]!TOX, 2, FALSE)</f>
        <v>88-06-2</v>
      </c>
      <c r="C125" s="143">
        <v>3.1800000000000002E-2</v>
      </c>
      <c r="D125" s="143">
        <v>6.2500000000000003E-6</v>
      </c>
      <c r="E125" s="143">
        <f>VLOOKUP(A125,[1]!TOX,56,FALSE)</f>
        <v>1.0640039286298905E-4</v>
      </c>
      <c r="F125" s="143">
        <f>VLOOKUP(A125,[1]!TOX,54,FALSE)</f>
        <v>2.6000000000000001E-6</v>
      </c>
      <c r="G125" s="144">
        <v>25</v>
      </c>
      <c r="H125" s="145">
        <v>12000</v>
      </c>
      <c r="I125" s="146">
        <v>519.15</v>
      </c>
      <c r="J125" s="146">
        <v>749.03</v>
      </c>
      <c r="K125" s="173">
        <f>[1]Toxicity!$AZ121/1000</f>
        <v>800</v>
      </c>
      <c r="L125" s="156"/>
      <c r="M125" s="156"/>
      <c r="N125" s="156"/>
      <c r="O125" s="156"/>
      <c r="P125" s="156"/>
    </row>
    <row r="126" spans="1:16" x14ac:dyDescent="0.25">
      <c r="A126" s="172" t="s">
        <v>317</v>
      </c>
      <c r="B126" s="287" t="str">
        <f>VLOOKUP(A126,[1]!TOX, 2, FALSE)</f>
        <v>7440-62-2</v>
      </c>
      <c r="C126" s="143">
        <v>0</v>
      </c>
      <c r="D126" s="143">
        <v>0</v>
      </c>
      <c r="E126" s="143">
        <f>VLOOKUP(A126,[1]!TOX,56,FALSE)</f>
        <v>0</v>
      </c>
      <c r="F126" s="143">
        <f>VLOOKUP(A126,[1]!TOX,54,FALSE)</f>
        <v>0</v>
      </c>
      <c r="G126" s="144">
        <v>25</v>
      </c>
      <c r="H126" s="145">
        <v>0</v>
      </c>
      <c r="I126" s="146">
        <v>0</v>
      </c>
      <c r="J126" s="146">
        <v>0</v>
      </c>
      <c r="K126" s="173">
        <f>[1]Toxicity!$AZ122/1000</f>
        <v>0</v>
      </c>
      <c r="L126" s="156"/>
      <c r="M126" s="156"/>
      <c r="N126" s="156"/>
      <c r="O126" s="156"/>
      <c r="P126" s="156"/>
    </row>
    <row r="127" spans="1:16" x14ac:dyDescent="0.25">
      <c r="A127" s="172" t="s">
        <v>318</v>
      </c>
      <c r="B127" s="287" t="str">
        <f>VLOOKUP(A127,[1]!TOX, 2, FALSE)</f>
        <v>75-01-4</v>
      </c>
      <c r="C127" s="143">
        <v>0.106</v>
      </c>
      <c r="D127" s="143">
        <v>1.2300000000000001E-6</v>
      </c>
      <c r="E127" s="143">
        <f>VLOOKUP(A127,[1]!TOX,56,FALSE)</f>
        <v>1.1376657390734981</v>
      </c>
      <c r="F127" s="143">
        <f>VLOOKUP(A127,[1]!TOX,54,FALSE)</f>
        <v>2.7799999999999998E-2</v>
      </c>
      <c r="G127" s="144">
        <v>25</v>
      </c>
      <c r="H127" s="145">
        <v>5250</v>
      </c>
      <c r="I127" s="146">
        <v>259.25</v>
      </c>
      <c r="J127" s="146">
        <v>432</v>
      </c>
      <c r="K127" s="173">
        <f>[1]Toxicity!$AZ123/1000</f>
        <v>8800</v>
      </c>
      <c r="L127" s="156"/>
      <c r="M127" s="156"/>
      <c r="N127" s="156"/>
      <c r="O127" s="156"/>
      <c r="P127" s="156"/>
    </row>
    <row r="128" spans="1:16" x14ac:dyDescent="0.25">
      <c r="A128" s="172" t="s">
        <v>319</v>
      </c>
      <c r="B128" s="287" t="str">
        <f>VLOOKUP(A128,[1]!TOX, 2, FALSE)</f>
        <v>1330-20-7</v>
      </c>
      <c r="C128" s="143">
        <v>7.6899999999999996E-2</v>
      </c>
      <c r="D128" s="143">
        <v>8.4400000000000005E-6</v>
      </c>
      <c r="E128" s="143">
        <f>VLOOKUP(A128,[1]!TOX,56,FALSE)</f>
        <v>0.27132100180062202</v>
      </c>
      <c r="F128" s="143">
        <f>VLOOKUP(A128,[1]!TOX,54,FALSE)</f>
        <v>6.6299999999999996E-3</v>
      </c>
      <c r="G128" s="144">
        <v>25</v>
      </c>
      <c r="H128" s="145">
        <v>8525</v>
      </c>
      <c r="I128" s="146">
        <v>411.52</v>
      </c>
      <c r="J128" s="146">
        <v>616.20000000000005</v>
      </c>
      <c r="K128" s="173">
        <f>[1]Toxicity!$AZ124/1000</f>
        <v>106</v>
      </c>
      <c r="L128" s="156"/>
      <c r="M128" s="156"/>
      <c r="N128" s="156"/>
      <c r="O128" s="156"/>
      <c r="P128" s="156"/>
    </row>
    <row r="129" spans="1:16" ht="12" thickBot="1" x14ac:dyDescent="0.3">
      <c r="A129" s="175" t="s">
        <v>320</v>
      </c>
      <c r="B129" s="288" t="str">
        <f>VLOOKUP(A129,[1]!TOX, 2, FALSE)</f>
        <v>7440-66-6</v>
      </c>
      <c r="C129" s="147">
        <v>0</v>
      </c>
      <c r="D129" s="147">
        <v>0</v>
      </c>
      <c r="E129" s="147">
        <f>VLOOKUP(A129,[1]!TOX,56,FALSE)</f>
        <v>0</v>
      </c>
      <c r="F129" s="147">
        <f>VLOOKUP(A129,[1]!TOX,54,FALSE)</f>
        <v>0</v>
      </c>
      <c r="G129" s="148">
        <v>25</v>
      </c>
      <c r="H129" s="149">
        <v>0</v>
      </c>
      <c r="I129" s="150">
        <v>0</v>
      </c>
      <c r="J129" s="150">
        <v>0</v>
      </c>
      <c r="K129" s="176">
        <f>[1]Toxicity!$AZ125/1000</f>
        <v>0</v>
      </c>
      <c r="L129" s="156"/>
      <c r="M129" s="156"/>
      <c r="N129" s="156"/>
      <c r="O129" s="156"/>
      <c r="P129" s="156"/>
    </row>
    <row r="130" spans="1:16" ht="12" thickTop="1" x14ac:dyDescent="0.25">
      <c r="A130" s="156"/>
      <c r="B130" s="177"/>
      <c r="C130" s="156"/>
      <c r="D130" s="156"/>
      <c r="E130" s="156"/>
      <c r="F130" s="156"/>
      <c r="G130" s="156"/>
      <c r="H130" s="156"/>
      <c r="I130" s="156"/>
      <c r="J130" s="156"/>
      <c r="K130" s="177"/>
      <c r="L130" s="156"/>
      <c r="M130" s="156"/>
      <c r="N130" s="156"/>
      <c r="O130" s="156"/>
      <c r="P130" s="156"/>
    </row>
    <row r="131" spans="1:16" x14ac:dyDescent="0.25">
      <c r="A131" s="156"/>
      <c r="B131" s="177"/>
      <c r="C131" s="156"/>
      <c r="D131" s="156"/>
      <c r="E131" s="156"/>
      <c r="F131" s="156"/>
      <c r="G131" s="156"/>
      <c r="H131" s="156"/>
      <c r="I131" s="156"/>
      <c r="J131" s="156"/>
      <c r="K131" s="177"/>
      <c r="L131" s="156"/>
      <c r="M131" s="156"/>
      <c r="N131" s="156"/>
      <c r="O131" s="156"/>
      <c r="P131" s="156"/>
    </row>
    <row r="132" spans="1:16" x14ac:dyDescent="0.25">
      <c r="A132" s="156"/>
      <c r="B132" s="177"/>
      <c r="C132" s="156"/>
      <c r="D132" s="156"/>
      <c r="E132" s="156"/>
      <c r="F132" s="156"/>
      <c r="G132" s="156"/>
      <c r="H132" s="156"/>
      <c r="I132" s="156"/>
      <c r="J132" s="156"/>
      <c r="K132" s="177"/>
      <c r="L132" s="156"/>
      <c r="M132" s="156"/>
      <c r="N132" s="156"/>
      <c r="O132" s="156"/>
      <c r="P132" s="156"/>
    </row>
    <row r="133" spans="1:16" x14ac:dyDescent="0.25">
      <c r="A133" s="156"/>
      <c r="B133" s="177"/>
      <c r="C133" s="156"/>
      <c r="D133" s="156"/>
      <c r="E133" s="156"/>
      <c r="F133" s="156"/>
      <c r="G133" s="156"/>
      <c r="H133" s="156"/>
      <c r="I133" s="156"/>
      <c r="J133" s="156"/>
      <c r="K133" s="177"/>
      <c r="L133" s="156"/>
      <c r="M133" s="156"/>
      <c r="N133" s="156"/>
      <c r="O133" s="156"/>
      <c r="P133" s="156"/>
    </row>
    <row r="134" spans="1:16" x14ac:dyDescent="0.25">
      <c r="A134" s="156"/>
      <c r="B134" s="177"/>
      <c r="C134" s="156"/>
      <c r="D134" s="156"/>
      <c r="E134" s="156"/>
      <c r="F134" s="156"/>
      <c r="G134" s="156"/>
      <c r="H134" s="156"/>
      <c r="I134" s="156"/>
      <c r="J134" s="156"/>
      <c r="K134" s="177"/>
      <c r="L134" s="156"/>
      <c r="M134" s="156"/>
      <c r="N134" s="156"/>
      <c r="O134" s="156"/>
      <c r="P134" s="156"/>
    </row>
    <row r="135" spans="1:16" x14ac:dyDescent="0.25">
      <c r="A135" s="156"/>
      <c r="B135" s="177"/>
      <c r="C135" s="156"/>
      <c r="D135" s="156"/>
      <c r="E135" s="156"/>
      <c r="F135" s="156"/>
      <c r="G135" s="156"/>
      <c r="H135" s="156"/>
      <c r="I135" s="156"/>
      <c r="J135" s="156"/>
      <c r="K135" s="177"/>
      <c r="L135" s="156"/>
      <c r="M135" s="156"/>
      <c r="N135" s="156"/>
      <c r="O135" s="156"/>
      <c r="P135" s="156"/>
    </row>
    <row r="136" spans="1:16" x14ac:dyDescent="0.25">
      <c r="A136" s="156"/>
      <c r="B136" s="177"/>
      <c r="C136" s="156"/>
      <c r="D136" s="156"/>
      <c r="E136" s="156"/>
      <c r="F136" s="156"/>
      <c r="G136" s="156"/>
      <c r="H136" s="156"/>
      <c r="I136" s="156"/>
      <c r="J136" s="156"/>
      <c r="K136" s="177"/>
      <c r="L136" s="156"/>
      <c r="M136" s="156"/>
      <c r="N136" s="156"/>
      <c r="O136" s="156"/>
      <c r="P136" s="156"/>
    </row>
    <row r="137" spans="1:16" x14ac:dyDescent="0.25">
      <c r="A137" s="156"/>
      <c r="B137" s="177"/>
      <c r="C137" s="156"/>
      <c r="D137" s="156"/>
      <c r="E137" s="156"/>
      <c r="F137" s="156"/>
      <c r="G137" s="156"/>
      <c r="H137" s="156"/>
      <c r="I137" s="156"/>
      <c r="J137" s="156"/>
      <c r="K137" s="177"/>
      <c r="L137" s="156"/>
      <c r="M137" s="156"/>
      <c r="N137" s="156"/>
      <c r="O137" s="156"/>
      <c r="P137" s="156"/>
    </row>
    <row r="138" spans="1:16" x14ac:dyDescent="0.25">
      <c r="A138" s="156"/>
      <c r="B138" s="177"/>
      <c r="C138" s="156"/>
      <c r="D138" s="156"/>
      <c r="E138" s="156"/>
      <c r="F138" s="156"/>
      <c r="G138" s="156"/>
      <c r="H138" s="156"/>
      <c r="I138" s="156"/>
      <c r="J138" s="156"/>
      <c r="K138" s="177"/>
      <c r="L138" s="156"/>
      <c r="M138" s="156"/>
      <c r="N138" s="156"/>
      <c r="O138" s="156"/>
      <c r="P138" s="156"/>
    </row>
    <row r="139" spans="1:16" x14ac:dyDescent="0.25">
      <c r="A139" s="156"/>
      <c r="B139" s="177"/>
      <c r="C139" s="156"/>
      <c r="D139" s="156"/>
      <c r="E139" s="156"/>
      <c r="F139" s="156"/>
      <c r="G139" s="156"/>
      <c r="H139" s="156"/>
      <c r="I139" s="156"/>
      <c r="J139" s="156"/>
      <c r="K139" s="177"/>
      <c r="L139" s="156"/>
      <c r="M139" s="156"/>
      <c r="N139" s="156"/>
      <c r="O139" s="156"/>
      <c r="P139" s="156"/>
    </row>
    <row r="140" spans="1:16" x14ac:dyDescent="0.25">
      <c r="A140" s="156"/>
      <c r="B140" s="177"/>
      <c r="C140" s="156"/>
      <c r="D140" s="156"/>
      <c r="E140" s="156"/>
      <c r="F140" s="156"/>
      <c r="G140" s="156"/>
      <c r="H140" s="156"/>
      <c r="I140" s="156"/>
      <c r="J140" s="156"/>
      <c r="K140" s="177"/>
      <c r="L140" s="156"/>
      <c r="M140" s="156"/>
      <c r="N140" s="156"/>
      <c r="O140" s="156"/>
      <c r="P140" s="156"/>
    </row>
    <row r="141" spans="1:16" x14ac:dyDescent="0.25">
      <c r="A141" s="156"/>
      <c r="B141" s="177"/>
      <c r="C141" s="156"/>
      <c r="D141" s="156"/>
      <c r="E141" s="156"/>
      <c r="F141" s="156"/>
      <c r="G141" s="156"/>
      <c r="H141" s="156"/>
      <c r="I141" s="156"/>
      <c r="J141" s="156"/>
      <c r="K141" s="177"/>
      <c r="L141" s="156"/>
      <c r="M141" s="156"/>
      <c r="N141" s="156"/>
      <c r="O141" s="156"/>
      <c r="P141" s="156"/>
    </row>
    <row r="142" spans="1:16" x14ac:dyDescent="0.25">
      <c r="A142" s="156"/>
      <c r="B142" s="177"/>
      <c r="C142" s="156"/>
      <c r="D142" s="156"/>
      <c r="E142" s="156"/>
      <c r="F142" s="156"/>
      <c r="G142" s="156"/>
      <c r="H142" s="156"/>
      <c r="I142" s="156"/>
      <c r="J142" s="156"/>
      <c r="K142" s="177"/>
      <c r="L142" s="156"/>
      <c r="M142" s="156"/>
      <c r="N142" s="156"/>
      <c r="O142" s="156"/>
      <c r="P142" s="156"/>
    </row>
    <row r="143" spans="1:16" x14ac:dyDescent="0.25">
      <c r="A143" s="156"/>
      <c r="B143" s="177"/>
      <c r="C143" s="156"/>
      <c r="D143" s="156"/>
      <c r="E143" s="156"/>
      <c r="F143" s="156"/>
      <c r="G143" s="156"/>
      <c r="H143" s="156"/>
      <c r="I143" s="156"/>
      <c r="J143" s="156"/>
      <c r="K143" s="177"/>
      <c r="L143" s="156"/>
      <c r="M143" s="156"/>
      <c r="N143" s="156"/>
      <c r="O143" s="156"/>
      <c r="P143" s="156"/>
    </row>
  </sheetData>
  <sheetProtection sheet="1" objects="1" scenarios="1"/>
  <mergeCells count="1">
    <mergeCell ref="A1:A4"/>
  </mergeCells>
  <phoneticPr fontId="0" type="noConversion"/>
  <printOptions horizontalCentered="1"/>
  <pageMargins left="0.5" right="0.75" top="1" bottom="1" header="0.5" footer="0.4"/>
  <pageSetup scale="83" orientation="landscape" horizontalDpi="1200" verticalDpi="1200" r:id="rId1"/>
  <headerFooter>
    <oddHeader>&amp;CMCP Numerical Standards Derivation</oddHeader>
    <oddFooter>&amp;L&amp;8MassDEP&amp;C&amp;8 2024&amp;R&amp;8Workbook: &amp;F
Sheet: &amp;A
Page &amp;P of &amp;N</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Y67"/>
  <sheetViews>
    <sheetView showGridLines="0" zoomScaleNormal="100" workbookViewId="0"/>
  </sheetViews>
  <sheetFormatPr defaultColWidth="9.08984375" defaultRowHeight="13" x14ac:dyDescent="0.3"/>
  <cols>
    <col min="1" max="1" width="16.36328125" style="1" bestFit="1" customWidth="1"/>
    <col min="2" max="2" width="13.36328125" style="1" bestFit="1" customWidth="1"/>
    <col min="3" max="3" width="9" style="1" bestFit="1" customWidth="1"/>
    <col min="4" max="4" width="9.08984375" style="1" bestFit="1"/>
    <col min="5" max="5" width="10.54296875" style="1" bestFit="1" customWidth="1"/>
    <col min="6" max="6" width="10.90625" style="1" bestFit="1" customWidth="1"/>
    <col min="7" max="7" width="11.6328125" style="1" bestFit="1" customWidth="1"/>
    <col min="8" max="8" width="11.453125" style="1" bestFit="1" customWidth="1"/>
    <col min="9" max="9" width="23.453125" style="1" bestFit="1" customWidth="1"/>
    <col min="10" max="10" width="12.90625" style="1" customWidth="1"/>
    <col min="11" max="11" width="8.36328125" style="1" customWidth="1"/>
    <col min="12" max="12" width="12.90625" style="1" customWidth="1"/>
    <col min="13" max="13" width="14.90625" style="1" customWidth="1"/>
    <col min="14" max="14" width="9.453125" style="1" customWidth="1"/>
    <col min="15" max="15" width="10.90625" style="1" customWidth="1"/>
    <col min="16" max="17" width="12.54296875" style="1" bestFit="1" customWidth="1"/>
    <col min="18" max="16384" width="9.08984375" style="1"/>
  </cols>
  <sheetData>
    <row r="1" spans="1:25" ht="13.5" thickTop="1" x14ac:dyDescent="0.3">
      <c r="A1" s="112"/>
      <c r="B1" s="256" t="s">
        <v>207</v>
      </c>
      <c r="C1" s="113"/>
      <c r="D1" s="114"/>
      <c r="E1" s="115"/>
      <c r="F1" s="113"/>
      <c r="G1" s="115"/>
      <c r="H1" s="115"/>
      <c r="I1" s="116"/>
      <c r="J1" s="24"/>
      <c r="K1" s="24"/>
      <c r="L1" s="24"/>
      <c r="M1" s="24"/>
      <c r="N1" s="24"/>
      <c r="O1" s="24"/>
      <c r="P1" s="24"/>
      <c r="Q1" s="24"/>
      <c r="R1" s="24"/>
      <c r="S1" s="24"/>
      <c r="T1" s="24"/>
      <c r="U1" s="24"/>
      <c r="V1" s="24"/>
      <c r="W1" s="24"/>
      <c r="X1" s="24"/>
      <c r="Y1" s="24"/>
    </row>
    <row r="2" spans="1:25" ht="16.5" thickBot="1" x14ac:dyDescent="0.45">
      <c r="A2" s="117"/>
      <c r="B2" s="129" t="s">
        <v>194</v>
      </c>
      <c r="C2" s="88" t="s">
        <v>330</v>
      </c>
      <c r="D2" s="89" t="s">
        <v>331</v>
      </c>
      <c r="E2" s="90" t="s">
        <v>195</v>
      </c>
      <c r="F2" s="91" t="s">
        <v>196</v>
      </c>
      <c r="G2" s="90" t="s">
        <v>332</v>
      </c>
      <c r="H2" s="90" t="s">
        <v>333</v>
      </c>
      <c r="I2" s="118" t="s">
        <v>197</v>
      </c>
      <c r="J2" s="24"/>
      <c r="K2" s="24"/>
      <c r="L2" s="24"/>
      <c r="M2" s="24"/>
      <c r="N2" s="24"/>
      <c r="O2" s="24"/>
      <c r="P2" s="24"/>
      <c r="Q2" s="24"/>
      <c r="R2" s="24"/>
      <c r="S2" s="24"/>
      <c r="T2" s="24"/>
      <c r="U2" s="24"/>
      <c r="V2" s="24"/>
      <c r="W2" s="24"/>
      <c r="X2" s="24"/>
      <c r="Y2" s="24"/>
    </row>
    <row r="3" spans="1:25" ht="13.5" thickTop="1" x14ac:dyDescent="0.3">
      <c r="A3" s="117" t="s">
        <v>345</v>
      </c>
      <c r="B3" s="130" t="s">
        <v>41</v>
      </c>
      <c r="C3" s="92">
        <v>0.61</v>
      </c>
      <c r="D3" s="93">
        <v>1.4959999999999999E-2</v>
      </c>
      <c r="E3" s="94">
        <v>1.2529999999999999</v>
      </c>
      <c r="F3" s="95">
        <v>0.2019</v>
      </c>
      <c r="G3" s="94">
        <v>0.45900000000000002</v>
      </c>
      <c r="H3" s="94">
        <v>9.8000000000000004E-2</v>
      </c>
      <c r="I3" s="119">
        <v>9.1999999999999998E-3</v>
      </c>
      <c r="J3" s="24"/>
      <c r="K3" s="24"/>
      <c r="L3" s="24"/>
      <c r="M3" s="24"/>
      <c r="N3" s="24"/>
      <c r="O3" s="24"/>
      <c r="P3" s="24"/>
      <c r="Q3" s="24"/>
      <c r="R3" s="24"/>
      <c r="S3" s="24"/>
      <c r="T3" s="24"/>
      <c r="U3" s="24"/>
      <c r="V3" s="24"/>
      <c r="W3" s="24"/>
      <c r="X3" s="24"/>
      <c r="Y3" s="24"/>
    </row>
    <row r="4" spans="1:25" x14ac:dyDescent="0.3">
      <c r="A4" s="117" t="s">
        <v>355</v>
      </c>
      <c r="B4" s="130" t="s">
        <v>198</v>
      </c>
      <c r="C4" s="92">
        <v>0.34</v>
      </c>
      <c r="D4" s="93">
        <v>1.5810000000000001E-2</v>
      </c>
      <c r="E4" s="94">
        <v>1.4159999999999999</v>
      </c>
      <c r="F4" s="95">
        <v>0.29380000000000001</v>
      </c>
      <c r="G4" s="94">
        <v>0.442</v>
      </c>
      <c r="H4" s="94">
        <v>7.9000000000000001E-2</v>
      </c>
      <c r="I4" s="120">
        <v>1.6E-2</v>
      </c>
      <c r="J4" s="24"/>
      <c r="K4" s="24"/>
      <c r="L4" s="24"/>
      <c r="M4" s="24"/>
      <c r="N4" s="24"/>
      <c r="O4" s="24"/>
      <c r="P4" s="24"/>
      <c r="Q4" s="24"/>
      <c r="R4" s="24"/>
      <c r="S4" s="24"/>
      <c r="T4" s="24"/>
      <c r="U4" s="24"/>
      <c r="V4" s="24"/>
      <c r="W4" s="24"/>
      <c r="X4" s="24"/>
      <c r="Y4" s="24"/>
    </row>
    <row r="5" spans="1:25" x14ac:dyDescent="0.3">
      <c r="A5" s="117" t="s">
        <v>346</v>
      </c>
      <c r="B5" s="130" t="s">
        <v>43</v>
      </c>
      <c r="C5" s="92">
        <v>0.5</v>
      </c>
      <c r="D5" s="93">
        <v>1.112E-2</v>
      </c>
      <c r="E5" s="94">
        <v>1.472</v>
      </c>
      <c r="F5" s="95">
        <v>0.32069999999999999</v>
      </c>
      <c r="G5" s="94">
        <v>0.39900000000000002</v>
      </c>
      <c r="H5" s="94">
        <v>6.0999999999999999E-2</v>
      </c>
      <c r="I5" s="120">
        <v>0.02</v>
      </c>
      <c r="J5" s="24"/>
      <c r="K5" s="24"/>
      <c r="L5" s="24"/>
      <c r="M5" s="24"/>
      <c r="N5" s="24"/>
      <c r="O5" s="24"/>
      <c r="P5" s="24"/>
      <c r="Q5" s="24"/>
      <c r="R5" s="24"/>
      <c r="S5" s="24"/>
      <c r="T5" s="24"/>
      <c r="U5" s="24"/>
      <c r="V5" s="24"/>
      <c r="W5" s="24"/>
      <c r="X5" s="24"/>
      <c r="Y5" s="24"/>
    </row>
    <row r="6" spans="1:25" x14ac:dyDescent="0.3">
      <c r="A6" s="117" t="s">
        <v>354</v>
      </c>
      <c r="B6" s="130" t="s">
        <v>199</v>
      </c>
      <c r="C6" s="92">
        <v>4.38</v>
      </c>
      <c r="D6" s="93">
        <v>3.4750000000000003E-2</v>
      </c>
      <c r="E6" s="94">
        <v>1.746</v>
      </c>
      <c r="F6" s="95">
        <v>0.42730000000000001</v>
      </c>
      <c r="G6" s="94">
        <v>0.39</v>
      </c>
      <c r="H6" s="94">
        <v>4.9000000000000002E-2</v>
      </c>
      <c r="I6" s="120">
        <v>0.04</v>
      </c>
      <c r="J6" s="24"/>
      <c r="K6" s="24"/>
      <c r="L6" s="24"/>
      <c r="M6" s="24"/>
      <c r="N6" s="24"/>
      <c r="O6" s="24"/>
      <c r="P6" s="24"/>
      <c r="Q6" s="24"/>
      <c r="R6" s="24"/>
      <c r="S6" s="24"/>
      <c r="T6" s="24"/>
      <c r="U6" s="24"/>
      <c r="V6" s="24"/>
      <c r="W6" s="24"/>
      <c r="X6" s="24"/>
      <c r="Y6" s="24"/>
    </row>
    <row r="7" spans="1:25" x14ac:dyDescent="0.3">
      <c r="A7" s="121" t="s">
        <v>347</v>
      </c>
      <c r="B7" s="131" t="s">
        <v>109</v>
      </c>
      <c r="C7" s="99">
        <v>26.78</v>
      </c>
      <c r="D7" s="100">
        <v>3.524E-2</v>
      </c>
      <c r="E7" s="101">
        <v>3.177</v>
      </c>
      <c r="F7" s="102">
        <v>0.68520000000000003</v>
      </c>
      <c r="G7" s="101">
        <v>0.375</v>
      </c>
      <c r="H7" s="101">
        <v>5.2999999999999999E-2</v>
      </c>
      <c r="I7" s="122">
        <v>4.3999999999999997E-2</v>
      </c>
      <c r="J7" s="24"/>
      <c r="K7" s="24"/>
      <c r="L7" s="24"/>
      <c r="M7" s="24"/>
      <c r="N7" s="24"/>
      <c r="O7" s="24"/>
      <c r="P7" s="24"/>
      <c r="Q7" s="24"/>
      <c r="R7" s="24"/>
      <c r="S7" s="24"/>
      <c r="T7" s="24"/>
      <c r="U7" s="24"/>
      <c r="V7" s="24"/>
      <c r="W7" s="24"/>
      <c r="X7" s="24"/>
      <c r="Y7" s="24"/>
    </row>
    <row r="8" spans="1:25" x14ac:dyDescent="0.3">
      <c r="A8" s="117" t="s">
        <v>353</v>
      </c>
      <c r="B8" s="130" t="s">
        <v>42</v>
      </c>
      <c r="C8" s="92">
        <v>0.47</v>
      </c>
      <c r="D8" s="93">
        <v>3.3419999999999998E-2</v>
      </c>
      <c r="E8" s="94">
        <v>1.208</v>
      </c>
      <c r="F8" s="95">
        <v>0.17219999999999999</v>
      </c>
      <c r="G8" s="94">
        <v>0.38500000000000001</v>
      </c>
      <c r="H8" s="94">
        <v>0.11700000000000001</v>
      </c>
      <c r="I8" s="120">
        <v>2.5000000000000001E-2</v>
      </c>
      <c r="J8" s="24"/>
      <c r="K8" s="24"/>
      <c r="L8" s="24"/>
      <c r="M8" s="24"/>
      <c r="N8" s="24"/>
      <c r="O8" s="24"/>
      <c r="P8" s="24"/>
      <c r="Q8" s="24"/>
      <c r="R8" s="24"/>
      <c r="S8" s="24"/>
      <c r="T8" s="24"/>
      <c r="U8" s="24"/>
      <c r="V8" s="24"/>
      <c r="W8" s="24"/>
      <c r="X8" s="24"/>
      <c r="Y8" s="24"/>
    </row>
    <row r="9" spans="1:25" x14ac:dyDescent="0.3">
      <c r="A9" s="117" t="s">
        <v>352</v>
      </c>
      <c r="B9" s="130" t="s">
        <v>200</v>
      </c>
      <c r="C9" s="92">
        <v>0.55000000000000004</v>
      </c>
      <c r="D9" s="93">
        <v>2.1090000000000001E-2</v>
      </c>
      <c r="E9" s="94">
        <v>1.33</v>
      </c>
      <c r="F9" s="95">
        <v>0.24809999999999999</v>
      </c>
      <c r="G9" s="94">
        <v>0.38400000000000001</v>
      </c>
      <c r="H9" s="94">
        <v>6.3E-2</v>
      </c>
      <c r="I9" s="120">
        <v>2.9000000000000001E-2</v>
      </c>
      <c r="J9" s="24"/>
      <c r="K9" s="24"/>
      <c r="L9" s="24"/>
      <c r="M9" s="24"/>
      <c r="N9" s="24"/>
      <c r="O9" s="24"/>
      <c r="P9" s="24"/>
      <c r="Q9" s="24"/>
      <c r="R9" s="24"/>
      <c r="S9" s="24"/>
      <c r="T9" s="24"/>
      <c r="U9" s="24"/>
      <c r="V9" s="24"/>
      <c r="W9" s="24"/>
      <c r="X9" s="24"/>
      <c r="Y9" s="24"/>
    </row>
    <row r="10" spans="1:25" x14ac:dyDescent="0.3">
      <c r="A10" s="117" t="s">
        <v>348</v>
      </c>
      <c r="B10" s="130" t="s">
        <v>201</v>
      </c>
      <c r="C10" s="92">
        <v>1.82</v>
      </c>
      <c r="D10" s="93">
        <v>6.5799999999999999E-3</v>
      </c>
      <c r="E10" s="94">
        <v>1.679</v>
      </c>
      <c r="F10" s="95">
        <v>0.40439999999999998</v>
      </c>
      <c r="G10" s="94">
        <v>0.48899999999999999</v>
      </c>
      <c r="H10" s="94">
        <v>0.05</v>
      </c>
      <c r="I10" s="119">
        <v>4.5999999999999999E-3</v>
      </c>
      <c r="J10" s="24"/>
      <c r="K10" s="24"/>
      <c r="L10" s="24"/>
      <c r="M10" s="24"/>
      <c r="N10" s="24"/>
      <c r="O10" s="24"/>
      <c r="P10" s="24"/>
      <c r="Q10" s="24"/>
      <c r="R10" s="24"/>
      <c r="S10" s="24"/>
      <c r="T10" s="24"/>
      <c r="U10" s="24"/>
      <c r="V10" s="24"/>
      <c r="W10" s="24"/>
      <c r="X10" s="24"/>
      <c r="Y10" s="24"/>
    </row>
    <row r="11" spans="1:25" x14ac:dyDescent="0.3">
      <c r="A11" s="117" t="s">
        <v>351</v>
      </c>
      <c r="B11" s="132" t="s">
        <v>202</v>
      </c>
      <c r="C11" s="96">
        <v>0.4</v>
      </c>
      <c r="D11" s="97">
        <v>1.6219999999999998E-2</v>
      </c>
      <c r="E11" s="98">
        <v>1.321</v>
      </c>
      <c r="F11" s="95">
        <v>0.24299999999999999</v>
      </c>
      <c r="G11" s="98">
        <v>0.48099999999999998</v>
      </c>
      <c r="H11" s="98">
        <v>0.111</v>
      </c>
      <c r="I11" s="119">
        <v>3.8999999999999998E-3</v>
      </c>
      <c r="J11" s="24"/>
      <c r="K11" s="24"/>
      <c r="L11" s="24"/>
      <c r="M11" s="24"/>
      <c r="N11" s="24"/>
      <c r="O11" s="24"/>
      <c r="P11" s="24"/>
      <c r="Q11" s="24"/>
      <c r="R11" s="24"/>
      <c r="S11" s="24"/>
      <c r="T11" s="24"/>
      <c r="U11" s="24"/>
      <c r="V11" s="24"/>
      <c r="W11" s="24"/>
      <c r="X11" s="24"/>
      <c r="Y11" s="24"/>
    </row>
    <row r="12" spans="1:25" x14ac:dyDescent="0.3">
      <c r="A12" s="117" t="s">
        <v>356</v>
      </c>
      <c r="B12" s="133" t="s">
        <v>203</v>
      </c>
      <c r="C12" s="92">
        <v>0.46</v>
      </c>
      <c r="D12" s="93">
        <v>8.3899999999999999E-3</v>
      </c>
      <c r="E12" s="94">
        <v>1.5209999999999999</v>
      </c>
      <c r="F12" s="95">
        <v>0.34250000000000003</v>
      </c>
      <c r="G12" s="94">
        <v>0.48199999999999998</v>
      </c>
      <c r="H12" s="94">
        <v>0.09</v>
      </c>
      <c r="I12" s="119">
        <v>5.5999999999999999E-3</v>
      </c>
      <c r="J12" s="24"/>
      <c r="K12" s="24"/>
      <c r="L12" s="24"/>
      <c r="M12" s="24"/>
      <c r="N12" s="24"/>
      <c r="O12" s="24"/>
      <c r="P12" s="24"/>
      <c r="Q12" s="24"/>
      <c r="R12" s="24"/>
      <c r="S12" s="24"/>
      <c r="T12" s="24"/>
      <c r="U12" s="24"/>
      <c r="V12" s="24"/>
      <c r="W12" s="24"/>
      <c r="X12" s="24"/>
      <c r="Y12" s="24"/>
    </row>
    <row r="13" spans="1:25" x14ac:dyDescent="0.3">
      <c r="A13" s="117" t="s">
        <v>350</v>
      </c>
      <c r="B13" s="133" t="s">
        <v>204</v>
      </c>
      <c r="C13" s="92">
        <v>0.76</v>
      </c>
      <c r="D13" s="93">
        <v>5.0600000000000003E-3</v>
      </c>
      <c r="E13" s="94">
        <v>1.663</v>
      </c>
      <c r="F13" s="95">
        <v>0.3987</v>
      </c>
      <c r="G13" s="94">
        <v>0.439</v>
      </c>
      <c r="H13" s="94">
        <v>6.5000000000000002E-2</v>
      </c>
      <c r="I13" s="120">
        <v>1.0999999999999999E-2</v>
      </c>
      <c r="J13" s="24"/>
      <c r="K13" s="24"/>
      <c r="L13" s="24"/>
      <c r="M13" s="24"/>
      <c r="N13" s="24"/>
      <c r="O13" s="24"/>
      <c r="P13" s="24"/>
      <c r="Q13" s="24"/>
      <c r="R13" s="24"/>
      <c r="S13" s="24"/>
      <c r="T13" s="24"/>
      <c r="U13" s="24"/>
      <c r="V13" s="24"/>
      <c r="W13" s="24"/>
      <c r="X13" s="24"/>
      <c r="Y13" s="24"/>
    </row>
    <row r="14" spans="1:25" ht="13.5" thickBot="1" x14ac:dyDescent="0.35">
      <c r="A14" s="123" t="s">
        <v>349</v>
      </c>
      <c r="B14" s="134" t="s">
        <v>205</v>
      </c>
      <c r="C14" s="124">
        <v>1.6</v>
      </c>
      <c r="D14" s="125">
        <v>2.6669999999999999E-2</v>
      </c>
      <c r="E14" s="126">
        <v>1.4490000000000001</v>
      </c>
      <c r="F14" s="127">
        <v>0.30990000000000001</v>
      </c>
      <c r="G14" s="126">
        <v>0.38700000000000001</v>
      </c>
      <c r="H14" s="126">
        <v>3.9E-2</v>
      </c>
      <c r="I14" s="128">
        <v>0.03</v>
      </c>
      <c r="J14" s="24"/>
      <c r="K14" s="24"/>
      <c r="L14" s="24"/>
      <c r="M14" s="24"/>
      <c r="N14" s="24"/>
      <c r="O14" s="24"/>
      <c r="P14" s="24"/>
      <c r="Q14" s="24"/>
      <c r="R14" s="24"/>
      <c r="S14" s="24"/>
      <c r="T14" s="24"/>
      <c r="U14" s="24"/>
      <c r="V14" s="24"/>
      <c r="W14" s="24"/>
      <c r="X14" s="24"/>
      <c r="Y14" s="24"/>
    </row>
    <row r="15" spans="1:25" ht="13.5" thickTop="1" x14ac:dyDescent="0.3">
      <c r="A15" s="24"/>
      <c r="B15" s="24"/>
      <c r="C15" s="24"/>
      <c r="D15" s="24"/>
      <c r="E15" s="24"/>
      <c r="F15" s="24"/>
      <c r="G15" s="24"/>
      <c r="H15" s="24"/>
      <c r="I15" s="24"/>
      <c r="J15" s="24"/>
      <c r="K15" s="24"/>
      <c r="L15" s="24"/>
      <c r="M15" s="24"/>
      <c r="N15" s="24"/>
      <c r="O15" s="24"/>
      <c r="P15" s="24"/>
      <c r="Q15" s="24"/>
      <c r="R15" s="24"/>
      <c r="S15" s="24"/>
      <c r="T15" s="24"/>
      <c r="U15" s="24"/>
      <c r="V15" s="24"/>
      <c r="W15" s="24"/>
      <c r="X15" s="24"/>
      <c r="Y15" s="24"/>
    </row>
    <row r="16" spans="1:25" x14ac:dyDescent="0.3">
      <c r="A16" s="24"/>
      <c r="B16" s="24"/>
      <c r="C16" s="24"/>
      <c r="D16" s="24"/>
      <c r="E16" s="24"/>
      <c r="F16" s="24"/>
      <c r="G16" s="24"/>
      <c r="H16" s="24"/>
      <c r="I16" s="24"/>
      <c r="J16" s="24"/>
      <c r="K16" s="24"/>
      <c r="L16" s="24"/>
      <c r="M16" s="24"/>
      <c r="N16" s="24"/>
      <c r="O16" s="24"/>
      <c r="P16" s="24"/>
      <c r="Q16" s="24"/>
      <c r="R16" s="24"/>
      <c r="S16" s="24"/>
      <c r="T16" s="24"/>
      <c r="U16" s="24"/>
      <c r="V16" s="24"/>
      <c r="W16" s="24"/>
      <c r="X16" s="24"/>
      <c r="Y16" s="24"/>
    </row>
    <row r="17" spans="1:25" x14ac:dyDescent="0.3">
      <c r="A17" s="24"/>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5" x14ac:dyDescent="0.3">
      <c r="A18" s="24"/>
      <c r="B18" s="24"/>
      <c r="C18" s="24"/>
      <c r="D18" s="24"/>
      <c r="E18" s="24"/>
      <c r="F18" s="24"/>
      <c r="G18" s="24"/>
      <c r="H18" s="24"/>
      <c r="I18" s="24"/>
      <c r="J18" s="24"/>
      <c r="K18" s="24"/>
      <c r="L18" s="24"/>
      <c r="M18" s="24"/>
      <c r="N18" s="24"/>
      <c r="O18" s="24"/>
      <c r="P18" s="24"/>
      <c r="Q18" s="24"/>
      <c r="R18" s="24"/>
      <c r="S18" s="24"/>
      <c r="T18" s="24"/>
      <c r="U18" s="24"/>
      <c r="V18" s="24"/>
      <c r="W18" s="24"/>
      <c r="X18" s="24"/>
      <c r="Y18" s="24"/>
    </row>
    <row r="19" spans="1:25" x14ac:dyDescent="0.3">
      <c r="A19" s="24"/>
      <c r="B19" s="24"/>
      <c r="C19" s="24"/>
      <c r="D19" s="24"/>
      <c r="E19" s="24"/>
      <c r="F19" s="24"/>
      <c r="G19" s="24"/>
      <c r="H19" s="24"/>
      <c r="I19" s="24"/>
      <c r="J19" s="24"/>
      <c r="K19" s="24"/>
      <c r="L19" s="24"/>
      <c r="M19" s="24"/>
      <c r="N19" s="24"/>
      <c r="O19" s="24"/>
      <c r="P19" s="24"/>
      <c r="Q19" s="24"/>
      <c r="R19" s="24"/>
      <c r="S19" s="24"/>
      <c r="T19" s="24"/>
      <c r="U19" s="24"/>
      <c r="V19" s="24"/>
      <c r="W19" s="24"/>
      <c r="X19" s="24"/>
      <c r="Y19" s="24"/>
    </row>
    <row r="20" spans="1:25" x14ac:dyDescent="0.3">
      <c r="A20" s="24"/>
      <c r="B20" s="24"/>
      <c r="C20" s="24"/>
      <c r="D20" s="24"/>
      <c r="E20" s="24"/>
      <c r="F20" s="24"/>
      <c r="G20" s="24"/>
      <c r="H20" s="24"/>
      <c r="I20" s="24"/>
      <c r="J20" s="24"/>
      <c r="K20" s="24"/>
      <c r="L20" s="24"/>
      <c r="M20" s="24"/>
      <c r="N20" s="24"/>
      <c r="O20" s="24"/>
      <c r="P20" s="24"/>
      <c r="Q20" s="24"/>
      <c r="R20" s="24"/>
      <c r="S20" s="24"/>
      <c r="T20" s="24"/>
      <c r="U20" s="24"/>
      <c r="V20" s="24"/>
      <c r="W20" s="24"/>
      <c r="X20" s="24"/>
      <c r="Y20" s="24"/>
    </row>
    <row r="21" spans="1:25" x14ac:dyDescent="0.3">
      <c r="A21" s="24"/>
      <c r="B21" s="24"/>
      <c r="C21" s="24"/>
      <c r="D21" s="24"/>
      <c r="E21" s="24"/>
      <c r="F21" s="24"/>
      <c r="G21" s="24"/>
      <c r="H21" s="24"/>
      <c r="I21" s="24"/>
      <c r="J21" s="24"/>
      <c r="K21" s="24"/>
      <c r="L21" s="24"/>
      <c r="M21" s="24"/>
      <c r="N21" s="24"/>
      <c r="O21" s="24"/>
      <c r="P21" s="24"/>
      <c r="Q21" s="24"/>
      <c r="R21" s="24"/>
      <c r="S21" s="24"/>
      <c r="T21" s="24"/>
      <c r="U21" s="24"/>
      <c r="V21" s="24"/>
      <c r="W21" s="24"/>
      <c r="X21" s="24"/>
      <c r="Y21" s="24"/>
    </row>
    <row r="22" spans="1:25" x14ac:dyDescent="0.3">
      <c r="A22" s="24"/>
      <c r="B22" s="24"/>
      <c r="C22" s="24"/>
      <c r="D22" s="24"/>
      <c r="E22" s="24"/>
      <c r="F22" s="24"/>
      <c r="G22" s="24"/>
      <c r="H22" s="24"/>
      <c r="I22" s="24"/>
      <c r="J22" s="24"/>
      <c r="K22" s="24"/>
      <c r="L22" s="24"/>
      <c r="M22" s="24"/>
      <c r="N22" s="24"/>
      <c r="O22" s="24"/>
      <c r="P22" s="24"/>
      <c r="Q22" s="24"/>
      <c r="R22" s="24"/>
      <c r="S22" s="24"/>
      <c r="T22" s="24"/>
      <c r="U22" s="24"/>
      <c r="V22" s="24"/>
      <c r="W22" s="24"/>
      <c r="X22" s="24"/>
      <c r="Y22" s="24"/>
    </row>
    <row r="23" spans="1:25" x14ac:dyDescent="0.3">
      <c r="A23" s="24"/>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x14ac:dyDescent="0.3">
      <c r="A24" s="24"/>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x14ac:dyDescent="0.3">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x14ac:dyDescent="0.3">
      <c r="A26" s="24"/>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x14ac:dyDescent="0.3">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x14ac:dyDescent="0.3">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x14ac:dyDescent="0.3">
      <c r="A29" s="24"/>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x14ac:dyDescent="0.3">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row r="31" spans="1:25" x14ac:dyDescent="0.3">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x14ac:dyDescent="0.3">
      <c r="A32" s="24"/>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25" x14ac:dyDescent="0.3">
      <c r="A33" s="24"/>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25" x14ac:dyDescent="0.3">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x14ac:dyDescent="0.3">
      <c r="A35" s="24"/>
      <c r="B35" s="24"/>
      <c r="C35" s="24"/>
      <c r="D35" s="24"/>
      <c r="E35" s="24"/>
      <c r="F35" s="24"/>
      <c r="G35" s="24"/>
      <c r="H35" s="24"/>
      <c r="I35" s="24"/>
      <c r="J35" s="24"/>
      <c r="K35" s="24"/>
      <c r="L35" s="24"/>
      <c r="M35" s="24"/>
      <c r="N35" s="24"/>
      <c r="O35" s="24"/>
      <c r="P35" s="24"/>
      <c r="Q35" s="24"/>
      <c r="R35" s="24"/>
      <c r="S35" s="24"/>
      <c r="T35" s="24"/>
      <c r="U35" s="24"/>
      <c r="V35" s="24"/>
      <c r="W35" s="24"/>
      <c r="X35" s="24"/>
      <c r="Y35" s="24"/>
    </row>
    <row r="36" spans="1:25" x14ac:dyDescent="0.3">
      <c r="A36" s="24"/>
      <c r="B36" s="24"/>
      <c r="C36" s="24"/>
      <c r="D36" s="24"/>
      <c r="E36" s="24"/>
      <c r="F36" s="24"/>
      <c r="G36" s="24"/>
      <c r="H36" s="24"/>
      <c r="I36" s="24"/>
      <c r="J36" s="24"/>
      <c r="K36" s="24"/>
      <c r="L36" s="24"/>
      <c r="M36" s="24"/>
      <c r="N36" s="24"/>
      <c r="O36" s="24"/>
      <c r="P36" s="24"/>
      <c r="Q36" s="24"/>
      <c r="R36" s="24"/>
      <c r="S36" s="24"/>
      <c r="T36" s="24"/>
      <c r="U36" s="24"/>
      <c r="V36" s="24"/>
      <c r="W36" s="24"/>
      <c r="X36" s="24"/>
      <c r="Y36" s="24"/>
    </row>
    <row r="37" spans="1:25" x14ac:dyDescent="0.3">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25" x14ac:dyDescent="0.3">
      <c r="A38" s="24"/>
      <c r="B38" s="24"/>
      <c r="C38" s="24"/>
      <c r="D38" s="24"/>
      <c r="E38" s="24"/>
      <c r="F38" s="24"/>
      <c r="G38" s="24"/>
      <c r="H38" s="24"/>
      <c r="I38" s="24"/>
      <c r="J38" s="24"/>
      <c r="K38" s="24"/>
      <c r="L38" s="24"/>
      <c r="M38" s="24"/>
      <c r="N38" s="24"/>
      <c r="O38" s="24"/>
      <c r="P38" s="24"/>
      <c r="Q38" s="24"/>
      <c r="R38" s="24"/>
      <c r="S38" s="24"/>
      <c r="T38" s="24"/>
      <c r="U38" s="24"/>
      <c r="V38" s="24"/>
      <c r="W38" s="24"/>
      <c r="X38" s="24"/>
      <c r="Y38" s="24"/>
    </row>
    <row r="39" spans="1:25" x14ac:dyDescent="0.3">
      <c r="A39" s="24"/>
      <c r="B39" s="24"/>
      <c r="C39" s="24"/>
      <c r="D39" s="24"/>
      <c r="E39" s="24"/>
      <c r="F39" s="24"/>
      <c r="G39" s="24"/>
      <c r="H39" s="24"/>
      <c r="I39" s="24"/>
      <c r="J39" s="24"/>
      <c r="K39" s="24"/>
      <c r="L39" s="24"/>
      <c r="M39" s="24"/>
      <c r="N39" s="24"/>
      <c r="O39" s="24"/>
      <c r="P39" s="24"/>
      <c r="Q39" s="24"/>
      <c r="R39" s="24"/>
      <c r="S39" s="24"/>
      <c r="T39" s="24"/>
      <c r="U39" s="24"/>
      <c r="V39" s="24"/>
      <c r="W39" s="24"/>
      <c r="X39" s="24"/>
      <c r="Y39" s="24"/>
    </row>
    <row r="40" spans="1:25" x14ac:dyDescent="0.3">
      <c r="A40" s="24"/>
      <c r="B40" s="24"/>
      <c r="C40" s="24"/>
      <c r="D40" s="24"/>
      <c r="E40" s="24"/>
      <c r="F40" s="24"/>
      <c r="G40" s="24"/>
      <c r="H40" s="24"/>
      <c r="I40" s="24"/>
      <c r="J40" s="24"/>
      <c r="K40" s="24"/>
      <c r="L40" s="24"/>
      <c r="M40" s="24"/>
      <c r="N40" s="24"/>
      <c r="O40" s="24"/>
      <c r="P40" s="24"/>
      <c r="Q40" s="24"/>
      <c r="R40" s="24"/>
      <c r="S40" s="24"/>
      <c r="T40" s="24"/>
      <c r="U40" s="24"/>
      <c r="V40" s="24"/>
      <c r="W40" s="24"/>
      <c r="X40" s="24"/>
      <c r="Y40" s="24"/>
    </row>
    <row r="41" spans="1:25" x14ac:dyDescent="0.3">
      <c r="A41" s="24"/>
      <c r="B41" s="24"/>
      <c r="C41" s="24"/>
      <c r="D41" s="24"/>
      <c r="E41" s="24"/>
      <c r="F41" s="24"/>
      <c r="G41" s="24"/>
      <c r="H41" s="24"/>
      <c r="I41" s="24"/>
      <c r="J41" s="24"/>
      <c r="K41" s="24"/>
      <c r="L41" s="24"/>
      <c r="M41" s="24"/>
      <c r="N41" s="24"/>
      <c r="O41" s="24"/>
      <c r="P41" s="24"/>
      <c r="Q41" s="24"/>
      <c r="R41" s="24"/>
      <c r="S41" s="24"/>
      <c r="T41" s="24"/>
      <c r="U41" s="24"/>
      <c r="V41" s="24"/>
      <c r="W41" s="24"/>
      <c r="X41" s="24"/>
      <c r="Y41" s="24"/>
    </row>
    <row r="42" spans="1:25" x14ac:dyDescent="0.3">
      <c r="A42" s="24"/>
      <c r="B42" s="24"/>
      <c r="C42" s="24"/>
      <c r="D42" s="24"/>
      <c r="E42" s="24"/>
      <c r="F42" s="24"/>
      <c r="G42" s="24"/>
      <c r="H42" s="24"/>
      <c r="I42" s="24"/>
      <c r="J42" s="24"/>
      <c r="K42" s="24"/>
      <c r="L42" s="24"/>
      <c r="M42" s="24"/>
      <c r="N42" s="24"/>
      <c r="O42" s="24"/>
      <c r="P42" s="24"/>
      <c r="Q42" s="24"/>
      <c r="R42" s="24"/>
      <c r="S42" s="24"/>
      <c r="T42" s="24"/>
      <c r="U42" s="24"/>
      <c r="V42" s="24"/>
      <c r="W42" s="24"/>
      <c r="X42" s="24"/>
      <c r="Y42" s="24"/>
    </row>
    <row r="43" spans="1:25" x14ac:dyDescent="0.3">
      <c r="A43" s="24"/>
      <c r="B43" s="24"/>
      <c r="C43" s="24"/>
      <c r="D43" s="24"/>
      <c r="E43" s="24"/>
      <c r="F43" s="24"/>
      <c r="G43" s="24"/>
      <c r="H43" s="24"/>
      <c r="I43" s="24"/>
      <c r="J43" s="24"/>
      <c r="K43" s="24"/>
      <c r="L43" s="24"/>
      <c r="M43" s="24"/>
      <c r="N43" s="24"/>
      <c r="O43" s="24"/>
      <c r="P43" s="24"/>
      <c r="Q43" s="24"/>
      <c r="R43" s="24"/>
      <c r="S43" s="24"/>
      <c r="T43" s="24"/>
      <c r="U43" s="24"/>
      <c r="V43" s="24"/>
      <c r="W43" s="24"/>
      <c r="X43" s="24"/>
      <c r="Y43" s="24"/>
    </row>
    <row r="44" spans="1:25" x14ac:dyDescent="0.3">
      <c r="A44" s="24"/>
      <c r="B44" s="24"/>
      <c r="C44" s="24"/>
      <c r="D44" s="24"/>
      <c r="E44" s="24"/>
      <c r="F44" s="24"/>
      <c r="G44" s="24"/>
      <c r="H44" s="24"/>
      <c r="I44" s="24"/>
      <c r="J44" s="24"/>
      <c r="K44" s="24"/>
      <c r="L44" s="24"/>
      <c r="M44" s="24"/>
      <c r="N44" s="24"/>
      <c r="O44" s="24"/>
      <c r="P44" s="24"/>
      <c r="Q44" s="24"/>
      <c r="R44" s="24"/>
      <c r="S44" s="24"/>
      <c r="T44" s="24"/>
      <c r="U44" s="24"/>
      <c r="V44" s="24"/>
      <c r="W44" s="24"/>
      <c r="X44" s="24"/>
      <c r="Y44" s="24"/>
    </row>
    <row r="45" spans="1:25" x14ac:dyDescent="0.3">
      <c r="A45" s="24"/>
      <c r="B45" s="24"/>
      <c r="C45" s="24"/>
      <c r="D45" s="24"/>
      <c r="E45" s="24"/>
      <c r="F45" s="24"/>
      <c r="G45" s="24"/>
      <c r="H45" s="24"/>
      <c r="I45" s="24"/>
      <c r="J45" s="24"/>
      <c r="K45" s="24"/>
      <c r="L45" s="24"/>
      <c r="M45" s="24"/>
      <c r="N45" s="24"/>
      <c r="O45" s="24"/>
      <c r="P45" s="24"/>
      <c r="Q45" s="24"/>
      <c r="R45" s="24"/>
      <c r="S45" s="24"/>
      <c r="T45" s="24"/>
      <c r="U45" s="24"/>
      <c r="V45" s="24"/>
      <c r="W45" s="24"/>
      <c r="X45" s="24"/>
      <c r="Y45" s="24"/>
    </row>
    <row r="46" spans="1:25" x14ac:dyDescent="0.3">
      <c r="A46" s="24"/>
      <c r="B46" s="24"/>
      <c r="C46" s="24"/>
      <c r="D46" s="24"/>
      <c r="E46" s="24"/>
      <c r="F46" s="24"/>
      <c r="G46" s="24"/>
      <c r="H46" s="24"/>
      <c r="I46" s="24"/>
      <c r="J46" s="24"/>
      <c r="K46" s="24"/>
      <c r="L46" s="24"/>
      <c r="M46" s="24"/>
      <c r="N46" s="24"/>
      <c r="O46" s="24"/>
      <c r="P46" s="24"/>
      <c r="Q46" s="24"/>
      <c r="R46" s="24"/>
      <c r="S46" s="24"/>
      <c r="T46" s="24"/>
      <c r="U46" s="24"/>
      <c r="V46" s="24"/>
      <c r="W46" s="24"/>
      <c r="X46" s="24"/>
      <c r="Y46" s="24"/>
    </row>
    <row r="47" spans="1:25" x14ac:dyDescent="0.3">
      <c r="A47" s="24"/>
      <c r="B47" s="24"/>
      <c r="C47" s="24"/>
      <c r="D47" s="24"/>
      <c r="E47" s="24"/>
      <c r="F47" s="24"/>
      <c r="G47" s="24"/>
      <c r="H47" s="24"/>
      <c r="I47" s="24"/>
      <c r="J47" s="24"/>
      <c r="K47" s="24"/>
      <c r="L47" s="24"/>
      <c r="M47" s="24"/>
      <c r="N47" s="24"/>
      <c r="O47" s="24"/>
      <c r="P47" s="24"/>
      <c r="Q47" s="24"/>
      <c r="R47" s="24"/>
      <c r="S47" s="24"/>
      <c r="T47" s="24"/>
      <c r="U47" s="24"/>
      <c r="V47" s="24"/>
      <c r="W47" s="24"/>
      <c r="X47" s="24"/>
      <c r="Y47" s="24"/>
    </row>
    <row r="48" spans="1:25" x14ac:dyDescent="0.3">
      <c r="A48" s="24"/>
      <c r="B48" s="24"/>
      <c r="C48" s="24"/>
      <c r="D48" s="24"/>
      <c r="E48" s="24"/>
      <c r="F48" s="24"/>
      <c r="G48" s="24"/>
      <c r="H48" s="24"/>
      <c r="I48" s="24"/>
      <c r="J48" s="24"/>
      <c r="K48" s="24"/>
      <c r="L48" s="24"/>
      <c r="M48" s="24"/>
      <c r="N48" s="24"/>
      <c r="O48" s="24"/>
      <c r="P48" s="24"/>
      <c r="Q48" s="24"/>
      <c r="R48" s="24"/>
      <c r="S48" s="24"/>
      <c r="T48" s="24"/>
      <c r="U48" s="24"/>
      <c r="V48" s="24"/>
      <c r="W48" s="24"/>
      <c r="X48" s="24"/>
      <c r="Y48" s="24"/>
    </row>
    <row r="49" spans="1:25" x14ac:dyDescent="0.3">
      <c r="A49" s="24"/>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x14ac:dyDescent="0.3">
      <c r="A50" s="24"/>
      <c r="B50" s="24"/>
      <c r="C50" s="24"/>
      <c r="D50" s="24"/>
      <c r="E50" s="24"/>
      <c r="F50" s="24"/>
      <c r="G50" s="24"/>
      <c r="H50" s="24"/>
      <c r="I50" s="24"/>
      <c r="J50" s="24"/>
      <c r="K50" s="24"/>
      <c r="L50" s="24"/>
      <c r="M50" s="24"/>
      <c r="N50" s="24"/>
      <c r="O50" s="24"/>
      <c r="P50" s="24"/>
      <c r="Q50" s="24"/>
      <c r="R50" s="24"/>
      <c r="S50" s="24"/>
      <c r="T50" s="24"/>
      <c r="U50" s="24"/>
      <c r="V50" s="24"/>
      <c r="W50" s="24"/>
      <c r="X50" s="24"/>
      <c r="Y50" s="24"/>
    </row>
    <row r="51" spans="1:25" x14ac:dyDescent="0.3">
      <c r="A51" s="24"/>
      <c r="B51" s="24"/>
      <c r="C51" s="24"/>
      <c r="D51" s="24"/>
      <c r="E51" s="24"/>
      <c r="F51" s="24"/>
      <c r="G51" s="24"/>
      <c r="H51" s="24"/>
      <c r="I51" s="24"/>
      <c r="J51" s="24"/>
      <c r="K51" s="24"/>
      <c r="L51" s="24"/>
      <c r="M51" s="24"/>
      <c r="N51" s="24"/>
      <c r="O51" s="24"/>
      <c r="P51" s="24"/>
      <c r="Q51" s="24"/>
      <c r="R51" s="24"/>
      <c r="S51" s="24"/>
      <c r="T51" s="24"/>
      <c r="U51" s="24"/>
      <c r="V51" s="24"/>
      <c r="W51" s="24"/>
      <c r="X51" s="24"/>
      <c r="Y51" s="24"/>
    </row>
    <row r="52" spans="1:25" x14ac:dyDescent="0.3">
      <c r="A52" s="24"/>
      <c r="B52" s="24"/>
      <c r="C52" s="24"/>
      <c r="D52" s="24"/>
      <c r="E52" s="24"/>
      <c r="F52" s="24"/>
      <c r="G52" s="24"/>
      <c r="H52" s="24"/>
      <c r="I52" s="24"/>
      <c r="J52" s="24"/>
      <c r="K52" s="24"/>
      <c r="L52" s="24"/>
      <c r="M52" s="24"/>
      <c r="N52" s="24"/>
      <c r="O52" s="24"/>
      <c r="P52" s="24"/>
      <c r="Q52" s="24"/>
      <c r="R52" s="24"/>
      <c r="S52" s="24"/>
      <c r="T52" s="24"/>
      <c r="U52" s="24"/>
      <c r="V52" s="24"/>
      <c r="W52" s="24"/>
      <c r="X52" s="24"/>
      <c r="Y52" s="24"/>
    </row>
    <row r="53" spans="1:25" x14ac:dyDescent="0.3">
      <c r="A53" s="24"/>
      <c r="B53" s="24"/>
      <c r="C53" s="24"/>
      <c r="D53" s="24"/>
      <c r="E53" s="24"/>
      <c r="F53" s="24"/>
      <c r="G53" s="24"/>
      <c r="H53" s="24"/>
      <c r="I53" s="24"/>
      <c r="J53" s="24"/>
      <c r="K53" s="24"/>
      <c r="L53" s="24"/>
      <c r="M53" s="24"/>
      <c r="N53" s="24"/>
      <c r="O53" s="24"/>
      <c r="P53" s="24"/>
      <c r="Q53" s="24"/>
      <c r="R53" s="24"/>
      <c r="S53" s="24"/>
      <c r="T53" s="24"/>
      <c r="U53" s="24"/>
      <c r="V53" s="24"/>
      <c r="W53" s="24"/>
      <c r="X53" s="24"/>
      <c r="Y53" s="24"/>
    </row>
    <row r="54" spans="1:25" x14ac:dyDescent="0.3">
      <c r="A54" s="24"/>
      <c r="B54" s="24"/>
      <c r="C54" s="24"/>
      <c r="D54" s="24"/>
      <c r="E54" s="24"/>
      <c r="F54" s="24"/>
      <c r="G54" s="24"/>
      <c r="H54" s="24"/>
      <c r="I54" s="24"/>
      <c r="J54" s="24"/>
      <c r="K54" s="24"/>
      <c r="L54" s="24"/>
      <c r="M54" s="24"/>
      <c r="N54" s="24"/>
      <c r="O54" s="24"/>
      <c r="P54" s="24"/>
      <c r="Q54" s="24"/>
      <c r="R54" s="24"/>
      <c r="S54" s="24"/>
      <c r="T54" s="24"/>
      <c r="U54" s="24"/>
      <c r="V54" s="24"/>
      <c r="W54" s="24"/>
      <c r="X54" s="24"/>
      <c r="Y54" s="24"/>
    </row>
    <row r="55" spans="1:25" x14ac:dyDescent="0.3">
      <c r="A55" s="24"/>
      <c r="B55" s="24"/>
      <c r="C55" s="24"/>
      <c r="D55" s="24"/>
      <c r="E55" s="24"/>
      <c r="F55" s="24"/>
      <c r="G55" s="24"/>
      <c r="H55" s="24"/>
      <c r="I55" s="24"/>
      <c r="J55" s="24"/>
      <c r="K55" s="24"/>
      <c r="L55" s="24"/>
      <c r="M55" s="24"/>
      <c r="N55" s="24"/>
      <c r="O55" s="24"/>
      <c r="P55" s="24"/>
      <c r="Q55" s="24"/>
      <c r="R55" s="24"/>
      <c r="S55" s="24"/>
      <c r="T55" s="24"/>
      <c r="U55" s="24"/>
      <c r="V55" s="24"/>
      <c r="W55" s="24"/>
      <c r="X55" s="24"/>
      <c r="Y55" s="24"/>
    </row>
    <row r="56" spans="1:25" x14ac:dyDescent="0.3">
      <c r="A56" s="24"/>
      <c r="B56" s="24"/>
      <c r="C56" s="24"/>
      <c r="D56" s="24"/>
      <c r="E56" s="24"/>
      <c r="F56" s="24"/>
      <c r="G56" s="24"/>
      <c r="H56" s="24"/>
      <c r="I56" s="24"/>
      <c r="J56" s="24"/>
      <c r="K56" s="24"/>
      <c r="L56" s="24"/>
      <c r="M56" s="24"/>
      <c r="N56" s="24"/>
      <c r="O56" s="24"/>
      <c r="P56" s="24"/>
      <c r="Q56" s="24"/>
      <c r="R56" s="24"/>
      <c r="S56" s="24"/>
      <c r="T56" s="24"/>
      <c r="U56" s="24"/>
      <c r="V56" s="24"/>
      <c r="W56" s="24"/>
      <c r="X56" s="24"/>
      <c r="Y56" s="24"/>
    </row>
    <row r="57" spans="1:25" x14ac:dyDescent="0.3">
      <c r="A57" s="24"/>
      <c r="B57" s="24"/>
      <c r="C57" s="24"/>
      <c r="D57" s="24"/>
      <c r="E57" s="24"/>
      <c r="F57" s="24"/>
      <c r="G57" s="24"/>
      <c r="H57" s="24"/>
      <c r="I57" s="24"/>
      <c r="J57" s="24"/>
      <c r="K57" s="24"/>
      <c r="L57" s="24"/>
      <c r="M57" s="24"/>
      <c r="N57" s="24"/>
      <c r="O57" s="24"/>
      <c r="P57" s="24"/>
      <c r="Q57" s="24"/>
      <c r="R57" s="24"/>
      <c r="S57" s="24"/>
      <c r="T57" s="24"/>
      <c r="U57" s="24"/>
      <c r="V57" s="24"/>
      <c r="W57" s="24"/>
      <c r="X57" s="24"/>
      <c r="Y57" s="24"/>
    </row>
    <row r="58" spans="1:25" x14ac:dyDescent="0.3">
      <c r="A58" s="24"/>
      <c r="B58" s="24"/>
      <c r="C58" s="24"/>
      <c r="D58" s="24"/>
      <c r="E58" s="24"/>
      <c r="F58" s="24"/>
      <c r="G58" s="24"/>
      <c r="H58" s="24"/>
      <c r="I58" s="24"/>
      <c r="J58" s="24"/>
      <c r="K58" s="24"/>
      <c r="L58" s="24"/>
      <c r="M58" s="24"/>
      <c r="N58" s="24"/>
      <c r="O58" s="24"/>
      <c r="P58" s="24"/>
      <c r="Q58" s="24"/>
      <c r="R58" s="24"/>
      <c r="S58" s="24"/>
      <c r="T58" s="24"/>
      <c r="U58" s="24"/>
      <c r="V58" s="24"/>
      <c r="W58" s="24"/>
      <c r="X58" s="24"/>
      <c r="Y58" s="24"/>
    </row>
    <row r="59" spans="1:25" x14ac:dyDescent="0.3">
      <c r="A59" s="24"/>
      <c r="B59" s="24"/>
      <c r="C59" s="24"/>
      <c r="D59" s="24"/>
      <c r="E59" s="24"/>
      <c r="F59" s="24"/>
      <c r="G59" s="24"/>
      <c r="H59" s="24"/>
      <c r="I59" s="24"/>
      <c r="J59" s="24"/>
      <c r="K59" s="24"/>
      <c r="L59" s="24"/>
      <c r="M59" s="24"/>
      <c r="N59" s="24"/>
      <c r="O59" s="24"/>
      <c r="P59" s="24"/>
      <c r="Q59" s="24"/>
      <c r="R59" s="24"/>
      <c r="S59" s="24"/>
      <c r="T59" s="24"/>
      <c r="U59" s="24"/>
      <c r="V59" s="24"/>
      <c r="W59" s="24"/>
      <c r="X59" s="24"/>
      <c r="Y59" s="24"/>
    </row>
    <row r="60" spans="1:25" x14ac:dyDescent="0.3">
      <c r="A60" s="24"/>
      <c r="B60" s="24"/>
      <c r="C60" s="24"/>
      <c r="D60" s="24"/>
      <c r="E60" s="24"/>
      <c r="F60" s="24"/>
      <c r="G60" s="24"/>
      <c r="H60" s="24"/>
      <c r="I60" s="24"/>
      <c r="J60" s="24"/>
      <c r="K60" s="24"/>
      <c r="L60" s="24"/>
      <c r="M60" s="24"/>
      <c r="N60" s="24"/>
      <c r="O60" s="24"/>
      <c r="P60" s="24"/>
      <c r="Q60" s="24"/>
      <c r="R60" s="24"/>
      <c r="S60" s="24"/>
      <c r="T60" s="24"/>
      <c r="U60" s="24"/>
      <c r="V60" s="24"/>
      <c r="W60" s="24"/>
      <c r="X60" s="24"/>
      <c r="Y60" s="24"/>
    </row>
    <row r="61" spans="1:25" x14ac:dyDescent="0.3">
      <c r="A61" s="24"/>
      <c r="B61" s="24"/>
      <c r="C61" s="24"/>
      <c r="D61" s="24"/>
      <c r="E61" s="24"/>
      <c r="F61" s="24"/>
      <c r="G61" s="24"/>
      <c r="H61" s="24"/>
      <c r="I61" s="24"/>
      <c r="J61" s="24"/>
      <c r="K61" s="24"/>
      <c r="L61" s="24"/>
      <c r="M61" s="24"/>
      <c r="N61" s="24"/>
      <c r="O61" s="24"/>
      <c r="P61" s="24"/>
      <c r="Q61" s="24"/>
      <c r="R61" s="24"/>
      <c r="S61" s="24"/>
      <c r="T61" s="24"/>
      <c r="U61" s="24"/>
      <c r="V61" s="24"/>
      <c r="W61" s="24"/>
      <c r="X61" s="24"/>
      <c r="Y61" s="24"/>
    </row>
    <row r="62" spans="1:25" x14ac:dyDescent="0.3">
      <c r="A62" s="24"/>
      <c r="B62" s="24"/>
      <c r="C62" s="24"/>
      <c r="D62" s="24"/>
      <c r="E62" s="24"/>
      <c r="F62" s="24"/>
      <c r="G62" s="24"/>
      <c r="H62" s="24"/>
      <c r="I62" s="24"/>
      <c r="J62" s="24"/>
      <c r="K62" s="24"/>
      <c r="L62" s="24"/>
      <c r="M62" s="24"/>
      <c r="N62" s="24"/>
      <c r="O62" s="24"/>
      <c r="P62" s="24"/>
      <c r="Q62" s="24"/>
      <c r="R62" s="24"/>
      <c r="S62" s="24"/>
      <c r="T62" s="24"/>
      <c r="U62" s="24"/>
      <c r="V62" s="24"/>
      <c r="W62" s="24"/>
      <c r="X62" s="24"/>
      <c r="Y62" s="24"/>
    </row>
    <row r="63" spans="1:25" x14ac:dyDescent="0.3">
      <c r="A63" s="24"/>
      <c r="B63" s="24"/>
      <c r="C63" s="24"/>
      <c r="D63" s="24"/>
      <c r="E63" s="24"/>
      <c r="F63" s="24"/>
      <c r="G63" s="24"/>
      <c r="H63" s="24"/>
      <c r="I63" s="24"/>
      <c r="J63" s="24"/>
      <c r="K63" s="24"/>
      <c r="L63" s="24"/>
      <c r="M63" s="24"/>
      <c r="N63" s="24"/>
      <c r="O63" s="24"/>
      <c r="P63" s="24"/>
      <c r="Q63" s="24"/>
      <c r="R63" s="24"/>
      <c r="S63" s="24"/>
      <c r="T63" s="24"/>
      <c r="U63" s="24"/>
      <c r="V63" s="24"/>
      <c r="W63" s="24"/>
      <c r="X63" s="24"/>
      <c r="Y63" s="24"/>
    </row>
    <row r="64" spans="1:25" x14ac:dyDescent="0.3">
      <c r="A64" s="24"/>
      <c r="B64" s="24"/>
      <c r="C64" s="24"/>
      <c r="D64" s="24"/>
      <c r="E64" s="24"/>
      <c r="F64" s="24"/>
      <c r="G64" s="24"/>
      <c r="H64" s="24"/>
      <c r="I64" s="24"/>
      <c r="J64" s="24"/>
      <c r="K64" s="24"/>
      <c r="L64" s="24"/>
      <c r="M64" s="24"/>
      <c r="N64" s="24"/>
      <c r="O64" s="24"/>
      <c r="P64" s="24"/>
      <c r="Q64" s="24"/>
      <c r="R64" s="24"/>
      <c r="S64" s="24"/>
      <c r="T64" s="24"/>
      <c r="U64" s="24"/>
      <c r="V64" s="24"/>
      <c r="W64" s="24"/>
      <c r="X64" s="24"/>
      <c r="Y64" s="24"/>
    </row>
    <row r="65" spans="1:25" x14ac:dyDescent="0.3">
      <c r="A65" s="24"/>
      <c r="B65" s="24"/>
      <c r="C65" s="24"/>
      <c r="D65" s="24"/>
      <c r="E65" s="24"/>
      <c r="F65" s="24"/>
      <c r="G65" s="24"/>
      <c r="H65" s="24"/>
      <c r="I65" s="24"/>
      <c r="J65" s="24"/>
      <c r="K65" s="24"/>
      <c r="L65" s="24"/>
      <c r="M65" s="24"/>
      <c r="N65" s="24"/>
      <c r="O65" s="24"/>
      <c r="P65" s="24"/>
      <c r="Q65" s="24"/>
      <c r="R65" s="24"/>
      <c r="S65" s="24"/>
      <c r="T65" s="24"/>
      <c r="U65" s="24"/>
      <c r="V65" s="24"/>
      <c r="W65" s="24"/>
      <c r="X65" s="24"/>
      <c r="Y65" s="24"/>
    </row>
    <row r="66" spans="1:25" x14ac:dyDescent="0.3">
      <c r="A66" s="24"/>
      <c r="B66" s="24"/>
      <c r="C66" s="24"/>
      <c r="D66" s="24"/>
      <c r="E66" s="24"/>
      <c r="F66" s="24"/>
      <c r="G66" s="24"/>
      <c r="H66" s="24"/>
      <c r="I66" s="24"/>
      <c r="J66" s="24"/>
      <c r="K66" s="24"/>
      <c r="L66" s="24"/>
      <c r="M66" s="24"/>
      <c r="N66" s="24"/>
      <c r="O66" s="24"/>
      <c r="P66" s="24"/>
      <c r="Q66" s="24"/>
      <c r="R66" s="24"/>
      <c r="S66" s="24"/>
      <c r="T66" s="24"/>
      <c r="U66" s="24"/>
      <c r="V66" s="24"/>
      <c r="W66" s="24"/>
      <c r="X66" s="24"/>
      <c r="Y66" s="24"/>
    </row>
    <row r="67" spans="1:25" x14ac:dyDescent="0.3">
      <c r="A67" s="24"/>
      <c r="B67" s="24"/>
      <c r="C67" s="24"/>
      <c r="D67" s="24"/>
      <c r="E67" s="24"/>
      <c r="F67" s="24"/>
      <c r="G67" s="24"/>
      <c r="H67" s="24"/>
      <c r="I67" s="24"/>
      <c r="J67" s="24"/>
      <c r="K67" s="24"/>
      <c r="L67" s="24"/>
      <c r="M67" s="24"/>
      <c r="N67" s="24"/>
      <c r="O67" s="24"/>
      <c r="P67" s="24"/>
      <c r="Q67" s="24"/>
      <c r="R67" s="24"/>
      <c r="S67" s="24"/>
      <c r="T67" s="24"/>
      <c r="U67" s="24"/>
      <c r="V67" s="24"/>
      <c r="W67" s="24"/>
      <c r="X67" s="24"/>
      <c r="Y67" s="24"/>
    </row>
  </sheetData>
  <sheetProtection sheet="1" objects="1" scenarios="1"/>
  <phoneticPr fontId="0" type="noConversion"/>
  <printOptions horizontalCentered="1" gridLinesSet="0"/>
  <pageMargins left="0.75" right="0.75" top="1" bottom="1" header="0.5" footer="0.5"/>
  <pageSetup scale="83" orientation="landscape" horizontalDpi="1200" verticalDpi="1200" r:id="rId1"/>
  <headerFooter>
    <oddHeader>&amp;CMCP Numerical Standards Derivation</oddHeader>
    <oddFooter>&amp;L&amp;8MassDEP&amp;C&amp;8 2024&amp;R&amp;8Workbook: &amp;F; Sheet: &amp;A
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23"/>
  <sheetViews>
    <sheetView workbookViewId="0"/>
  </sheetViews>
  <sheetFormatPr defaultRowHeight="12.5" x14ac:dyDescent="0.25"/>
  <cols>
    <col min="1" max="1" width="12.54296875" bestFit="1" customWidth="1"/>
  </cols>
  <sheetData>
    <row r="1" spans="1:6" ht="13" x14ac:dyDescent="0.3">
      <c r="A1" s="10" t="s">
        <v>329</v>
      </c>
    </row>
    <row r="2" spans="1:6" ht="13" x14ac:dyDescent="0.3">
      <c r="A2" s="10" t="s">
        <v>183</v>
      </c>
    </row>
    <row r="3" spans="1:6" ht="13" x14ac:dyDescent="0.3">
      <c r="A3" s="10" t="s">
        <v>185</v>
      </c>
    </row>
    <row r="4" spans="1:6" ht="13" x14ac:dyDescent="0.3">
      <c r="A4" s="10" t="s">
        <v>106</v>
      </c>
    </row>
    <row r="5" spans="1:6" x14ac:dyDescent="0.25">
      <c r="A5" s="11" t="s">
        <v>193</v>
      </c>
    </row>
    <row r="6" spans="1:6" ht="13.5" thickBot="1" x14ac:dyDescent="0.35">
      <c r="A6" s="12" t="s">
        <v>62</v>
      </c>
    </row>
    <row r="7" spans="1:6" x14ac:dyDescent="0.25">
      <c r="A7" s="17">
        <v>7.1860189795953212E-5</v>
      </c>
      <c r="B7" s="16">
        <v>5.0000000000000001E-4</v>
      </c>
      <c r="E7" s="17"/>
      <c r="F7" s="17"/>
    </row>
    <row r="8" spans="1:6" x14ac:dyDescent="0.25">
      <c r="A8" s="17">
        <v>1.0677081969337281E-4</v>
      </c>
      <c r="B8" s="16">
        <v>5.0000000000000001E-4</v>
      </c>
      <c r="E8" s="17">
        <v>7.1860189795953212E-5</v>
      </c>
      <c r="F8" s="17">
        <v>100</v>
      </c>
    </row>
    <row r="9" spans="1:6" x14ac:dyDescent="0.25">
      <c r="A9" s="17">
        <v>2.7041417748806148E-4</v>
      </c>
      <c r="B9" s="16">
        <v>5.0000000000000001E-4</v>
      </c>
      <c r="E9" s="17">
        <v>1.0677081969337281E-4</v>
      </c>
      <c r="F9" s="17">
        <v>50000</v>
      </c>
    </row>
    <row r="10" spans="1:6" x14ac:dyDescent="0.25">
      <c r="A10" s="17">
        <v>3.0199798390995885E-4</v>
      </c>
      <c r="B10" s="16">
        <v>5.0000000000000001E-4</v>
      </c>
      <c r="E10" s="17">
        <v>2.7041417748806148E-4</v>
      </c>
      <c r="F10" s="17">
        <v>1</v>
      </c>
    </row>
    <row r="11" spans="1:6" x14ac:dyDescent="0.25">
      <c r="A11" s="17">
        <v>3.4834900580917434E-4</v>
      </c>
      <c r="B11" s="16">
        <v>5.0000000000000001E-4</v>
      </c>
      <c r="E11" s="17">
        <v>3.0199798390995885E-4</v>
      </c>
      <c r="F11" s="17">
        <v>1</v>
      </c>
    </row>
    <row r="12" spans="1:6" x14ac:dyDescent="0.25">
      <c r="A12" s="17">
        <v>3.893095341318103E-4</v>
      </c>
      <c r="B12" s="16">
        <v>5.0000000000000001E-4</v>
      </c>
      <c r="E12" s="17">
        <v>3.4834900580917434E-4</v>
      </c>
      <c r="F12" s="17">
        <v>700</v>
      </c>
    </row>
    <row r="13" spans="1:6" x14ac:dyDescent="0.25">
      <c r="A13" s="17">
        <v>4.0836978571639993E-4</v>
      </c>
      <c r="B13" s="16">
        <v>5.0000000000000001E-4</v>
      </c>
      <c r="E13" s="17">
        <v>3.893095341318103E-4</v>
      </c>
      <c r="F13" s="17">
        <v>20</v>
      </c>
    </row>
    <row r="14" spans="1:6" x14ac:dyDescent="0.25">
      <c r="A14" s="17">
        <v>4.4526166906372865E-4</v>
      </c>
      <c r="B14" s="16">
        <v>5.0000000000000001E-4</v>
      </c>
      <c r="E14" s="17">
        <v>4.0836978571639993E-4</v>
      </c>
      <c r="F14" s="17">
        <v>0.8</v>
      </c>
    </row>
    <row r="15" spans="1:6" x14ac:dyDescent="0.25">
      <c r="A15" s="17">
        <v>4.8319042708361721E-4</v>
      </c>
      <c r="B15" s="16">
        <v>5.0000000000000001E-4</v>
      </c>
      <c r="E15" s="17">
        <v>4.4526166906372865E-4</v>
      </c>
      <c r="F15" s="17">
        <v>2</v>
      </c>
    </row>
    <row r="16" spans="1:6" x14ac:dyDescent="0.25">
      <c r="A16" s="17">
        <v>4.8410201298417551E-4</v>
      </c>
      <c r="B16" s="16">
        <v>5.0000000000000001E-4</v>
      </c>
      <c r="E16" s="17">
        <v>4.8319042708361721E-4</v>
      </c>
      <c r="F16" s="17">
        <v>8</v>
      </c>
    </row>
    <row r="17" spans="1:6" x14ac:dyDescent="0.25">
      <c r="A17" s="17">
        <v>6.4113322799240339E-4</v>
      </c>
      <c r="B17" s="16">
        <v>5.0000000000000001E-4</v>
      </c>
      <c r="E17" s="17">
        <v>4.8410201298417551E-4</v>
      </c>
      <c r="F17" s="17">
        <v>1</v>
      </c>
    </row>
    <row r="18" spans="1:6" x14ac:dyDescent="0.25">
      <c r="A18" s="17">
        <v>6.5171643020994058E-4</v>
      </c>
      <c r="B18" s="16">
        <v>5.0000000000000001E-4</v>
      </c>
      <c r="E18" s="17">
        <v>6.4113322799240339E-4</v>
      </c>
      <c r="F18" s="17">
        <v>0.03</v>
      </c>
    </row>
    <row r="19" spans="1:6" x14ac:dyDescent="0.25">
      <c r="A19" s="17">
        <v>6.572676701544094E-4</v>
      </c>
      <c r="B19" s="16">
        <v>5.0000000000000001E-4</v>
      </c>
      <c r="E19" s="17">
        <v>6.5171643020994058E-4</v>
      </c>
      <c r="F19" s="17">
        <v>900</v>
      </c>
    </row>
    <row r="20" spans="1:6" x14ac:dyDescent="0.25">
      <c r="A20" s="17">
        <v>6.5795036032259113E-4</v>
      </c>
      <c r="B20" s="16">
        <v>5.0000000000000001E-4</v>
      </c>
      <c r="E20" s="17">
        <v>6.572676701544094E-4</v>
      </c>
      <c r="F20" s="17">
        <v>1</v>
      </c>
    </row>
    <row r="21" spans="1:6" x14ac:dyDescent="0.25">
      <c r="A21" s="17">
        <v>6.8098748881355211E-4</v>
      </c>
      <c r="B21" s="16">
        <v>5.0000000000000001E-4</v>
      </c>
      <c r="E21" s="17">
        <v>6.5795036032259113E-4</v>
      </c>
      <c r="F21" s="17">
        <v>1</v>
      </c>
    </row>
    <row r="22" spans="1:6" x14ac:dyDescent="0.25">
      <c r="A22" s="17">
        <v>6.843132125844291E-4</v>
      </c>
      <c r="B22" s="16">
        <v>5.0000000000000001E-4</v>
      </c>
      <c r="E22" s="17">
        <v>6.8098748881355211E-4</v>
      </c>
      <c r="F22" s="17">
        <v>50000</v>
      </c>
    </row>
    <row r="23" spans="1:6" x14ac:dyDescent="0.25">
      <c r="A23" s="17">
        <v>6.8806047086305904E-4</v>
      </c>
      <c r="B23" s="16">
        <v>5.0000000000000001E-4</v>
      </c>
      <c r="E23" s="17">
        <v>6.843132125844291E-4</v>
      </c>
      <c r="F23" s="17">
        <v>100</v>
      </c>
    </row>
    <row r="24" spans="1:6" x14ac:dyDescent="0.25">
      <c r="A24" s="17">
        <v>6.8867601907967647E-4</v>
      </c>
      <c r="B24" s="16">
        <v>5.0000000000000001E-4</v>
      </c>
      <c r="E24" s="17">
        <v>6.8806047086305904E-4</v>
      </c>
      <c r="F24" s="17">
        <v>1000</v>
      </c>
    </row>
    <row r="25" spans="1:6" x14ac:dyDescent="0.25">
      <c r="A25" s="17">
        <v>7.0533655450864818E-4</v>
      </c>
      <c r="B25" s="16">
        <v>5.0000000000000001E-4</v>
      </c>
      <c r="E25" s="17">
        <v>6.8867601907967647E-4</v>
      </c>
      <c r="F25" s="17">
        <v>5</v>
      </c>
    </row>
    <row r="26" spans="1:6" x14ac:dyDescent="0.25">
      <c r="A26" s="17">
        <v>7.1425245683922277E-4</v>
      </c>
      <c r="B26" s="16">
        <v>5.0000000000000001E-4</v>
      </c>
      <c r="E26" s="17">
        <v>7.0533655450864818E-4</v>
      </c>
      <c r="F26" s="17">
        <v>400</v>
      </c>
    </row>
    <row r="27" spans="1:6" x14ac:dyDescent="0.25">
      <c r="A27" s="17">
        <v>7.1806911884498659E-4</v>
      </c>
      <c r="B27" s="16">
        <v>5.0000000000000001E-4</v>
      </c>
      <c r="E27" s="17">
        <v>7.1425245683922277E-4</v>
      </c>
      <c r="F27" s="17">
        <v>2000</v>
      </c>
    </row>
    <row r="28" spans="1:6" x14ac:dyDescent="0.25">
      <c r="A28" s="17">
        <v>7.1890840177268379E-4</v>
      </c>
      <c r="B28" s="16">
        <v>5.0000000000000001E-4</v>
      </c>
      <c r="E28" s="17">
        <v>7.1806911884498659E-4</v>
      </c>
      <c r="F28" s="17">
        <v>200</v>
      </c>
    </row>
    <row r="29" spans="1:6" x14ac:dyDescent="0.25">
      <c r="A29" s="17">
        <v>7.1948634682127458E-4</v>
      </c>
      <c r="B29" s="16">
        <v>5.0000000000000001E-4</v>
      </c>
      <c r="E29" s="17">
        <v>7.1890840177268379E-4</v>
      </c>
      <c r="F29" s="17">
        <v>2000</v>
      </c>
    </row>
    <row r="30" spans="1:6" x14ac:dyDescent="0.25">
      <c r="A30" s="17">
        <v>7.1948645265503301E-4</v>
      </c>
      <c r="B30" s="16">
        <v>5.0000000000000001E-4</v>
      </c>
      <c r="E30" s="17">
        <v>7.1948634682127458E-4</v>
      </c>
      <c r="F30" s="17">
        <v>1000</v>
      </c>
    </row>
    <row r="31" spans="1:6" x14ac:dyDescent="0.25">
      <c r="A31" s="17">
        <v>7.1984390513977982E-4</v>
      </c>
      <c r="B31" s="16">
        <v>5.0000000000000001E-4</v>
      </c>
      <c r="E31" s="17">
        <v>7.1948645265503301E-4</v>
      </c>
      <c r="F31" s="17">
        <v>1000</v>
      </c>
    </row>
    <row r="32" spans="1:6" x14ac:dyDescent="0.25">
      <c r="A32" s="17">
        <v>7.2289993527140854E-4</v>
      </c>
      <c r="B32" s="16">
        <v>5.0000000000000001E-4</v>
      </c>
      <c r="E32" s="17">
        <v>7.1984390513977982E-4</v>
      </c>
      <c r="F32" s="17">
        <v>5000</v>
      </c>
    </row>
    <row r="33" spans="1:6" x14ac:dyDescent="0.25">
      <c r="A33" s="17">
        <v>7.2396666841491081E-4</v>
      </c>
      <c r="B33" s="16">
        <v>5.0000000000000001E-4</v>
      </c>
      <c r="E33" s="17">
        <v>7.2289993527140854E-4</v>
      </c>
      <c r="F33" s="17">
        <v>90</v>
      </c>
    </row>
    <row r="34" spans="1:6" x14ac:dyDescent="0.25">
      <c r="A34" s="17">
        <v>7.2545166327125411E-4</v>
      </c>
      <c r="B34" s="16">
        <v>5.0000000000000001E-4</v>
      </c>
      <c r="E34" s="17">
        <v>7.2396666841491081E-4</v>
      </c>
      <c r="F34" s="17">
        <v>5</v>
      </c>
    </row>
    <row r="35" spans="1:6" x14ac:dyDescent="0.25">
      <c r="A35" s="17">
        <v>7.2751533711798997E-4</v>
      </c>
      <c r="B35" s="16">
        <v>5.0000000000000001E-4</v>
      </c>
      <c r="E35" s="17">
        <v>7.2545166327125411E-4</v>
      </c>
      <c r="F35" s="17">
        <v>100</v>
      </c>
    </row>
    <row r="36" spans="1:6" x14ac:dyDescent="0.25">
      <c r="A36" s="17">
        <v>7.3027782982093873E-4</v>
      </c>
      <c r="B36" s="16">
        <v>5.0000000000000001E-4</v>
      </c>
      <c r="E36" s="17">
        <v>7.2751533711798997E-4</v>
      </c>
      <c r="F36" s="17">
        <v>40</v>
      </c>
    </row>
    <row r="37" spans="1:6" x14ac:dyDescent="0.25">
      <c r="A37" s="17">
        <v>7.3252063881439034E-4</v>
      </c>
      <c r="B37" s="16">
        <v>5.0000000000000001E-4</v>
      </c>
      <c r="E37" s="17">
        <v>7.3027782982093873E-4</v>
      </c>
      <c r="F37" s="17">
        <v>0.6</v>
      </c>
    </row>
    <row r="38" spans="1:6" x14ac:dyDescent="0.25">
      <c r="A38" s="17">
        <v>7.3470569486148421E-4</v>
      </c>
      <c r="B38" s="16">
        <v>5.0000000000000001E-4</v>
      </c>
      <c r="E38" s="17">
        <v>7.3252063881439034E-4</v>
      </c>
      <c r="F38" s="17">
        <v>200</v>
      </c>
    </row>
    <row r="39" spans="1:6" x14ac:dyDescent="0.25">
      <c r="A39" s="17">
        <v>7.364018194556788E-4</v>
      </c>
      <c r="B39" s="16">
        <v>5.0000000000000001E-4</v>
      </c>
      <c r="E39" s="17">
        <v>7.3470569486148421E-4</v>
      </c>
      <c r="F39" s="17">
        <v>100</v>
      </c>
    </row>
    <row r="40" spans="1:6" x14ac:dyDescent="0.25">
      <c r="A40" s="17">
        <v>7.3899218013847093E-4</v>
      </c>
      <c r="B40" s="16">
        <v>5.0000000000000001E-4</v>
      </c>
      <c r="E40" s="17">
        <v>7.364018194556788E-4</v>
      </c>
      <c r="F40" s="17">
        <v>1000</v>
      </c>
    </row>
    <row r="41" spans="1:6" x14ac:dyDescent="0.25">
      <c r="A41" s="17">
        <v>7.391864450155656E-4</v>
      </c>
      <c r="B41" s="16">
        <v>5.0000000000000001E-4</v>
      </c>
      <c r="E41" s="17">
        <v>7.3899218013847093E-4</v>
      </c>
      <c r="F41" s="17">
        <v>20000</v>
      </c>
    </row>
    <row r="42" spans="1:6" x14ac:dyDescent="0.25">
      <c r="A42" s="17">
        <v>7.4590266686771968E-4</v>
      </c>
      <c r="B42" s="16">
        <v>5.0000000000000001E-4</v>
      </c>
      <c r="E42" s="17">
        <v>7.391864450155656E-4</v>
      </c>
      <c r="F42" s="17">
        <v>9</v>
      </c>
    </row>
    <row r="43" spans="1:6" x14ac:dyDescent="0.25">
      <c r="A43" s="17">
        <v>7.4907231930144307E-4</v>
      </c>
      <c r="B43" s="16">
        <v>5.0000000000000001E-4</v>
      </c>
      <c r="E43" s="17">
        <v>7.4590266686771968E-4</v>
      </c>
      <c r="F43" s="17">
        <v>8000</v>
      </c>
    </row>
    <row r="44" spans="1:6" x14ac:dyDescent="0.25">
      <c r="A44" s="17">
        <v>7.4918428389551166E-4</v>
      </c>
      <c r="B44" s="16">
        <v>5.0000000000000001E-4</v>
      </c>
      <c r="E44" s="17">
        <v>7.4907231930144307E-4</v>
      </c>
      <c r="F44" s="17">
        <v>2</v>
      </c>
    </row>
    <row r="45" spans="1:6" x14ac:dyDescent="0.25">
      <c r="A45" s="17">
        <v>7.5127732564177847E-4</v>
      </c>
      <c r="B45" s="16">
        <v>5.0000000000000001E-4</v>
      </c>
      <c r="E45" s="17">
        <v>7.4918428389551166E-4</v>
      </c>
      <c r="F45" s="17">
        <v>4000</v>
      </c>
    </row>
    <row r="46" spans="1:6" x14ac:dyDescent="0.25">
      <c r="A46" s="17">
        <v>7.5251749035745198E-4</v>
      </c>
      <c r="B46" s="16">
        <v>5.0000000000000001E-4</v>
      </c>
      <c r="E46" s="17">
        <v>7.5127732564177847E-4</v>
      </c>
      <c r="F46" s="17">
        <v>3</v>
      </c>
    </row>
    <row r="47" spans="1:6" x14ac:dyDescent="0.25">
      <c r="A47" s="17">
        <v>7.5280071293611518E-4</v>
      </c>
      <c r="B47" s="16">
        <v>5.0000000000000001E-4</v>
      </c>
      <c r="E47" s="17">
        <v>7.5251749035745198E-4</v>
      </c>
      <c r="F47" s="17">
        <v>2000</v>
      </c>
    </row>
    <row r="48" spans="1:6" x14ac:dyDescent="0.25">
      <c r="A48" s="17">
        <v>7.544820817719963E-4</v>
      </c>
      <c r="B48" s="16">
        <v>5.0000000000000001E-4</v>
      </c>
      <c r="E48" s="17">
        <v>7.5280071293611518E-4</v>
      </c>
      <c r="F48" s="17">
        <v>30</v>
      </c>
    </row>
    <row r="49" spans="1:6" x14ac:dyDescent="0.25">
      <c r="A49" s="17">
        <v>7.5569362365722329E-4</v>
      </c>
      <c r="B49" s="16">
        <v>5.0000000000000001E-4</v>
      </c>
      <c r="E49" s="17">
        <v>7.544820817719963E-4</v>
      </c>
      <c r="F49" s="17">
        <v>800</v>
      </c>
    </row>
    <row r="50" spans="1:6" x14ac:dyDescent="0.25">
      <c r="A50" s="17">
        <v>7.722525460942735E-4</v>
      </c>
      <c r="B50" s="16">
        <v>5.0000000000000001E-4</v>
      </c>
      <c r="E50" s="17">
        <v>7.5569362365722329E-4</v>
      </c>
      <c r="F50" s="17">
        <v>1000</v>
      </c>
    </row>
    <row r="51" spans="1:6" x14ac:dyDescent="0.25">
      <c r="A51" s="17">
        <v>7.7517363525469671E-4</v>
      </c>
      <c r="B51" s="16">
        <v>5.0000000000000001E-4</v>
      </c>
      <c r="E51" s="17">
        <v>7.722525460942735E-4</v>
      </c>
      <c r="F51" s="17">
        <v>9000</v>
      </c>
    </row>
    <row r="52" spans="1:6" x14ac:dyDescent="0.25">
      <c r="A52" s="17">
        <v>7.7828795148821971E-4</v>
      </c>
      <c r="B52" s="16">
        <v>5.0000000000000001E-4</v>
      </c>
      <c r="E52" s="17">
        <v>7.7517363525469671E-4</v>
      </c>
      <c r="F52" s="17">
        <v>400</v>
      </c>
    </row>
    <row r="53" spans="1:6" x14ac:dyDescent="0.25">
      <c r="A53" s="17">
        <v>7.7836678356713919E-4</v>
      </c>
      <c r="B53" s="16">
        <v>5.0000000000000001E-4</v>
      </c>
      <c r="E53" s="17">
        <v>7.7828795148821971E-4</v>
      </c>
      <c r="F53" s="17">
        <v>5</v>
      </c>
    </row>
    <row r="54" spans="1:6" x14ac:dyDescent="0.25">
      <c r="A54" s="17">
        <v>7.8146559607602053E-4</v>
      </c>
      <c r="B54" s="16">
        <v>5.0000000000000001E-4</v>
      </c>
      <c r="E54" s="17">
        <v>7.7836678356713919E-4</v>
      </c>
      <c r="F54" s="17">
        <v>8000</v>
      </c>
    </row>
    <row r="55" spans="1:6" x14ac:dyDescent="0.25">
      <c r="A55" s="17">
        <v>7.8662013615010077E-4</v>
      </c>
      <c r="B55" s="16">
        <v>5.0000000000000001E-4</v>
      </c>
      <c r="E55" s="17">
        <v>7.8146559607602053E-4</v>
      </c>
      <c r="F55" s="17">
        <v>2000</v>
      </c>
    </row>
    <row r="56" spans="1:6" x14ac:dyDescent="0.25">
      <c r="A56" s="17">
        <v>8.1716668783632222E-4</v>
      </c>
      <c r="B56" s="16">
        <v>5.0000000000000001E-4</v>
      </c>
      <c r="E56" s="17">
        <v>7.8662013615010077E-4</v>
      </c>
      <c r="F56" s="17">
        <v>1</v>
      </c>
    </row>
    <row r="57" spans="1:6" x14ac:dyDescent="0.25">
      <c r="A57" s="17">
        <v>8.2345971616553336E-4</v>
      </c>
      <c r="B57" s="16">
        <v>5.0000000000000001E-4</v>
      </c>
      <c r="E57" s="17">
        <v>8.1716668783632222E-4</v>
      </c>
      <c r="F57" s="17">
        <v>10000</v>
      </c>
    </row>
    <row r="58" spans="1:6" x14ac:dyDescent="0.25">
      <c r="A58" s="17">
        <v>8.2617136059935582E-4</v>
      </c>
      <c r="B58" s="16">
        <v>5.0000000000000001E-4</v>
      </c>
      <c r="E58" s="17">
        <v>8.2345971616553336E-4</v>
      </c>
      <c r="F58" s="17">
        <v>50</v>
      </c>
    </row>
    <row r="59" spans="1:6" x14ac:dyDescent="0.25">
      <c r="A59" s="17">
        <v>8.2717434385009268E-4</v>
      </c>
      <c r="B59" s="16">
        <v>5.0000000000000001E-4</v>
      </c>
      <c r="E59" s="17">
        <v>8.2617136059935582E-4</v>
      </c>
      <c r="F59" s="17">
        <v>6</v>
      </c>
    </row>
    <row r="60" spans="1:6" x14ac:dyDescent="0.25">
      <c r="A60" s="17">
        <v>8.2811740671381764E-4</v>
      </c>
      <c r="B60" s="16">
        <v>5.0000000000000001E-4</v>
      </c>
      <c r="E60" s="17">
        <v>8.2717434385009268E-4</v>
      </c>
      <c r="F60" s="17">
        <v>2</v>
      </c>
    </row>
    <row r="61" spans="1:6" x14ac:dyDescent="0.25">
      <c r="A61" s="17">
        <v>8.5162524851955081E-4</v>
      </c>
      <c r="B61" s="16">
        <v>5.0000000000000001E-4</v>
      </c>
      <c r="E61" s="17">
        <v>8.2811740671381764E-4</v>
      </c>
      <c r="F61" s="17">
        <v>10</v>
      </c>
    </row>
    <row r="62" spans="1:6" x14ac:dyDescent="0.25">
      <c r="A62" s="17">
        <v>8.53010829948678E-4</v>
      </c>
      <c r="B62" s="16">
        <v>5.0000000000000001E-4</v>
      </c>
      <c r="E62" s="17">
        <v>8.5162524851955081E-4</v>
      </c>
      <c r="F62" s="17">
        <v>60</v>
      </c>
    </row>
    <row r="63" spans="1:6" x14ac:dyDescent="0.25">
      <c r="A63" s="17">
        <v>8.8113701901095616E-4</v>
      </c>
      <c r="B63" s="16">
        <v>5.0000000000000001E-4</v>
      </c>
      <c r="E63" s="17">
        <v>8.53010829948678E-4</v>
      </c>
      <c r="F63" s="17">
        <v>300</v>
      </c>
    </row>
    <row r="64" spans="1:6" x14ac:dyDescent="0.25">
      <c r="A64" s="17">
        <v>8.9948924586526929E-4</v>
      </c>
      <c r="B64" s="16">
        <v>5.0000000000000001E-4</v>
      </c>
      <c r="E64" s="17">
        <v>8.8113701901095616E-4</v>
      </c>
      <c r="F64" s="17">
        <v>50000</v>
      </c>
    </row>
    <row r="65" spans="1:6" x14ac:dyDescent="0.25">
      <c r="A65" s="17">
        <v>9.2306695336742879E-4</v>
      </c>
      <c r="B65" s="16">
        <v>5.0000000000000001E-4</v>
      </c>
      <c r="E65" s="17">
        <v>8.9948924586526929E-4</v>
      </c>
      <c r="F65" s="17">
        <v>30</v>
      </c>
    </row>
    <row r="66" spans="1:6" x14ac:dyDescent="0.25">
      <c r="A66" s="17">
        <v>9.5230000867730757E-4</v>
      </c>
      <c r="B66" s="16">
        <v>5.0000000000000001E-4</v>
      </c>
      <c r="E66" s="17">
        <v>9.2306695336742879E-4</v>
      </c>
      <c r="F66" s="17">
        <v>50000</v>
      </c>
    </row>
    <row r="67" spans="1:6" x14ac:dyDescent="0.25">
      <c r="A67" s="17">
        <v>1.0088869145488107E-3</v>
      </c>
      <c r="B67" s="16">
        <v>5.0000000000000001E-4</v>
      </c>
      <c r="E67" s="17">
        <v>9.5230000867730757E-4</v>
      </c>
      <c r="F67" s="17">
        <v>2000</v>
      </c>
    </row>
    <row r="68" spans="1:6" x14ac:dyDescent="0.25">
      <c r="A68" s="17">
        <v>1.0347124733532268E-3</v>
      </c>
      <c r="B68" s="16">
        <v>5.0000000000000001E-4</v>
      </c>
      <c r="E68" s="17">
        <v>1.0088869145488107E-3</v>
      </c>
      <c r="F68" s="17">
        <v>50000</v>
      </c>
    </row>
    <row r="69" spans="1:6" x14ac:dyDescent="0.25">
      <c r="A69" s="17">
        <v>1.0662738651148838E-3</v>
      </c>
      <c r="B69" s="16">
        <v>5.0000000000000001E-4</v>
      </c>
      <c r="E69" s="17">
        <v>1.0347124733532268E-3</v>
      </c>
      <c r="F69" s="17">
        <v>50000</v>
      </c>
    </row>
    <row r="70" spans="1:6" x14ac:dyDescent="0.25">
      <c r="A70" s="17">
        <v>1.0807479013699626E-3</v>
      </c>
      <c r="B70" s="16">
        <v>5.0000000000000001E-4</v>
      </c>
      <c r="E70" s="17">
        <v>1.0662738651148838E-3</v>
      </c>
      <c r="F70" s="17">
        <v>50000</v>
      </c>
    </row>
    <row r="71" spans="1:6" x14ac:dyDescent="0.25">
      <c r="A71" s="17">
        <v>1.0862474916712328E-3</v>
      </c>
      <c r="B71" s="16">
        <v>5.0000000000000001E-4</v>
      </c>
      <c r="E71" s="17">
        <v>1.0807479013699626E-3</v>
      </c>
      <c r="F71" s="17">
        <v>50000</v>
      </c>
    </row>
    <row r="72" spans="1:6" x14ac:dyDescent="0.25">
      <c r="A72" s="17">
        <v>1.1077365110771615E-3</v>
      </c>
      <c r="B72" s="16">
        <v>5.0000000000000001E-4</v>
      </c>
      <c r="E72" s="17">
        <v>1.0862474916712328E-3</v>
      </c>
      <c r="F72" s="17">
        <v>20000</v>
      </c>
    </row>
    <row r="73" spans="1:6" x14ac:dyDescent="0.25">
      <c r="A73" s="17">
        <v>1.1143245501855014E-3</v>
      </c>
      <c r="B73" s="16">
        <v>5.0000000000000001E-4</v>
      </c>
      <c r="E73" s="17">
        <v>1.1077365110771615E-3</v>
      </c>
      <c r="F73" s="17">
        <v>50000</v>
      </c>
    </row>
    <row r="74" spans="1:6" x14ac:dyDescent="0.25">
      <c r="A74" s="17">
        <v>1.124251620126436E-3</v>
      </c>
      <c r="B74" s="16">
        <v>5.0000000000000001E-4</v>
      </c>
      <c r="E74" s="17">
        <v>1.1143245501855014E-3</v>
      </c>
      <c r="F74" s="17">
        <v>50000</v>
      </c>
    </row>
    <row r="75" spans="1:6" x14ac:dyDescent="0.25">
      <c r="A75" s="17">
        <v>1.1437737162894202E-3</v>
      </c>
      <c r="B75" s="16">
        <v>5.0000000000000001E-4</v>
      </c>
      <c r="E75" s="17">
        <v>1.124251620126436E-3</v>
      </c>
      <c r="F75" s="17">
        <v>50000</v>
      </c>
    </row>
    <row r="76" spans="1:6" x14ac:dyDescent="0.25">
      <c r="A76" s="17">
        <v>1.1517228073116704E-3</v>
      </c>
      <c r="B76" s="16">
        <v>5.0000000000000001E-4</v>
      </c>
      <c r="E76" s="17">
        <v>1.1437737162894202E-3</v>
      </c>
      <c r="F76" s="17">
        <v>50000</v>
      </c>
    </row>
    <row r="77" spans="1:6" x14ac:dyDescent="0.25">
      <c r="A77" s="17">
        <v>1.2913649189970715E-3</v>
      </c>
      <c r="B77" s="16">
        <v>5.0000000000000001E-4</v>
      </c>
      <c r="E77" s="17">
        <v>1.1517228073116704E-3</v>
      </c>
      <c r="F77" s="17">
        <v>10000</v>
      </c>
    </row>
    <row r="78" spans="1:6" ht="13" x14ac:dyDescent="0.3">
      <c r="A78" s="13"/>
      <c r="B78" s="16">
        <v>5.0000000000000001E-4</v>
      </c>
      <c r="E78" s="17">
        <v>1.2913649189970715E-3</v>
      </c>
      <c r="F78" s="17">
        <v>5000</v>
      </c>
    </row>
    <row r="79" spans="1:6" ht="13" x14ac:dyDescent="0.3">
      <c r="A79" s="13"/>
      <c r="B79" s="16">
        <v>5.0000000000000001E-4</v>
      </c>
      <c r="E79" s="17">
        <v>0</v>
      </c>
      <c r="F79" s="17">
        <v>0</v>
      </c>
    </row>
    <row r="80" spans="1:6" ht="13" x14ac:dyDescent="0.3">
      <c r="A80" s="13"/>
      <c r="B80" s="16">
        <v>5.0000000000000001E-4</v>
      </c>
      <c r="E80" s="17">
        <v>0</v>
      </c>
      <c r="F80" s="17">
        <v>0</v>
      </c>
    </row>
    <row r="81" spans="1:6" ht="13" x14ac:dyDescent="0.3">
      <c r="A81" s="13"/>
      <c r="B81" s="16">
        <v>5.0000000000000001E-4</v>
      </c>
      <c r="E81" s="17">
        <v>0</v>
      </c>
      <c r="F81" s="17">
        <v>0</v>
      </c>
    </row>
    <row r="82" spans="1:6" ht="13" x14ac:dyDescent="0.3">
      <c r="A82" s="13"/>
      <c r="B82" s="16">
        <v>5.0000000000000001E-4</v>
      </c>
      <c r="E82" s="17">
        <v>0</v>
      </c>
      <c r="F82" s="17">
        <v>0</v>
      </c>
    </row>
    <row r="83" spans="1:6" ht="13" x14ac:dyDescent="0.3">
      <c r="A83" s="13"/>
      <c r="B83" s="16">
        <v>5.0000000000000001E-4</v>
      </c>
      <c r="E83" s="17">
        <v>0</v>
      </c>
      <c r="F83" s="17">
        <v>0</v>
      </c>
    </row>
    <row r="84" spans="1:6" ht="13" x14ac:dyDescent="0.3">
      <c r="A84" s="13"/>
      <c r="B84" s="16">
        <v>5.0000000000000001E-4</v>
      </c>
      <c r="E84" s="17">
        <v>0</v>
      </c>
      <c r="F84" s="17">
        <v>0</v>
      </c>
    </row>
    <row r="85" spans="1:6" ht="13" x14ac:dyDescent="0.3">
      <c r="A85" s="13"/>
      <c r="B85" s="16">
        <v>5.0000000000000001E-4</v>
      </c>
      <c r="E85" s="17">
        <v>0</v>
      </c>
      <c r="F85" s="17">
        <v>0</v>
      </c>
    </row>
    <row r="86" spans="1:6" ht="13" x14ac:dyDescent="0.3">
      <c r="A86" s="13"/>
      <c r="B86" s="16">
        <v>5.0000000000000001E-4</v>
      </c>
      <c r="E86" s="17">
        <v>0</v>
      </c>
      <c r="F86" s="17">
        <v>0</v>
      </c>
    </row>
    <row r="87" spans="1:6" ht="13" x14ac:dyDescent="0.3">
      <c r="A87" s="13"/>
      <c r="B87" s="16">
        <v>5.0000000000000001E-4</v>
      </c>
      <c r="E87" s="17">
        <v>0</v>
      </c>
      <c r="F87" s="17">
        <v>0</v>
      </c>
    </row>
    <row r="88" spans="1:6" ht="13" x14ac:dyDescent="0.3">
      <c r="A88" s="13"/>
      <c r="B88" s="16">
        <v>5.0000000000000001E-4</v>
      </c>
      <c r="E88" s="17">
        <v>0</v>
      </c>
      <c r="F88" s="17">
        <v>0</v>
      </c>
    </row>
    <row r="89" spans="1:6" ht="13" x14ac:dyDescent="0.3">
      <c r="A89" s="13"/>
      <c r="B89" s="16">
        <v>5.0000000000000001E-4</v>
      </c>
      <c r="E89" s="17">
        <v>0</v>
      </c>
      <c r="F89" s="17">
        <v>0</v>
      </c>
    </row>
    <row r="90" spans="1:6" ht="13" x14ac:dyDescent="0.3">
      <c r="A90" s="13"/>
      <c r="B90" s="16">
        <v>5.0000000000000001E-4</v>
      </c>
      <c r="E90" s="17">
        <v>0</v>
      </c>
      <c r="F90" s="17">
        <v>0</v>
      </c>
    </row>
    <row r="91" spans="1:6" ht="13" x14ac:dyDescent="0.3">
      <c r="A91" s="13"/>
      <c r="B91" s="16">
        <v>5.0000000000000001E-4</v>
      </c>
      <c r="E91" s="17">
        <v>0</v>
      </c>
      <c r="F91" s="17">
        <v>0</v>
      </c>
    </row>
    <row r="92" spans="1:6" ht="13" x14ac:dyDescent="0.3">
      <c r="A92" s="13"/>
      <c r="B92" s="16">
        <v>5.0000000000000001E-4</v>
      </c>
      <c r="E92" s="17">
        <v>0</v>
      </c>
      <c r="F92" s="17">
        <v>0</v>
      </c>
    </row>
    <row r="93" spans="1:6" ht="13" x14ac:dyDescent="0.3">
      <c r="A93" s="13"/>
      <c r="B93" s="16">
        <v>5.0000000000000001E-4</v>
      </c>
      <c r="E93" s="17">
        <v>0</v>
      </c>
      <c r="F93" s="17">
        <v>0</v>
      </c>
    </row>
    <row r="94" spans="1:6" ht="13" x14ac:dyDescent="0.3">
      <c r="A94" s="13"/>
      <c r="B94" s="16">
        <v>5.0000000000000001E-4</v>
      </c>
      <c r="E94" s="17">
        <v>0</v>
      </c>
      <c r="F94" s="17">
        <v>0</v>
      </c>
    </row>
    <row r="95" spans="1:6" ht="13" x14ac:dyDescent="0.3">
      <c r="A95" s="13"/>
      <c r="B95" s="16">
        <v>5.0000000000000001E-4</v>
      </c>
      <c r="E95" s="17">
        <v>0</v>
      </c>
      <c r="F95" s="17">
        <v>0</v>
      </c>
    </row>
    <row r="96" spans="1:6" ht="13" x14ac:dyDescent="0.3">
      <c r="A96" s="13"/>
      <c r="B96" s="16">
        <v>5.0000000000000001E-4</v>
      </c>
      <c r="E96" s="17">
        <v>0.94897404667635576</v>
      </c>
      <c r="F96" s="17">
        <v>0</v>
      </c>
    </row>
    <row r="97" spans="1:5" ht="13" x14ac:dyDescent="0.3">
      <c r="A97" s="13"/>
      <c r="B97" s="16">
        <v>5.0000000000000001E-4</v>
      </c>
      <c r="E97">
        <v>6.6121892289742166E-4</v>
      </c>
    </row>
    <row r="98" spans="1:5" ht="13" x14ac:dyDescent="0.3">
      <c r="A98" s="13"/>
      <c r="B98" s="16">
        <v>5.0000000000000001E-4</v>
      </c>
      <c r="E98">
        <v>5.9569691750868074E-4</v>
      </c>
    </row>
    <row r="99" spans="1:5" ht="13" x14ac:dyDescent="0.3">
      <c r="A99" s="13"/>
      <c r="B99" s="16">
        <v>5.0000000000000001E-4</v>
      </c>
      <c r="E99">
        <v>7.3173591717221053E-4</v>
      </c>
    </row>
    <row r="100" spans="1:5" ht="13" x14ac:dyDescent="0.3">
      <c r="A100" s="13"/>
      <c r="B100" s="16">
        <v>5.0000000000000001E-4</v>
      </c>
      <c r="E100">
        <v>1.0813877659304589E-3</v>
      </c>
    </row>
    <row r="101" spans="1:5" ht="13" x14ac:dyDescent="0.3">
      <c r="A101" s="13"/>
      <c r="B101" s="16">
        <v>5.0000000000000001E-4</v>
      </c>
      <c r="E101">
        <v>1.0943217935722768E-3</v>
      </c>
    </row>
    <row r="102" spans="1:5" ht="13" x14ac:dyDescent="0.3">
      <c r="A102" s="13"/>
      <c r="B102" s="16">
        <v>5.0000000000000001E-4</v>
      </c>
      <c r="E102">
        <v>6.1114981429052744E-4</v>
      </c>
    </row>
    <row r="103" spans="1:5" ht="13" x14ac:dyDescent="0.3">
      <c r="A103" s="13"/>
      <c r="B103" s="16">
        <v>5.0000000000000001E-4</v>
      </c>
      <c r="E103">
        <v>2.2496519572951009E-2</v>
      </c>
    </row>
    <row r="104" spans="1:5" ht="13" x14ac:dyDescent="0.3">
      <c r="A104" s="13"/>
      <c r="E104">
        <v>1.0493448446524496E-3</v>
      </c>
    </row>
    <row r="105" spans="1:5" ht="13" x14ac:dyDescent="0.3">
      <c r="A105" s="13"/>
      <c r="E105">
        <v>1.1129128573756965E-3</v>
      </c>
    </row>
    <row r="106" spans="1:5" ht="13" x14ac:dyDescent="0.3">
      <c r="A106" s="13"/>
      <c r="E106">
        <v>5.5801910810105554E-4</v>
      </c>
    </row>
    <row r="107" spans="1:5" ht="13" x14ac:dyDescent="0.3">
      <c r="A107" s="13"/>
      <c r="E107">
        <v>6.8941167410334467E-4</v>
      </c>
    </row>
    <row r="108" spans="1:5" ht="13" x14ac:dyDescent="0.3">
      <c r="A108" s="13"/>
      <c r="E108">
        <v>1.1506934831333445E-3</v>
      </c>
    </row>
    <row r="109" spans="1:5" ht="13" x14ac:dyDescent="0.3">
      <c r="A109" s="13"/>
      <c r="E109">
        <v>1.1605347431437746E-3</v>
      </c>
    </row>
    <row r="110" spans="1:5" ht="13" x14ac:dyDescent="0.3">
      <c r="A110" s="13"/>
      <c r="E110">
        <v>9.5524188705123402E-4</v>
      </c>
    </row>
    <row r="111" spans="1:5" ht="13" x14ac:dyDescent="0.3">
      <c r="A111" s="13"/>
      <c r="E111">
        <v>7.8383207044741986E-4</v>
      </c>
    </row>
    <row r="112" spans="1:5" ht="13" x14ac:dyDescent="0.3">
      <c r="A112" s="13"/>
      <c r="E112">
        <v>8.3749715598062033E-4</v>
      </c>
    </row>
    <row r="113" spans="1:5" ht="13" x14ac:dyDescent="0.3">
      <c r="A113" s="13"/>
      <c r="E113">
        <v>8.1604480596404077E-4</v>
      </c>
    </row>
    <row r="114" spans="1:5" ht="13" x14ac:dyDescent="0.3">
      <c r="A114" s="13"/>
      <c r="E114">
        <v>8.5035252661315431E-4</v>
      </c>
    </row>
    <row r="115" spans="1:5" ht="13" x14ac:dyDescent="0.3">
      <c r="A115" s="13"/>
      <c r="E115">
        <v>9.1226722028761034E-4</v>
      </c>
    </row>
    <row r="116" spans="1:5" ht="13" x14ac:dyDescent="0.3">
      <c r="A116" s="13"/>
      <c r="E116">
        <v>7.2762020293130523E-4</v>
      </c>
    </row>
    <row r="117" spans="1:5" ht="13" x14ac:dyDescent="0.3">
      <c r="A117" s="13"/>
      <c r="E117">
        <v>1.0235015556351876E-3</v>
      </c>
    </row>
    <row r="118" spans="1:5" ht="13" x14ac:dyDescent="0.3">
      <c r="A118" s="13"/>
      <c r="E118">
        <v>8.2348205845775497E-4</v>
      </c>
    </row>
    <row r="119" spans="1:5" ht="13" x14ac:dyDescent="0.3">
      <c r="A119" s="13"/>
      <c r="E119">
        <v>0</v>
      </c>
    </row>
    <row r="120" spans="1:5" ht="13" x14ac:dyDescent="0.3">
      <c r="A120" s="13"/>
      <c r="E120">
        <v>0</v>
      </c>
    </row>
    <row r="121" spans="1:5" ht="13" x14ac:dyDescent="0.3">
      <c r="A121" s="13"/>
      <c r="E121">
        <v>8.0248451085346425E-4</v>
      </c>
    </row>
    <row r="122" spans="1:5" ht="13" x14ac:dyDescent="0.3">
      <c r="A122" s="13"/>
      <c r="E122">
        <v>9.6138652007474634E-4</v>
      </c>
    </row>
    <row r="123" spans="1:5" ht="13.5" thickBot="1" x14ac:dyDescent="0.35">
      <c r="A123" s="14"/>
      <c r="E123">
        <v>6.2972916928736786E-4</v>
      </c>
    </row>
  </sheetData>
  <sheetProtection sheet="1" objects="1" scenarios="1"/>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6" baseType="variant">
      <vt:variant>
        <vt:lpstr>Worksheets</vt:lpstr>
      </vt:variant>
      <vt:variant>
        <vt:i4>7</vt:i4>
      </vt:variant>
      <vt:variant>
        <vt:lpstr>Charts</vt:lpstr>
      </vt:variant>
      <vt:variant>
        <vt:i4>1</vt:i4>
      </vt:variant>
      <vt:variant>
        <vt:lpstr>Named Ranges</vt:lpstr>
      </vt:variant>
      <vt:variant>
        <vt:i4>10</vt:i4>
      </vt:variant>
    </vt:vector>
  </HeadingPairs>
  <TitlesOfParts>
    <vt:vector size="18" baseType="lpstr">
      <vt:lpstr>Introduction</vt:lpstr>
      <vt:lpstr>DATENTER</vt:lpstr>
      <vt:lpstr>SiteCalcs</vt:lpstr>
      <vt:lpstr>ChemCalcs</vt:lpstr>
      <vt:lpstr>ChemProps</vt:lpstr>
      <vt:lpstr>SoilProp</vt:lpstr>
      <vt:lpstr>Sheet1</vt:lpstr>
      <vt:lpstr>Alpha Graph</vt:lpstr>
      <vt:lpstr>CCalcs</vt:lpstr>
      <vt:lpstr>ChemCalcs!Print_Area</vt:lpstr>
      <vt:lpstr>ChemProps!Print_Area</vt:lpstr>
      <vt:lpstr>DATENTER!Print_Area</vt:lpstr>
      <vt:lpstr>Introduction!Print_Area</vt:lpstr>
      <vt:lpstr>SiteCalcs!Print_Area</vt:lpstr>
      <vt:lpstr>SoilProp!Print_Area</vt:lpstr>
      <vt:lpstr>ChemCalcs!Print_Titles</vt:lpstr>
      <vt:lpstr>ChemProps!Print_Titles</vt:lpstr>
      <vt:lpstr>Props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2022-12-08T14:07:38Z</dcterms:created>
  <dcterms:modified xsi:type="dcterms:W3CDTF">2024-02-29T19:15:17Z</dcterms:modified>
</cp:coreProperties>
</file>