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95" windowWidth="19440" windowHeight="7875"/>
  </bookViews>
  <sheets>
    <sheet name="Summary" sheetId="4" r:id="rId1"/>
    <sheet name="Installations and Costs Graph" sheetId="5" r:id="rId2"/>
    <sheet name="Net Metering Costs" sheetId="2" r:id="rId3"/>
    <sheet name="SREC Costs" sheetId="3" r:id="rId4"/>
    <sheet name="Allocators" sheetId="6" r:id="rId5"/>
    <sheet name="Rates" sheetId="7" r:id="rId6"/>
  </sheets>
  <definedNames>
    <definedName name="_xlnm.Print_Area" localSheetId="2">'Net Metering Costs'!$B$2:$I$39</definedName>
    <definedName name="_xlnm.Print_Area" localSheetId="3">'SREC Costs'!$B$2:$I$38</definedName>
    <definedName name="_xlnm.Print_Area" localSheetId="0">Summary!$A$1:$I$19</definedName>
  </definedNames>
  <calcPr calcId="125725"/>
</workbook>
</file>

<file path=xl/calcChain.xml><?xml version="1.0" encoding="utf-8"?>
<calcChain xmlns="http://schemas.openxmlformats.org/spreadsheetml/2006/main">
  <c r="F34" i="3"/>
  <c r="G34"/>
  <c r="H34"/>
  <c r="I34"/>
  <c r="E34"/>
  <c r="D34"/>
  <c r="C34"/>
  <c r="E33"/>
  <c r="F33"/>
  <c r="G33"/>
  <c r="H33"/>
  <c r="I33"/>
  <c r="D33"/>
  <c r="C33"/>
  <c r="C28"/>
  <c r="E35" i="2"/>
  <c r="F35"/>
  <c r="G35"/>
  <c r="H35"/>
  <c r="I35"/>
  <c r="D35"/>
  <c r="C34"/>
  <c r="E13"/>
  <c r="F13"/>
  <c r="G13"/>
  <c r="H13"/>
  <c r="I13"/>
  <c r="D13"/>
  <c r="D6" i="4" l="1"/>
  <c r="E6"/>
  <c r="F6"/>
  <c r="G6"/>
  <c r="H6"/>
  <c r="I6"/>
  <c r="C6"/>
  <c r="J11" i="7"/>
  <c r="J5" l="1"/>
  <c r="J9" s="1"/>
  <c r="D10"/>
  <c r="J10" s="1"/>
  <c r="P11"/>
  <c r="P15" s="1"/>
  <c r="P19" s="1"/>
  <c r="P23" s="1"/>
  <c r="Q5"/>
  <c r="Q6"/>
  <c r="Q9"/>
  <c r="Q10"/>
  <c r="Q13"/>
  <c r="Q14"/>
  <c r="Q17"/>
  <c r="Q18"/>
  <c r="Q21"/>
  <c r="Q22"/>
  <c r="R22"/>
  <c r="R18"/>
  <c r="R14"/>
  <c r="R10"/>
  <c r="R6"/>
  <c r="D16" i="2" l="1"/>
  <c r="R23" i="7"/>
  <c r="S22"/>
  <c r="S21"/>
  <c r="R19"/>
  <c r="S18"/>
  <c r="S17"/>
  <c r="R15"/>
  <c r="S14"/>
  <c r="S13"/>
  <c r="R11"/>
  <c r="S10"/>
  <c r="S9"/>
  <c r="R7"/>
  <c r="S6"/>
  <c r="S5"/>
  <c r="N6"/>
  <c r="N7" s="1"/>
  <c r="N8" s="1"/>
  <c r="N5"/>
  <c r="N4"/>
  <c r="M5"/>
  <c r="M4"/>
  <c r="M6"/>
  <c r="M7" s="1"/>
  <c r="M8" s="1"/>
  <c r="L9"/>
  <c r="D18" i="2" s="1"/>
  <c r="E18" s="1"/>
  <c r="F18" s="1"/>
  <c r="G18" s="1"/>
  <c r="H18" s="1"/>
  <c r="I18" s="1"/>
  <c r="K9" i="7"/>
  <c r="D19" i="2" s="1"/>
  <c r="C16"/>
  <c r="D25" i="7"/>
  <c r="C18" i="2" s="1"/>
  <c r="D22" i="7"/>
  <c r="C19" i="2" s="1"/>
  <c r="D19" i="7"/>
  <c r="D8"/>
  <c r="C20" i="2" s="1"/>
  <c r="C26" i="7"/>
  <c r="D25" i="2" l="1"/>
  <c r="M9" i="7"/>
  <c r="C17" i="2" s="1"/>
  <c r="C21" s="1"/>
  <c r="S23" i="7"/>
  <c r="Q23" s="1"/>
  <c r="I19" i="2" s="1"/>
  <c r="S19" i="7"/>
  <c r="S15"/>
  <c r="S11"/>
  <c r="S7"/>
  <c r="N9"/>
  <c r="D17" i="2" s="1"/>
  <c r="E17" s="1"/>
  <c r="F17" s="1"/>
  <c r="G17" s="1"/>
  <c r="H17" s="1"/>
  <c r="E16"/>
  <c r="D24" l="1"/>
  <c r="Q11" i="7"/>
  <c r="F19" i="2" s="1"/>
  <c r="Q15" i="7"/>
  <c r="G19" i="2" s="1"/>
  <c r="Q19" i="7"/>
  <c r="H19" i="2" s="1"/>
  <c r="Q7" i="7"/>
  <c r="E19" i="2" s="1"/>
  <c r="E21" s="1"/>
  <c r="C24"/>
  <c r="E24"/>
  <c r="F16"/>
  <c r="D21"/>
  <c r="I17"/>
  <c r="F21" l="1"/>
  <c r="F24"/>
  <c r="G16"/>
  <c r="B47"/>
  <c r="B72" s="1"/>
  <c r="B46"/>
  <c r="B71" s="1"/>
  <c r="B45"/>
  <c r="B70" s="1"/>
  <c r="C8" i="6"/>
  <c r="C9"/>
  <c r="C10"/>
  <c r="C11"/>
  <c r="C12"/>
  <c r="C13"/>
  <c r="C14"/>
  <c r="C15"/>
  <c r="C16"/>
  <c r="C17"/>
  <c r="C18"/>
  <c r="C19"/>
  <c r="D20"/>
  <c r="E20"/>
  <c r="C37" s="1"/>
  <c r="F20"/>
  <c r="G20"/>
  <c r="H20"/>
  <c r="I20"/>
  <c r="J20"/>
  <c r="C34"/>
  <c r="C45"/>
  <c r="G21" i="2" l="1"/>
  <c r="G24"/>
  <c r="H16"/>
  <c r="C20" i="6"/>
  <c r="C24" s="1"/>
  <c r="C36"/>
  <c r="C38" s="1"/>
  <c r="I5" i="4"/>
  <c r="D5"/>
  <c r="E5"/>
  <c r="F5"/>
  <c r="G5"/>
  <c r="H5"/>
  <c r="C5"/>
  <c r="I16" i="2" l="1"/>
  <c r="H24"/>
  <c r="H21"/>
  <c r="G71"/>
  <c r="C71"/>
  <c r="C23" i="6"/>
  <c r="C39"/>
  <c r="C25"/>
  <c r="D26" i="2"/>
  <c r="D12"/>
  <c r="D19" i="3"/>
  <c r="D23" s="1"/>
  <c r="E19"/>
  <c r="E23" s="1"/>
  <c r="E9" i="4" s="1"/>
  <c r="F19" i="3"/>
  <c r="F23" s="1"/>
  <c r="F9" i="4" s="1"/>
  <c r="G19" i="3"/>
  <c r="G23" s="1"/>
  <c r="H19"/>
  <c r="H23" s="1"/>
  <c r="I19"/>
  <c r="I23" s="1"/>
  <c r="I9" i="4" s="1"/>
  <c r="D20" i="3"/>
  <c r="D24" s="1"/>
  <c r="D10" i="4" s="1"/>
  <c r="E20" i="3"/>
  <c r="E24" s="1"/>
  <c r="E10" i="4" s="1"/>
  <c r="F20" i="3"/>
  <c r="F24" s="1"/>
  <c r="F10" i="4" s="1"/>
  <c r="G20" i="3"/>
  <c r="G24" s="1"/>
  <c r="G10" i="4" s="1"/>
  <c r="H20" i="3"/>
  <c r="H24" s="1"/>
  <c r="H10" i="4" s="1"/>
  <c r="I20" i="3"/>
  <c r="I24" s="1"/>
  <c r="I10" i="4" s="1"/>
  <c r="C20" i="3"/>
  <c r="C24" s="1"/>
  <c r="C10" i="4" s="1"/>
  <c r="C19" i="3"/>
  <c r="C23" s="1"/>
  <c r="C9" i="4" s="1"/>
  <c r="D28" i="3"/>
  <c r="D71" i="2" s="1"/>
  <c r="E28" i="3"/>
  <c r="E71" i="2" s="1"/>
  <c r="F28" i="3"/>
  <c r="F71" i="2" s="1"/>
  <c r="G28" i="3"/>
  <c r="H28"/>
  <c r="H71" i="2" s="1"/>
  <c r="I28" i="3"/>
  <c r="I71" i="2" s="1"/>
  <c r="E12"/>
  <c r="E26" s="1"/>
  <c r="F12"/>
  <c r="F28" s="1"/>
  <c r="G12"/>
  <c r="G27" s="1"/>
  <c r="H12"/>
  <c r="H28" s="1"/>
  <c r="I12"/>
  <c r="I26" s="1"/>
  <c r="C12"/>
  <c r="C27" s="1"/>
  <c r="F25" l="1"/>
  <c r="D28"/>
  <c r="I21"/>
  <c r="I24"/>
  <c r="I72"/>
  <c r="E72"/>
  <c r="F72"/>
  <c r="C72"/>
  <c r="H72"/>
  <c r="D72"/>
  <c r="G72"/>
  <c r="I70"/>
  <c r="E70"/>
  <c r="G70"/>
  <c r="H70"/>
  <c r="D70"/>
  <c r="C70"/>
  <c r="F70"/>
  <c r="E25"/>
  <c r="I25"/>
  <c r="G25"/>
  <c r="D27"/>
  <c r="D31" s="1"/>
  <c r="D37" s="1"/>
  <c r="C40" i="6"/>
  <c r="C43" s="1"/>
  <c r="C44"/>
  <c r="C26"/>
  <c r="J10" i="4"/>
  <c r="D35" i="3"/>
  <c r="D42" s="1"/>
  <c r="D9" i="4"/>
  <c r="H35" i="3"/>
  <c r="H42" s="1"/>
  <c r="H9" i="4"/>
  <c r="G35" i="3"/>
  <c r="G40" s="1"/>
  <c r="G9" i="4"/>
  <c r="H25" i="2"/>
  <c r="F35" i="3"/>
  <c r="C35"/>
  <c r="I35"/>
  <c r="E35"/>
  <c r="D25"/>
  <c r="F25"/>
  <c r="G25"/>
  <c r="C25"/>
  <c r="E25"/>
  <c r="H25"/>
  <c r="I25"/>
  <c r="C25" i="2"/>
  <c r="I28"/>
  <c r="H26"/>
  <c r="E28"/>
  <c r="F27"/>
  <c r="F26"/>
  <c r="C28"/>
  <c r="G28"/>
  <c r="H27"/>
  <c r="C26"/>
  <c r="G26"/>
  <c r="E27"/>
  <c r="I27"/>
  <c r="C37" i="3" l="1"/>
  <c r="C40"/>
  <c r="C41"/>
  <c r="C42"/>
  <c r="E37"/>
  <c r="E41"/>
  <c r="E40"/>
  <c r="I37"/>
  <c r="I40"/>
  <c r="I41"/>
  <c r="G37"/>
  <c r="G41"/>
  <c r="D37"/>
  <c r="D40"/>
  <c r="D41"/>
  <c r="E42"/>
  <c r="H37"/>
  <c r="H40"/>
  <c r="H41"/>
  <c r="G42"/>
  <c r="I42"/>
  <c r="C73" i="2"/>
  <c r="F37" i="3"/>
  <c r="F41"/>
  <c r="F42"/>
  <c r="F40"/>
  <c r="F30" i="2"/>
  <c r="E73"/>
  <c r="D73"/>
  <c r="I73"/>
  <c r="H73"/>
  <c r="F73"/>
  <c r="G73"/>
  <c r="D42"/>
  <c r="D47" s="1"/>
  <c r="D21" i="4" s="1"/>
  <c r="D8"/>
  <c r="D12" s="1"/>
  <c r="D40" i="2"/>
  <c r="D41"/>
  <c r="C30"/>
  <c r="D30"/>
  <c r="H30"/>
  <c r="H31"/>
  <c r="H37" s="1"/>
  <c r="G30"/>
  <c r="G31"/>
  <c r="G37" s="1"/>
  <c r="G41" s="1"/>
  <c r="I30"/>
  <c r="I31"/>
  <c r="I37" s="1"/>
  <c r="C31"/>
  <c r="C37" s="1"/>
  <c r="E30"/>
  <c r="E31"/>
  <c r="E37" s="1"/>
  <c r="E41" s="1"/>
  <c r="F31"/>
  <c r="F37" s="1"/>
  <c r="C46" i="6"/>
  <c r="J9" i="4"/>
  <c r="F42" i="2" l="1"/>
  <c r="F8" i="4"/>
  <c r="F12" s="1"/>
  <c r="F40" i="2"/>
  <c r="F41"/>
  <c r="I8" i="4"/>
  <c r="I12" s="1"/>
  <c r="I42" i="2"/>
  <c r="I40"/>
  <c r="I41"/>
  <c r="H42"/>
  <c r="H8" i="4"/>
  <c r="H12" s="1"/>
  <c r="H40" i="2"/>
  <c r="H41"/>
  <c r="C42"/>
  <c r="C8" i="4"/>
  <c r="C40" i="2"/>
  <c r="E15" i="4"/>
  <c r="E46" i="2"/>
  <c r="E20" i="4" s="1"/>
  <c r="G15"/>
  <c r="G46" i="2"/>
  <c r="G20" i="4" s="1"/>
  <c r="E8"/>
  <c r="E12" s="1"/>
  <c r="E42" i="2"/>
  <c r="E40"/>
  <c r="D15" i="4"/>
  <c r="D46" i="2"/>
  <c r="D20" i="4" s="1"/>
  <c r="G42" i="2"/>
  <c r="G8" i="4"/>
  <c r="G12" s="1"/>
  <c r="G40" i="2"/>
  <c r="D14" i="4"/>
  <c r="D45" i="2"/>
  <c r="D19" i="4" s="1"/>
  <c r="C41" i="2"/>
  <c r="D16" i="4"/>
  <c r="G14" l="1"/>
  <c r="G45" i="2"/>
  <c r="G19" i="4" s="1"/>
  <c r="C14"/>
  <c r="C45" i="2"/>
  <c r="C19" i="4" s="1"/>
  <c r="H14"/>
  <c r="H45" i="2"/>
  <c r="H19" i="4" s="1"/>
  <c r="I14"/>
  <c r="I45" i="2"/>
  <c r="I19" i="4" s="1"/>
  <c r="F14"/>
  <c r="F45" i="2"/>
  <c r="F19" i="4" s="1"/>
  <c r="C15"/>
  <c r="C46" i="2"/>
  <c r="C20" i="4" s="1"/>
  <c r="E14"/>
  <c r="E45" i="2"/>
  <c r="E19" i="4" s="1"/>
  <c r="I47" i="2"/>
  <c r="I21" i="4" s="1"/>
  <c r="I16"/>
  <c r="G47" i="2"/>
  <c r="G21" i="4" s="1"/>
  <c r="G16"/>
  <c r="E47" i="2"/>
  <c r="E21" i="4" s="1"/>
  <c r="E16"/>
  <c r="C47" i="2"/>
  <c r="C21" i="4" s="1"/>
  <c r="C16"/>
  <c r="H47" i="2"/>
  <c r="H21" i="4" s="1"/>
  <c r="H16"/>
  <c r="F47" i="2"/>
  <c r="F21" i="4" s="1"/>
  <c r="F16"/>
  <c r="H15"/>
  <c r="H46" i="2"/>
  <c r="H20" i="4" s="1"/>
  <c r="I15"/>
  <c r="I46" i="2"/>
  <c r="I20" i="4" s="1"/>
  <c r="F15"/>
  <c r="F46" i="2"/>
  <c r="F20" i="4" s="1"/>
  <c r="J8"/>
  <c r="C12"/>
  <c r="J12" s="1"/>
  <c r="J15" l="1"/>
  <c r="J14"/>
  <c r="J16"/>
</calcChain>
</file>

<file path=xl/sharedStrings.xml><?xml version="1.0" encoding="utf-8"?>
<sst xmlns="http://schemas.openxmlformats.org/spreadsheetml/2006/main" count="199" uniqueCount="155">
  <si>
    <t>Transmission</t>
  </si>
  <si>
    <t>Basic Service, Annual Average</t>
  </si>
  <si>
    <t>Total Average kWh Rate</t>
  </si>
  <si>
    <t>Percent Non-Coincident, annual</t>
  </si>
  <si>
    <t>Net Metering Costs</t>
  </si>
  <si>
    <t>Total Exported Net Metered kWh</t>
  </si>
  <si>
    <t>Net Metered Generation</t>
  </si>
  <si>
    <t>Distribution, Exports</t>
  </si>
  <si>
    <t>Transmission, Exports</t>
  </si>
  <si>
    <t>Commodity, Exports</t>
  </si>
  <si>
    <t>Total Net Meter Costs</t>
  </si>
  <si>
    <t>Total Export Costs</t>
  </si>
  <si>
    <t>Net Cost of Net Metering</t>
  </si>
  <si>
    <t>SREC I</t>
  </si>
  <si>
    <t>SREC II</t>
  </si>
  <si>
    <t>Basic Service Load</t>
  </si>
  <si>
    <t>Total SREC I</t>
  </si>
  <si>
    <t>Total SREC II</t>
  </si>
  <si>
    <t>Total Solar Carve Out</t>
  </si>
  <si>
    <t>Total</t>
  </si>
  <si>
    <t xml:space="preserve">SREC I </t>
  </si>
  <si>
    <t>Unit Prices</t>
  </si>
  <si>
    <t>Cost for All Distribution Customers</t>
  </si>
  <si>
    <t>Basic Service/Total Distribution</t>
  </si>
  <si>
    <t>Estimated Distribution Load</t>
  </si>
  <si>
    <t>Cost for Basic Service Obligation</t>
  </si>
  <si>
    <t>Average annual ISO-NE LMP ($/kWh)</t>
  </si>
  <si>
    <t>Total revenue from generation</t>
  </si>
  <si>
    <t>Net Metering Revenues</t>
  </si>
  <si>
    <t>Total Cost of Solar Programs and Net Metering</t>
  </si>
  <si>
    <t>Residential Cost</t>
  </si>
  <si>
    <t>Low Income Cost</t>
  </si>
  <si>
    <t>Commercial and Industrial Cost</t>
  </si>
  <si>
    <t>Statewide Solar Installed, MW (DC)</t>
  </si>
  <si>
    <t>National Grid Net Metering Cost Projections, 2014-2020</t>
  </si>
  <si>
    <t>Net Metered Generation, kWh (est.)</t>
  </si>
  <si>
    <t>National Grid Net Metering (interconnected at year end)</t>
  </si>
  <si>
    <t>National Grid Summary of Installations, Net Metering and Solar Carve-out Program Costs</t>
  </si>
  <si>
    <t>Line</t>
  </si>
  <si>
    <t>Notes</t>
  </si>
  <si>
    <t>Volumes</t>
  </si>
  <si>
    <t>Existing Requirements</t>
  </si>
  <si>
    <t>Average Cost per kWh</t>
  </si>
  <si>
    <t>National Grid Estimated Cost of Solar Carve-Out Program, 2014-2020</t>
  </si>
  <si>
    <t>Nat. Grid Cost of SREC I</t>
  </si>
  <si>
    <t>Nat. Grid Cost of SREC II</t>
  </si>
  <si>
    <t>Nat. Grid Cost of Net Metering</t>
  </si>
  <si>
    <t xml:space="preserve">Total </t>
  </si>
  <si>
    <t>Commercial and Industrial</t>
  </si>
  <si>
    <t>Low Income</t>
  </si>
  <si>
    <t>Residential</t>
  </si>
  <si>
    <t>Streetlights</t>
  </si>
  <si>
    <t>G-3</t>
  </si>
  <si>
    <t>G-2</t>
  </si>
  <si>
    <t>G-1</t>
  </si>
  <si>
    <t>R-4</t>
  </si>
  <si>
    <t>R-1/R-2</t>
  </si>
  <si>
    <t>TOTAL</t>
  </si>
  <si>
    <t xml:space="preserve">DECEMBER  </t>
  </si>
  <si>
    <t xml:space="preserve">NOVEMBER  </t>
  </si>
  <si>
    <t xml:space="preserve">OCTOBER   </t>
  </si>
  <si>
    <t xml:space="preserve">SEPTEMBER </t>
  </si>
  <si>
    <t xml:space="preserve">AUGUST    </t>
  </si>
  <si>
    <t xml:space="preserve">JULY      </t>
  </si>
  <si>
    <t xml:space="preserve">JUNE      </t>
  </si>
  <si>
    <t xml:space="preserve">MAY       </t>
  </si>
  <si>
    <t xml:space="preserve">APRIL     </t>
  </si>
  <si>
    <t xml:space="preserve">MARCH     </t>
  </si>
  <si>
    <t xml:space="preserve">FEBRUARY  </t>
  </si>
  <si>
    <t xml:space="preserve">JANUARY   </t>
  </si>
  <si>
    <t>STREETLIGHTS</t>
  </si>
  <si>
    <t>G3</t>
  </si>
  <si>
    <t>G2</t>
  </si>
  <si>
    <t>G1</t>
  </si>
  <si>
    <t>R4</t>
  </si>
  <si>
    <t>R2</t>
  </si>
  <si>
    <t>R1/E</t>
  </si>
  <si>
    <t>(KWH)</t>
  </si>
  <si>
    <t>January 2014 through December 2014</t>
  </si>
  <si>
    <t>Nantucket Electric Company</t>
  </si>
  <si>
    <t>Massachusetts Electric Company</t>
  </si>
  <si>
    <t>Cost by Customer Class</t>
  </si>
  <si>
    <t>Sales Allocator</t>
  </si>
  <si>
    <t>Distribution Revenue Allocator by Rate Class</t>
  </si>
  <si>
    <t>Total R-1/R-2</t>
  </si>
  <si>
    <t>R-2</t>
  </si>
  <si>
    <t>R-2%</t>
  </si>
  <si>
    <t>Low income R-2 DRA</t>
  </si>
  <si>
    <t>Residential R-1 DRA</t>
  </si>
  <si>
    <t>Distribution Revenue Allocator by Customer Class</t>
  </si>
  <si>
    <t>kWh</t>
  </si>
  <si>
    <t>Distribution Rate, average</t>
  </si>
  <si>
    <t>Transition</t>
  </si>
  <si>
    <t>Charge Category</t>
  </si>
  <si>
    <t>Factor Description</t>
  </si>
  <si>
    <t>Sum of Amount</t>
  </si>
  <si>
    <t>Commodity</t>
  </si>
  <si>
    <t>Basic Service Adjustment Factor</t>
  </si>
  <si>
    <t>Base Basic Service Charge</t>
  </si>
  <si>
    <t>Smart Grid Customer Cost Factor</t>
  </si>
  <si>
    <t>Commodity Total</t>
  </si>
  <si>
    <t>Distribution</t>
  </si>
  <si>
    <t>Attorney General Consulting Expense</t>
  </si>
  <si>
    <t>Base Distribution Charge</t>
  </si>
  <si>
    <t>Pension/PBOP Adjustment Factor</t>
  </si>
  <si>
    <t>Residential Assistance Adjustment Factor</t>
  </si>
  <si>
    <t>Revenue Decoupling Mechanism Adjustment Factor</t>
  </si>
  <si>
    <t>Solar Cost Adjustment Factor</t>
  </si>
  <si>
    <t>Storm Cost Recovery Factor</t>
  </si>
  <si>
    <t>Smart Grid Distribution Adjustment Factor</t>
  </si>
  <si>
    <t>Basic Service Administrative Cost Factor</t>
  </si>
  <si>
    <t>Default Service Cost Reclassification Adjustment Factor</t>
  </si>
  <si>
    <t>Distribution Total</t>
  </si>
  <si>
    <t>Base Transition Charge</t>
  </si>
  <si>
    <t>Transition Adjustment Factor</t>
  </si>
  <si>
    <t>Transition Total</t>
  </si>
  <si>
    <t>Base Transmission Charge</t>
  </si>
  <si>
    <t>Transmission Service Adjustment Factor</t>
  </si>
  <si>
    <t>Transmission Total</t>
  </si>
  <si>
    <t>Displaced Revenue</t>
  </si>
  <si>
    <t>R1</t>
  </si>
  <si>
    <t>Regular Residential</t>
  </si>
  <si>
    <t>Low Income Residential</t>
  </si>
  <si>
    <t>General Service - Small C&amp;I</t>
  </si>
  <si>
    <t>General Service - Demand</t>
  </si>
  <si>
    <t>Time-of-Use</t>
  </si>
  <si>
    <t>EE</t>
  </si>
  <si>
    <t>EE 2014</t>
  </si>
  <si>
    <t>EE 2015</t>
  </si>
  <si>
    <t>MECO</t>
  </si>
  <si>
    <t>Average Rate per kWh 2014</t>
  </si>
  <si>
    <t xml:space="preserve">Transition 2015 </t>
  </si>
  <si>
    <t>Transmission 2015</t>
  </si>
  <si>
    <t>Transition, Exports</t>
  </si>
  <si>
    <t>Average Rate</t>
  </si>
  <si>
    <t>Transition Rates</t>
  </si>
  <si>
    <t>$/kWh</t>
  </si>
  <si>
    <t>$</t>
  </si>
  <si>
    <t>MWH</t>
  </si>
  <si>
    <t>Base</t>
  </si>
  <si>
    <t>Distribution 2015*</t>
  </si>
  <si>
    <t>*reflects reconciling factors in effect March 15 or pending approval</t>
  </si>
  <si>
    <t>Total Capped Net Metering (kW AC)</t>
  </si>
  <si>
    <t>Total Net Metering (kW AC)</t>
  </si>
  <si>
    <t>National Grid Total Net Metering, MW (DC)</t>
  </si>
  <si>
    <t>For Massachusetts Electric Co. and Nantucket Electric Co.</t>
  </si>
  <si>
    <t xml:space="preserve"> </t>
  </si>
  <si>
    <t>National Grid Rates (based on current and estimated rates)</t>
  </si>
  <si>
    <t>Energy Efficiency Charge</t>
  </si>
  <si>
    <t>Total Solar Carve-Out Capacity (kW DC)</t>
  </si>
  <si>
    <t>Compliance Obligations</t>
  </si>
  <si>
    <t>Total Exported kWh, Not Settled</t>
  </si>
  <si>
    <t>Adjusted SREC I Obligation (no exempt load)</t>
  </si>
  <si>
    <t>Adjusted SREC II Obligation (no exempt load)</t>
  </si>
  <si>
    <t>Line 3. Includes costs for solar, wind and other technologies eligible for net metering</t>
  </si>
</sst>
</file>

<file path=xl/styles.xml><?xml version="1.0" encoding="utf-8"?>
<styleSheet xmlns="http://schemas.openxmlformats.org/spreadsheetml/2006/main">
  <numFmts count="2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  <numFmt numFmtId="166" formatCode="[$-409]General"/>
    <numFmt numFmtId="167" formatCode="_(* #,##0_);_(* \(#,##0\);_(* &quot;-&quot;??_);_(@_)"/>
    <numFmt numFmtId="168" formatCode="0.0000"/>
    <numFmt numFmtId="169" formatCode="_(&quot;$&quot;* #,##0_);_(&quot;$&quot;* \(#,##0\);_(&quot;$&quot;* &quot;-&quot;??_);_(@_)"/>
    <numFmt numFmtId="170" formatCode="&quot;$&quot;#,##0.0000_);\(&quot;$&quot;#,##0.0000\)"/>
    <numFmt numFmtId="171" formatCode="_(&quot;$&quot;* #,##0.000_);_(&quot;$&quot;* \(#,##0.000\);_(&quot;$&quot;* &quot;-&quot;??_);_(@_)"/>
    <numFmt numFmtId="172" formatCode="_(* #,##0.00000_);_(* \(#,##0.00000\);_(* &quot;-&quot;?????_);_(@_)"/>
    <numFmt numFmtId="173" formatCode="_(&quot;$&quot;* #,##0.00000_);_(&quot;$&quot;* \(#,##0.00000\);_(&quot;$&quot;* &quot;-&quot;??_);_(@_)"/>
    <numFmt numFmtId="174" formatCode="_(* #,##0.0_);_(* \(#,##0.0\);_(* &quot;-&quot;?_);_(@_)"/>
    <numFmt numFmtId="175" formatCode="&quot;$&quot;#,##0.0_);\(&quot;$&quot;#,##0.0\)"/>
    <numFmt numFmtId="176" formatCode="&quot;$&quot;#,##0.00000_);\(&quot;$&quot;#,##0.00000\)"/>
    <numFmt numFmtId="177" formatCode="0.000000"/>
    <numFmt numFmtId="178" formatCode="_(* #,##0.000000_);_(* \(#,##0.000000\);_(* &quot;-&quot;?????_);_(@_)"/>
    <numFmt numFmtId="179" formatCode="_(&quot;$&quot;* #,##0.000_);_(&quot;$&quot;* \(#,##0.000\);_(&quot;$&quot;* &quot;-&quot;???_);_(@_)"/>
    <numFmt numFmtId="180" formatCode="_(&quot;$&quot;* #,##0.0000_);_(&quot;$&quot;* \(#,##0.0000\);_(&quot;$&quot;* &quot;-&quot;??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Helvetica Neue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</font>
    <font>
      <b/>
      <i/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8"/>
      <name val="Helv"/>
    </font>
    <font>
      <sz val="8"/>
      <name val="Tms Rmn"/>
    </font>
    <font>
      <sz val="12"/>
      <name val="CG Times (WN)"/>
    </font>
    <font>
      <sz val="10"/>
      <color indexed="10"/>
      <name val="CG Times (WN)"/>
    </font>
    <font>
      <b/>
      <sz val="14"/>
      <name val="Helv"/>
    </font>
    <font>
      <u/>
      <sz val="10"/>
      <name val="Arial"/>
      <family val="2"/>
    </font>
    <font>
      <u/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15"/>
      </patternFill>
    </fill>
    <fill>
      <patternFill patternType="solid">
        <fgColor indexed="15"/>
        <bgColor indexed="15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/>
    <xf numFmtId="166" fontId="9" fillId="0" borderId="0"/>
    <xf numFmtId="166" fontId="3" fillId="0" borderId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 applyNumberFormat="0" applyFill="0" applyBorder="0" applyProtection="0">
      <alignment vertical="top"/>
    </xf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23" borderId="7" applyNumberFormat="0" applyFont="0" applyAlignment="0" applyProtection="0"/>
    <xf numFmtId="0" fontId="21" fillId="20" borderId="8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47" borderId="0" applyNumberFormat="0" applyBorder="0" applyAlignment="0" applyProtection="0"/>
    <xf numFmtId="0" fontId="3" fillId="6" borderId="0" applyNumberFormat="0" applyBorder="0" applyAlignment="0" applyProtection="0"/>
    <xf numFmtId="0" fontId="1" fillId="51" borderId="0" applyNumberFormat="0" applyBorder="0" applyAlignment="0" applyProtection="0"/>
    <xf numFmtId="0" fontId="3" fillId="7" borderId="0" applyNumberFormat="0" applyBorder="0" applyAlignment="0" applyProtection="0"/>
    <xf numFmtId="0" fontId="1" fillId="38" borderId="0" applyNumberFormat="0" applyBorder="0" applyAlignment="0" applyProtection="0"/>
    <xf numFmtId="0" fontId="3" fillId="8" borderId="0" applyNumberFormat="0" applyBorder="0" applyAlignment="0" applyProtection="0"/>
    <xf numFmtId="0" fontId="1" fillId="41" borderId="0" applyNumberFormat="0" applyBorder="0" applyAlignment="0" applyProtection="0"/>
    <xf numFmtId="0" fontId="3" fillId="9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45" borderId="0" applyNumberFormat="0" applyBorder="0" applyAlignment="0" applyProtection="0"/>
    <xf numFmtId="0" fontId="3" fillId="5" borderId="0" applyNumberFormat="0" applyBorder="0" applyAlignment="0" applyProtection="0"/>
    <xf numFmtId="0" fontId="1" fillId="48" borderId="0" applyNumberFormat="0" applyBorder="0" applyAlignment="0" applyProtection="0"/>
    <xf numFmtId="0" fontId="3" fillId="8" borderId="0" applyNumberFormat="0" applyBorder="0" applyAlignment="0" applyProtection="0"/>
    <xf numFmtId="0" fontId="1" fillId="52" borderId="0" applyNumberFormat="0" applyBorder="0" applyAlignment="0" applyProtection="0"/>
    <xf numFmtId="0" fontId="3" fillId="11" borderId="0" applyNumberFormat="0" applyBorder="0" applyAlignment="0" applyProtection="0"/>
    <xf numFmtId="0" fontId="49" fillId="39" borderId="0" applyNumberFormat="0" applyBorder="0" applyAlignment="0" applyProtection="0"/>
    <xf numFmtId="0" fontId="4" fillId="12" borderId="0" applyNumberFormat="0" applyBorder="0" applyAlignment="0" applyProtection="0"/>
    <xf numFmtId="0" fontId="49" fillId="42" borderId="0" applyNumberFormat="0" applyBorder="0" applyAlignment="0" applyProtection="0"/>
    <xf numFmtId="0" fontId="4" fillId="9" borderId="0" applyNumberFormat="0" applyBorder="0" applyAlignment="0" applyProtection="0"/>
    <xf numFmtId="0" fontId="49" fillId="10" borderId="0" applyNumberFormat="0" applyBorder="0" applyAlignment="0" applyProtection="0"/>
    <xf numFmtId="0" fontId="4" fillId="10" borderId="0" applyNumberFormat="0" applyBorder="0" applyAlignment="0" applyProtection="0"/>
    <xf numFmtId="0" fontId="49" fillId="13" borderId="0" applyNumberFormat="0" applyBorder="0" applyAlignment="0" applyProtection="0"/>
    <xf numFmtId="0" fontId="4" fillId="13" borderId="0" applyNumberFormat="0" applyBorder="0" applyAlignment="0" applyProtection="0"/>
    <xf numFmtId="0" fontId="49" fillId="49" borderId="0" applyNumberFormat="0" applyBorder="0" applyAlignment="0" applyProtection="0"/>
    <xf numFmtId="0" fontId="4" fillId="14" borderId="0" applyNumberFormat="0" applyBorder="0" applyAlignment="0" applyProtection="0"/>
    <xf numFmtId="0" fontId="49" fillId="15" borderId="0" applyNumberFormat="0" applyBorder="0" applyAlignment="0" applyProtection="0"/>
    <xf numFmtId="0" fontId="4" fillId="15" borderId="0" applyNumberFormat="0" applyBorder="0" applyAlignment="0" applyProtection="0"/>
    <xf numFmtId="0" fontId="49" fillId="37" borderId="0" applyNumberFormat="0" applyBorder="0" applyAlignment="0" applyProtection="0"/>
    <xf numFmtId="0" fontId="4" fillId="16" borderId="0" applyNumberFormat="0" applyBorder="0" applyAlignment="0" applyProtection="0"/>
    <xf numFmtId="0" fontId="49" fillId="40" borderId="0" applyNumberFormat="0" applyBorder="0" applyAlignment="0" applyProtection="0"/>
    <xf numFmtId="0" fontId="4" fillId="17" borderId="0" applyNumberFormat="0" applyBorder="0" applyAlignment="0" applyProtection="0"/>
    <xf numFmtId="0" fontId="49" fillId="43" borderId="0" applyNumberFormat="0" applyBorder="0" applyAlignment="0" applyProtection="0"/>
    <xf numFmtId="0" fontId="4" fillId="18" borderId="0" applyNumberFormat="0" applyBorder="0" applyAlignment="0" applyProtection="0"/>
    <xf numFmtId="0" fontId="49" fillId="44" borderId="0" applyNumberFormat="0" applyBorder="0" applyAlignment="0" applyProtection="0"/>
    <xf numFmtId="0" fontId="4" fillId="13" borderId="0" applyNumberFormat="0" applyBorder="0" applyAlignment="0" applyProtection="0"/>
    <xf numFmtId="0" fontId="49" fillId="46" borderId="0" applyNumberFormat="0" applyBorder="0" applyAlignment="0" applyProtection="0"/>
    <xf numFmtId="0" fontId="4" fillId="14" borderId="0" applyNumberFormat="0" applyBorder="0" applyAlignment="0" applyProtection="0"/>
    <xf numFmtId="0" fontId="49" fillId="50" borderId="0" applyNumberFormat="0" applyBorder="0" applyAlignment="0" applyProtection="0"/>
    <xf numFmtId="0" fontId="4" fillId="19" borderId="0" applyNumberFormat="0" applyBorder="0" applyAlignment="0" applyProtection="0"/>
    <xf numFmtId="0" fontId="39" fillId="31" borderId="0" applyNumberFormat="0" applyBorder="0" applyAlignment="0" applyProtection="0"/>
    <xf numFmtId="0" fontId="5" fillId="3" borderId="0" applyNumberFormat="0" applyBorder="0" applyAlignment="0" applyProtection="0"/>
    <xf numFmtId="0" fontId="43" fillId="34" borderId="15" applyNumberFormat="0" applyAlignment="0" applyProtection="0"/>
    <xf numFmtId="0" fontId="6" fillId="20" borderId="1" applyNumberFormat="0" applyAlignment="0" applyProtection="0"/>
    <xf numFmtId="0" fontId="45" fillId="35" borderId="18" applyNumberFormat="0" applyAlignment="0" applyProtection="0"/>
    <xf numFmtId="0" fontId="7" fillId="21" borderId="2" applyNumberFormat="0" applyAlignment="0" applyProtection="0"/>
    <xf numFmtId="0" fontId="54" fillId="53" borderId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5" fillId="0" borderId="0"/>
    <xf numFmtId="44" fontId="50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31" fillId="0" borderId="0"/>
    <xf numFmtId="3" fontId="56" fillId="0" borderId="0"/>
    <xf numFmtId="0" fontId="57" fillId="0" borderId="0"/>
    <xf numFmtId="0" fontId="4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8" fillId="30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12" applyNumberFormat="0" applyFill="0" applyAlignment="0" applyProtection="0"/>
    <xf numFmtId="0" fontId="12" fillId="0" borderId="3" applyNumberFormat="0" applyFill="0" applyAlignment="0" applyProtection="0"/>
    <xf numFmtId="0" fontId="36" fillId="0" borderId="13" applyNumberFormat="0" applyFill="0" applyAlignment="0" applyProtection="0"/>
    <xf numFmtId="0" fontId="13" fillId="0" borderId="4" applyNumberFormat="0" applyFill="0" applyAlignment="0" applyProtection="0"/>
    <xf numFmtId="0" fontId="37" fillId="0" borderId="14" applyNumberFormat="0" applyFill="0" applyAlignment="0" applyProtection="0"/>
    <xf numFmtId="0" fontId="14" fillId="0" borderId="5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33" borderId="15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44" fillId="0" borderId="17" applyNumberFormat="0" applyFill="0" applyAlignment="0" applyProtection="0"/>
    <xf numFmtId="0" fontId="18" fillId="0" borderId="6" applyNumberFormat="0" applyFill="0" applyAlignment="0" applyProtection="0"/>
    <xf numFmtId="0" fontId="58" fillId="54" borderId="0" applyBorder="0"/>
    <xf numFmtId="0" fontId="40" fillId="3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177" fontId="53" fillId="0" borderId="0">
      <alignment horizontal="left" wrapText="1"/>
    </xf>
    <xf numFmtId="177" fontId="2" fillId="0" borderId="0">
      <alignment horizontal="left" wrapText="1"/>
    </xf>
    <xf numFmtId="177" fontId="2" fillId="0" borderId="0">
      <alignment horizontal="left" wrapText="1"/>
    </xf>
    <xf numFmtId="177" fontId="2" fillId="0" borderId="0">
      <alignment horizontal="left" wrapText="1"/>
    </xf>
    <xf numFmtId="177" fontId="2" fillId="0" borderId="0">
      <alignment horizontal="left" wrapText="1"/>
    </xf>
    <xf numFmtId="177" fontId="2" fillId="0" borderId="0">
      <alignment horizontal="left" wrapText="1"/>
    </xf>
    <xf numFmtId="177" fontId="2" fillId="0" borderId="0">
      <alignment horizontal="left" wrapText="1"/>
    </xf>
    <xf numFmtId="177" fontId="2" fillId="0" borderId="0">
      <alignment horizontal="left" wrapText="1"/>
    </xf>
    <xf numFmtId="177" fontId="2" fillId="0" borderId="0">
      <alignment horizontal="left" wrapText="1"/>
    </xf>
    <xf numFmtId="177" fontId="2" fillId="0" borderId="0">
      <alignment horizontal="left" wrapText="1"/>
    </xf>
    <xf numFmtId="0" fontId="8" fillId="0" borderId="0"/>
    <xf numFmtId="0" fontId="1" fillId="0" borderId="0"/>
    <xf numFmtId="0" fontId="1" fillId="0" borderId="0"/>
    <xf numFmtId="177" fontId="2" fillId="0" borderId="0">
      <alignment horizontal="left" wrapText="1"/>
    </xf>
    <xf numFmtId="177" fontId="31" fillId="0" borderId="0">
      <alignment horizontal="left" wrapText="1"/>
    </xf>
    <xf numFmtId="177" fontId="8" fillId="0" borderId="0">
      <alignment horizontal="left" wrapText="1"/>
    </xf>
    <xf numFmtId="0" fontId="53" fillId="0" borderId="0"/>
    <xf numFmtId="0" fontId="31" fillId="0" borderId="0"/>
    <xf numFmtId="0" fontId="52" fillId="0" borderId="0"/>
    <xf numFmtId="177" fontId="53" fillId="0" borderId="0">
      <alignment horizontal="left" wrapText="1"/>
    </xf>
    <xf numFmtId="5" fontId="8" fillId="0" borderId="0"/>
    <xf numFmtId="0" fontId="3" fillId="36" borderId="19" applyNumberFormat="0" applyFont="0" applyAlignment="0" applyProtection="0"/>
    <xf numFmtId="0" fontId="3" fillId="23" borderId="7" applyNumberFormat="0" applyFont="0" applyAlignment="0" applyProtection="0"/>
    <xf numFmtId="0" fontId="42" fillId="34" borderId="16" applyNumberFormat="0" applyAlignment="0" applyProtection="0"/>
    <xf numFmtId="0" fontId="21" fillId="20" borderId="8" applyNumberFormat="0" applyAlignment="0" applyProtection="0"/>
    <xf numFmtId="9" fontId="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20" applyNumberFormat="0" applyFill="0" applyAlignment="0" applyProtection="0"/>
    <xf numFmtId="0" fontId="2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15">
    <xf numFmtId="0" fontId="0" fillId="0" borderId="0" xfId="0"/>
    <xf numFmtId="165" fontId="0" fillId="0" borderId="0" xfId="3" applyNumberFormat="1" applyFont="1" applyFill="1"/>
    <xf numFmtId="0" fontId="30" fillId="0" borderId="0" xfId="0" applyFont="1"/>
    <xf numFmtId="0" fontId="29" fillId="0" borderId="0" xfId="0" applyFont="1"/>
    <xf numFmtId="0" fontId="0" fillId="0" borderId="0" xfId="0" applyAlignment="1">
      <alignment horizontal="center"/>
    </xf>
    <xf numFmtId="167" fontId="0" fillId="0" borderId="0" xfId="0" applyNumberFormat="1"/>
    <xf numFmtId="42" fontId="0" fillId="0" borderId="0" xfId="0" applyNumberFormat="1"/>
    <xf numFmtId="0" fontId="0" fillId="0" borderId="0" xfId="0" applyAlignment="1">
      <alignment horizontal="left" indent="2"/>
    </xf>
    <xf numFmtId="171" fontId="0" fillId="0" borderId="0" xfId="2" applyNumberFormat="1" applyFont="1" applyAlignment="1">
      <alignment horizontal="left" vertical="center" indent="2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9" fontId="0" fillId="0" borderId="0" xfId="3" applyFont="1" applyAlignment="1">
      <alignment horizontal="left" indent="2"/>
    </xf>
    <xf numFmtId="164" fontId="0" fillId="0" borderId="0" xfId="3" applyNumberFormat="1" applyFont="1" applyFill="1"/>
    <xf numFmtId="172" fontId="0" fillId="0" borderId="0" xfId="0" applyNumberFormat="1"/>
    <xf numFmtId="167" fontId="0" fillId="0" borderId="0" xfId="1" applyNumberFormat="1" applyFont="1" applyFill="1"/>
    <xf numFmtId="37" fontId="0" fillId="0" borderId="0" xfId="0" applyNumberFormat="1"/>
    <xf numFmtId="0" fontId="28" fillId="0" borderId="0" xfId="0" applyFont="1" applyAlignment="1">
      <alignment horizontal="center"/>
    </xf>
    <xf numFmtId="0" fontId="26" fillId="0" borderId="0" xfId="0" applyFont="1"/>
    <xf numFmtId="7" fontId="27" fillId="0" borderId="0" xfId="2" applyNumberFormat="1" applyFont="1" applyFill="1"/>
    <xf numFmtId="0" fontId="1" fillId="0" borderId="0" xfId="0" applyFont="1"/>
    <xf numFmtId="165" fontId="0" fillId="24" borderId="0" xfId="3" applyNumberFormat="1" applyFont="1" applyFill="1"/>
    <xf numFmtId="165" fontId="0" fillId="0" borderId="0" xfId="3" applyNumberFormat="1" applyFont="1"/>
    <xf numFmtId="170" fontId="0" fillId="0" borderId="0" xfId="0" applyNumberFormat="1"/>
    <xf numFmtId="167" fontId="0" fillId="0" borderId="0" xfId="1" applyNumberFormat="1" applyFont="1"/>
    <xf numFmtId="3" fontId="0" fillId="0" borderId="0" xfId="0" applyNumberFormat="1"/>
    <xf numFmtId="169" fontId="0" fillId="0" borderId="0" xfId="2" applyNumberFormat="1" applyFont="1"/>
    <xf numFmtId="168" fontId="0" fillId="0" borderId="0" xfId="0" applyNumberFormat="1"/>
    <xf numFmtId="9" fontId="0" fillId="0" borderId="0" xfId="3" applyFont="1"/>
    <xf numFmtId="41" fontId="0" fillId="0" borderId="0" xfId="0" applyNumberFormat="1" applyFill="1"/>
    <xf numFmtId="0" fontId="0" fillId="0" borderId="0" xfId="0" applyFill="1"/>
    <xf numFmtId="0" fontId="30" fillId="24" borderId="0" xfId="0" applyFont="1" applyFill="1" applyAlignment="1">
      <alignment horizontal="left" indent="2"/>
    </xf>
    <xf numFmtId="0" fontId="27" fillId="0" borderId="0" xfId="90" applyFont="1" applyAlignment="1">
      <alignment horizontal="center"/>
    </xf>
    <xf numFmtId="0" fontId="27" fillId="0" borderId="0" xfId="90" applyFont="1" applyFill="1" applyAlignment="1"/>
    <xf numFmtId="0" fontId="27" fillId="0" borderId="0" xfId="90" applyFont="1" applyAlignment="1"/>
    <xf numFmtId="0" fontId="32" fillId="0" borderId="0" xfId="90" applyFont="1" applyAlignment="1">
      <alignment horizontal="center"/>
    </xf>
    <xf numFmtId="0" fontId="32" fillId="0" borderId="0" xfId="200" applyNumberFormat="1" applyFont="1" applyAlignment="1">
      <alignment horizontal="center"/>
    </xf>
    <xf numFmtId="0" fontId="32" fillId="0" borderId="0" xfId="200" applyNumberFormat="1" applyFont="1" applyBorder="1" applyAlignment="1">
      <alignment horizontal="center"/>
    </xf>
    <xf numFmtId="0" fontId="27" fillId="0" borderId="0" xfId="90" applyFont="1" applyBorder="1" applyAlignment="1"/>
    <xf numFmtId="0" fontId="32" fillId="0" borderId="11" xfId="90" applyFont="1" applyBorder="1" applyAlignment="1">
      <alignment horizontal="center"/>
    </xf>
    <xf numFmtId="0" fontId="32" fillId="0" borderId="11" xfId="200" applyNumberFormat="1" applyFont="1" applyBorder="1" applyAlignment="1">
      <alignment horizontal="center"/>
    </xf>
    <xf numFmtId="0" fontId="27" fillId="0" borderId="0" xfId="200" applyNumberFormat="1" applyFont="1" applyBorder="1" applyAlignment="1"/>
    <xf numFmtId="0" fontId="27" fillId="0" borderId="0" xfId="90" quotePrefix="1" applyFont="1" applyAlignment="1">
      <alignment horizontal="center"/>
    </xf>
    <xf numFmtId="167" fontId="27" fillId="0" borderId="0" xfId="35" applyNumberFormat="1" applyFont="1" applyAlignment="1"/>
    <xf numFmtId="167" fontId="27" fillId="0" borderId="0" xfId="35" applyNumberFormat="1" applyFont="1" applyBorder="1" applyAlignment="1"/>
    <xf numFmtId="37" fontId="27" fillId="0" borderId="0" xfId="35" applyNumberFormat="1" applyFont="1" applyFill="1" applyBorder="1"/>
    <xf numFmtId="167" fontId="1" fillId="0" borderId="0" xfId="1" applyNumberFormat="1" applyFont="1"/>
    <xf numFmtId="173" fontId="27" fillId="0" borderId="0" xfId="199" quotePrefix="1" applyNumberFormat="1" applyFont="1" applyAlignment="1">
      <alignment horizontal="center"/>
    </xf>
    <xf numFmtId="167" fontId="33" fillId="0" borderId="0" xfId="35" applyNumberFormat="1" applyFont="1" applyAlignment="1"/>
    <xf numFmtId="167" fontId="33" fillId="0" borderId="0" xfId="35" applyNumberFormat="1" applyFont="1" applyBorder="1" applyAlignment="1"/>
    <xf numFmtId="37" fontId="33" fillId="0" borderId="0" xfId="35" applyNumberFormat="1" applyFont="1" applyFill="1" applyBorder="1"/>
    <xf numFmtId="0" fontId="27" fillId="0" borderId="0" xfId="200" applyNumberFormat="1" applyFont="1" applyAlignment="1"/>
    <xf numFmtId="37" fontId="27" fillId="0" borderId="0" xfId="90" applyNumberFormat="1" applyFont="1" applyAlignment="1"/>
    <xf numFmtId="173" fontId="27" fillId="0" borderId="0" xfId="199" applyNumberFormat="1" applyFont="1" applyFill="1" applyAlignment="1"/>
    <xf numFmtId="9" fontId="1" fillId="0" borderId="0" xfId="3" applyFont="1"/>
    <xf numFmtId="9" fontId="1" fillId="0" borderId="0" xfId="0" applyNumberFormat="1" applyFont="1"/>
    <xf numFmtId="167" fontId="1" fillId="0" borderId="0" xfId="0" applyNumberFormat="1" applyFont="1"/>
    <xf numFmtId="0" fontId="0" fillId="0" borderId="0" xfId="0" applyFont="1"/>
    <xf numFmtId="164" fontId="1" fillId="0" borderId="0" xfId="3" applyNumberFormat="1" applyFont="1"/>
    <xf numFmtId="0" fontId="0" fillId="25" borderId="0" xfId="0" applyFill="1"/>
    <xf numFmtId="167" fontId="0" fillId="25" borderId="0" xfId="1" applyNumberFormat="1" applyFont="1" applyFill="1"/>
    <xf numFmtId="167" fontId="0" fillId="25" borderId="0" xfId="0" applyNumberFormat="1" applyFill="1"/>
    <xf numFmtId="0" fontId="32" fillId="0" borderId="0" xfId="200" applyNumberFormat="1" applyFont="1" applyAlignment="1"/>
    <xf numFmtId="173" fontId="32" fillId="0" borderId="0" xfId="199" applyNumberFormat="1" applyFont="1" applyFill="1" applyAlignment="1"/>
    <xf numFmtId="174" fontId="8" fillId="26" borderId="0" xfId="0" applyNumberFormat="1" applyFont="1" applyFill="1"/>
    <xf numFmtId="175" fontId="0" fillId="0" borderId="0" xfId="0" applyNumberFormat="1"/>
    <xf numFmtId="173" fontId="27" fillId="27" borderId="0" xfId="199" applyNumberFormat="1" applyFont="1" applyFill="1" applyAlignment="1"/>
    <xf numFmtId="167" fontId="27" fillId="27" borderId="0" xfId="35" applyNumberFormat="1" applyFont="1" applyFill="1" applyBorder="1" applyAlignment="1"/>
    <xf numFmtId="173" fontId="27" fillId="28" borderId="0" xfId="199" applyNumberFormat="1" applyFont="1" applyFill="1" applyAlignment="1"/>
    <xf numFmtId="167" fontId="27" fillId="28" borderId="0" xfId="35" applyNumberFormat="1" applyFont="1" applyFill="1" applyBorder="1" applyAlignment="1"/>
    <xf numFmtId="173" fontId="27" fillId="29" borderId="0" xfId="199" applyNumberFormat="1" applyFont="1" applyFill="1" applyAlignment="1"/>
    <xf numFmtId="167" fontId="27" fillId="29" borderId="0" xfId="35" applyNumberFormat="1" applyFont="1" applyFill="1" applyBorder="1" applyAlignment="1"/>
    <xf numFmtId="0" fontId="27" fillId="0" borderId="0" xfId="4" applyFont="1" applyBorder="1"/>
    <xf numFmtId="37" fontId="27" fillId="0" borderId="0" xfId="4" applyNumberFormat="1" applyFont="1" applyBorder="1" applyAlignment="1">
      <alignment horizontal="right"/>
    </xf>
    <xf numFmtId="0" fontId="27" fillId="0" borderId="0" xfId="4" applyFont="1" applyBorder="1" applyAlignment="1">
      <alignment horizontal="right"/>
    </xf>
    <xf numFmtId="0" fontId="27" fillId="0" borderId="0" xfId="4" applyFont="1" applyFill="1" applyBorder="1" applyAlignment="1">
      <alignment horizontal="left"/>
    </xf>
    <xf numFmtId="0" fontId="27" fillId="0" borderId="0" xfId="4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37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176" fontId="0" fillId="0" borderId="0" xfId="0" applyNumberFormat="1" applyFont="1" applyBorder="1"/>
    <xf numFmtId="178" fontId="0" fillId="0" borderId="0" xfId="0" applyNumberFormat="1" applyFont="1" applyBorder="1"/>
    <xf numFmtId="7" fontId="0" fillId="0" borderId="0" xfId="0" applyNumberFormat="1" applyFont="1" applyBorder="1"/>
    <xf numFmtId="5" fontId="0" fillId="0" borderId="0" xfId="0" applyNumberFormat="1" applyFont="1" applyBorder="1"/>
    <xf numFmtId="37" fontId="27" fillId="0" borderId="0" xfId="0" applyNumberFormat="1" applyFont="1" applyFill="1" applyBorder="1"/>
    <xf numFmtId="170" fontId="0" fillId="0" borderId="0" xfId="0" applyNumberFormat="1" applyFont="1" applyBorder="1"/>
    <xf numFmtId="176" fontId="48" fillId="0" borderId="0" xfId="0" applyNumberFormat="1" applyFont="1" applyBorder="1"/>
    <xf numFmtId="178" fontId="48" fillId="0" borderId="0" xfId="0" applyNumberFormat="1" applyFont="1" applyBorder="1"/>
    <xf numFmtId="42" fontId="0" fillId="0" borderId="10" xfId="0" applyNumberFormat="1" applyBorder="1"/>
    <xf numFmtId="170" fontId="0" fillId="0" borderId="0" xfId="0" applyNumberFormat="1" applyFill="1"/>
    <xf numFmtId="0" fontId="0" fillId="0" borderId="0" xfId="0" applyFill="1" applyAlignment="1">
      <alignment horizontal="left" indent="2"/>
    </xf>
    <xf numFmtId="0" fontId="26" fillId="0" borderId="0" xfId="0" applyFont="1" applyFill="1"/>
    <xf numFmtId="169" fontId="0" fillId="0" borderId="0" xfId="2" applyNumberFormat="1" applyFont="1" applyFill="1"/>
    <xf numFmtId="42" fontId="0" fillId="0" borderId="0" xfId="0" applyNumberFormat="1" applyFill="1"/>
    <xf numFmtId="44" fontId="27" fillId="0" borderId="0" xfId="2" applyNumberFormat="1" applyFont="1" applyFill="1"/>
    <xf numFmtId="44" fontId="27" fillId="0" borderId="0" xfId="2" applyNumberFormat="1" applyFont="1" applyFill="1" applyAlignment="1">
      <alignment horizontal="right" wrapText="1"/>
    </xf>
    <xf numFmtId="0" fontId="59" fillId="0" borderId="0" xfId="4" applyFont="1" applyFill="1"/>
    <xf numFmtId="0" fontId="8" fillId="0" borderId="0" xfId="4" applyFont="1" applyFill="1" applyAlignment="1">
      <alignment horizontal="left" indent="2"/>
    </xf>
    <xf numFmtId="37" fontId="3" fillId="0" borderId="0" xfId="187" applyNumberFormat="1" applyFill="1" applyBorder="1"/>
    <xf numFmtId="37" fontId="25" fillId="0" borderId="0" xfId="187" applyNumberFormat="1" applyFont="1" applyFill="1" applyBorder="1"/>
    <xf numFmtId="172" fontId="0" fillId="0" borderId="0" xfId="0" applyNumberFormat="1" applyFill="1"/>
    <xf numFmtId="179" fontId="8" fillId="0" borderId="0" xfId="53" applyNumberFormat="1" applyFont="1" applyFill="1"/>
    <xf numFmtId="0" fontId="60" fillId="0" borderId="0" xfId="4" applyFont="1" applyFill="1" applyAlignment="1">
      <alignment horizontal="left"/>
    </xf>
    <xf numFmtId="0" fontId="27" fillId="0" borderId="0" xfId="4" applyFont="1" applyFill="1" applyAlignment="1">
      <alignment horizontal="left" indent="2"/>
    </xf>
    <xf numFmtId="164" fontId="0" fillId="0" borderId="0" xfId="3" applyNumberFormat="1" applyFont="1"/>
    <xf numFmtId="180" fontId="0" fillId="0" borderId="0" xfId="0" applyNumberFormat="1"/>
    <xf numFmtId="0" fontId="0" fillId="55" borderId="0" xfId="0" applyFill="1" applyAlignment="1">
      <alignment horizontal="left" indent="2"/>
    </xf>
    <xf numFmtId="167" fontId="0" fillId="55" borderId="0" xfId="1" applyNumberFormat="1" applyFont="1" applyFill="1"/>
    <xf numFmtId="169" fontId="0" fillId="55" borderId="0" xfId="2" applyNumberFormat="1" applyFont="1" applyFill="1"/>
    <xf numFmtId="179" fontId="27" fillId="55" borderId="0" xfId="2" applyNumberFormat="1" applyFont="1" applyFill="1"/>
    <xf numFmtId="0" fontId="0" fillId="55" borderId="0" xfId="0" applyFill="1"/>
    <xf numFmtId="165" fontId="8" fillId="55" borderId="0" xfId="329" applyNumberFormat="1" applyFont="1" applyFill="1"/>
    <xf numFmtId="42" fontId="0" fillId="55" borderId="0" xfId="0" applyNumberFormat="1" applyFill="1"/>
    <xf numFmtId="42" fontId="0" fillId="55" borderId="10" xfId="0" applyNumberFormat="1" applyFill="1" applyBorder="1"/>
    <xf numFmtId="0" fontId="32" fillId="0" borderId="0" xfId="90" applyFont="1" applyAlignment="1">
      <alignment horizontal="center"/>
    </xf>
  </cellXfs>
  <cellStyles count="346">
    <cellStyle name="20% - Accent1 2" xfId="5"/>
    <cellStyle name="20% - Accent1 2 2" xfId="201"/>
    <cellStyle name="20% - Accent1 2 2 2" xfId="202"/>
    <cellStyle name="20% - Accent1 2 3" xfId="203"/>
    <cellStyle name="20% - Accent1 2 4" xfId="204"/>
    <cellStyle name="20% - Accent1 3" xfId="205"/>
    <cellStyle name="20% - Accent2 2" xfId="6"/>
    <cellStyle name="20% - Accent2 2 2" xfId="206"/>
    <cellStyle name="20% - Accent2 3" xfId="207"/>
    <cellStyle name="20% - Accent3 2" xfId="7"/>
    <cellStyle name="20% - Accent3 2 2" xfId="208"/>
    <cellStyle name="20% - Accent3 3" xfId="209"/>
    <cellStyle name="20% - Accent4 2" xfId="8"/>
    <cellStyle name="20% - Accent4 2 2" xfId="210"/>
    <cellStyle name="20% - Accent4 3" xfId="211"/>
    <cellStyle name="20% - Accent5 2" xfId="9"/>
    <cellStyle name="20% - Accent5 2 2" xfId="212"/>
    <cellStyle name="20% - Accent5 3" xfId="213"/>
    <cellStyle name="20% - Accent6 2" xfId="10"/>
    <cellStyle name="20% - Accent6 2 2" xfId="214"/>
    <cellStyle name="20% - Accent6 3" xfId="215"/>
    <cellStyle name="40% - Accent1 2" xfId="11"/>
    <cellStyle name="40% - Accent1 2 2" xfId="216"/>
    <cellStyle name="40% - Accent1 3" xfId="217"/>
    <cellStyle name="40% - Accent2 2" xfId="12"/>
    <cellStyle name="40% - Accent2 2 2" xfId="218"/>
    <cellStyle name="40% - Accent2 3" xfId="219"/>
    <cellStyle name="40% - Accent3 2" xfId="13"/>
    <cellStyle name="40% - Accent3 2 2" xfId="220"/>
    <cellStyle name="40% - Accent3 3" xfId="221"/>
    <cellStyle name="40% - Accent4 2" xfId="14"/>
    <cellStyle name="40% - Accent4 2 2" xfId="222"/>
    <cellStyle name="40% - Accent4 3" xfId="223"/>
    <cellStyle name="40% - Accent5 2" xfId="15"/>
    <cellStyle name="40% - Accent5 2 2" xfId="224"/>
    <cellStyle name="40% - Accent5 3" xfId="225"/>
    <cellStyle name="40% - Accent6 2" xfId="16"/>
    <cellStyle name="40% - Accent6 2 2" xfId="226"/>
    <cellStyle name="40% - Accent6 3" xfId="227"/>
    <cellStyle name="60% - Accent1 2" xfId="17"/>
    <cellStyle name="60% - Accent1 2 2" xfId="228"/>
    <cellStyle name="60% - Accent1 3" xfId="229"/>
    <cellStyle name="60% - Accent2 2" xfId="18"/>
    <cellStyle name="60% - Accent2 2 2" xfId="230"/>
    <cellStyle name="60% - Accent2 3" xfId="231"/>
    <cellStyle name="60% - Accent3 2" xfId="19"/>
    <cellStyle name="60% - Accent3 2 2" xfId="232"/>
    <cellStyle name="60% - Accent3 3" xfId="233"/>
    <cellStyle name="60% - Accent4 2" xfId="20"/>
    <cellStyle name="60% - Accent4 2 2" xfId="234"/>
    <cellStyle name="60% - Accent4 3" xfId="235"/>
    <cellStyle name="60% - Accent5 2" xfId="21"/>
    <cellStyle name="60% - Accent5 2 2" xfId="236"/>
    <cellStyle name="60% - Accent5 3" xfId="237"/>
    <cellStyle name="60% - Accent6 2" xfId="22"/>
    <cellStyle name="60% - Accent6 2 2" xfId="238"/>
    <cellStyle name="60% - Accent6 3" xfId="239"/>
    <cellStyle name="Accent1 2" xfId="23"/>
    <cellStyle name="Accent1 2 2" xfId="240"/>
    <cellStyle name="Accent1 3" xfId="241"/>
    <cellStyle name="Accent2 2" xfId="24"/>
    <cellStyle name="Accent2 2 2" xfId="242"/>
    <cellStyle name="Accent2 3" xfId="243"/>
    <cellStyle name="Accent3 2" xfId="25"/>
    <cellStyle name="Accent3 2 2" xfId="244"/>
    <cellStyle name="Accent3 3" xfId="245"/>
    <cellStyle name="Accent4 2" xfId="26"/>
    <cellStyle name="Accent4 2 2" xfId="246"/>
    <cellStyle name="Accent4 3" xfId="247"/>
    <cellStyle name="Accent5 2" xfId="27"/>
    <cellStyle name="Accent5 2 2" xfId="248"/>
    <cellStyle name="Accent5 3" xfId="249"/>
    <cellStyle name="Accent6 2" xfId="28"/>
    <cellStyle name="Accent6 2 2" xfId="250"/>
    <cellStyle name="Accent6 3" xfId="251"/>
    <cellStyle name="Bad 2" xfId="29"/>
    <cellStyle name="Bad 2 2" xfId="252"/>
    <cellStyle name="Bad 3" xfId="253"/>
    <cellStyle name="Calculation 2" xfId="30"/>
    <cellStyle name="Calculation 2 2" xfId="254"/>
    <cellStyle name="Calculation 3" xfId="255"/>
    <cellStyle name="Check Cell 2" xfId="31"/>
    <cellStyle name="Check Cell 2 2" xfId="256"/>
    <cellStyle name="Check Cell 3" xfId="257"/>
    <cellStyle name="Code" xfId="258"/>
    <cellStyle name="Comma" xfId="1" builtinId="3"/>
    <cellStyle name="Comma 2" xfId="33"/>
    <cellStyle name="Comma 2 2" xfId="34"/>
    <cellStyle name="Comma 3" xfId="35"/>
    <cellStyle name="Comma 3 2" xfId="260"/>
    <cellStyle name="Comma 3 3" xfId="259"/>
    <cellStyle name="Comma 4" xfId="32"/>
    <cellStyle name="Comma 4 2" xfId="262"/>
    <cellStyle name="Comma 4 2 2" xfId="263"/>
    <cellStyle name="Comma 4 3" xfId="264"/>
    <cellStyle name="Comma 4 4" xfId="261"/>
    <cellStyle name="Comma 5" xfId="265"/>
    <cellStyle name="Comma 6" xfId="266"/>
    <cellStyle name="Comma 7" xfId="267"/>
    <cellStyle name="Comma 8" xfId="268"/>
    <cellStyle name="Comment" xfId="269"/>
    <cellStyle name="Currency" xfId="2" builtinId="4"/>
    <cellStyle name="Currency 10" xfId="270"/>
    <cellStyle name="Currency 2" xfId="36"/>
    <cellStyle name="Currency 2 2" xfId="272"/>
    <cellStyle name="Currency 2 3" xfId="271"/>
    <cellStyle name="Currency 3" xfId="199"/>
    <cellStyle name="Currency 3 2" xfId="274"/>
    <cellStyle name="Currency 3 3" xfId="273"/>
    <cellStyle name="Currency 4" xfId="275"/>
    <cellStyle name="Currency 5" xfId="276"/>
    <cellStyle name="Currency 6" xfId="277"/>
    <cellStyle name="Currency 7" xfId="278"/>
    <cellStyle name="Currency 8" xfId="279"/>
    <cellStyle name="Currency 9" xfId="280"/>
    <cellStyle name="Data" xfId="281"/>
    <cellStyle name="ERRORS" xfId="282"/>
    <cellStyle name="Excel Built-in Normal" xfId="37"/>
    <cellStyle name="Excel Built-in Normal 2" xfId="38"/>
    <cellStyle name="Excel Built-in Normal_Solar Carve Out Qualified Capacity_6.28.2013" xfId="39"/>
    <cellStyle name="Explanatory Text 2" xfId="40"/>
    <cellStyle name="Explanatory Text 2 2" xfId="283"/>
    <cellStyle name="Explanatory Text 3" xfId="284"/>
    <cellStyle name="Good 2" xfId="41"/>
    <cellStyle name="Good 2 2" xfId="285"/>
    <cellStyle name="Good 3" xfId="286"/>
    <cellStyle name="Heading 1 2" xfId="42"/>
    <cellStyle name="Heading 1 2 2" xfId="287"/>
    <cellStyle name="Heading 1 3" xfId="288"/>
    <cellStyle name="Heading 2 2" xfId="43"/>
    <cellStyle name="Heading 2 2 2" xfId="289"/>
    <cellStyle name="Heading 2 3" xfId="290"/>
    <cellStyle name="Heading 3 2" xfId="44"/>
    <cellStyle name="Heading 3 2 2" xfId="291"/>
    <cellStyle name="Heading 3 3" xfId="292"/>
    <cellStyle name="Heading 4 2" xfId="45"/>
    <cellStyle name="Heading 4 2 2" xfId="293"/>
    <cellStyle name="Heading 4 3" xfId="294"/>
    <cellStyle name="Hyperlink 2" xfId="46"/>
    <cellStyle name="Hyperlink 3" xfId="47"/>
    <cellStyle name="Hyperlink 3 2" xfId="48"/>
    <cellStyle name="Hyperlink 4" xfId="49"/>
    <cellStyle name="Input 2" xfId="50"/>
    <cellStyle name="Input 2 2" xfId="295"/>
    <cellStyle name="Input 2 3" xfId="296"/>
    <cellStyle name="Input 3" xfId="297"/>
    <cellStyle name="Linked Cell 2" xfId="51"/>
    <cellStyle name="Linked Cell 2 2" xfId="298"/>
    <cellStyle name="Linked Cell 3" xfId="299"/>
    <cellStyle name="MacroHeader" xfId="300"/>
    <cellStyle name="Neutral 2" xfId="52"/>
    <cellStyle name="Neutral 2 2" xfId="301"/>
    <cellStyle name="Neutral 2 3" xfId="302"/>
    <cellStyle name="Neutral 3" xfId="303"/>
    <cellStyle name="Normal" xfId="0" builtinId="0"/>
    <cellStyle name="Normal 10" xfId="53"/>
    <cellStyle name="Normal 10 2" xfId="54"/>
    <cellStyle name="Normal 10 2 2" xfId="55"/>
    <cellStyle name="Normal 10 3" xfId="56"/>
    <cellStyle name="Normal 10 4" xfId="304"/>
    <cellStyle name="Normal 11" xfId="57"/>
    <cellStyle name="Normal 11 2" xfId="58"/>
    <cellStyle name="Normal 11 2 2" xfId="59"/>
    <cellStyle name="Normal 11 3" xfId="60"/>
    <cellStyle name="Normal 11 4" xfId="305"/>
    <cellStyle name="Normal 12" xfId="61"/>
    <cellStyle name="Normal 12 2" xfId="62"/>
    <cellStyle name="Normal 12 2 2" xfId="63"/>
    <cellStyle name="Normal 12 3" xfId="64"/>
    <cellStyle name="Normal 12 4" xfId="306"/>
    <cellStyle name="Normal 13" xfId="65"/>
    <cellStyle name="Normal 13 2" xfId="307"/>
    <cellStyle name="Normal 14" xfId="66"/>
    <cellStyle name="Normal 14 2" xfId="67"/>
    <cellStyle name="Normal 14 2 2" xfId="68"/>
    <cellStyle name="Normal 14 3" xfId="69"/>
    <cellStyle name="Normal 14 4" xfId="308"/>
    <cellStyle name="Normal 15" xfId="70"/>
    <cellStyle name="Normal 15 2" xfId="71"/>
    <cellStyle name="Normal 15 2 2" xfId="72"/>
    <cellStyle name="Normal 15 3" xfId="73"/>
    <cellStyle name="Normal 15 4" xfId="309"/>
    <cellStyle name="Normal 16" xfId="74"/>
    <cellStyle name="Normal 16 2" xfId="75"/>
    <cellStyle name="Normal 16 2 2" xfId="76"/>
    <cellStyle name="Normal 16 3" xfId="77"/>
    <cellStyle name="Normal 16 4" xfId="310"/>
    <cellStyle name="Normal 17" xfId="78"/>
    <cellStyle name="Normal 17 2" xfId="79"/>
    <cellStyle name="Normal 17 2 2" xfId="80"/>
    <cellStyle name="Normal 17 3" xfId="81"/>
    <cellStyle name="Normal 17 4" xfId="311"/>
    <cellStyle name="Normal 18" xfId="82"/>
    <cellStyle name="Normal 18 2" xfId="83"/>
    <cellStyle name="Normal 18 2 2" xfId="84"/>
    <cellStyle name="Normal 18 3" xfId="85"/>
    <cellStyle name="Normal 18 4" xfId="312"/>
    <cellStyle name="Normal 19" xfId="86"/>
    <cellStyle name="Normal 19 2" xfId="87"/>
    <cellStyle name="Normal 19 2 2" xfId="88"/>
    <cellStyle name="Normal 19 3" xfId="89"/>
    <cellStyle name="Normal 19 4" xfId="313"/>
    <cellStyle name="Normal 2" xfId="90"/>
    <cellStyle name="Normal 2 2" xfId="91"/>
    <cellStyle name="Normal 2 2 2" xfId="316"/>
    <cellStyle name="Normal 2 2 3" xfId="315"/>
    <cellStyle name="Normal 2 3" xfId="314"/>
    <cellStyle name="Normal 20" xfId="92"/>
    <cellStyle name="Normal 20 2" xfId="93"/>
    <cellStyle name="Normal 20 2 2" xfId="94"/>
    <cellStyle name="Normal 20 3" xfId="95"/>
    <cellStyle name="Normal 20 4" xfId="317"/>
    <cellStyle name="Normal 21" xfId="96"/>
    <cellStyle name="Normal 21 2" xfId="97"/>
    <cellStyle name="Normal 21 2 2" xfId="98"/>
    <cellStyle name="Normal 21 3" xfId="99"/>
    <cellStyle name="Normal 21 4" xfId="318"/>
    <cellStyle name="Normal 22" xfId="100"/>
    <cellStyle name="Normal 22 2" xfId="101"/>
    <cellStyle name="Normal 22 2 2" xfId="102"/>
    <cellStyle name="Normal 22 3" xfId="103"/>
    <cellStyle name="Normal 23" xfId="104"/>
    <cellStyle name="Normal 23 2" xfId="105"/>
    <cellStyle name="Normal 23 2 2" xfId="106"/>
    <cellStyle name="Normal 23 3" xfId="107"/>
    <cellStyle name="Normal 24" xfId="108"/>
    <cellStyle name="Normal 24 2" xfId="109"/>
    <cellStyle name="Normal 24 2 2" xfId="110"/>
    <cellStyle name="Normal 24 3" xfId="111"/>
    <cellStyle name="Normal 25" xfId="112"/>
    <cellStyle name="Normal 25 2" xfId="113"/>
    <cellStyle name="Normal 25 2 2" xfId="114"/>
    <cellStyle name="Normal 25 3" xfId="115"/>
    <cellStyle name="Normal 26" xfId="116"/>
    <cellStyle name="Normal 26 2" xfId="117"/>
    <cellStyle name="Normal 26 2 2" xfId="118"/>
    <cellStyle name="Normal 26 3" xfId="119"/>
    <cellStyle name="Normal 27" xfId="120"/>
    <cellStyle name="Normal 27 2" xfId="121"/>
    <cellStyle name="Normal 27 2 2" xfId="122"/>
    <cellStyle name="Normal 27 3" xfId="123"/>
    <cellStyle name="Normal 28" xfId="124"/>
    <cellStyle name="Normal 28 2" xfId="125"/>
    <cellStyle name="Normal 28 2 2" xfId="126"/>
    <cellStyle name="Normal 28 3" xfId="127"/>
    <cellStyle name="Normal 29" xfId="128"/>
    <cellStyle name="Normal 29 2" xfId="129"/>
    <cellStyle name="Normal 29 2 2" xfId="130"/>
    <cellStyle name="Normal 29 3" xfId="131"/>
    <cellStyle name="Normal 3" xfId="132"/>
    <cellStyle name="Normal 3 2" xfId="133"/>
    <cellStyle name="Normal 3 2 2" xfId="134"/>
    <cellStyle name="Normal 3 3" xfId="135"/>
    <cellStyle name="Normal 3 4" xfId="319"/>
    <cellStyle name="Normal 30" xfId="136"/>
    <cellStyle name="Normal 30 2" xfId="137"/>
    <cellStyle name="Normal 30 2 2" xfId="138"/>
    <cellStyle name="Normal 30 3" xfId="139"/>
    <cellStyle name="Normal 31" xfId="140"/>
    <cellStyle name="Normal 31 2" xfId="141"/>
    <cellStyle name="Normal 31 2 2" xfId="142"/>
    <cellStyle name="Normal 31 3" xfId="143"/>
    <cellStyle name="Normal 32" xfId="144"/>
    <cellStyle name="Normal 32 2" xfId="145"/>
    <cellStyle name="Normal 32 2 2" xfId="146"/>
    <cellStyle name="Normal 32 3" xfId="147"/>
    <cellStyle name="Normal 33" xfId="148"/>
    <cellStyle name="Normal 33 2" xfId="149"/>
    <cellStyle name="Normal 33 2 2" xfId="150"/>
    <cellStyle name="Normal 33 3" xfId="151"/>
    <cellStyle name="Normal 34" xfId="152"/>
    <cellStyle name="Normal 34 2" xfId="153"/>
    <cellStyle name="Normal 34 2 2" xfId="154"/>
    <cellStyle name="Normal 34 3" xfId="155"/>
    <cellStyle name="Normal 35" xfId="156"/>
    <cellStyle name="Normal 35 2" xfId="157"/>
    <cellStyle name="Normal 35 2 2" xfId="158"/>
    <cellStyle name="Normal 35 3" xfId="159"/>
    <cellStyle name="Normal 36" xfId="160"/>
    <cellStyle name="Normal 36 2" xfId="161"/>
    <cellStyle name="Normal 37" xfId="4"/>
    <cellStyle name="Normal 4" xfId="162"/>
    <cellStyle name="Normal 4 2" xfId="163"/>
    <cellStyle name="Normal 4 2 2" xfId="164"/>
    <cellStyle name="Normal 4 3" xfId="165"/>
    <cellStyle name="Normal 4 4" xfId="320"/>
    <cellStyle name="Normal 5" xfId="166"/>
    <cellStyle name="Normal 5 2" xfId="167"/>
    <cellStyle name="Normal 5 2 2" xfId="168"/>
    <cellStyle name="Normal 5 3" xfId="169"/>
    <cellStyle name="Normal 5 4" xfId="321"/>
    <cellStyle name="Normal 5_Solar Carve Out Qualified Capacity_6.28.2013" xfId="170"/>
    <cellStyle name="Normal 6" xfId="171"/>
    <cellStyle name="Normal 6 2" xfId="172"/>
    <cellStyle name="Normal 6 2 2" xfId="173"/>
    <cellStyle name="Normal 6 3" xfId="174"/>
    <cellStyle name="Normal 7" xfId="175"/>
    <cellStyle name="Normal 7 2" xfId="176"/>
    <cellStyle name="Normal 7 2 2" xfId="177"/>
    <cellStyle name="Normal 7 3" xfId="178"/>
    <cellStyle name="Normal 7 4" xfId="322"/>
    <cellStyle name="Normal 8" xfId="179"/>
    <cellStyle name="Normal 8 2" xfId="180"/>
    <cellStyle name="Normal 8 2 2" xfId="181"/>
    <cellStyle name="Normal 8 3" xfId="182"/>
    <cellStyle name="Normal 8 4" xfId="323"/>
    <cellStyle name="Normal 9" xfId="183"/>
    <cellStyle name="Normal 9 2" xfId="184"/>
    <cellStyle name="Normal 9 2 2" xfId="185"/>
    <cellStyle name="Normal 9 3" xfId="186"/>
    <cellStyle name="Normal 9 4" xfId="324"/>
    <cellStyle name="Normal_Sheet1" xfId="200"/>
    <cellStyle name="Normal_Solar Carve-Out Analysis_8.14" xfId="187"/>
    <cellStyle name="Note 2" xfId="188"/>
    <cellStyle name="Note 2 2" xfId="325"/>
    <cellStyle name="Note 3" xfId="326"/>
    <cellStyle name="Output 2" xfId="189"/>
    <cellStyle name="Output 2 2" xfId="327"/>
    <cellStyle name="Output 3" xfId="328"/>
    <cellStyle name="Percent" xfId="3" builtinId="5"/>
    <cellStyle name="Percent 2" xfId="191"/>
    <cellStyle name="Percent 2 2" xfId="329"/>
    <cellStyle name="Percent 3" xfId="192"/>
    <cellStyle name="Percent 3 2" xfId="193"/>
    <cellStyle name="Percent 3 3" xfId="330"/>
    <cellStyle name="Percent 4" xfId="194"/>
    <cellStyle name="Percent 4 2" xfId="331"/>
    <cellStyle name="Percent 5" xfId="190"/>
    <cellStyle name="Percent 5 2" xfId="333"/>
    <cellStyle name="Percent 5 2 2" xfId="334"/>
    <cellStyle name="Percent 5 3" xfId="335"/>
    <cellStyle name="Percent 5 4" xfId="332"/>
    <cellStyle name="Percent 6" xfId="336"/>
    <cellStyle name="Percent 7" xfId="337"/>
    <cellStyle name="Percent 7 2" xfId="198"/>
    <cellStyle name="Percent 8" xfId="338"/>
    <cellStyle name="Percent 9" xfId="339"/>
    <cellStyle name="Title 2" xfId="195"/>
    <cellStyle name="Title 2 2" xfId="340"/>
    <cellStyle name="Title 3" xfId="341"/>
    <cellStyle name="Total 2" xfId="196"/>
    <cellStyle name="Total 2 2" xfId="342"/>
    <cellStyle name="Total 3" xfId="343"/>
    <cellStyle name="Warning Text 2" xfId="197"/>
    <cellStyle name="Warning Text 2 2" xfId="344"/>
    <cellStyle name="Warning Text 3" xfId="3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calcChain" Target="calcChain.xml"/>
  <Relationship Id="rId2" Type="http://schemas.openxmlformats.org/officeDocument/2006/relationships/chartsheet" Target="chartsheets/sheet1.xml"/>
  <Relationship Id="rId3" Type="http://schemas.openxmlformats.org/officeDocument/2006/relationships/worksheet" Target="worksheets/sheet2.xml"/>
  <Relationship Id="rId4" Type="http://schemas.openxmlformats.org/officeDocument/2006/relationships/worksheet" Target="worksheets/sheet3.xml"/>
  <Relationship Id="rId5" Type="http://schemas.openxmlformats.org/officeDocument/2006/relationships/worksheet" Target="worksheets/sheet4.xml"/>
  <Relationship Id="rId6" Type="http://schemas.openxmlformats.org/officeDocument/2006/relationships/worksheet" Target="worksheets/sheet5.xml"/>
  <Relationship Id="rId7" Type="http://schemas.openxmlformats.org/officeDocument/2006/relationships/theme" Target="theme/theme1.xml"/>
  <Relationship Id="rId8" Type="http://schemas.openxmlformats.org/officeDocument/2006/relationships/styles" Target="styles.xml"/>
  <Relationship Id="rId9" Type="http://schemas.openxmlformats.org/officeDocument/2006/relationships/sharedStrings" Target="sharedString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National</a:t>
            </a:r>
            <a:r>
              <a:rPr lang="en-US" sz="1600" baseline="0"/>
              <a:t> Grid Solar Program Installations and Cost Projection, 2014-2020</a:t>
            </a:r>
            <a:endParaRPr lang="en-US" sz="1600"/>
          </a:p>
        </c:rich>
      </c:tx>
    </c:title>
    <c:plotArea>
      <c:layout/>
      <c:areaChart>
        <c:grouping val="stacked"/>
        <c:ser>
          <c:idx val="0"/>
          <c:order val="0"/>
          <c:tx>
            <c:strRef>
              <c:f>Summary!$B$8</c:f>
              <c:strCache>
                <c:ptCount val="1"/>
                <c:pt idx="0">
                  <c:v>Nat. Grid Cost of Net Metering</c:v>
                </c:pt>
              </c:strCache>
            </c:strRef>
          </c:tx>
          <c:cat>
            <c:numRef>
              <c:f>Summary!$C$4:$I$4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Summary!$C$8:$I$8</c:f>
              <c:numCache>
                <c:formatCode>_("$"* #,##0_);_("$"* \(#,##0\);_("$"* "-"_);_(@_)</c:formatCode>
                <c:ptCount val="7"/>
                <c:pt idx="0">
                  <c:v>34626124.340866856</c:v>
                </c:pt>
                <c:pt idx="1">
                  <c:v>65364628.277936824</c:v>
                </c:pt>
                <c:pt idx="2">
                  <c:v>78857284.799630567</c:v>
                </c:pt>
                <c:pt idx="3">
                  <c:v>98941544.477224559</c:v>
                </c:pt>
                <c:pt idx="4">
                  <c:v>108517876.99671519</c:v>
                </c:pt>
                <c:pt idx="5">
                  <c:v>111441801.97554365</c:v>
                </c:pt>
                <c:pt idx="6">
                  <c:v>112787009.43651929</c:v>
                </c:pt>
              </c:numCache>
            </c:numRef>
          </c:val>
        </c:ser>
        <c:ser>
          <c:idx val="1"/>
          <c:order val="1"/>
          <c:tx>
            <c:strRef>
              <c:f>Summary!$B$9</c:f>
              <c:strCache>
                <c:ptCount val="1"/>
                <c:pt idx="0">
                  <c:v>Nat. Grid Cost of SREC I</c:v>
                </c:pt>
              </c:strCache>
            </c:strRef>
          </c:tx>
          <c:spPr>
            <a:ln w="25400">
              <a:noFill/>
            </a:ln>
          </c:spPr>
          <c:cat>
            <c:numRef>
              <c:f>Summary!$C$4:$I$4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Summary!$C$9:$I$9</c:f>
              <c:numCache>
                <c:formatCode>_("$"* #,##0_);_("$"* \(#,##0\);_("$"* "-"_);_(@_)</c:formatCode>
                <c:ptCount val="7"/>
                <c:pt idx="0">
                  <c:v>51773571.380067065</c:v>
                </c:pt>
                <c:pt idx="1">
                  <c:v>202547828.97478268</c:v>
                </c:pt>
                <c:pt idx="2">
                  <c:v>173994897.22698641</c:v>
                </c:pt>
                <c:pt idx="3">
                  <c:v>121028492.94881755</c:v>
                </c:pt>
                <c:pt idx="4">
                  <c:v>110066641.8676084</c:v>
                </c:pt>
                <c:pt idx="5">
                  <c:v>106381346.97801064</c:v>
                </c:pt>
                <c:pt idx="6">
                  <c:v>103169807.43276563</c:v>
                </c:pt>
              </c:numCache>
            </c:numRef>
          </c:val>
        </c:ser>
        <c:ser>
          <c:idx val="2"/>
          <c:order val="2"/>
          <c:tx>
            <c:strRef>
              <c:f>Summary!$B$10</c:f>
              <c:strCache>
                <c:ptCount val="1"/>
                <c:pt idx="0">
                  <c:v>Nat. Grid Cost of SREC II</c:v>
                </c:pt>
              </c:strCache>
            </c:strRef>
          </c:tx>
          <c:spPr>
            <a:ln w="25400">
              <a:noFill/>
            </a:ln>
          </c:spPr>
          <c:cat>
            <c:numRef>
              <c:f>Summary!$C$4:$I$4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Summary!$C$10:$I$10</c:f>
              <c:numCache>
                <c:formatCode>_("$"* #,##0_);_("$"* \(#,##0\);_("$"* "-"_);_(@_)</c:formatCode>
                <c:ptCount val="7"/>
                <c:pt idx="0">
                  <c:v>4312554.28967469</c:v>
                </c:pt>
                <c:pt idx="1">
                  <c:v>16797266.649374876</c:v>
                </c:pt>
                <c:pt idx="2">
                  <c:v>51901541.020745978</c:v>
                </c:pt>
                <c:pt idx="3">
                  <c:v>81019765.073760122</c:v>
                </c:pt>
                <c:pt idx="4">
                  <c:v>94145067.44333671</c:v>
                </c:pt>
                <c:pt idx="5">
                  <c:v>103976408.39375702</c:v>
                </c:pt>
                <c:pt idx="6">
                  <c:v>112467883.75369018</c:v>
                </c:pt>
              </c:numCache>
            </c:numRef>
          </c:val>
        </c:ser>
        <c:dLbls/>
        <c:axId val="80001280"/>
        <c:axId val="79888384"/>
      </c:areaChart>
      <c:lineChart>
        <c:grouping val="standard"/>
        <c:ser>
          <c:idx val="3"/>
          <c:order val="3"/>
          <c:tx>
            <c:strRef>
              <c:f>Summary!$B$5</c:f>
              <c:strCache>
                <c:ptCount val="1"/>
                <c:pt idx="0">
                  <c:v>Statewide Solar Installed, MW (DC)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Summary!$C$4:$I$4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Summary!$C$5:$I$5</c:f>
              <c:numCache>
                <c:formatCode>_(* #,##0_);_(* \(#,##0\);_(* "-"??_);_(@_)</c:formatCode>
                <c:ptCount val="7"/>
                <c:pt idx="0">
                  <c:v>705.15329000000611</c:v>
                </c:pt>
                <c:pt idx="1">
                  <c:v>975.15329000000611</c:v>
                </c:pt>
                <c:pt idx="2">
                  <c:v>1195.1532900000061</c:v>
                </c:pt>
                <c:pt idx="3">
                  <c:v>1315.1532900000061</c:v>
                </c:pt>
                <c:pt idx="4">
                  <c:v>1415.1532900000061</c:v>
                </c:pt>
                <c:pt idx="5">
                  <c:v>1535.1532900000061</c:v>
                </c:pt>
                <c:pt idx="6">
                  <c:v>1600</c:v>
                </c:pt>
              </c:numCache>
            </c:numRef>
          </c:val>
        </c:ser>
        <c:ser>
          <c:idx val="4"/>
          <c:order val="4"/>
          <c:tx>
            <c:strRef>
              <c:f>Summary!$B$6</c:f>
              <c:strCache>
                <c:ptCount val="1"/>
                <c:pt idx="0">
                  <c:v>National Grid Total Net Metering, MW (DC)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Summary!$C$4:$I$4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Summary!$C$6:$I$6</c:f>
              <c:numCache>
                <c:formatCode>_(* #,##0_);_(* \(#,##0\);_(* "-"??_);_(@_)</c:formatCode>
                <c:ptCount val="7"/>
                <c:pt idx="0">
                  <c:v>381.07784431137725</c:v>
                </c:pt>
                <c:pt idx="1">
                  <c:v>579.23335953090202</c:v>
                </c:pt>
                <c:pt idx="2">
                  <c:v>700.94610778443121</c:v>
                </c:pt>
                <c:pt idx="3">
                  <c:v>718.91017964071864</c:v>
                </c:pt>
                <c:pt idx="4">
                  <c:v>742.86227544910184</c:v>
                </c:pt>
                <c:pt idx="5">
                  <c:v>766.81437125748505</c:v>
                </c:pt>
                <c:pt idx="6">
                  <c:v>790.76646706586837</c:v>
                </c:pt>
              </c:numCache>
            </c:numRef>
          </c:val>
        </c:ser>
        <c:dLbls/>
        <c:marker val="1"/>
        <c:axId val="79891456"/>
        <c:axId val="79889920"/>
      </c:lineChart>
      <c:catAx>
        <c:axId val="8000128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400" b="1" i="0" baseline="0"/>
            </a:pPr>
            <a:endParaRPr lang="en-US"/>
          </a:p>
        </c:txPr>
        <c:crossAx val="79888384"/>
        <c:crosses val="autoZero"/>
        <c:auto val="1"/>
        <c:lblAlgn val="ctr"/>
        <c:lblOffset val="100"/>
      </c:catAx>
      <c:valAx>
        <c:axId val="79888384"/>
        <c:scaling>
          <c:orientation val="minMax"/>
        </c:scaling>
        <c:axPos val="l"/>
        <c:majorGridlines/>
        <c:numFmt formatCode="_(&quot;$&quot;* #,##0_);_(&quot;$&quot;* \(#,##0\);_(&quot;$&quot;* &quot;-&quot;_);_(@_)" sourceLinked="1"/>
        <c:majorTickMark val="none"/>
        <c:tickLblPos val="nextTo"/>
        <c:crossAx val="80001280"/>
        <c:crosses val="autoZero"/>
        <c:crossBetween val="between"/>
      </c:valAx>
      <c:valAx>
        <c:axId val="79889920"/>
        <c:scaling>
          <c:orientation val="minMax"/>
        </c:scaling>
        <c:axPos val="r"/>
        <c:numFmt formatCode="_(* #,##0_);_(* \(#,##0\);_(* &quot;-&quot;??_);_(@_)" sourceLinked="1"/>
        <c:tickLblPos val="nextTo"/>
        <c:crossAx val="79891456"/>
        <c:crosses val="max"/>
        <c:crossBetween val="between"/>
      </c:valAx>
      <c:catAx>
        <c:axId val="79891456"/>
        <c:scaling>
          <c:orientation val="minMax"/>
        </c:scaling>
        <c:delete val="1"/>
        <c:axPos val="b"/>
        <c:numFmt formatCode="General" sourceLinked="1"/>
        <c:tickLblPos val="none"/>
        <c:crossAx val="79889920"/>
        <c:crosses val="autoZero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9.124818158727227E-2"/>
          <c:y val="6.8585858585858583E-2"/>
          <c:w val="0.89228369547648179"/>
          <c:h val="7.0031973276067763E-2"/>
        </c:manualLayout>
      </c:layout>
    </c:legend>
    <c:plotVisOnly val="1"/>
    <c:dispBlanksAs val="zero"/>
  </c:chart>
</c:chartSpace>
</file>

<file path=xl/chart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1.xml"/>
</Relationships>
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</Relationships>
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6"/>
  <sheetViews>
    <sheetView tabSelected="1" workbookViewId="0">
      <selection activeCell="G25" sqref="G25"/>
    </sheetView>
  </sheetViews>
  <sheetFormatPr defaultRowHeight="15"/>
  <cols>
    <col min="1" max="1" width="7.42578125" customWidth="1"/>
    <col min="2" max="2" width="41.85546875" customWidth="1"/>
    <col min="3" max="3" width="15.28515625" bestFit="1" customWidth="1"/>
    <col min="4" max="4" width="13.5703125" customWidth="1"/>
    <col min="5" max="5" width="13.7109375" customWidth="1"/>
    <col min="6" max="6" width="14.85546875" customWidth="1"/>
    <col min="7" max="8" width="14.7109375" customWidth="1"/>
    <col min="9" max="9" width="13.5703125" customWidth="1"/>
    <col min="10" max="10" width="15.7109375" customWidth="1"/>
  </cols>
  <sheetData>
    <row r="2" spans="1:11" ht="18.75">
      <c r="B2" s="3" t="s">
        <v>37</v>
      </c>
    </row>
    <row r="3" spans="1:11">
      <c r="B3" s="56" t="s">
        <v>145</v>
      </c>
    </row>
    <row r="4" spans="1:11">
      <c r="A4" s="4" t="s">
        <v>38</v>
      </c>
      <c r="C4" s="16">
        <v>2014</v>
      </c>
      <c r="D4" s="16">
        <v>2015</v>
      </c>
      <c r="E4" s="16">
        <v>2016</v>
      </c>
      <c r="F4" s="16">
        <v>2017</v>
      </c>
      <c r="G4" s="16">
        <v>2018</v>
      </c>
      <c r="H4" s="16">
        <v>2019</v>
      </c>
      <c r="I4" s="16">
        <v>2020</v>
      </c>
    </row>
    <row r="5" spans="1:11">
      <c r="A5" s="4">
        <v>1</v>
      </c>
      <c r="B5" t="s">
        <v>33</v>
      </c>
      <c r="C5" s="5">
        <f>'SREC Costs'!C5/1000</f>
        <v>705.15329000000611</v>
      </c>
      <c r="D5" s="5">
        <f>'SREC Costs'!D5/1000</f>
        <v>975.15329000000611</v>
      </c>
      <c r="E5" s="5">
        <f>'SREC Costs'!E5/1000</f>
        <v>1195.1532900000061</v>
      </c>
      <c r="F5" s="5">
        <f>'SREC Costs'!F5/1000</f>
        <v>1315.1532900000061</v>
      </c>
      <c r="G5" s="5">
        <f>'SREC Costs'!G5/1000</f>
        <v>1415.1532900000061</v>
      </c>
      <c r="H5" s="5">
        <f>'SREC Costs'!H5/1000</f>
        <v>1535.1532900000061</v>
      </c>
      <c r="I5" s="5">
        <f>'SREC Costs'!I5/1000</f>
        <v>1600</v>
      </c>
    </row>
    <row r="6" spans="1:11">
      <c r="A6" s="4">
        <v>2</v>
      </c>
      <c r="B6" t="s">
        <v>144</v>
      </c>
      <c r="C6" s="5">
        <f>'Net Metering Costs'!C7/0.835/1000</f>
        <v>381.07784431137725</v>
      </c>
      <c r="D6" s="5">
        <f>'Net Metering Costs'!D7/0.835/1000</f>
        <v>579.23335953090202</v>
      </c>
      <c r="E6" s="5">
        <f>'Net Metering Costs'!E7/0.835/1000</f>
        <v>700.94610778443121</v>
      </c>
      <c r="F6" s="5">
        <f>'Net Metering Costs'!F7/0.835/1000</f>
        <v>718.91017964071864</v>
      </c>
      <c r="G6" s="5">
        <f>'Net Metering Costs'!G7/0.835/1000</f>
        <v>742.86227544910184</v>
      </c>
      <c r="H6" s="5">
        <f>'Net Metering Costs'!H7/0.835/1000</f>
        <v>766.81437125748505</v>
      </c>
      <c r="I6" s="5">
        <f>'Net Metering Costs'!I7/0.835/1000</f>
        <v>790.76646706586837</v>
      </c>
      <c r="K6" t="s">
        <v>146</v>
      </c>
    </row>
    <row r="7" spans="1:11">
      <c r="A7" s="4"/>
      <c r="B7" s="2"/>
      <c r="J7" s="16" t="s">
        <v>47</v>
      </c>
    </row>
    <row r="8" spans="1:11">
      <c r="A8" s="4">
        <v>3</v>
      </c>
      <c r="B8" t="s">
        <v>46</v>
      </c>
      <c r="C8" s="6">
        <f>'Net Metering Costs'!C37</f>
        <v>34626124.340866856</v>
      </c>
      <c r="D8" s="6">
        <f>'Net Metering Costs'!D37</f>
        <v>65364628.277936824</v>
      </c>
      <c r="E8" s="6">
        <f>'Net Metering Costs'!E37</f>
        <v>78857284.799630567</v>
      </c>
      <c r="F8" s="6">
        <f>'Net Metering Costs'!F37</f>
        <v>98941544.477224559</v>
      </c>
      <c r="G8" s="6">
        <f>'Net Metering Costs'!G37</f>
        <v>108517876.99671519</v>
      </c>
      <c r="H8" s="6">
        <f>'Net Metering Costs'!H37</f>
        <v>111441801.97554365</v>
      </c>
      <c r="I8" s="6">
        <f>'Net Metering Costs'!I37</f>
        <v>112787009.43651929</v>
      </c>
      <c r="J8" s="6">
        <f>SUM(C8:I8)</f>
        <v>610536270.30443692</v>
      </c>
    </row>
    <row r="9" spans="1:11">
      <c r="A9" s="4">
        <v>4</v>
      </c>
      <c r="B9" t="s">
        <v>44</v>
      </c>
      <c r="C9" s="6">
        <f>'SREC Costs'!C33</f>
        <v>51773571.380067065</v>
      </c>
      <c r="D9" s="6">
        <f>'SREC Costs'!D33</f>
        <v>202547828.97478268</v>
      </c>
      <c r="E9" s="6">
        <f>'SREC Costs'!E33</f>
        <v>173994897.22698641</v>
      </c>
      <c r="F9" s="6">
        <f>'SREC Costs'!F33</f>
        <v>121028492.94881755</v>
      </c>
      <c r="G9" s="6">
        <f>'SREC Costs'!G33</f>
        <v>110066641.8676084</v>
      </c>
      <c r="H9" s="6">
        <f>'SREC Costs'!H33</f>
        <v>106381346.97801064</v>
      </c>
      <c r="I9" s="6">
        <f>'SREC Costs'!I33</f>
        <v>103169807.43276563</v>
      </c>
      <c r="J9" s="6">
        <f t="shared" ref="J9:J16" si="0">SUM(C9:I9)</f>
        <v>868962586.8090384</v>
      </c>
    </row>
    <row r="10" spans="1:11">
      <c r="A10" s="4">
        <v>5</v>
      </c>
      <c r="B10" t="s">
        <v>45</v>
      </c>
      <c r="C10" s="88">
        <f>'SREC Costs'!C34</f>
        <v>4312554.28967469</v>
      </c>
      <c r="D10" s="88">
        <f>'SREC Costs'!D34</f>
        <v>16797266.649374876</v>
      </c>
      <c r="E10" s="88">
        <f>'SREC Costs'!E34</f>
        <v>51901541.020745978</v>
      </c>
      <c r="F10" s="88">
        <f>'SREC Costs'!F34</f>
        <v>81019765.073760122</v>
      </c>
      <c r="G10" s="88">
        <f>'SREC Costs'!G34</f>
        <v>94145067.44333671</v>
      </c>
      <c r="H10" s="88">
        <f>'SREC Costs'!H34</f>
        <v>103976408.39375702</v>
      </c>
      <c r="I10" s="88">
        <f>'SREC Costs'!I34</f>
        <v>112467883.75369018</v>
      </c>
      <c r="J10" s="88">
        <f t="shared" si="0"/>
        <v>464620486.62433952</v>
      </c>
    </row>
    <row r="11" spans="1:11">
      <c r="A11" s="4"/>
      <c r="J11" s="6"/>
    </row>
    <row r="12" spans="1:11">
      <c r="A12" s="4">
        <v>6</v>
      </c>
      <c r="B12" t="s">
        <v>29</v>
      </c>
      <c r="C12" s="25">
        <f>SUM(Summary!C8:C10)</f>
        <v>90712250.010608599</v>
      </c>
      <c r="D12" s="25">
        <f>SUM(Summary!D8:D10)</f>
        <v>284709723.90209436</v>
      </c>
      <c r="E12" s="25">
        <f>SUM(Summary!E8:E10)</f>
        <v>304753723.04736298</v>
      </c>
      <c r="F12" s="25">
        <f>SUM(Summary!F8:F10)</f>
        <v>300989802.49980223</v>
      </c>
      <c r="G12" s="25">
        <f>SUM(Summary!G8:G10)</f>
        <v>312729586.30766028</v>
      </c>
      <c r="H12" s="25">
        <f>SUM(Summary!H8:H10)</f>
        <v>321799557.34731126</v>
      </c>
      <c r="I12" s="25">
        <f>SUM(Summary!I8:I10)</f>
        <v>328424700.62297511</v>
      </c>
      <c r="J12" s="6">
        <f t="shared" si="0"/>
        <v>1944119343.7378149</v>
      </c>
    </row>
    <row r="13" spans="1:11">
      <c r="A13" s="4"/>
      <c r="C13" s="25"/>
      <c r="D13" s="25"/>
      <c r="E13" s="25"/>
      <c r="F13" s="25"/>
      <c r="G13" s="25"/>
      <c r="H13" s="25"/>
      <c r="I13" s="25"/>
      <c r="J13" s="6"/>
    </row>
    <row r="14" spans="1:11">
      <c r="A14" s="4">
        <v>7</v>
      </c>
      <c r="B14" s="7" t="s">
        <v>30</v>
      </c>
      <c r="C14" s="25">
        <f>'Net Metering Costs'!C40+'SREC Costs'!C40</f>
        <v>35595518.724142462</v>
      </c>
      <c r="D14" s="25">
        <f>'Net Metering Costs'!D40+'SREC Costs'!D40</f>
        <v>108093652.10065152</v>
      </c>
      <c r="E14" s="25">
        <f>'Net Metering Costs'!E40+'SREC Costs'!E40</f>
        <v>116448032.66724673</v>
      </c>
      <c r="F14" s="25">
        <f>'Net Metering Costs'!F40+'SREC Costs'!F40</f>
        <v>116772994.45407337</v>
      </c>
      <c r="G14" s="25">
        <f>'Net Metering Costs'!G40+'SREC Costs'!G40</f>
        <v>121806295.38389929</v>
      </c>
      <c r="H14" s="25">
        <f>'Net Metering Costs'!H40+'SREC Costs'!H40</f>
        <v>125320291.67453849</v>
      </c>
      <c r="I14" s="25">
        <f>'Net Metering Costs'!I40+'SREC Costs'!I40</f>
        <v>127820890.41211867</v>
      </c>
      <c r="J14" s="6">
        <f t="shared" si="0"/>
        <v>751857675.41667056</v>
      </c>
    </row>
    <row r="15" spans="1:11">
      <c r="A15" s="4">
        <v>8</v>
      </c>
      <c r="B15" s="7" t="s">
        <v>31</v>
      </c>
      <c r="C15" s="25">
        <f>'Net Metering Costs'!C41+'SREC Costs'!C41</f>
        <v>5358088.9980841763</v>
      </c>
      <c r="D15" s="25">
        <f>'Net Metering Costs'!D41+'SREC Costs'!D41</f>
        <v>16272985.451191898</v>
      </c>
      <c r="E15" s="25">
        <f>'Net Metering Costs'!E41+'SREC Costs'!E41</f>
        <v>17530280.809845433</v>
      </c>
      <c r="F15" s="25">
        <f>'Net Metering Costs'!F41+'SREC Costs'!F41</f>
        <v>17578219.931526747</v>
      </c>
      <c r="G15" s="25">
        <f>'Net Metering Costs'!G41+'SREC Costs'!G41</f>
        <v>18335636.785096277</v>
      </c>
      <c r="H15" s="25">
        <f>'Net Metering Costs'!H41+'SREC Costs'!H41</f>
        <v>18864612.755743336</v>
      </c>
      <c r="I15" s="25">
        <f>'Net Metering Costs'!I41+'SREC Costs'!I41</f>
        <v>19241074.252442427</v>
      </c>
      <c r="J15" s="6">
        <f t="shared" si="0"/>
        <v>113180898.98393029</v>
      </c>
    </row>
    <row r="16" spans="1:11">
      <c r="A16" s="4">
        <v>9</v>
      </c>
      <c r="B16" s="7" t="s">
        <v>32</v>
      </c>
      <c r="C16" s="25">
        <f>'Net Metering Costs'!C42+'SREC Costs'!C42</f>
        <v>49758642.288381979</v>
      </c>
      <c r="D16" s="25">
        <f>'Net Metering Costs'!D42+'SREC Costs'!D42</f>
        <v>160343086.35025096</v>
      </c>
      <c r="E16" s="25">
        <f>'Net Metering Costs'!E42+'SREC Costs'!E42</f>
        <v>170775409.57027078</v>
      </c>
      <c r="F16" s="25">
        <f>'Net Metering Costs'!F42+'SREC Costs'!F42</f>
        <v>166638588.11420211</v>
      </c>
      <c r="G16" s="25">
        <f>'Net Metering Costs'!G42+'SREC Costs'!G42</f>
        <v>172587654.13866472</v>
      </c>
      <c r="H16" s="25">
        <f>'Net Metering Costs'!H42+'SREC Costs'!H42</f>
        <v>177614652.91702947</v>
      </c>
      <c r="I16" s="25">
        <f>'Net Metering Costs'!I42+'SREC Costs'!I42</f>
        <v>181362735.95841402</v>
      </c>
      <c r="J16" s="6">
        <f t="shared" si="0"/>
        <v>1079080769.337214</v>
      </c>
    </row>
    <row r="18" spans="1:10">
      <c r="B18" s="29" t="s">
        <v>42</v>
      </c>
      <c r="C18" s="29"/>
      <c r="D18" s="29"/>
      <c r="E18" s="29"/>
      <c r="F18" s="29"/>
      <c r="G18" s="29"/>
      <c r="H18" s="29"/>
      <c r="I18" s="29"/>
      <c r="J18" s="29"/>
    </row>
    <row r="19" spans="1:10">
      <c r="A19" s="4">
        <v>10</v>
      </c>
      <c r="B19" s="90" t="s">
        <v>50</v>
      </c>
      <c r="C19" s="89">
        <f>'Net Metering Costs'!C45+'SREC Costs'!C$37</f>
        <v>4.668389484615872E-3</v>
      </c>
      <c r="D19" s="89">
        <f>'Net Metering Costs'!D45+'SREC Costs'!D$37</f>
        <v>1.4244948685683023E-2</v>
      </c>
      <c r="E19" s="89">
        <f>'Net Metering Costs'!E45+'SREC Costs'!E$37</f>
        <v>1.5384378283658653E-2</v>
      </c>
      <c r="F19" s="89">
        <f>'Net Metering Costs'!F45+'SREC Costs'!F$37</f>
        <v>1.5427310181671983E-2</v>
      </c>
      <c r="G19" s="89">
        <f>'Net Metering Costs'!G45+'SREC Costs'!G$37</f>
        <v>1.6092278096905114E-2</v>
      </c>
      <c r="H19" s="89">
        <f>'Net Metering Costs'!H45+'SREC Costs'!H$37</f>
        <v>1.6556525083173228E-2</v>
      </c>
      <c r="I19" s="89">
        <f>'Net Metering Costs'!I45+'SREC Costs'!I$37</f>
        <v>1.6886888388017891E-2</v>
      </c>
      <c r="J19" s="89"/>
    </row>
    <row r="20" spans="1:10">
      <c r="A20" s="4">
        <v>11</v>
      </c>
      <c r="B20" s="90" t="s">
        <v>49</v>
      </c>
      <c r="C20" s="89">
        <f>'Net Metering Costs'!C46+'SREC Costs'!C$37</f>
        <v>4.666899800070826E-3</v>
      </c>
      <c r="D20" s="89">
        <f>'Net Metering Costs'!D46+'SREC Costs'!D$37</f>
        <v>1.4242123010961514E-2</v>
      </c>
      <c r="E20" s="89">
        <f>'Net Metering Costs'!E46+'SREC Costs'!E$37</f>
        <v>1.5380960785527205E-2</v>
      </c>
      <c r="F20" s="89">
        <f>'Net Metering Costs'!F46+'SREC Costs'!F$37</f>
        <v>1.5423022276702468E-2</v>
      </c>
      <c r="G20" s="89">
        <f>'Net Metering Costs'!G46+'SREC Costs'!G$37</f>
        <v>1.6087575175129303E-2</v>
      </c>
      <c r="H20" s="89">
        <f>'Net Metering Costs'!H46+'SREC Costs'!H$37</f>
        <v>1.6551695445036627E-2</v>
      </c>
      <c r="I20" s="89">
        <f>'Net Metering Costs'!I46+'SREC Costs'!I$37</f>
        <v>1.6882000451602368E-2</v>
      </c>
      <c r="J20" s="89"/>
    </row>
    <row r="21" spans="1:10">
      <c r="A21" s="4">
        <v>12</v>
      </c>
      <c r="B21" s="90" t="s">
        <v>48</v>
      </c>
      <c r="C21" s="89">
        <f>'Net Metering Costs'!C47+'SREC Costs'!C$37</f>
        <v>4.0188748223992056E-3</v>
      </c>
      <c r="D21" s="89">
        <f>'Net Metering Costs'!D47+'SREC Costs'!D$37</f>
        <v>1.3012931364714927E-2</v>
      </c>
      <c r="E21" s="89">
        <f>'Net Metering Costs'!E47+'SREC Costs'!E$37</f>
        <v>1.3894321108899398E-2</v>
      </c>
      <c r="F21" s="89">
        <f>'Net Metering Costs'!F47+'SREC Costs'!F$37</f>
        <v>1.3557748496849206E-2</v>
      </c>
      <c r="G21" s="89">
        <f>'Net Metering Costs'!G47+'SREC Costs'!G$37</f>
        <v>1.4041765685532875E-2</v>
      </c>
      <c r="H21" s="89">
        <f>'Net Metering Costs'!H47+'SREC Costs'!H$37</f>
        <v>1.4450763300684094E-2</v>
      </c>
      <c r="I21" s="89">
        <f>'Net Metering Costs'!I47+'SREC Costs'!I$37</f>
        <v>1.4755708078453403E-2</v>
      </c>
      <c r="J21" s="89"/>
    </row>
    <row r="22" spans="1:10">
      <c r="B22" s="29"/>
      <c r="C22" s="89"/>
      <c r="D22" s="89"/>
      <c r="E22" s="89"/>
      <c r="F22" s="89"/>
      <c r="G22" s="89"/>
      <c r="H22" s="89"/>
      <c r="I22" s="89"/>
      <c r="J22" s="89"/>
    </row>
    <row r="23" spans="1:10">
      <c r="B23" s="10" t="s">
        <v>39</v>
      </c>
    </row>
    <row r="24" spans="1:10">
      <c r="B24" s="7" t="s">
        <v>154</v>
      </c>
    </row>
    <row r="26" spans="1:10">
      <c r="B26" s="29"/>
      <c r="C26" s="29"/>
      <c r="D26" s="29"/>
      <c r="E26" s="29"/>
      <c r="F26" s="29"/>
      <c r="G26" s="29"/>
      <c r="H26" s="29"/>
      <c r="I26" s="29"/>
      <c r="J26" s="29"/>
    </row>
    <row r="27" spans="1:10">
      <c r="B27" s="29"/>
      <c r="C27" s="89"/>
      <c r="D27" s="89"/>
      <c r="E27" s="89"/>
      <c r="F27" s="89"/>
      <c r="G27" s="89"/>
      <c r="H27" s="89"/>
      <c r="I27" s="89"/>
      <c r="J27" s="29"/>
    </row>
    <row r="28" spans="1:10">
      <c r="B28" s="29"/>
      <c r="C28" s="89"/>
      <c r="D28" s="89"/>
      <c r="E28" s="89"/>
      <c r="F28" s="89"/>
      <c r="G28" s="89"/>
      <c r="H28" s="89"/>
      <c r="I28" s="89"/>
      <c r="J28" s="29"/>
    </row>
    <row r="29" spans="1:10">
      <c r="B29" s="29"/>
      <c r="C29" s="89"/>
      <c r="D29" s="89"/>
      <c r="E29" s="89"/>
      <c r="F29" s="89"/>
      <c r="G29" s="89"/>
      <c r="H29" s="89"/>
      <c r="I29" s="89"/>
      <c r="J29" s="29"/>
    </row>
    <row r="30" spans="1:10">
      <c r="B30" s="29"/>
      <c r="C30" s="29"/>
      <c r="D30" s="29"/>
      <c r="E30" s="29"/>
      <c r="F30" s="29"/>
      <c r="G30" s="29"/>
      <c r="H30" s="29"/>
      <c r="I30" s="29"/>
      <c r="J30" s="29"/>
    </row>
    <row r="31" spans="1:10">
      <c r="C31" s="64"/>
      <c r="D31" s="64"/>
      <c r="E31" s="64"/>
      <c r="F31" s="64"/>
      <c r="G31" s="64"/>
      <c r="H31" s="64"/>
      <c r="I31" s="64"/>
    </row>
    <row r="32" spans="1:10">
      <c r="C32" s="64"/>
      <c r="D32" s="64"/>
      <c r="E32" s="64"/>
      <c r="F32" s="64"/>
      <c r="G32" s="64"/>
      <c r="H32" s="64"/>
      <c r="I32" s="64"/>
    </row>
    <row r="33" spans="3:9">
      <c r="C33" s="64"/>
      <c r="D33" s="64"/>
      <c r="E33" s="64"/>
      <c r="F33" s="64"/>
      <c r="G33" s="64"/>
      <c r="H33" s="64"/>
      <c r="I33" s="64"/>
    </row>
    <row r="64" spans="3:9">
      <c r="C64" s="63">
        <v>0.44949130112608277</v>
      </c>
      <c r="D64" s="63">
        <v>1.3575581272412656</v>
      </c>
      <c r="E64" s="63">
        <v>1.4924299273952444</v>
      </c>
      <c r="F64" s="63">
        <v>1.4283264901233399</v>
      </c>
      <c r="G64" s="63">
        <v>1.4981146830469232</v>
      </c>
      <c r="H64" s="63">
        <v>1.5624641886191917</v>
      </c>
      <c r="I64" s="63">
        <v>1.6112151054285144</v>
      </c>
    </row>
    <row r="65" spans="3:9">
      <c r="C65" s="63">
        <v>0.4522244317232651</v>
      </c>
      <c r="D65" s="63">
        <v>1.3634715934886421</v>
      </c>
      <c r="E65" s="63">
        <v>1.4988764210903998</v>
      </c>
      <c r="F65" s="63">
        <v>1.4363320526291981</v>
      </c>
      <c r="G65" s="63">
        <v>1.5078280042248349</v>
      </c>
      <c r="H65" s="63">
        <v>1.5730665855488482</v>
      </c>
      <c r="I65" s="63">
        <v>1.6226610474072294</v>
      </c>
    </row>
    <row r="66" spans="3:9">
      <c r="C66" s="63">
        <v>0.39720348225820956</v>
      </c>
      <c r="D66" s="63">
        <v>1.2444269609724963</v>
      </c>
      <c r="E66" s="63">
        <v>1.3691013550201609</v>
      </c>
      <c r="F66" s="63">
        <v>1.2751712026763082</v>
      </c>
      <c r="G66" s="63">
        <v>1.3122880786103441</v>
      </c>
      <c r="H66" s="63">
        <v>1.3596285792287426</v>
      </c>
      <c r="I66" s="63">
        <v>1.3922415439118394</v>
      </c>
    </row>
  </sheetData>
  <pageMargins left="0.7" right="0.7" top="0.75" bottom="0.75" header="0.3" footer="0.3"/>
  <pageSetup scale="81" orientation="landscape" r:id="rId1"/>
  <rowBreaks count="1" manualBreakCount="1">
    <brk id="1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73"/>
  <sheetViews>
    <sheetView workbookViewId="0">
      <selection activeCell="K37" sqref="K37"/>
    </sheetView>
  </sheetViews>
  <sheetFormatPr defaultRowHeight="15"/>
  <cols>
    <col min="1" max="1" width="7.7109375" style="4" customWidth="1"/>
    <col min="2" max="2" width="37.140625" customWidth="1"/>
    <col min="3" max="7" width="15.28515625" bestFit="1" customWidth="1"/>
    <col min="8" max="8" width="15.28515625" customWidth="1"/>
    <col min="9" max="9" width="15.28515625" bestFit="1" customWidth="1"/>
  </cols>
  <sheetData>
    <row r="2" spans="1:9" ht="18.75">
      <c r="B2" s="3" t="s">
        <v>34</v>
      </c>
    </row>
    <row r="3" spans="1:9">
      <c r="B3" s="56" t="s">
        <v>145</v>
      </c>
    </row>
    <row r="4" spans="1:9">
      <c r="A4" s="4" t="s">
        <v>38</v>
      </c>
      <c r="C4" s="16">
        <v>2014</v>
      </c>
      <c r="D4" s="16">
        <v>2015</v>
      </c>
      <c r="E4" s="16">
        <v>2016</v>
      </c>
      <c r="F4" s="16">
        <v>2017</v>
      </c>
      <c r="G4" s="16">
        <v>2018</v>
      </c>
      <c r="H4" s="16">
        <v>2019</v>
      </c>
      <c r="I4" s="16">
        <v>2020</v>
      </c>
    </row>
    <row r="5" spans="1:9">
      <c r="B5" s="96" t="s">
        <v>36</v>
      </c>
      <c r="C5" s="16"/>
      <c r="D5" s="16"/>
      <c r="E5" s="16"/>
      <c r="F5" s="16"/>
      <c r="G5" s="16"/>
      <c r="H5" s="16"/>
      <c r="I5" s="16"/>
    </row>
    <row r="6" spans="1:9">
      <c r="A6" s="4">
        <v>1</v>
      </c>
      <c r="B6" s="97" t="s">
        <v>142</v>
      </c>
      <c r="C6" s="28">
        <v>243805</v>
      </c>
      <c r="D6" s="28">
        <v>390159.8552083032</v>
      </c>
      <c r="E6" s="28">
        <v>461790</v>
      </c>
      <c r="F6" s="28">
        <v>461790</v>
      </c>
      <c r="G6" s="28">
        <v>461790</v>
      </c>
      <c r="H6" s="28">
        <v>461790</v>
      </c>
      <c r="I6" s="28">
        <v>461790</v>
      </c>
    </row>
    <row r="7" spans="1:9">
      <c r="A7" s="4">
        <v>2</v>
      </c>
      <c r="B7" s="90" t="s">
        <v>143</v>
      </c>
      <c r="C7" s="28">
        <v>318200</v>
      </c>
      <c r="D7" s="28">
        <v>483659.8552083032</v>
      </c>
      <c r="E7" s="28">
        <v>585290</v>
      </c>
      <c r="F7" s="28">
        <v>600290</v>
      </c>
      <c r="G7" s="28">
        <v>620290</v>
      </c>
      <c r="H7" s="28">
        <v>640290</v>
      </c>
      <c r="I7" s="28">
        <v>660290</v>
      </c>
    </row>
    <row r="8" spans="1:9">
      <c r="B8" s="29"/>
      <c r="C8" s="28"/>
      <c r="D8" s="28"/>
      <c r="E8" s="28"/>
      <c r="F8" s="28"/>
      <c r="G8" s="28"/>
      <c r="H8" s="28"/>
      <c r="I8" s="28"/>
    </row>
    <row r="9" spans="1:9">
      <c r="B9" s="17" t="s">
        <v>6</v>
      </c>
    </row>
    <row r="10" spans="1:9">
      <c r="A10" s="4">
        <v>3</v>
      </c>
      <c r="B10" s="7" t="s">
        <v>35</v>
      </c>
      <c r="C10" s="14">
        <v>351500000</v>
      </c>
      <c r="D10" s="14">
        <v>516475934.39999998</v>
      </c>
      <c r="E10" s="14">
        <v>685267468.79999995</v>
      </c>
      <c r="F10" s="14">
        <v>798653580</v>
      </c>
      <c r="G10" s="14">
        <v>836523060</v>
      </c>
      <c r="H10" s="14">
        <v>862146060</v>
      </c>
      <c r="I10" s="14">
        <v>886455060</v>
      </c>
    </row>
    <row r="11" spans="1:9">
      <c r="A11" s="4">
        <v>4</v>
      </c>
      <c r="B11" s="7" t="s">
        <v>3</v>
      </c>
      <c r="C11" s="12">
        <v>0.70301465149359887</v>
      </c>
      <c r="D11" s="12">
        <v>0.72</v>
      </c>
      <c r="E11" s="12">
        <v>0.74</v>
      </c>
      <c r="F11" s="12">
        <v>0.75</v>
      </c>
      <c r="G11" s="12">
        <v>0.73</v>
      </c>
      <c r="H11" s="12">
        <v>0.72</v>
      </c>
      <c r="I11" s="12">
        <v>0.7</v>
      </c>
    </row>
    <row r="12" spans="1:9">
      <c r="A12" s="4">
        <v>5</v>
      </c>
      <c r="B12" s="7" t="s">
        <v>5</v>
      </c>
      <c r="C12" s="14">
        <f t="shared" ref="C12:I12" si="0">C10*C11</f>
        <v>247109650</v>
      </c>
      <c r="D12" s="14">
        <f t="shared" si="0"/>
        <v>371862672.76799995</v>
      </c>
      <c r="E12" s="14">
        <f t="shared" si="0"/>
        <v>507097926.91199994</v>
      </c>
      <c r="F12" s="14">
        <f t="shared" si="0"/>
        <v>598990185</v>
      </c>
      <c r="G12" s="14">
        <f t="shared" si="0"/>
        <v>610661833.79999995</v>
      </c>
      <c r="H12" s="14">
        <f t="shared" si="0"/>
        <v>620745163.19999993</v>
      </c>
      <c r="I12" s="14">
        <f t="shared" si="0"/>
        <v>620518542</v>
      </c>
    </row>
    <row r="13" spans="1:9">
      <c r="A13" s="4">
        <v>6</v>
      </c>
      <c r="B13" s="106" t="s">
        <v>151</v>
      </c>
      <c r="C13" s="107">
        <v>11738650</v>
      </c>
      <c r="D13" s="107">
        <f>D10*0.033</f>
        <v>17043705.835200001</v>
      </c>
      <c r="E13" s="107">
        <f t="shared" ref="E13:I13" si="1">E10*0.033</f>
        <v>22613826.470399998</v>
      </c>
      <c r="F13" s="107">
        <f t="shared" si="1"/>
        <v>26355568.140000001</v>
      </c>
      <c r="G13" s="107">
        <f t="shared" si="1"/>
        <v>27605260.98</v>
      </c>
      <c r="H13" s="107">
        <f t="shared" si="1"/>
        <v>28450819.98</v>
      </c>
      <c r="I13" s="107">
        <f t="shared" si="1"/>
        <v>29253016.98</v>
      </c>
    </row>
    <row r="14" spans="1:9">
      <c r="C14" s="104"/>
      <c r="D14" s="23"/>
      <c r="E14" s="23"/>
      <c r="F14" s="23"/>
      <c r="G14" s="23"/>
      <c r="H14" s="23"/>
      <c r="I14" s="23"/>
    </row>
    <row r="15" spans="1:9">
      <c r="B15" s="17" t="s">
        <v>147</v>
      </c>
    </row>
    <row r="16" spans="1:9">
      <c r="A16" s="4">
        <v>7</v>
      </c>
      <c r="B16" s="7" t="s">
        <v>91</v>
      </c>
      <c r="C16" s="13">
        <f>Rates!D19</f>
        <v>5.5307096384135564E-2</v>
      </c>
      <c r="D16" s="13">
        <f>Rates!J11</f>
        <v>6.0118567091370187E-2</v>
      </c>
      <c r="E16" s="13">
        <f>D16</f>
        <v>6.0118567091370187E-2</v>
      </c>
      <c r="F16" s="13">
        <f t="shared" ref="F16:I16" si="2">E16</f>
        <v>6.0118567091370187E-2</v>
      </c>
      <c r="G16" s="13">
        <f t="shared" si="2"/>
        <v>6.0118567091370187E-2</v>
      </c>
      <c r="H16" s="13">
        <f t="shared" si="2"/>
        <v>6.0118567091370187E-2</v>
      </c>
      <c r="I16" s="13">
        <f t="shared" si="2"/>
        <v>6.0118567091370187E-2</v>
      </c>
    </row>
    <row r="17" spans="1:9">
      <c r="A17" s="4">
        <v>8</v>
      </c>
      <c r="B17" s="7" t="s">
        <v>148</v>
      </c>
      <c r="C17" s="13">
        <f>Rates!M9</f>
        <v>8.2708894245800066E-3</v>
      </c>
      <c r="D17" s="13">
        <f>Rates!N9</f>
        <v>9.8863982608800045E-3</v>
      </c>
      <c r="E17" s="13">
        <f>D17</f>
        <v>9.8863982608800045E-3</v>
      </c>
      <c r="F17" s="13">
        <f t="shared" ref="F17:I17" si="3">E17</f>
        <v>9.8863982608800045E-3</v>
      </c>
      <c r="G17" s="13">
        <f t="shared" si="3"/>
        <v>9.8863982608800045E-3</v>
      </c>
      <c r="H17" s="13">
        <f t="shared" si="3"/>
        <v>9.8863982608800045E-3</v>
      </c>
      <c r="I17" s="13">
        <f t="shared" si="3"/>
        <v>9.8863982608800045E-3</v>
      </c>
    </row>
    <row r="18" spans="1:9">
      <c r="A18" s="4">
        <v>9</v>
      </c>
      <c r="B18" s="7" t="s">
        <v>0</v>
      </c>
      <c r="C18" s="13">
        <f>Rates!D25</f>
        <v>1.8678234419416639E-2</v>
      </c>
      <c r="D18" s="13">
        <f>Rates!L9</f>
        <v>2.2786475700078898E-2</v>
      </c>
      <c r="E18" s="13">
        <f>D18</f>
        <v>2.2786475700078898E-2</v>
      </c>
      <c r="F18" s="13">
        <f t="shared" ref="F18:I18" si="4">E18</f>
        <v>2.2786475700078898E-2</v>
      </c>
      <c r="G18" s="13">
        <f t="shared" si="4"/>
        <v>2.2786475700078898E-2</v>
      </c>
      <c r="H18" s="13">
        <f t="shared" si="4"/>
        <v>2.2786475700078898E-2</v>
      </c>
      <c r="I18" s="13">
        <f t="shared" si="4"/>
        <v>2.2786475700078898E-2</v>
      </c>
    </row>
    <row r="19" spans="1:9">
      <c r="A19" s="4">
        <v>10</v>
      </c>
      <c r="B19" s="7" t="s">
        <v>92</v>
      </c>
      <c r="C19" s="13">
        <f>Rates!D22</f>
        <v>1.1345512407143958E-3</v>
      </c>
      <c r="D19" s="13">
        <f>Rates!K9</f>
        <v>-1.5453107802143706E-3</v>
      </c>
      <c r="E19" s="13">
        <f>Rates!Q7</f>
        <v>7.5000000000000002E-4</v>
      </c>
      <c r="F19" s="13">
        <f>Rates!Q11</f>
        <v>5.9000000000000003E-4</v>
      </c>
      <c r="G19" s="13">
        <f>Rates!Q15</f>
        <v>1.9000000000000001E-4</v>
      </c>
      <c r="H19" s="13">
        <f>Rates!Q19</f>
        <v>1.6000000000000001E-4</v>
      </c>
      <c r="I19" s="13">
        <f>Rates!Q23</f>
        <v>6.0000000000000002E-5</v>
      </c>
    </row>
    <row r="20" spans="1:9">
      <c r="A20" s="4">
        <v>11</v>
      </c>
      <c r="B20" s="7" t="s">
        <v>1</v>
      </c>
      <c r="C20" s="13">
        <f>Rates!D8</f>
        <v>8.7396297109400639E-2</v>
      </c>
      <c r="D20" s="100">
        <v>0.12064999999999999</v>
      </c>
      <c r="E20" s="100">
        <v>0.1</v>
      </c>
      <c r="F20" s="100">
        <v>0.11</v>
      </c>
      <c r="G20" s="100">
        <v>0.12</v>
      </c>
      <c r="H20" s="100">
        <v>0.12</v>
      </c>
      <c r="I20" s="100">
        <v>0.12</v>
      </c>
    </row>
    <row r="21" spans="1:9">
      <c r="A21" s="4">
        <v>12</v>
      </c>
      <c r="B21" s="7" t="s">
        <v>2</v>
      </c>
      <c r="C21" s="13">
        <f>SUM(C16:C20)</f>
        <v>0.17078706857824724</v>
      </c>
      <c r="D21" s="13">
        <f t="shared" ref="D21:I21" si="5">SUM(D16:D20)</f>
        <v>0.21189613027211471</v>
      </c>
      <c r="E21" s="13">
        <f t="shared" si="5"/>
        <v>0.19354144105232909</v>
      </c>
      <c r="F21" s="13">
        <f t="shared" si="5"/>
        <v>0.20338144105232908</v>
      </c>
      <c r="G21" s="13">
        <f t="shared" si="5"/>
        <v>0.21298144105232908</v>
      </c>
      <c r="H21" s="13">
        <f t="shared" si="5"/>
        <v>0.21295144105232908</v>
      </c>
      <c r="I21" s="13">
        <f t="shared" si="5"/>
        <v>0.21285144105232909</v>
      </c>
    </row>
    <row r="22" spans="1:9">
      <c r="C22" s="26"/>
      <c r="D22" s="26"/>
      <c r="E22" s="26"/>
      <c r="F22" s="26"/>
      <c r="G22" s="26"/>
      <c r="H22" s="26"/>
      <c r="I22" s="26"/>
    </row>
    <row r="23" spans="1:9">
      <c r="B23" s="17" t="s">
        <v>4</v>
      </c>
    </row>
    <row r="24" spans="1:9">
      <c r="A24" s="4">
        <v>13</v>
      </c>
      <c r="B24" s="7" t="s">
        <v>119</v>
      </c>
      <c r="C24" s="25">
        <f>(1-C11)*C10*(C16+C17)</f>
        <v>6636928.1908668512</v>
      </c>
      <c r="D24" s="25">
        <f>(1-D11)*D10*(D16+D17)</f>
        <v>10123646.370024052</v>
      </c>
      <c r="E24" s="25">
        <f t="shared" ref="E24:I24" si="6">(1-E11)*E10*(E16+E17)</f>
        <v>12472752.606695728</v>
      </c>
      <c r="F24" s="25">
        <f t="shared" si="6"/>
        <v>13977429.049087644</v>
      </c>
      <c r="G24" s="25">
        <f t="shared" si="6"/>
        <v>15811407.314547744</v>
      </c>
      <c r="H24" s="25">
        <f t="shared" si="6"/>
        <v>16899261.416486125</v>
      </c>
      <c r="I24" s="25">
        <f t="shared" si="6"/>
        <v>18616876.728488062</v>
      </c>
    </row>
    <row r="25" spans="1:9">
      <c r="A25" s="4">
        <v>14</v>
      </c>
      <c r="B25" s="11" t="s">
        <v>7</v>
      </c>
      <c r="C25" s="25">
        <f>C16*C12</f>
        <v>13666917.230000004</v>
      </c>
      <c r="D25" s="25">
        <f>D16*D12</f>
        <v>22355851.041579243</v>
      </c>
      <c r="E25" s="25">
        <f t="shared" ref="E25:I25" si="7">E16*E12</f>
        <v>30486000.740953803</v>
      </c>
      <c r="F25" s="25">
        <f t="shared" si="7"/>
        <v>36010431.623994738</v>
      </c>
      <c r="G25" s="25">
        <f t="shared" si="7"/>
        <v>36712114.425444447</v>
      </c>
      <c r="H25" s="25">
        <f t="shared" si="7"/>
        <v>37318309.740482733</v>
      </c>
      <c r="I25" s="25">
        <f t="shared" si="7"/>
        <v>37304685.598666206</v>
      </c>
    </row>
    <row r="26" spans="1:9">
      <c r="A26" s="4">
        <v>15</v>
      </c>
      <c r="B26" s="11" t="s">
        <v>8</v>
      </c>
      <c r="C26" s="25">
        <f>C18*C12</f>
        <v>4615571.9699999988</v>
      </c>
      <c r="D26" s="25">
        <f t="shared" ref="D26:I26" si="8">D12*D18</f>
        <v>8473439.756794421</v>
      </c>
      <c r="E26" s="25">
        <f t="shared" si="8"/>
        <v>11554974.589140672</v>
      </c>
      <c r="F26" s="25">
        <f t="shared" si="8"/>
        <v>13648875.295088263</v>
      </c>
      <c r="G26" s="25">
        <f t="shared" si="8"/>
        <v>13914831.036849318</v>
      </c>
      <c r="H26" s="25">
        <f t="shared" si="8"/>
        <v>14144594.577198308</v>
      </c>
      <c r="I26" s="25">
        <f t="shared" si="8"/>
        <v>14139430.678731387</v>
      </c>
    </row>
    <row r="27" spans="1:9">
      <c r="A27" s="4">
        <v>16</v>
      </c>
      <c r="B27" s="11" t="s">
        <v>133</v>
      </c>
      <c r="C27" s="25">
        <f t="shared" ref="C27:I27" si="9">C19*C12</f>
        <v>280358.56000000011</v>
      </c>
      <c r="D27" s="25">
        <f t="shared" si="9"/>
        <v>-574643.39698771923</v>
      </c>
      <c r="E27" s="25">
        <f t="shared" si="9"/>
        <v>380323.44518399995</v>
      </c>
      <c r="F27" s="25">
        <f t="shared" si="9"/>
        <v>353404.20915000001</v>
      </c>
      <c r="G27" s="25">
        <f t="shared" si="9"/>
        <v>116025.748422</v>
      </c>
      <c r="H27" s="25">
        <f t="shared" si="9"/>
        <v>99319.226112000004</v>
      </c>
      <c r="I27" s="25">
        <f t="shared" si="9"/>
        <v>37231.112520000002</v>
      </c>
    </row>
    <row r="28" spans="1:9">
      <c r="A28" s="4">
        <v>17</v>
      </c>
      <c r="B28" s="11" t="s">
        <v>9</v>
      </c>
      <c r="C28" s="25">
        <f>C20*C12</f>
        <v>21596468.390000004</v>
      </c>
      <c r="D28" s="25">
        <f t="shared" ref="D28:I28" si="10">D12*D20</f>
        <v>44865231.469459191</v>
      </c>
      <c r="E28" s="25">
        <f t="shared" si="10"/>
        <v>50709792.691199996</v>
      </c>
      <c r="F28" s="25">
        <f t="shared" si="10"/>
        <v>65888920.350000001</v>
      </c>
      <c r="G28" s="25">
        <f t="shared" si="10"/>
        <v>73279420.055999994</v>
      </c>
      <c r="H28" s="25">
        <f t="shared" si="10"/>
        <v>74489419.583999991</v>
      </c>
      <c r="I28" s="25">
        <f t="shared" si="10"/>
        <v>74462225.039999992</v>
      </c>
    </row>
    <row r="29" spans="1:9">
      <c r="B29" s="27"/>
      <c r="C29" s="25"/>
      <c r="D29" s="25"/>
      <c r="E29" s="25"/>
      <c r="F29" s="25"/>
      <c r="G29" s="25"/>
      <c r="H29" s="25"/>
      <c r="I29" s="25"/>
    </row>
    <row r="30" spans="1:9">
      <c r="A30" s="4">
        <v>18</v>
      </c>
      <c r="B30" t="s">
        <v>11</v>
      </c>
      <c r="C30" s="25">
        <f>SUM(C25:C28)</f>
        <v>40159316.150000006</v>
      </c>
      <c r="D30" s="25">
        <f t="shared" ref="D30:I30" si="11">SUM(D25:D28)</f>
        <v>75119878.870845139</v>
      </c>
      <c r="E30" s="25">
        <f t="shared" si="11"/>
        <v>93131091.466478467</v>
      </c>
      <c r="F30" s="25">
        <f t="shared" si="11"/>
        <v>115901631.47823301</v>
      </c>
      <c r="G30" s="25">
        <f t="shared" si="11"/>
        <v>124022391.26671576</v>
      </c>
      <c r="H30" s="25">
        <f t="shared" si="11"/>
        <v>126051643.12779304</v>
      </c>
      <c r="I30" s="25">
        <f t="shared" si="11"/>
        <v>125943572.42991759</v>
      </c>
    </row>
    <row r="31" spans="1:9">
      <c r="A31" s="4">
        <v>19</v>
      </c>
      <c r="B31" s="27" t="s">
        <v>10</v>
      </c>
      <c r="C31" s="25">
        <f>SUM(C24:C28)</f>
        <v>46796244.340866856</v>
      </c>
      <c r="D31" s="25">
        <f t="shared" ref="D31:I31" si="12">SUM(D24:D28)</f>
        <v>85243525.240869194</v>
      </c>
      <c r="E31" s="25">
        <f t="shared" si="12"/>
        <v>105603844.07317419</v>
      </c>
      <c r="F31" s="25">
        <f t="shared" si="12"/>
        <v>129879060.52732065</v>
      </c>
      <c r="G31" s="25">
        <f t="shared" si="12"/>
        <v>139833798.58126348</v>
      </c>
      <c r="H31" s="25">
        <f t="shared" si="12"/>
        <v>142950904.54427916</v>
      </c>
      <c r="I31" s="25">
        <f t="shared" si="12"/>
        <v>144560449.15840563</v>
      </c>
    </row>
    <row r="32" spans="1:9">
      <c r="B32" s="27"/>
      <c r="C32" s="25"/>
      <c r="D32" s="25"/>
      <c r="E32" s="25"/>
      <c r="F32" s="25"/>
      <c r="G32" s="25"/>
      <c r="H32" s="25"/>
      <c r="I32" s="25"/>
    </row>
    <row r="33" spans="1:9">
      <c r="B33" s="9" t="s">
        <v>28</v>
      </c>
      <c r="C33" s="25"/>
      <c r="D33" s="25"/>
      <c r="E33" s="25"/>
      <c r="F33" s="25"/>
      <c r="G33" s="25"/>
      <c r="H33" s="25"/>
      <c r="I33" s="25"/>
    </row>
    <row r="34" spans="1:9">
      <c r="A34" s="4">
        <v>20</v>
      </c>
      <c r="B34" s="8" t="s">
        <v>26</v>
      </c>
      <c r="C34" s="109">
        <f>C35/(C12-C13)</f>
        <v>5.1706115026914953E-2</v>
      </c>
      <c r="D34" s="101">
        <v>5.6025463167241801E-2</v>
      </c>
      <c r="E34" s="101">
        <v>5.52062683773617E-2</v>
      </c>
      <c r="F34" s="101">
        <v>5.40266255989547E-2</v>
      </c>
      <c r="G34" s="101">
        <v>5.37099194904644E-2</v>
      </c>
      <c r="H34" s="101">
        <v>5.3198385109397998E-2</v>
      </c>
      <c r="I34" s="101">
        <v>5.3738021882489398E-2</v>
      </c>
    </row>
    <row r="35" spans="1:9">
      <c r="A35" s="4">
        <v>21</v>
      </c>
      <c r="B35" s="11" t="s">
        <v>27</v>
      </c>
      <c r="C35" s="92">
        <v>12170120</v>
      </c>
      <c r="D35" s="108">
        <f>(D12-D13)*D34</f>
        <v>19878896.962932371</v>
      </c>
      <c r="E35" s="108">
        <f t="shared" ref="E35:I35" si="13">(E12-E13)*E34</f>
        <v>26746559.27354363</v>
      </c>
      <c r="F35" s="108">
        <f t="shared" si="13"/>
        <v>30937516.050096095</v>
      </c>
      <c r="G35" s="108">
        <f t="shared" si="13"/>
        <v>31315921.584548291</v>
      </c>
      <c r="H35" s="108">
        <f t="shared" si="13"/>
        <v>31509102.56873551</v>
      </c>
      <c r="I35" s="108">
        <f t="shared" si="13"/>
        <v>31773439.721886341</v>
      </c>
    </row>
    <row r="36" spans="1:9">
      <c r="C36" s="105"/>
    </row>
    <row r="37" spans="1:9">
      <c r="A37" s="4">
        <v>22</v>
      </c>
      <c r="B37" t="s">
        <v>12</v>
      </c>
      <c r="C37" s="25">
        <f>C31-C35</f>
        <v>34626124.340866856</v>
      </c>
      <c r="D37" s="108">
        <f t="shared" ref="D37:I37" si="14">D31-D35</f>
        <v>65364628.277936824</v>
      </c>
      <c r="E37" s="108">
        <f t="shared" si="14"/>
        <v>78857284.799630567</v>
      </c>
      <c r="F37" s="108">
        <f t="shared" si="14"/>
        <v>98941544.477224559</v>
      </c>
      <c r="G37" s="108">
        <f t="shared" si="14"/>
        <v>108517876.99671519</v>
      </c>
      <c r="H37" s="108">
        <f t="shared" si="14"/>
        <v>111441801.97554365</v>
      </c>
      <c r="I37" s="108">
        <f t="shared" si="14"/>
        <v>112787009.43651929</v>
      </c>
    </row>
    <row r="39" spans="1:9">
      <c r="B39" s="91" t="s">
        <v>81</v>
      </c>
      <c r="C39" s="29"/>
      <c r="D39" s="29"/>
      <c r="E39" s="29"/>
      <c r="F39" s="29"/>
      <c r="G39" s="29"/>
      <c r="H39" s="29"/>
      <c r="I39" s="29"/>
    </row>
    <row r="40" spans="1:9">
      <c r="A40" s="4">
        <v>23</v>
      </c>
      <c r="B40" s="90" t="s">
        <v>50</v>
      </c>
      <c r="C40" s="92">
        <f>C$37*Allocators!$C43</f>
        <v>15379838.853648756</v>
      </c>
      <c r="D40" s="92">
        <f>D$37*Allocators!$C43</f>
        <v>29032918.606395599</v>
      </c>
      <c r="E40" s="92">
        <f>E$37*Allocators!$C43</f>
        <v>35025933.619235687</v>
      </c>
      <c r="F40" s="92">
        <f>F$37*Allocators!$C43</f>
        <v>43946732.09773206</v>
      </c>
      <c r="G40" s="92">
        <f>G$37*Allocators!$C43</f>
        <v>48200238.771157086</v>
      </c>
      <c r="H40" s="92">
        <f>H$37*Allocators!$C43</f>
        <v>49498954.577519096</v>
      </c>
      <c r="I40" s="92">
        <f>I$37*Allocators!$C43</f>
        <v>50096453.557504952</v>
      </c>
    </row>
    <row r="41" spans="1:9">
      <c r="A41" s="4">
        <v>24</v>
      </c>
      <c r="B41" s="90" t="s">
        <v>49</v>
      </c>
      <c r="C41" s="92">
        <f>C$37*Allocators!$C44</f>
        <v>2314110.6845342075</v>
      </c>
      <c r="D41" s="92">
        <f>D$37*Allocators!$C44</f>
        <v>4368406.443630117</v>
      </c>
      <c r="E41" s="92">
        <f>E$37*Allocators!$C44</f>
        <v>5270138.9133755304</v>
      </c>
      <c r="F41" s="92">
        <f>F$37*Allocators!$C44</f>
        <v>6612397.1301296912</v>
      </c>
      <c r="G41" s="92">
        <f>G$37*Allocators!$C44</f>
        <v>7252396.3741643727</v>
      </c>
      <c r="H41" s="92">
        <f>H$37*Allocators!$C44</f>
        <v>7447806.2319837073</v>
      </c>
      <c r="I41" s="92">
        <f>I$37*Allocators!$C44</f>
        <v>7537708.2645564042</v>
      </c>
    </row>
    <row r="42" spans="1:9">
      <c r="A42" s="4">
        <v>25</v>
      </c>
      <c r="B42" s="90" t="s">
        <v>48</v>
      </c>
      <c r="C42" s="92">
        <f>C$37*Allocators!$C45</f>
        <v>16932174.802683894</v>
      </c>
      <c r="D42" s="92">
        <f>D$37*Allocators!$C45</f>
        <v>31963303.227911107</v>
      </c>
      <c r="E42" s="92">
        <f>E$37*Allocators!$C45</f>
        <v>38561212.267019346</v>
      </c>
      <c r="F42" s="92">
        <f>F$37*Allocators!$C45</f>
        <v>48382415.249362811</v>
      </c>
      <c r="G42" s="92">
        <f>G$37*Allocators!$C45</f>
        <v>53065241.851393729</v>
      </c>
      <c r="H42" s="92">
        <f>H$37*Allocators!$C45</f>
        <v>54495041.166040845</v>
      </c>
      <c r="I42" s="92">
        <f>I$37*Allocators!$C45</f>
        <v>55152847.614457935</v>
      </c>
    </row>
    <row r="43" spans="1:9">
      <c r="B43" s="29"/>
      <c r="C43" s="29"/>
      <c r="D43" s="29"/>
      <c r="E43" s="29"/>
      <c r="F43" s="29"/>
      <c r="G43" s="29"/>
      <c r="H43" s="29"/>
      <c r="I43" s="29"/>
    </row>
    <row r="44" spans="1:9">
      <c r="B44" s="91" t="s">
        <v>42</v>
      </c>
      <c r="C44" s="29"/>
      <c r="D44" s="29"/>
      <c r="E44" s="29"/>
      <c r="F44" s="29"/>
      <c r="G44" s="29"/>
      <c r="H44" s="29"/>
      <c r="I44" s="29"/>
    </row>
    <row r="45" spans="1:9">
      <c r="A45" s="4">
        <v>26</v>
      </c>
      <c r="B45" s="90" t="str">
        <f>B40</f>
        <v>Residential</v>
      </c>
      <c r="C45" s="89">
        <f t="shared" ref="C45:I47" si="15">C40/C70</f>
        <v>2.0170819404512052E-3</v>
      </c>
      <c r="D45" s="89">
        <f t="shared" si="15"/>
        <v>3.8260566435355404E-3</v>
      </c>
      <c r="E45" s="89">
        <f t="shared" si="15"/>
        <v>4.6274050337666347E-3</v>
      </c>
      <c r="F45" s="89">
        <f t="shared" si="15"/>
        <v>5.805964561516842E-3</v>
      </c>
      <c r="G45" s="89">
        <f t="shared" si="15"/>
        <v>6.3679109868504851E-3</v>
      </c>
      <c r="H45" s="89">
        <f t="shared" si="15"/>
        <v>6.5394891130791423E-3</v>
      </c>
      <c r="I45" s="89">
        <f t="shared" si="15"/>
        <v>6.6184269029384056E-3</v>
      </c>
    </row>
    <row r="46" spans="1:9">
      <c r="A46" s="4">
        <v>27</v>
      </c>
      <c r="B46" s="90" t="str">
        <f t="shared" ref="B46:B47" si="16">B41</f>
        <v>Low Income</v>
      </c>
      <c r="C46" s="89">
        <f t="shared" si="15"/>
        <v>2.0155922559061588E-3</v>
      </c>
      <c r="D46" s="89">
        <f t="shared" si="15"/>
        <v>3.8232309688140315E-3</v>
      </c>
      <c r="E46" s="89">
        <f t="shared" si="15"/>
        <v>4.6239875356351859E-3</v>
      </c>
      <c r="F46" s="89">
        <f t="shared" si="15"/>
        <v>5.8016766565473273E-3</v>
      </c>
      <c r="G46" s="89">
        <f t="shared" si="15"/>
        <v>6.3632080650746752E-3</v>
      </c>
      <c r="H46" s="89">
        <f t="shared" si="15"/>
        <v>6.5346594749425418E-3</v>
      </c>
      <c r="I46" s="89">
        <f t="shared" si="15"/>
        <v>6.6135389665228821E-3</v>
      </c>
    </row>
    <row r="47" spans="1:9">
      <c r="A47" s="4">
        <v>27</v>
      </c>
      <c r="B47" s="90" t="str">
        <f t="shared" si="16"/>
        <v>Commercial and Industrial</v>
      </c>
      <c r="C47" s="89">
        <f t="shared" si="15"/>
        <v>1.3675672782345384E-3</v>
      </c>
      <c r="D47" s="89">
        <f t="shared" si="15"/>
        <v>2.5940393225674452E-3</v>
      </c>
      <c r="E47" s="89">
        <f t="shared" si="15"/>
        <v>3.1373478590073786E-3</v>
      </c>
      <c r="F47" s="89">
        <f t="shared" si="15"/>
        <v>3.9364028766940657E-3</v>
      </c>
      <c r="G47" s="89">
        <f t="shared" si="15"/>
        <v>4.3173985754782467E-3</v>
      </c>
      <c r="H47" s="89">
        <f t="shared" si="15"/>
        <v>4.4337273305900095E-3</v>
      </c>
      <c r="I47" s="89">
        <f t="shared" si="15"/>
        <v>4.4872465933739171E-3</v>
      </c>
    </row>
    <row r="68" spans="2:9">
      <c r="B68" s="58"/>
      <c r="C68" s="58"/>
      <c r="D68" s="58"/>
      <c r="E68" s="58"/>
      <c r="F68" s="58"/>
      <c r="G68" s="58"/>
      <c r="H68" s="58"/>
      <c r="I68" s="58"/>
    </row>
    <row r="69" spans="2:9">
      <c r="B69" s="58" t="s">
        <v>90</v>
      </c>
      <c r="C69" s="58"/>
      <c r="D69" s="58"/>
      <c r="E69" s="58"/>
      <c r="F69" s="58"/>
      <c r="G69" s="58"/>
      <c r="H69" s="58"/>
      <c r="I69" s="58"/>
    </row>
    <row r="70" spans="2:9">
      <c r="B70" s="58" t="str">
        <f>B45</f>
        <v>Residential</v>
      </c>
      <c r="C70" s="59">
        <f>'SREC Costs'!C$28*Allocators!$C23*1000</f>
        <v>7624796268.915287</v>
      </c>
      <c r="D70" s="59">
        <f>'SREC Costs'!D$28*Allocators!$C23*1000</f>
        <v>7588209300.4162054</v>
      </c>
      <c r="E70" s="59">
        <f>'SREC Costs'!E$28*Allocators!$C23*1000</f>
        <v>7569238777.165164</v>
      </c>
      <c r="F70" s="59">
        <f>'SREC Costs'!F$28*Allocators!$C23*1000</f>
        <v>7569238777.1396799</v>
      </c>
      <c r="G70" s="59">
        <f>'SREC Costs'!G$28*Allocators!$C23*1000</f>
        <v>7569238777.1576748</v>
      </c>
      <c r="H70" s="59">
        <f>'SREC Costs'!H$28*Allocators!$C23*1000</f>
        <v>7569238777.1576748</v>
      </c>
      <c r="I70" s="59">
        <f>'SREC Costs'!I$28*Allocators!$C23*1000</f>
        <v>7569238777.1576748</v>
      </c>
    </row>
    <row r="71" spans="2:9">
      <c r="B71" s="58" t="str">
        <f>B46</f>
        <v>Low Income</v>
      </c>
      <c r="C71" s="59">
        <f>'SREC Costs'!C$28*Allocators!$C24*1000</f>
        <v>1148104572.1193459</v>
      </c>
      <c r="D71" s="59">
        <f>'SREC Costs'!D$28*Allocators!$C24*1000</f>
        <v>1142595485.1441264</v>
      </c>
      <c r="E71" s="59">
        <f>'SREC Costs'!E$28*Allocators!$C24*1000</f>
        <v>1139738996.4312661</v>
      </c>
      <c r="F71" s="59">
        <f>'SREC Costs'!F$28*Allocators!$C24*1000</f>
        <v>1139738996.4274287</v>
      </c>
      <c r="G71" s="59">
        <f>'SREC Costs'!G$28*Allocators!$C24*1000</f>
        <v>1139738996.4301383</v>
      </c>
      <c r="H71" s="59">
        <f>'SREC Costs'!H$28*Allocators!$C24*1000</f>
        <v>1139738996.4301383</v>
      </c>
      <c r="I71" s="59">
        <f>'SREC Costs'!I$28*Allocators!$C24*1000</f>
        <v>1139738996.4301383</v>
      </c>
    </row>
    <row r="72" spans="2:9">
      <c r="B72" s="58" t="str">
        <f>B47</f>
        <v>Commercial and Industrial</v>
      </c>
      <c r="C72" s="59">
        <f>'SREC Costs'!C$28*Allocators!$C25*1000</f>
        <v>12381237158.980942</v>
      </c>
      <c r="D72" s="59">
        <f>'SREC Costs'!D$28*Allocators!$C25*1000</f>
        <v>12321826793.387037</v>
      </c>
      <c r="E72" s="59">
        <f>'SREC Costs'!E$28*Allocators!$C25*1000</f>
        <v>12291022226.40357</v>
      </c>
      <c r="F72" s="59">
        <f>'SREC Costs'!F$28*Allocators!$C25*1000</f>
        <v>12291022226.362186</v>
      </c>
      <c r="G72" s="59">
        <f>'SREC Costs'!G$28*Allocators!$C25*1000</f>
        <v>12291022226.391407</v>
      </c>
      <c r="H72" s="59">
        <f>'SREC Costs'!H$28*Allocators!$C25*1000</f>
        <v>12291022226.391407</v>
      </c>
      <c r="I72" s="59">
        <f>'SREC Costs'!I$28*Allocators!$C25*1000</f>
        <v>12291022226.391407</v>
      </c>
    </row>
    <row r="73" spans="2:9">
      <c r="B73" s="58"/>
      <c r="C73" s="60">
        <f>SUM(C70:C72)</f>
        <v>21154138000.015575</v>
      </c>
      <c r="D73" s="60">
        <f t="shared" ref="D73:I73" si="17">SUM(D70:D72)</f>
        <v>21052631578.947369</v>
      </c>
      <c r="E73" s="60">
        <f t="shared" si="17"/>
        <v>21000000000</v>
      </c>
      <c r="F73" s="60">
        <f t="shared" si="17"/>
        <v>20999999999.929295</v>
      </c>
      <c r="G73" s="60">
        <f t="shared" si="17"/>
        <v>20999999999.979218</v>
      </c>
      <c r="H73" s="60">
        <f t="shared" si="17"/>
        <v>20999999999.979218</v>
      </c>
      <c r="I73" s="60">
        <f t="shared" si="17"/>
        <v>20999999999.979218</v>
      </c>
    </row>
  </sheetData>
  <pageMargins left="0.7" right="0.7" top="0.75" bottom="0.75" header="0.3" footer="0.3"/>
  <pageSetup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2"/>
  <sheetViews>
    <sheetView topLeftCell="A12" workbookViewId="0">
      <selection activeCell="C28" sqref="C28"/>
    </sheetView>
  </sheetViews>
  <sheetFormatPr defaultRowHeight="15"/>
  <cols>
    <col min="1" max="1" width="7.28515625" style="4" customWidth="1"/>
    <col min="2" max="2" width="40.42578125" customWidth="1"/>
    <col min="3" max="9" width="15.7109375" customWidth="1"/>
  </cols>
  <sheetData>
    <row r="2" spans="1:9" ht="18.75">
      <c r="B2" s="3" t="s">
        <v>43</v>
      </c>
    </row>
    <row r="3" spans="1:9" ht="14.25" customHeight="1">
      <c r="B3" s="56" t="s">
        <v>145</v>
      </c>
    </row>
    <row r="4" spans="1:9">
      <c r="A4" s="4" t="s">
        <v>38</v>
      </c>
      <c r="C4" s="16">
        <v>2014</v>
      </c>
      <c r="D4" s="16">
        <v>2015</v>
      </c>
      <c r="E4" s="16">
        <v>2016</v>
      </c>
      <c r="F4" s="16">
        <v>2017</v>
      </c>
      <c r="G4" s="16">
        <v>2018</v>
      </c>
      <c r="H4" s="16">
        <v>2019</v>
      </c>
      <c r="I4" s="16">
        <v>2020</v>
      </c>
    </row>
    <row r="5" spans="1:9">
      <c r="A5" s="4">
        <v>1</v>
      </c>
      <c r="B5" s="102" t="s">
        <v>149</v>
      </c>
      <c r="C5" s="98">
        <v>705153.29000000609</v>
      </c>
      <c r="D5" s="98">
        <v>975153.29000000609</v>
      </c>
      <c r="E5" s="98">
        <v>1195153.2900000061</v>
      </c>
      <c r="F5" s="98">
        <v>1315153.2900000061</v>
      </c>
      <c r="G5" s="98">
        <v>1415153.2900000061</v>
      </c>
      <c r="H5" s="98">
        <v>1535153.2900000061</v>
      </c>
      <c r="I5" s="98">
        <v>1600000</v>
      </c>
    </row>
    <row r="6" spans="1:9">
      <c r="A6" s="4">
        <v>2</v>
      </c>
      <c r="B6" s="103" t="s">
        <v>13</v>
      </c>
      <c r="C6" s="99">
        <v>622767.85000000603</v>
      </c>
      <c r="D6" s="99">
        <v>654780.58000000648</v>
      </c>
      <c r="E6" s="99">
        <v>654780.58000000648</v>
      </c>
      <c r="F6" s="99">
        <v>654780.58000000648</v>
      </c>
      <c r="G6" s="99">
        <v>654780.58000000648</v>
      </c>
      <c r="H6" s="99">
        <v>654780.58000000648</v>
      </c>
      <c r="I6" s="99">
        <v>654780.58000000648</v>
      </c>
    </row>
    <row r="7" spans="1:9">
      <c r="A7" s="4">
        <v>3</v>
      </c>
      <c r="B7" s="103" t="s">
        <v>14</v>
      </c>
      <c r="C7" s="99">
        <v>82385.440000000002</v>
      </c>
      <c r="D7" s="99">
        <v>320372.70999999956</v>
      </c>
      <c r="E7" s="99">
        <v>540372.7099999995</v>
      </c>
      <c r="F7" s="99">
        <v>660372.7099999995</v>
      </c>
      <c r="G7" s="99">
        <v>760372.7099999995</v>
      </c>
      <c r="H7" s="99">
        <v>880372.7099999995</v>
      </c>
      <c r="I7" s="99">
        <v>945219.41999999352</v>
      </c>
    </row>
    <row r="8" spans="1:9">
      <c r="B8" s="103"/>
      <c r="C8" s="99"/>
      <c r="D8" s="99"/>
      <c r="E8" s="99"/>
      <c r="F8" s="99"/>
      <c r="G8" s="99"/>
      <c r="H8" s="99"/>
      <c r="I8" s="99"/>
    </row>
    <row r="9" spans="1:9">
      <c r="B9" s="17" t="s">
        <v>21</v>
      </c>
    </row>
    <row r="10" spans="1:9">
      <c r="A10" s="4">
        <v>4</v>
      </c>
      <c r="B10" s="7" t="s">
        <v>20</v>
      </c>
      <c r="C10" s="94">
        <v>260</v>
      </c>
      <c r="D10" s="94">
        <v>460</v>
      </c>
      <c r="E10" s="94">
        <v>440</v>
      </c>
      <c r="F10" s="95">
        <v>366.5</v>
      </c>
      <c r="G10" s="95">
        <v>355.5</v>
      </c>
      <c r="H10" s="95">
        <v>344.5</v>
      </c>
      <c r="I10" s="95">
        <v>334.5</v>
      </c>
    </row>
    <row r="11" spans="1:9">
      <c r="A11" s="4">
        <v>5</v>
      </c>
      <c r="B11" s="7" t="s">
        <v>14</v>
      </c>
      <c r="C11" s="94">
        <v>375</v>
      </c>
      <c r="D11" s="94">
        <v>300</v>
      </c>
      <c r="E11" s="94">
        <v>280</v>
      </c>
      <c r="F11" s="94">
        <v>310.37</v>
      </c>
      <c r="G11" s="94">
        <v>303.72500000000002</v>
      </c>
      <c r="H11" s="94">
        <v>288.57499999999999</v>
      </c>
      <c r="I11" s="94">
        <v>273.89999999999998</v>
      </c>
    </row>
    <row r="12" spans="1:9">
      <c r="B12" s="7"/>
      <c r="C12" s="18"/>
      <c r="D12" s="18"/>
      <c r="E12" s="18"/>
      <c r="F12" s="18"/>
      <c r="G12" s="18"/>
      <c r="H12" s="18"/>
      <c r="I12" s="18"/>
    </row>
    <row r="13" spans="1:9">
      <c r="B13" s="17" t="s">
        <v>150</v>
      </c>
      <c r="C13" s="19"/>
      <c r="D13" s="19"/>
      <c r="E13" s="19"/>
      <c r="F13" s="19"/>
      <c r="G13" s="19"/>
      <c r="H13" s="19"/>
      <c r="I13" s="19"/>
    </row>
    <row r="14" spans="1:9">
      <c r="A14" s="4">
        <v>6</v>
      </c>
      <c r="B14" s="7" t="s">
        <v>13</v>
      </c>
      <c r="C14" s="20">
        <v>9.4809999999999998E-3</v>
      </c>
      <c r="D14" s="20">
        <v>2.1441999999999999E-2</v>
      </c>
      <c r="E14" s="21">
        <v>1.8917300000000001E-2</v>
      </c>
      <c r="F14" s="21">
        <v>1.5795500000000001E-2</v>
      </c>
      <c r="G14" s="21">
        <v>1.48678E-2</v>
      </c>
      <c r="H14" s="21">
        <v>1.47922E-2</v>
      </c>
      <c r="I14" s="21">
        <v>1.472712E-2</v>
      </c>
    </row>
    <row r="15" spans="1:9">
      <c r="A15" s="4">
        <v>7</v>
      </c>
      <c r="B15" s="7" t="s">
        <v>14</v>
      </c>
      <c r="C15" s="20">
        <v>8.2146853251670001E-4</v>
      </c>
      <c r="D15" s="20">
        <v>3.2880000000000001E-3</v>
      </c>
      <c r="E15" s="21">
        <v>1.0022E-2</v>
      </c>
      <c r="F15" s="21">
        <v>1.3358E-2</v>
      </c>
      <c r="G15" s="21">
        <v>1.5476E-2</v>
      </c>
      <c r="H15" s="21">
        <v>1.7683999999999998E-2</v>
      </c>
      <c r="I15" s="21">
        <v>1.9553000000000001E-2</v>
      </c>
    </row>
    <row r="16" spans="1:9">
      <c r="B16" s="30" t="s">
        <v>41</v>
      </c>
      <c r="C16" s="1"/>
      <c r="D16" s="1"/>
      <c r="E16" s="21"/>
      <c r="F16" s="21"/>
      <c r="G16" s="21"/>
      <c r="H16" s="21"/>
      <c r="I16" s="21"/>
    </row>
    <row r="17" spans="1:9">
      <c r="B17" s="17" t="s">
        <v>40</v>
      </c>
    </row>
    <row r="18" spans="1:9">
      <c r="A18" s="4">
        <v>8</v>
      </c>
      <c r="B18" s="7" t="s">
        <v>15</v>
      </c>
      <c r="C18" s="15">
        <v>10883455</v>
      </c>
      <c r="D18" s="15">
        <v>10000000</v>
      </c>
      <c r="E18" s="15">
        <v>10500000</v>
      </c>
      <c r="F18" s="15">
        <v>10750000</v>
      </c>
      <c r="G18" s="15">
        <v>11000000</v>
      </c>
      <c r="H18" s="15">
        <v>11000000</v>
      </c>
      <c r="I18" s="15">
        <v>11000000</v>
      </c>
    </row>
    <row r="19" spans="1:9">
      <c r="A19" s="4">
        <v>9</v>
      </c>
      <c r="B19" s="7" t="s">
        <v>16</v>
      </c>
      <c r="C19" s="15">
        <f>C14*C$18</f>
        <v>103186.036855</v>
      </c>
      <c r="D19" s="15">
        <f t="shared" ref="D19:I19" si="0">D14*D$18</f>
        <v>214420</v>
      </c>
      <c r="E19" s="15">
        <f t="shared" si="0"/>
        <v>198631.65000000002</v>
      </c>
      <c r="F19" s="15">
        <f t="shared" si="0"/>
        <v>169801.625</v>
      </c>
      <c r="G19" s="15">
        <f t="shared" si="0"/>
        <v>163545.80000000002</v>
      </c>
      <c r="H19" s="15">
        <f t="shared" si="0"/>
        <v>162714.20000000001</v>
      </c>
      <c r="I19" s="15">
        <f t="shared" si="0"/>
        <v>161998.32</v>
      </c>
    </row>
    <row r="20" spans="1:9">
      <c r="A20" s="4">
        <v>10</v>
      </c>
      <c r="B20" s="7" t="s">
        <v>17</v>
      </c>
      <c r="C20" s="15">
        <f>C15*C$18</f>
        <v>8940.4158075615414</v>
      </c>
      <c r="D20" s="15">
        <f t="shared" ref="D20:I20" si="1">D15*D$18</f>
        <v>32880</v>
      </c>
      <c r="E20" s="15">
        <f t="shared" si="1"/>
        <v>105231</v>
      </c>
      <c r="F20" s="15">
        <f t="shared" si="1"/>
        <v>143598.5</v>
      </c>
      <c r="G20" s="15">
        <f t="shared" si="1"/>
        <v>170236</v>
      </c>
      <c r="H20" s="15">
        <f t="shared" si="1"/>
        <v>194523.99999999997</v>
      </c>
      <c r="I20" s="15">
        <f t="shared" si="1"/>
        <v>215083</v>
      </c>
    </row>
    <row r="21" spans="1:9">
      <c r="B21" s="7"/>
      <c r="C21" s="24"/>
      <c r="D21" s="24"/>
      <c r="E21" s="24"/>
      <c r="F21" s="24"/>
      <c r="G21" s="24"/>
      <c r="H21" s="24"/>
      <c r="I21" s="24"/>
    </row>
    <row r="22" spans="1:9">
      <c r="B22" s="17" t="s">
        <v>25</v>
      </c>
    </row>
    <row r="23" spans="1:9">
      <c r="A23" s="4">
        <v>11</v>
      </c>
      <c r="B23" s="7" t="s">
        <v>20</v>
      </c>
      <c r="C23" s="6">
        <f>C10*C19</f>
        <v>26828369.5823</v>
      </c>
      <c r="D23" s="6">
        <f t="shared" ref="D23:I23" si="2">D10*D19</f>
        <v>98633200</v>
      </c>
      <c r="E23" s="6">
        <f t="shared" si="2"/>
        <v>87397926.000000015</v>
      </c>
      <c r="F23" s="6">
        <f t="shared" si="2"/>
        <v>62232295.5625</v>
      </c>
      <c r="G23" s="6">
        <f t="shared" si="2"/>
        <v>58140531.900000006</v>
      </c>
      <c r="H23" s="6">
        <f t="shared" si="2"/>
        <v>56055041.900000006</v>
      </c>
      <c r="I23" s="6">
        <f t="shared" si="2"/>
        <v>54188438.039999999</v>
      </c>
    </row>
    <row r="24" spans="1:9">
      <c r="A24" s="4">
        <v>12</v>
      </c>
      <c r="B24" s="7" t="s">
        <v>14</v>
      </c>
      <c r="C24" s="88">
        <f>C11*C20</f>
        <v>3352655.9278355781</v>
      </c>
      <c r="D24" s="88">
        <f t="shared" ref="D24:I24" si="3">D11*D20</f>
        <v>9864000</v>
      </c>
      <c r="E24" s="88">
        <f t="shared" si="3"/>
        <v>29464680</v>
      </c>
      <c r="F24" s="88">
        <f t="shared" si="3"/>
        <v>44568666.445</v>
      </c>
      <c r="G24" s="88">
        <f t="shared" si="3"/>
        <v>51704929.100000001</v>
      </c>
      <c r="H24" s="88">
        <f t="shared" si="3"/>
        <v>56134763.29999999</v>
      </c>
      <c r="I24" s="88">
        <f t="shared" si="3"/>
        <v>58911233.699999996</v>
      </c>
    </row>
    <row r="25" spans="1:9">
      <c r="A25" s="4">
        <v>13</v>
      </c>
      <c r="B25" t="s">
        <v>18</v>
      </c>
      <c r="C25" s="6">
        <f t="shared" ref="C25:I25" si="4">C23+C24</f>
        <v>30181025.510135576</v>
      </c>
      <c r="D25" s="6">
        <f t="shared" si="4"/>
        <v>108497200</v>
      </c>
      <c r="E25" s="6">
        <f t="shared" si="4"/>
        <v>116862606.00000001</v>
      </c>
      <c r="F25" s="6">
        <f t="shared" si="4"/>
        <v>106800962.00749999</v>
      </c>
      <c r="G25" s="6">
        <f t="shared" si="4"/>
        <v>109845461</v>
      </c>
      <c r="H25" s="6">
        <f t="shared" si="4"/>
        <v>112189805.19999999</v>
      </c>
      <c r="I25" s="6">
        <f t="shared" si="4"/>
        <v>113099671.73999999</v>
      </c>
    </row>
    <row r="27" spans="1:9">
      <c r="A27" s="4">
        <v>14</v>
      </c>
      <c r="B27" t="s">
        <v>23</v>
      </c>
      <c r="C27" s="27">
        <v>0.51448350199814274</v>
      </c>
      <c r="D27" s="27">
        <v>0.47499999999999998</v>
      </c>
      <c r="E27" s="27">
        <v>0.5</v>
      </c>
      <c r="F27" s="27">
        <v>0.51190476190648548</v>
      </c>
      <c r="G27" s="27">
        <v>0.52380952381004209</v>
      </c>
      <c r="H27" s="27">
        <v>0.52380952381004209</v>
      </c>
      <c r="I27" s="27">
        <v>0.52380952381004209</v>
      </c>
    </row>
    <row r="28" spans="1:9">
      <c r="A28" s="4">
        <v>15</v>
      </c>
      <c r="B28" t="s">
        <v>24</v>
      </c>
      <c r="C28" s="15">
        <f t="shared" ref="C28:I28" si="5">C18/C27</f>
        <v>21154138.000015575</v>
      </c>
      <c r="D28" s="15">
        <f t="shared" si="5"/>
        <v>21052631.578947369</v>
      </c>
      <c r="E28" s="15">
        <f t="shared" si="5"/>
        <v>21000000</v>
      </c>
      <c r="F28" s="15">
        <f t="shared" si="5"/>
        <v>20999999.999929294</v>
      </c>
      <c r="G28" s="15">
        <f t="shared" si="5"/>
        <v>20999999.99997922</v>
      </c>
      <c r="H28" s="15">
        <f t="shared" si="5"/>
        <v>20999999.99997922</v>
      </c>
      <c r="I28" s="15">
        <f t="shared" si="5"/>
        <v>20999999.99997922</v>
      </c>
    </row>
    <row r="29" spans="1:9">
      <c r="A29" s="4">
        <v>16</v>
      </c>
      <c r="B29" s="110" t="s">
        <v>152</v>
      </c>
      <c r="C29" s="111">
        <v>9.4132467459756113E-3</v>
      </c>
      <c r="D29" s="111">
        <v>2.0915264948482993E-2</v>
      </c>
      <c r="E29" s="111">
        <v>1.8830616583007189E-2</v>
      </c>
      <c r="F29" s="111">
        <v>1.5725133885431695E-2</v>
      </c>
      <c r="G29" s="111">
        <v>1.4743371759120931E-2</v>
      </c>
      <c r="H29" s="111">
        <v>1.4704726930418952E-2</v>
      </c>
      <c r="I29" s="111">
        <v>1.4687138932716596E-2</v>
      </c>
    </row>
    <row r="30" spans="1:9">
      <c r="A30" s="4">
        <v>17</v>
      </c>
      <c r="B30" s="110" t="s">
        <v>153</v>
      </c>
      <c r="C30" s="111">
        <v>5.4363570722935494E-4</v>
      </c>
      <c r="D30" s="111">
        <v>2.659567219484355E-3</v>
      </c>
      <c r="E30" s="111">
        <v>8.8267926906030574E-3</v>
      </c>
      <c r="F30" s="111">
        <v>1.2430595905353043E-2</v>
      </c>
      <c r="G30" s="111">
        <v>1.4760386697463615E-2</v>
      </c>
      <c r="H30" s="111">
        <v>1.7157610820635043E-2</v>
      </c>
      <c r="I30" s="111">
        <v>1.9553170909404106E-2</v>
      </c>
    </row>
    <row r="31" spans="1:9">
      <c r="C31" s="27"/>
      <c r="D31" s="27"/>
      <c r="E31" s="27"/>
      <c r="F31" s="27"/>
      <c r="G31" s="27"/>
      <c r="H31" s="27"/>
      <c r="I31" s="27"/>
    </row>
    <row r="32" spans="1:9">
      <c r="B32" s="17" t="s">
        <v>22</v>
      </c>
      <c r="C32" s="27"/>
      <c r="D32" s="27"/>
      <c r="E32" s="27"/>
      <c r="F32" s="27"/>
      <c r="G32" s="27"/>
      <c r="H32" s="27"/>
      <c r="I32" s="27"/>
    </row>
    <row r="33" spans="1:9">
      <c r="A33" s="4">
        <v>18</v>
      </c>
      <c r="B33" s="7" t="s">
        <v>13</v>
      </c>
      <c r="C33" s="112">
        <f>C28*C29*C10</f>
        <v>51773571.380067065</v>
      </c>
      <c r="D33" s="112">
        <f>D28*D29*D10</f>
        <v>202547828.97478268</v>
      </c>
      <c r="E33" s="112">
        <f t="shared" ref="E33:I33" si="6">E28*E29*E10</f>
        <v>173994897.22698641</v>
      </c>
      <c r="F33" s="112">
        <f t="shared" si="6"/>
        <v>121028492.94881755</v>
      </c>
      <c r="G33" s="112">
        <f t="shared" si="6"/>
        <v>110066641.8676084</v>
      </c>
      <c r="H33" s="112">
        <f t="shared" si="6"/>
        <v>106381346.97801064</v>
      </c>
      <c r="I33" s="112">
        <f t="shared" si="6"/>
        <v>103169807.43276563</v>
      </c>
    </row>
    <row r="34" spans="1:9">
      <c r="A34" s="4">
        <v>19</v>
      </c>
      <c r="B34" s="7" t="s">
        <v>14</v>
      </c>
      <c r="C34" s="113">
        <f>C28*C30*C11</f>
        <v>4312554.28967469</v>
      </c>
      <c r="D34" s="113">
        <f>D28*D30*D11</f>
        <v>16797266.649374876</v>
      </c>
      <c r="E34" s="113">
        <f>E28*E30*E11</f>
        <v>51901541.020745978</v>
      </c>
      <c r="F34" s="113">
        <f t="shared" ref="F34:I34" si="7">F28*F30*F11</f>
        <v>81019765.073760122</v>
      </c>
      <c r="G34" s="113">
        <f t="shared" si="7"/>
        <v>94145067.44333671</v>
      </c>
      <c r="H34" s="113">
        <f t="shared" si="7"/>
        <v>103976408.39375702</v>
      </c>
      <c r="I34" s="113">
        <f t="shared" si="7"/>
        <v>112467883.75369018</v>
      </c>
    </row>
    <row r="35" spans="1:9">
      <c r="A35" s="4">
        <v>20</v>
      </c>
      <c r="B35" t="s">
        <v>19</v>
      </c>
      <c r="C35" s="112">
        <f>C33+C34</f>
        <v>56086125.669741757</v>
      </c>
      <c r="D35" s="112">
        <f t="shared" ref="D35:I35" si="8">D33+D34</f>
        <v>219345095.62415755</v>
      </c>
      <c r="E35" s="112">
        <f t="shared" si="8"/>
        <v>225896438.2477324</v>
      </c>
      <c r="F35" s="112">
        <f t="shared" si="8"/>
        <v>202048258.02257767</v>
      </c>
      <c r="G35" s="112">
        <f t="shared" si="8"/>
        <v>204211709.31094509</v>
      </c>
      <c r="H35" s="112">
        <f t="shared" si="8"/>
        <v>210357755.37176764</v>
      </c>
      <c r="I35" s="112">
        <f t="shared" si="8"/>
        <v>215637691.18645582</v>
      </c>
    </row>
    <row r="36" spans="1:9">
      <c r="C36" s="6"/>
      <c r="D36" s="6"/>
      <c r="E36" s="6"/>
      <c r="F36" s="6"/>
      <c r="G36" s="6"/>
      <c r="H36" s="6"/>
      <c r="I36" s="6"/>
    </row>
    <row r="37" spans="1:9">
      <c r="A37" s="4">
        <v>21</v>
      </c>
      <c r="B37" t="s">
        <v>42</v>
      </c>
      <c r="C37" s="22">
        <f t="shared" ref="C37:I37" si="9">C35/C28/1000</f>
        <v>2.6513075441646672E-3</v>
      </c>
      <c r="D37" s="22">
        <f t="shared" si="9"/>
        <v>1.0418892042147482E-2</v>
      </c>
      <c r="E37" s="22">
        <f t="shared" si="9"/>
        <v>1.0756973249892018E-2</v>
      </c>
      <c r="F37" s="22">
        <f t="shared" si="9"/>
        <v>9.6213456201551407E-3</v>
      </c>
      <c r="G37" s="22">
        <f t="shared" si="9"/>
        <v>9.724367110054628E-3</v>
      </c>
      <c r="H37" s="22">
        <f t="shared" si="9"/>
        <v>1.0017035970094085E-2</v>
      </c>
      <c r="I37" s="22">
        <f t="shared" si="9"/>
        <v>1.0268461485079485E-2</v>
      </c>
    </row>
    <row r="39" spans="1:9">
      <c r="B39" s="91" t="s">
        <v>81</v>
      </c>
      <c r="C39" s="29"/>
      <c r="D39" s="29"/>
      <c r="E39" s="29"/>
      <c r="F39" s="29"/>
      <c r="G39" s="29"/>
      <c r="H39" s="29"/>
      <c r="I39" s="29"/>
    </row>
    <row r="40" spans="1:9">
      <c r="A40" s="4">
        <v>22</v>
      </c>
      <c r="B40" s="90" t="s">
        <v>50</v>
      </c>
      <c r="C40" s="93">
        <f>C35*Allocators!$C$23</f>
        <v>20215679.870493706</v>
      </c>
      <c r="D40" s="93">
        <f>D35*Allocators!$C$23</f>
        <v>79060733.494255915</v>
      </c>
      <c r="E40" s="93">
        <f>E35*Allocators!$C$23</f>
        <v>81422099.04801105</v>
      </c>
      <c r="F40" s="93">
        <f>F35*Allocators!$C$23</f>
        <v>72826262.356341302</v>
      </c>
      <c r="G40" s="93">
        <f>G35*Allocators!$C$23</f>
        <v>73606056.6127422</v>
      </c>
      <c r="H40" s="93">
        <f>H35*Allocators!$C$23</f>
        <v>75821337.097019389</v>
      </c>
      <c r="I40" s="93">
        <f>I35*Allocators!$C$23</f>
        <v>77724436.854613721</v>
      </c>
    </row>
    <row r="41" spans="1:9">
      <c r="A41" s="4">
        <v>23</v>
      </c>
      <c r="B41" s="90" t="s">
        <v>49</v>
      </c>
      <c r="C41" s="93">
        <f>C35*Allocators!$C$24</f>
        <v>3043978.3135499684</v>
      </c>
      <c r="D41" s="93">
        <f>D35*Allocators!$C$24</f>
        <v>11904579.007561782</v>
      </c>
      <c r="E41" s="93">
        <f>E35*Allocators!$C$24</f>
        <v>12260141.896469904</v>
      </c>
      <c r="F41" s="93">
        <f>F35*Allocators!$C$24</f>
        <v>10965822.801397055</v>
      </c>
      <c r="G41" s="93">
        <f>G35*Allocators!$C$24</f>
        <v>11083240.410931904</v>
      </c>
      <c r="H41" s="93">
        <f>H35*Allocators!$C$24</f>
        <v>11416806.52375963</v>
      </c>
      <c r="I41" s="93">
        <f>I35*Allocators!$C$24</f>
        <v>11703365.987886021</v>
      </c>
    </row>
    <row r="42" spans="1:9">
      <c r="A42" s="4">
        <v>24</v>
      </c>
      <c r="B42" s="90" t="s">
        <v>48</v>
      </c>
      <c r="C42" s="93">
        <f>C35*(Allocators!$C$25)</f>
        <v>32826467.485698082</v>
      </c>
      <c r="D42" s="93">
        <f>D35*(Allocators!$C$25)</f>
        <v>128379783.12233984</v>
      </c>
      <c r="E42" s="93">
        <f>E35*(Allocators!$C$25)</f>
        <v>132214197.30325145</v>
      </c>
      <c r="F42" s="93">
        <f>F35*(Allocators!$C$25)</f>
        <v>118256172.8648393</v>
      </c>
      <c r="G42" s="93">
        <f>G35*(Allocators!$C$25)</f>
        <v>119522412.28727099</v>
      </c>
      <c r="H42" s="93">
        <f>H35*(Allocators!$C$25)</f>
        <v>123119611.75098862</v>
      </c>
      <c r="I42" s="93">
        <f>I35*(Allocators!$C$25)</f>
        <v>126209888.34395607</v>
      </c>
    </row>
  </sheetData>
  <pageMargins left="0.7" right="0.7" top="0.75" bottom="0.75" header="0.3" footer="0.3"/>
  <pageSetup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6"/>
  <sheetViews>
    <sheetView workbookViewId="0"/>
  </sheetViews>
  <sheetFormatPr defaultRowHeight="15"/>
  <cols>
    <col min="1" max="1" width="5.85546875" style="19" bestFit="1" customWidth="1"/>
    <col min="2" max="2" width="42.7109375" style="19" bestFit="1" customWidth="1"/>
    <col min="3" max="3" width="15.28515625" style="19" bestFit="1" customWidth="1"/>
    <col min="4" max="4" width="14.28515625" style="19" bestFit="1" customWidth="1"/>
    <col min="5" max="5" width="16" style="19" bestFit="1" customWidth="1"/>
    <col min="6" max="6" width="13.7109375" style="19" bestFit="1" customWidth="1"/>
    <col min="7" max="9" width="14.28515625" style="19" bestFit="1" customWidth="1"/>
    <col min="10" max="10" width="13.42578125" style="19" bestFit="1" customWidth="1"/>
    <col min="11" max="16384" width="9.140625" style="19"/>
  </cols>
  <sheetData>
    <row r="1" spans="1:10">
      <c r="A1" s="31"/>
      <c r="B1" s="32"/>
      <c r="C1" s="32"/>
      <c r="D1" s="33"/>
      <c r="E1" s="33"/>
      <c r="F1" s="33"/>
      <c r="G1" s="33"/>
      <c r="H1" s="33"/>
      <c r="I1" s="33"/>
      <c r="J1" s="33"/>
    </row>
    <row r="2" spans="1:10">
      <c r="A2" s="34"/>
      <c r="B2" s="114" t="s">
        <v>80</v>
      </c>
      <c r="C2" s="114"/>
      <c r="D2" s="114"/>
      <c r="E2" s="114"/>
      <c r="F2" s="114"/>
      <c r="G2" s="114"/>
      <c r="H2" s="114"/>
      <c r="I2" s="114"/>
      <c r="J2" s="114"/>
    </row>
    <row r="3" spans="1:10">
      <c r="A3" s="34"/>
      <c r="B3" s="114" t="s">
        <v>79</v>
      </c>
      <c r="C3" s="114"/>
      <c r="D3" s="114"/>
      <c r="E3" s="114"/>
      <c r="F3" s="114"/>
      <c r="G3" s="114"/>
      <c r="H3" s="114"/>
      <c r="I3" s="114"/>
      <c r="J3" s="114"/>
    </row>
    <row r="4" spans="1:10">
      <c r="A4" s="34"/>
      <c r="B4" s="114" t="s">
        <v>78</v>
      </c>
      <c r="C4" s="114"/>
      <c r="D4" s="114"/>
      <c r="E4" s="114"/>
      <c r="F4" s="114"/>
      <c r="G4" s="114"/>
      <c r="H4" s="114"/>
      <c r="I4" s="114"/>
      <c r="J4" s="114"/>
    </row>
    <row r="5" spans="1:10">
      <c r="A5" s="31"/>
      <c r="B5" s="35"/>
      <c r="C5" s="36"/>
      <c r="D5" s="37"/>
      <c r="E5" s="33"/>
      <c r="F5" s="33"/>
      <c r="G5" s="33"/>
      <c r="H5" s="33"/>
      <c r="I5" s="33"/>
      <c r="J5" s="33"/>
    </row>
    <row r="6" spans="1:10" ht="15.75" thickBot="1">
      <c r="A6" s="38"/>
      <c r="B6" s="39" t="s">
        <v>77</v>
      </c>
      <c r="C6" s="39" t="s">
        <v>19</v>
      </c>
      <c r="D6" s="38" t="s">
        <v>76</v>
      </c>
      <c r="E6" s="38" t="s">
        <v>75</v>
      </c>
      <c r="F6" s="38" t="s">
        <v>74</v>
      </c>
      <c r="G6" s="38" t="s">
        <v>73</v>
      </c>
      <c r="H6" s="38" t="s">
        <v>72</v>
      </c>
      <c r="I6" s="38" t="s">
        <v>71</v>
      </c>
      <c r="J6" s="38" t="s">
        <v>70</v>
      </c>
    </row>
    <row r="7" spans="1:10">
      <c r="A7" s="31"/>
      <c r="B7" s="40"/>
      <c r="C7" s="40"/>
      <c r="D7" s="37"/>
      <c r="E7" s="33"/>
      <c r="F7" s="33"/>
      <c r="G7" s="33"/>
      <c r="H7" s="33"/>
      <c r="I7" s="33"/>
      <c r="J7" s="33"/>
    </row>
    <row r="8" spans="1:10" hidden="1">
      <c r="A8" s="41"/>
      <c r="B8" s="42" t="s">
        <v>69</v>
      </c>
      <c r="C8" s="43">
        <f t="shared" ref="C8:C19" si="0">SUM(D8:J8)</f>
        <v>2056773163</v>
      </c>
      <c r="D8" s="44">
        <v>823899802</v>
      </c>
      <c r="E8" s="44">
        <v>123793348</v>
      </c>
      <c r="F8" s="44">
        <v>1645324</v>
      </c>
      <c r="G8" s="44">
        <v>206026226</v>
      </c>
      <c r="H8" s="44">
        <v>256330577</v>
      </c>
      <c r="I8" s="44">
        <v>630942808</v>
      </c>
      <c r="J8" s="44">
        <v>14135078</v>
      </c>
    </row>
    <row r="9" spans="1:10" hidden="1">
      <c r="A9" s="41"/>
      <c r="B9" s="42" t="s">
        <v>68</v>
      </c>
      <c r="C9" s="43">
        <f t="shared" si="0"/>
        <v>1902449581</v>
      </c>
      <c r="D9" s="45">
        <v>734599498</v>
      </c>
      <c r="E9" s="44">
        <v>116553245</v>
      </c>
      <c r="F9" s="44">
        <v>1703849</v>
      </c>
      <c r="G9" s="44">
        <v>199285021</v>
      </c>
      <c r="H9" s="44">
        <v>241112449</v>
      </c>
      <c r="I9" s="44">
        <v>596692309</v>
      </c>
      <c r="J9" s="44">
        <v>12503210</v>
      </c>
    </row>
    <row r="10" spans="1:10" hidden="1">
      <c r="A10" s="46"/>
      <c r="B10" s="42" t="s">
        <v>67</v>
      </c>
      <c r="C10" s="43">
        <f t="shared" si="0"/>
        <v>1791489297</v>
      </c>
      <c r="D10" s="44">
        <v>676098548</v>
      </c>
      <c r="E10" s="44">
        <v>108168215</v>
      </c>
      <c r="F10" s="44">
        <v>1404507</v>
      </c>
      <c r="G10" s="44">
        <v>190802410</v>
      </c>
      <c r="H10" s="44">
        <v>230946446</v>
      </c>
      <c r="I10" s="44">
        <v>572344499</v>
      </c>
      <c r="J10" s="44">
        <v>11724672</v>
      </c>
    </row>
    <row r="11" spans="1:10" hidden="1">
      <c r="A11" s="46"/>
      <c r="B11" s="42" t="s">
        <v>66</v>
      </c>
      <c r="C11" s="43">
        <f t="shared" si="0"/>
        <v>1696848027</v>
      </c>
      <c r="D11" s="44">
        <v>595569332</v>
      </c>
      <c r="E11" s="44">
        <v>97742949</v>
      </c>
      <c r="F11" s="44">
        <v>1139359</v>
      </c>
      <c r="G11" s="44">
        <v>176576954</v>
      </c>
      <c r="H11" s="44">
        <v>225155214</v>
      </c>
      <c r="I11" s="44">
        <v>588624500</v>
      </c>
      <c r="J11" s="44">
        <v>12039719</v>
      </c>
    </row>
    <row r="12" spans="1:10" hidden="1">
      <c r="A12" s="46"/>
      <c r="B12" s="42" t="s">
        <v>65</v>
      </c>
      <c r="C12" s="43">
        <f t="shared" si="0"/>
        <v>1634963122</v>
      </c>
      <c r="D12" s="44">
        <v>540211853</v>
      </c>
      <c r="E12" s="44">
        <v>84007069</v>
      </c>
      <c r="F12" s="44">
        <v>969274</v>
      </c>
      <c r="G12" s="44">
        <v>170553535</v>
      </c>
      <c r="H12" s="44">
        <v>227407478</v>
      </c>
      <c r="I12" s="44">
        <v>602121671</v>
      </c>
      <c r="J12" s="44">
        <v>9692242</v>
      </c>
    </row>
    <row r="13" spans="1:10" hidden="1">
      <c r="A13" s="46"/>
      <c r="B13" s="42" t="s">
        <v>64</v>
      </c>
      <c r="C13" s="43">
        <f t="shared" si="0"/>
        <v>1492489039</v>
      </c>
      <c r="D13" s="44">
        <v>508594270</v>
      </c>
      <c r="E13" s="44">
        <v>73252615</v>
      </c>
      <c r="F13" s="44">
        <v>534072</v>
      </c>
      <c r="G13" s="44">
        <v>163802667</v>
      </c>
      <c r="H13" s="44">
        <v>217815552</v>
      </c>
      <c r="I13" s="44">
        <v>519592009</v>
      </c>
      <c r="J13" s="44">
        <v>8897854</v>
      </c>
    </row>
    <row r="14" spans="1:10" hidden="1">
      <c r="A14" s="46"/>
      <c r="B14" s="42" t="s">
        <v>63</v>
      </c>
      <c r="C14" s="43">
        <f t="shared" si="0"/>
        <v>1847932620</v>
      </c>
      <c r="D14" s="44">
        <v>668079996</v>
      </c>
      <c r="E14" s="44">
        <v>92381895</v>
      </c>
      <c r="F14" s="44">
        <v>580713</v>
      </c>
      <c r="G14" s="44">
        <v>186187341</v>
      </c>
      <c r="H14" s="44">
        <v>245553239</v>
      </c>
      <c r="I14" s="44">
        <v>645757880</v>
      </c>
      <c r="J14" s="44">
        <v>9391556</v>
      </c>
    </row>
    <row r="15" spans="1:10" hidden="1">
      <c r="A15" s="46"/>
      <c r="B15" s="42" t="s">
        <v>62</v>
      </c>
      <c r="C15" s="43">
        <f t="shared" si="0"/>
        <v>1989198601</v>
      </c>
      <c r="D15" s="44">
        <v>739272734</v>
      </c>
      <c r="E15" s="44">
        <v>102580784</v>
      </c>
      <c r="F15" s="44">
        <v>592320</v>
      </c>
      <c r="G15" s="44">
        <v>202388344</v>
      </c>
      <c r="H15" s="44">
        <v>262257866</v>
      </c>
      <c r="I15" s="44">
        <v>673514791</v>
      </c>
      <c r="J15" s="44">
        <v>8591762</v>
      </c>
    </row>
    <row r="16" spans="1:10" hidden="1">
      <c r="A16" s="46"/>
      <c r="B16" s="42" t="s">
        <v>61</v>
      </c>
      <c r="C16" s="43">
        <f t="shared" si="0"/>
        <v>1693374422</v>
      </c>
      <c r="D16" s="44">
        <v>620023650</v>
      </c>
      <c r="E16" s="44">
        <v>86597209</v>
      </c>
      <c r="F16" s="44">
        <v>536927</v>
      </c>
      <c r="G16" s="44">
        <v>180878327</v>
      </c>
      <c r="H16" s="44">
        <v>240470735</v>
      </c>
      <c r="I16" s="44">
        <v>554000204</v>
      </c>
      <c r="J16" s="44">
        <v>10867370</v>
      </c>
    </row>
    <row r="17" spans="1:10" hidden="1">
      <c r="A17" s="46"/>
      <c r="B17" s="42" t="s">
        <v>60</v>
      </c>
      <c r="C17" s="43">
        <f t="shared" si="0"/>
        <v>1632359897</v>
      </c>
      <c r="D17" s="44">
        <v>523638945</v>
      </c>
      <c r="E17" s="44">
        <v>75223150</v>
      </c>
      <c r="F17" s="44">
        <v>568202</v>
      </c>
      <c r="G17" s="44">
        <v>166428934</v>
      </c>
      <c r="H17" s="44">
        <v>227957831</v>
      </c>
      <c r="I17" s="44">
        <v>627033482</v>
      </c>
      <c r="J17" s="44">
        <v>11509353</v>
      </c>
    </row>
    <row r="18" spans="1:10" hidden="1">
      <c r="A18" s="46"/>
      <c r="B18" s="42" t="s">
        <v>59</v>
      </c>
      <c r="C18" s="43">
        <f t="shared" si="0"/>
        <v>1646887889</v>
      </c>
      <c r="D18" s="44">
        <v>538406030</v>
      </c>
      <c r="E18" s="44">
        <v>84207406</v>
      </c>
      <c r="F18" s="44">
        <v>760404</v>
      </c>
      <c r="G18" s="44">
        <v>162892736</v>
      </c>
      <c r="H18" s="44">
        <v>221030811</v>
      </c>
      <c r="I18" s="44">
        <v>627281692</v>
      </c>
      <c r="J18" s="44">
        <v>12308810</v>
      </c>
    </row>
    <row r="19" spans="1:10" ht="17.25" hidden="1">
      <c r="A19" s="46"/>
      <c r="B19" s="47" t="s">
        <v>58</v>
      </c>
      <c r="C19" s="48">
        <f t="shared" si="0"/>
        <v>1769372911</v>
      </c>
      <c r="D19" s="49">
        <v>644858021</v>
      </c>
      <c r="E19" s="49">
        <v>103596718</v>
      </c>
      <c r="F19" s="49">
        <v>1108844</v>
      </c>
      <c r="G19" s="49">
        <v>177918745</v>
      </c>
      <c r="H19" s="49">
        <v>231336680</v>
      </c>
      <c r="I19" s="49">
        <v>596817793</v>
      </c>
      <c r="J19" s="49">
        <v>13736110</v>
      </c>
    </row>
    <row r="20" spans="1:10">
      <c r="A20" s="46"/>
      <c r="B20" s="42" t="s">
        <v>57</v>
      </c>
      <c r="C20" s="43">
        <f t="shared" ref="C20:J20" si="1">SUM(C8:C19)</f>
        <v>21154138569</v>
      </c>
      <c r="D20" s="66">
        <f t="shared" si="1"/>
        <v>7613252679</v>
      </c>
      <c r="E20" s="68">
        <f t="shared" si="1"/>
        <v>1148104603</v>
      </c>
      <c r="F20" s="66">
        <f t="shared" si="1"/>
        <v>11543795</v>
      </c>
      <c r="G20" s="70">
        <f t="shared" si="1"/>
        <v>2183741240</v>
      </c>
      <c r="H20" s="70">
        <f t="shared" si="1"/>
        <v>2827374878</v>
      </c>
      <c r="I20" s="70">
        <f t="shared" si="1"/>
        <v>7234723638</v>
      </c>
      <c r="J20" s="70">
        <f t="shared" si="1"/>
        <v>135397736</v>
      </c>
    </row>
    <row r="21" spans="1:10">
      <c r="A21" s="31"/>
      <c r="B21" s="50"/>
      <c r="C21" s="40"/>
      <c r="D21" s="51"/>
      <c r="E21" s="51"/>
      <c r="F21" s="51"/>
      <c r="G21" s="51"/>
      <c r="H21" s="51"/>
      <c r="I21" s="51"/>
      <c r="J21" s="33"/>
    </row>
    <row r="22" spans="1:10">
      <c r="A22" s="31"/>
      <c r="B22" s="61" t="s">
        <v>82</v>
      </c>
      <c r="C22" s="40"/>
      <c r="D22" s="51"/>
      <c r="E22" s="51"/>
      <c r="F22" s="51"/>
      <c r="G22" s="51"/>
      <c r="H22" s="51"/>
      <c r="I22" s="51"/>
      <c r="J22" s="33"/>
    </row>
    <row r="23" spans="1:10">
      <c r="B23" s="65" t="s">
        <v>50</v>
      </c>
      <c r="C23" s="53">
        <f>(D20+F20)/C20</f>
        <v>0.36043994176976973</v>
      </c>
    </row>
    <row r="24" spans="1:10">
      <c r="B24" s="67" t="s">
        <v>49</v>
      </c>
      <c r="C24" s="53">
        <f>E20/C20</f>
        <v>5.4273285544346003E-2</v>
      </c>
    </row>
    <row r="25" spans="1:10">
      <c r="B25" s="69" t="s">
        <v>48</v>
      </c>
      <c r="C25" s="53">
        <f>SUM(G20:J20)/C20</f>
        <v>0.58528677268588425</v>
      </c>
    </row>
    <row r="26" spans="1:10">
      <c r="B26" s="52"/>
      <c r="C26" s="54">
        <f>SUM(C23:C25)</f>
        <v>1</v>
      </c>
    </row>
    <row r="27" spans="1:10">
      <c r="B27" s="52" t="s">
        <v>83</v>
      </c>
    </row>
    <row r="28" spans="1:10">
      <c r="B28" s="52" t="s">
        <v>56</v>
      </c>
      <c r="C28" s="57">
        <v>0.51</v>
      </c>
      <c r="F28" s="53"/>
      <c r="G28" s="53"/>
      <c r="H28" s="53"/>
    </row>
    <row r="29" spans="1:10">
      <c r="B29" s="52" t="s">
        <v>55</v>
      </c>
      <c r="C29" s="57">
        <v>1E-3</v>
      </c>
    </row>
    <row r="30" spans="1:10">
      <c r="B30" s="52" t="s">
        <v>54</v>
      </c>
      <c r="C30" s="57">
        <v>0.17499999999999999</v>
      </c>
    </row>
    <row r="31" spans="1:10">
      <c r="B31" s="52" t="s">
        <v>53</v>
      </c>
      <c r="C31" s="57">
        <v>0.105</v>
      </c>
    </row>
    <row r="32" spans="1:10">
      <c r="B32" s="52" t="s">
        <v>52</v>
      </c>
      <c r="C32" s="57">
        <v>0.20399999999999999</v>
      </c>
    </row>
    <row r="33" spans="2:3">
      <c r="B33" s="52" t="s">
        <v>51</v>
      </c>
      <c r="C33" s="57">
        <v>5.0000000000000001E-3</v>
      </c>
    </row>
    <row r="34" spans="2:3">
      <c r="C34" s="57">
        <f>SUM(C28:C33)</f>
        <v>0.99999999999999989</v>
      </c>
    </row>
    <row r="36" spans="2:3">
      <c r="B36" s="56" t="s">
        <v>84</v>
      </c>
      <c r="C36" s="55">
        <f>D20+E20</f>
        <v>8761357282</v>
      </c>
    </row>
    <row r="37" spans="2:3">
      <c r="B37" s="56" t="s">
        <v>85</v>
      </c>
      <c r="C37" s="55">
        <f>E20</f>
        <v>1148104603</v>
      </c>
    </row>
    <row r="38" spans="2:3">
      <c r="B38" s="56" t="s">
        <v>86</v>
      </c>
      <c r="C38" s="54">
        <f>C37/C36</f>
        <v>0.13104186555189953</v>
      </c>
    </row>
    <row r="39" spans="2:3">
      <c r="B39" s="56" t="s">
        <v>87</v>
      </c>
      <c r="C39" s="54">
        <f>C28*C38</f>
        <v>6.6831351431468761E-2</v>
      </c>
    </row>
    <row r="40" spans="2:3">
      <c r="B40" s="56" t="s">
        <v>88</v>
      </c>
      <c r="C40" s="54">
        <f>C28-C39</f>
        <v>0.44316864856853122</v>
      </c>
    </row>
    <row r="42" spans="2:3">
      <c r="B42" s="62" t="s">
        <v>89</v>
      </c>
    </row>
    <row r="43" spans="2:3">
      <c r="B43" s="52" t="s">
        <v>50</v>
      </c>
      <c r="C43" s="54">
        <f>C40+C29</f>
        <v>0.44416864856853122</v>
      </c>
    </row>
    <row r="44" spans="2:3">
      <c r="B44" s="52" t="s">
        <v>49</v>
      </c>
      <c r="C44" s="54">
        <f>C39</f>
        <v>6.6831351431468761E-2</v>
      </c>
    </row>
    <row r="45" spans="2:3">
      <c r="B45" s="52" t="s">
        <v>48</v>
      </c>
      <c r="C45" s="54">
        <f>SUM(C30:C33)</f>
        <v>0.48899999999999999</v>
      </c>
    </row>
    <row r="46" spans="2:3">
      <c r="C46" s="54">
        <f>SUM(C43:C45)</f>
        <v>1</v>
      </c>
    </row>
  </sheetData>
  <mergeCells count="3">
    <mergeCell ref="B2:J2"/>
    <mergeCell ref="B3:J3"/>
    <mergeCell ref="B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28"/>
  <sheetViews>
    <sheetView topLeftCell="B1" workbookViewId="0">
      <selection activeCell="D14" sqref="D14"/>
    </sheetView>
  </sheetViews>
  <sheetFormatPr defaultRowHeight="15"/>
  <cols>
    <col min="1" max="1" width="17.7109375" style="76" bestFit="1" customWidth="1"/>
    <col min="2" max="2" width="51" style="76" bestFit="1" customWidth="1"/>
    <col min="3" max="3" width="15.28515625" style="76" bestFit="1" customWidth="1"/>
    <col min="4" max="4" width="25.5703125" style="76" bestFit="1" customWidth="1"/>
    <col min="5" max="5" width="4.42578125" style="76" customWidth="1"/>
    <col min="6" max="6" width="3.28515625" style="76" bestFit="1" customWidth="1"/>
    <col min="7" max="7" width="25.28515625" style="76" bestFit="1" customWidth="1"/>
    <col min="8" max="8" width="12.28515625" style="76" bestFit="1" customWidth="1"/>
    <col min="9" max="9" width="12.7109375" style="76" bestFit="1" customWidth="1"/>
    <col min="10" max="10" width="9.140625" style="77"/>
    <col min="11" max="11" width="14.85546875" style="76" bestFit="1" customWidth="1"/>
    <col min="12" max="12" width="17.28515625" style="76" bestFit="1" customWidth="1"/>
    <col min="13" max="13" width="11.85546875" style="76" bestFit="1" customWidth="1"/>
    <col min="14" max="14" width="10" style="76" bestFit="1" customWidth="1"/>
    <col min="15" max="18" width="9.140625" style="76"/>
    <col min="19" max="19" width="11.85546875" style="76" bestFit="1" customWidth="1"/>
    <col min="20" max="16384" width="9.140625" style="76"/>
  </cols>
  <sheetData>
    <row r="2" spans="1:19">
      <c r="D2" s="76" t="s">
        <v>130</v>
      </c>
      <c r="J2" s="76"/>
      <c r="O2" s="77"/>
    </row>
    <row r="3" spans="1:19">
      <c r="B3" s="76" t="s">
        <v>90</v>
      </c>
      <c r="C3" s="78">
        <v>-247109650</v>
      </c>
      <c r="J3" s="79" t="s">
        <v>140</v>
      </c>
      <c r="K3" s="79" t="s">
        <v>131</v>
      </c>
      <c r="L3" s="76" t="s">
        <v>132</v>
      </c>
      <c r="M3" s="79" t="s">
        <v>127</v>
      </c>
      <c r="N3" s="79" t="s">
        <v>128</v>
      </c>
      <c r="P3" s="74" t="s">
        <v>135</v>
      </c>
    </row>
    <row r="4" spans="1:19">
      <c r="A4" s="76" t="s">
        <v>93</v>
      </c>
      <c r="B4" s="76" t="s">
        <v>94</v>
      </c>
      <c r="C4" s="76" t="s">
        <v>95</v>
      </c>
      <c r="F4" s="71" t="s">
        <v>120</v>
      </c>
      <c r="G4" s="71" t="s">
        <v>121</v>
      </c>
      <c r="H4" s="72">
        <v>7571457</v>
      </c>
      <c r="J4" s="80">
        <v>1.2540000000000001E-2</v>
      </c>
      <c r="K4" s="80">
        <v>-1.64E-3</v>
      </c>
      <c r="L4" s="80">
        <v>2.614E-2</v>
      </c>
      <c r="M4" s="81">
        <f>(0.00942*4+0.01004*8)/12</f>
        <v>9.8333333333333328E-3</v>
      </c>
      <c r="N4" s="81">
        <f>(0.01624*8+0.01004*4)/12</f>
        <v>1.4173333333333335E-2</v>
      </c>
      <c r="P4" s="75">
        <v>2016</v>
      </c>
      <c r="Q4" s="73" t="s">
        <v>136</v>
      </c>
      <c r="R4" s="73" t="s">
        <v>138</v>
      </c>
      <c r="S4" s="73" t="s">
        <v>137</v>
      </c>
    </row>
    <row r="5" spans="1:19">
      <c r="A5" s="76" t="s">
        <v>96</v>
      </c>
      <c r="B5" s="76" t="s">
        <v>97</v>
      </c>
      <c r="C5" s="82">
        <v>91518.13</v>
      </c>
      <c r="F5" s="71" t="s">
        <v>75</v>
      </c>
      <c r="G5" s="71" t="s">
        <v>122</v>
      </c>
      <c r="H5" s="72">
        <v>95252</v>
      </c>
      <c r="J5" s="80">
        <f>J4</f>
        <v>1.2540000000000001E-2</v>
      </c>
      <c r="K5" s="80">
        <v>-1.64E-3</v>
      </c>
      <c r="L5" s="80">
        <v>2.614E-2</v>
      </c>
      <c r="M5" s="81">
        <f>(0.00334*4+0.00376*8)/12</f>
        <v>3.62E-3</v>
      </c>
      <c r="N5" s="81">
        <f>(0.00355*8+0.00376*4)/12</f>
        <v>3.62E-3</v>
      </c>
      <c r="P5" s="75" t="s">
        <v>129</v>
      </c>
      <c r="Q5" s="80">
        <f>0.0808475949058525/100</f>
        <v>8.0847594905852503E-4</v>
      </c>
      <c r="R5" s="72">
        <v>22228.841641431369</v>
      </c>
      <c r="S5" s="83">
        <f>Q5*R5*1000000</f>
        <v>17971483.842527889</v>
      </c>
    </row>
    <row r="6" spans="1:19">
      <c r="B6" s="76" t="s">
        <v>98</v>
      </c>
      <c r="C6" s="82">
        <v>-21670714.360000003</v>
      </c>
      <c r="F6" s="71" t="s">
        <v>73</v>
      </c>
      <c r="G6" s="71" t="s">
        <v>123</v>
      </c>
      <c r="H6" s="72">
        <v>228380971</v>
      </c>
      <c r="J6" s="80">
        <v>1.5730000000000001E-2</v>
      </c>
      <c r="K6" s="80">
        <v>-1.5399999999999999E-3</v>
      </c>
      <c r="L6" s="80">
        <v>2.2760000000000002E-2</v>
      </c>
      <c r="M6" s="81">
        <f>(0.00563*4+0.00952*8)/12</f>
        <v>8.2233333333333342E-3</v>
      </c>
      <c r="N6" s="81">
        <f>(0.00987*8+0.00952*4)/12</f>
        <v>9.7533333333333343E-3</v>
      </c>
      <c r="P6" s="75" t="s">
        <v>126</v>
      </c>
      <c r="Q6" s="80">
        <f>0.0400149157598563/100</f>
        <v>4.0014915759856303E-4</v>
      </c>
      <c r="R6" s="84">
        <f>3480882/1000</f>
        <v>3480.8820000000001</v>
      </c>
      <c r="S6" s="83">
        <f>Q6*R6*1000000</f>
        <v>1392872.0000000012</v>
      </c>
    </row>
    <row r="7" spans="1:19">
      <c r="B7" s="76" t="s">
        <v>99</v>
      </c>
      <c r="C7" s="82">
        <v>-17272.159999999996</v>
      </c>
      <c r="F7" s="71" t="s">
        <v>72</v>
      </c>
      <c r="G7" s="71" t="s">
        <v>124</v>
      </c>
      <c r="H7" s="72">
        <v>3563584</v>
      </c>
      <c r="J7" s="80">
        <v>8.3000000000000001E-3</v>
      </c>
      <c r="K7" s="80">
        <v>-1.6299999999999999E-3</v>
      </c>
      <c r="L7" s="80">
        <v>2.2290000000000001E-2</v>
      </c>
      <c r="M7" s="81">
        <f>M6</f>
        <v>8.2233333333333342E-3</v>
      </c>
      <c r="N7" s="81">
        <f>N6</f>
        <v>9.7533333333333343E-3</v>
      </c>
      <c r="P7" s="75" t="s">
        <v>19</v>
      </c>
      <c r="Q7" s="86">
        <f>TRUNC(S7/R7/1000000,5)</f>
        <v>7.5000000000000002E-4</v>
      </c>
      <c r="R7" s="72">
        <f>R5+R6</f>
        <v>25709.72364143137</v>
      </c>
      <c r="S7" s="83">
        <f>S5+S6</f>
        <v>19364355.842527889</v>
      </c>
    </row>
    <row r="8" spans="1:19">
      <c r="A8" s="76" t="s">
        <v>100</v>
      </c>
      <c r="C8" s="82">
        <v>-21596468.390000004</v>
      </c>
      <c r="D8" s="86">
        <f>C8/C3</f>
        <v>8.7396297109400639E-2</v>
      </c>
      <c r="F8" s="71" t="s">
        <v>71</v>
      </c>
      <c r="G8" s="71" t="s">
        <v>125</v>
      </c>
      <c r="H8" s="72">
        <v>7498386</v>
      </c>
      <c r="J8" s="80">
        <v>5.96E-3</v>
      </c>
      <c r="K8" s="80">
        <v>-1.57E-3</v>
      </c>
      <c r="L8" s="80">
        <v>2.0400000000000001E-2</v>
      </c>
      <c r="M8" s="81">
        <f>M7</f>
        <v>8.2233333333333342E-3</v>
      </c>
      <c r="N8" s="81">
        <f>N7</f>
        <v>9.7533333333333343E-3</v>
      </c>
      <c r="P8" s="75">
        <v>2017</v>
      </c>
      <c r="Q8" s="71"/>
      <c r="R8" s="71"/>
      <c r="S8" s="71"/>
    </row>
    <row r="9" spans="1:19">
      <c r="A9" s="76" t="s">
        <v>101</v>
      </c>
      <c r="B9" s="76" t="s">
        <v>102</v>
      </c>
      <c r="C9" s="82">
        <v>-427.02000000000004</v>
      </c>
      <c r="D9" s="80"/>
      <c r="H9" s="72">
        <v>247109650</v>
      </c>
      <c r="I9" s="79" t="s">
        <v>134</v>
      </c>
      <c r="J9" s="85">
        <f>(H4*J4+H5*J5+H6*J6+H7*J7+H8*J8)/H9</f>
        <v>1.5227415572196392E-2</v>
      </c>
      <c r="K9" s="86">
        <f>(H4*K4+H5*K5+H6*K6+H7*K7+H8*K8)/H9</f>
        <v>-1.5453107802143706E-3</v>
      </c>
      <c r="L9" s="86">
        <f>(H4*L4+H5*L5+H6*L6+H7*L7+H8*L8)/H9</f>
        <v>2.2786475700078898E-2</v>
      </c>
      <c r="M9" s="87">
        <f>(H4*M4+H5*M5+H6*M6+H7*M7+H8*M8)/H9</f>
        <v>8.2708894245800066E-3</v>
      </c>
      <c r="N9" s="87">
        <f>(N4*H4+N5*H5+N6*H6+N7*H7+N8*H8)/H9</f>
        <v>9.8863982608800045E-3</v>
      </c>
      <c r="P9" s="75" t="s">
        <v>129</v>
      </c>
      <c r="Q9" s="80">
        <f>0.0638435654952087/100</f>
        <v>6.3843565495208694E-4</v>
      </c>
      <c r="R9" s="72">
        <v>22562.274266052838</v>
      </c>
      <c r="S9" s="83">
        <f>Q9*R9*1000000</f>
        <v>14404560.348256061</v>
      </c>
    </row>
    <row r="10" spans="1:19">
      <c r="B10" s="76" t="s">
        <v>103</v>
      </c>
      <c r="C10" s="82">
        <v>-11093036.740000004</v>
      </c>
      <c r="D10" s="80">
        <f>C10/C3</f>
        <v>4.4891151519173791E-2</v>
      </c>
      <c r="I10" s="76" t="s">
        <v>139</v>
      </c>
      <c r="J10" s="80">
        <f>D10</f>
        <v>4.4891151519173791E-2</v>
      </c>
      <c r="P10" s="75" t="s">
        <v>126</v>
      </c>
      <c r="Q10" s="80">
        <f>0.0332577894841078/100</f>
        <v>3.32577894841078E-4</v>
      </c>
      <c r="R10" s="72">
        <f>3524399/1000</f>
        <v>3524.3989999999999</v>
      </c>
      <c r="S10" s="83">
        <f>Q10*R10*1000000</f>
        <v>1172137.2000000004</v>
      </c>
    </row>
    <row r="11" spans="1:19">
      <c r="B11" s="76" t="s">
        <v>104</v>
      </c>
      <c r="C11" s="82">
        <v>-475101.32</v>
      </c>
      <c r="D11" s="80"/>
      <c r="I11" s="76" t="s">
        <v>19</v>
      </c>
      <c r="J11" s="86">
        <f>J9+J10</f>
        <v>6.0118567091370187E-2</v>
      </c>
      <c r="P11" s="75" t="str">
        <f>P7</f>
        <v>Total</v>
      </c>
      <c r="Q11" s="86">
        <f>TRUNC(S11/R11/1000000,5)</f>
        <v>5.9000000000000003E-4</v>
      </c>
      <c r="R11" s="72">
        <f>R9+R10</f>
        <v>26086.67326605284</v>
      </c>
      <c r="S11" s="83">
        <f>S9+S10</f>
        <v>15576697.548256062</v>
      </c>
    </row>
    <row r="12" spans="1:19">
      <c r="B12" s="76" t="s">
        <v>105</v>
      </c>
      <c r="C12" s="82">
        <v>-969080.90999999992</v>
      </c>
      <c r="D12" s="80"/>
      <c r="J12" s="76"/>
      <c r="P12" s="75">
        <v>2018</v>
      </c>
      <c r="Q12" s="71"/>
      <c r="R12" s="71"/>
      <c r="S12" s="71"/>
    </row>
    <row r="13" spans="1:19">
      <c r="B13" s="76" t="s">
        <v>106</v>
      </c>
      <c r="C13" s="82">
        <v>-226934.64000000004</v>
      </c>
      <c r="D13" s="80"/>
      <c r="J13" s="76" t="s">
        <v>141</v>
      </c>
      <c r="P13" s="75" t="s">
        <v>129</v>
      </c>
      <c r="Q13" s="80">
        <f>0.0173083303772917/100</f>
        <v>1.7308330377291701E-4</v>
      </c>
      <c r="R13" s="72">
        <v>22900.70838004363</v>
      </c>
      <c r="S13" s="83">
        <f>Q13*R13*1000000</f>
        <v>3963730.2651580782</v>
      </c>
    </row>
    <row r="14" spans="1:19">
      <c r="B14" s="76" t="s">
        <v>107</v>
      </c>
      <c r="C14" s="82">
        <v>-40066.75</v>
      </c>
      <c r="D14" s="80"/>
      <c r="J14" s="76"/>
      <c r="P14" s="75" t="s">
        <v>126</v>
      </c>
      <c r="Q14" s="80">
        <f>0.0319342163489293/100</f>
        <v>3.1934216348929298E-4</v>
      </c>
      <c r="R14" s="72">
        <f>3561432/1000</f>
        <v>3561.4319999999998</v>
      </c>
      <c r="S14" s="83">
        <f>Q14*R14*1000000</f>
        <v>1137315.3999999997</v>
      </c>
    </row>
    <row r="15" spans="1:19">
      <c r="B15" s="76" t="s">
        <v>108</v>
      </c>
      <c r="C15" s="82">
        <v>-694784.21000000008</v>
      </c>
      <c r="D15" s="80"/>
      <c r="J15" s="76"/>
      <c r="P15" s="75" t="str">
        <f>P11</f>
        <v>Total</v>
      </c>
      <c r="Q15" s="86">
        <f>TRUNC(S15/R15/1000000,5)</f>
        <v>1.9000000000000001E-4</v>
      </c>
      <c r="R15" s="72">
        <f>R13+R14</f>
        <v>26462.140380043631</v>
      </c>
      <c r="S15" s="83">
        <f>S13+S14</f>
        <v>5101045.6651580781</v>
      </c>
    </row>
    <row r="16" spans="1:19">
      <c r="B16" s="76" t="s">
        <v>109</v>
      </c>
      <c r="C16" s="82">
        <v>-1099.9100000000001</v>
      </c>
      <c r="D16" s="80"/>
      <c r="J16" s="76"/>
      <c r="P16" s="75">
        <v>2019</v>
      </c>
      <c r="Q16" s="71"/>
      <c r="R16" s="71"/>
      <c r="S16" s="71"/>
    </row>
    <row r="17" spans="1:19">
      <c r="B17" s="76" t="s">
        <v>110</v>
      </c>
      <c r="C17" s="82">
        <v>-166568.18999999994</v>
      </c>
      <c r="D17" s="80"/>
      <c r="J17" s="76"/>
      <c r="P17" s="75" t="s">
        <v>129</v>
      </c>
      <c r="Q17" s="80">
        <f>0.0141225941815474/100</f>
        <v>1.41225941815474E-4</v>
      </c>
      <c r="R17" s="72">
        <v>23244.219005744282</v>
      </c>
      <c r="S17" s="83">
        <f>Q17*R17*1000000</f>
        <v>3282686.7208513767</v>
      </c>
    </row>
    <row r="18" spans="1:19">
      <c r="B18" s="76" t="s">
        <v>111</v>
      </c>
      <c r="C18" s="82">
        <v>182.46</v>
      </c>
      <c r="D18" s="80"/>
      <c r="J18" s="76"/>
      <c r="P18" s="75" t="s">
        <v>126</v>
      </c>
      <c r="Q18" s="80">
        <f>0.0305031138188518/100</f>
        <v>3.0503113818851802E-4</v>
      </c>
      <c r="R18" s="72">
        <f>3616299/1000</f>
        <v>3616.299</v>
      </c>
      <c r="S18" s="83">
        <f>Q18*R18*1000000</f>
        <v>1103083.7999999996</v>
      </c>
    </row>
    <row r="19" spans="1:19">
      <c r="A19" s="76" t="s">
        <v>112</v>
      </c>
      <c r="C19" s="82">
        <v>-13666917.230000004</v>
      </c>
      <c r="D19" s="86">
        <f>C19/C3</f>
        <v>5.5307096384135564E-2</v>
      </c>
      <c r="J19" s="76"/>
      <c r="P19" s="75" t="str">
        <f>P15</f>
        <v>Total</v>
      </c>
      <c r="Q19" s="86">
        <f>TRUNC(S19/R19/1000000,5)</f>
        <v>1.6000000000000001E-4</v>
      </c>
      <c r="R19" s="72">
        <f>R17+R18</f>
        <v>26860.518005744281</v>
      </c>
      <c r="S19" s="83">
        <f>S17+S18</f>
        <v>4385770.5208513765</v>
      </c>
    </row>
    <row r="20" spans="1:19">
      <c r="A20" s="76" t="s">
        <v>92</v>
      </c>
      <c r="B20" s="76" t="s">
        <v>113</v>
      </c>
      <c r="C20" s="82">
        <v>-254740.49000000011</v>
      </c>
      <c r="D20" s="80"/>
      <c r="J20" s="76"/>
      <c r="P20" s="75">
        <v>2020</v>
      </c>
      <c r="Q20" s="71"/>
      <c r="R20" s="71"/>
      <c r="S20" s="71"/>
    </row>
    <row r="21" spans="1:19">
      <c r="B21" s="76" t="s">
        <v>114</v>
      </c>
      <c r="C21" s="82">
        <v>-25618.070000000003</v>
      </c>
      <c r="D21" s="80"/>
      <c r="J21" s="76"/>
      <c r="P21" s="75" t="s">
        <v>129</v>
      </c>
      <c r="Q21" s="80">
        <f>0.00328216889396115/100</f>
        <v>3.2821688939611499E-5</v>
      </c>
      <c r="R21" s="72">
        <v>23592.882290830443</v>
      </c>
      <c r="S21" s="83">
        <f>Q21*R21*1000000</f>
        <v>774358.24373850564</v>
      </c>
    </row>
    <row r="22" spans="1:19">
      <c r="A22" s="76" t="s">
        <v>115</v>
      </c>
      <c r="C22" s="82">
        <v>-280358.56000000011</v>
      </c>
      <c r="D22" s="86">
        <f>C22/C3</f>
        <v>1.1345512407143958E-3</v>
      </c>
      <c r="J22" s="76"/>
      <c r="P22" s="75" t="s">
        <v>126</v>
      </c>
      <c r="Q22" s="80">
        <f>0.0255306863307077/100</f>
        <v>2.5530686330707699E-4</v>
      </c>
      <c r="R22" s="72">
        <f>3661777/1000</f>
        <v>3661.777</v>
      </c>
      <c r="S22" s="83">
        <f>Q22*R22*1000000</f>
        <v>934876.79999999853</v>
      </c>
    </row>
    <row r="23" spans="1:19">
      <c r="A23" s="76" t="s">
        <v>0</v>
      </c>
      <c r="B23" s="76" t="s">
        <v>116</v>
      </c>
      <c r="C23" s="82">
        <v>-4398908.2199999988</v>
      </c>
      <c r="D23" s="80"/>
      <c r="J23" s="76"/>
      <c r="P23" s="75" t="str">
        <f>P19</f>
        <v>Total</v>
      </c>
      <c r="Q23" s="86">
        <f>TRUNC(S23/R23/1000000,5)</f>
        <v>6.0000000000000002E-5</v>
      </c>
      <c r="R23" s="72">
        <f>R21+R22</f>
        <v>27254.659290830445</v>
      </c>
      <c r="S23" s="83">
        <f>S21+S22</f>
        <v>1709235.0437385042</v>
      </c>
    </row>
    <row r="24" spans="1:19">
      <c r="B24" s="76" t="s">
        <v>117</v>
      </c>
      <c r="C24" s="82">
        <v>-216663.75</v>
      </c>
      <c r="D24" s="80"/>
    </row>
    <row r="25" spans="1:19">
      <c r="A25" s="76" t="s">
        <v>118</v>
      </c>
      <c r="C25" s="82">
        <v>-4615571.9699999988</v>
      </c>
      <c r="D25" s="86">
        <f>C25/C3</f>
        <v>1.8678234419416639E-2</v>
      </c>
    </row>
    <row r="26" spans="1:19">
      <c r="C26" s="82">
        <f>C8+C19+C22+C25</f>
        <v>-40159316.150000006</v>
      </c>
    </row>
    <row r="28" spans="1:19">
      <c r="C28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Net Metering Costs</vt:lpstr>
      <vt:lpstr>SREC Costs</vt:lpstr>
      <vt:lpstr>Allocators</vt:lpstr>
      <vt:lpstr>Rates</vt:lpstr>
      <vt:lpstr>Installations and Costs Graph</vt:lpstr>
      <vt:lpstr>'Net Metering Costs'!Print_Area</vt:lpstr>
      <vt:lpstr>'SREC Costs'!Print_Area</vt:lpstr>
      <vt:lpstr>Summary!Print_Area</vt:lpstr>
    </vt:vector>
  </TitlesOfParts>
  <Company>National Grid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2015-04-09T20:20:08Z</dcterms:created>
  <dc:creator>National Grid</dc:creator>
  <lastModifiedBy>Mike Judge</lastModifiedBy>
  <lastPrinted>2015-04-13T18:21:22Z</lastPrinted>
  <dcterms:modified xsi:type="dcterms:W3CDTF">2015-04-23T20:07:28Z</dcterms:modified>
</coreProperties>
</file>